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2.xml" ContentType="application/vnd.openxmlformats-officedocument.spreadsheetml.comments+xml"/>
  <Override PartName="/xl/tables/table8.xml" ContentType="application/vnd.openxmlformats-officedocument.spreadsheetml.table+xml"/>
  <Override PartName="/xl/tables/table9.xml" ContentType="application/vnd.openxmlformats-officedocument.spreadsheetml.table+xml"/>
  <Override PartName="/xl/comments3.xml" ContentType="application/vnd.openxmlformats-officedocument.spreadsheetml.comments+xml"/>
  <Override PartName="/xl/threadedComments/threadedComment1.xml" ContentType="application/vnd.ms-excel.threadedcomments+xml"/>
  <Override PartName="/xl/tables/table10.xml" ContentType="application/vnd.openxmlformats-officedocument.spreadsheetml.table+xml"/>
  <Override PartName="/xl/tables/table11.xml" ContentType="application/vnd.openxmlformats-officedocument.spreadsheetml.table+xml"/>
  <Override PartName="/xl/comments4.xml" ContentType="application/vnd.openxmlformats-officedocument.spreadsheetml.comments+xml"/>
  <Override PartName="/xl/threadedComments/threadedComment2.xml" ContentType="application/vnd.ms-excel.threadedcomments+xml"/>
  <Override PartName="/xl/tables/table12.xml" ContentType="application/vnd.openxmlformats-officedocument.spreadsheetml.table+xml"/>
  <Override PartName="/xl/tables/table13.xml" ContentType="application/vnd.openxmlformats-officedocument.spreadsheetml.table+xml"/>
  <Override PartName="/xl/comments5.xml" ContentType="application/vnd.openxmlformats-officedocument.spreadsheetml.comments+xml"/>
  <Override PartName="/xl/tables/table14.xml" ContentType="application/vnd.openxmlformats-officedocument.spreadsheetml.table+xml"/>
  <Override PartName="/xl/tables/table15.xml" ContentType="application/vnd.openxmlformats-officedocument.spreadsheetml.table+xml"/>
  <Override PartName="/xl/comments6.xml" ContentType="application/vnd.openxmlformats-officedocument.spreadsheetml.comments+xml"/>
  <Override PartName="/xl/threadedComments/threadedComment3.xml" ContentType="application/vnd.ms-excel.threadedcomments+xml"/>
  <Override PartName="/xl/tables/table16.xml" ContentType="application/vnd.openxmlformats-officedocument.spreadsheetml.table+xml"/>
  <Override PartName="/xl/tables/table17.xml" ContentType="application/vnd.openxmlformats-officedocument.spreadsheetml.table+xml"/>
  <Override PartName="/xl/comments7.xml" ContentType="application/vnd.openxmlformats-officedocument.spreadsheetml.comments+xml"/>
  <Override PartName="/xl/tables/table18.xml" ContentType="application/vnd.openxmlformats-officedocument.spreadsheetml.table+xml"/>
  <Override PartName="/xl/tables/table19.xml" ContentType="application/vnd.openxmlformats-officedocument.spreadsheetml.table+xml"/>
  <Override PartName="/xl/comments8.xml" ContentType="application/vnd.openxmlformats-officedocument.spreadsheetml.comments+xml"/>
  <Override PartName="/xl/tables/table20.xml" ContentType="application/vnd.openxmlformats-officedocument.spreadsheetml.table+xml"/>
  <Override PartName="/xl/tables/table21.xml" ContentType="application/vnd.openxmlformats-officedocument.spreadsheetml.table+xml"/>
  <Override PartName="/xl/comments9.xml" ContentType="application/vnd.openxmlformats-officedocument.spreadsheetml.comments+xml"/>
  <Override PartName="/xl/tables/table22.xml" ContentType="application/vnd.openxmlformats-officedocument.spreadsheetml.table+xml"/>
  <Override PartName="/xl/tables/table23.xml" ContentType="application/vnd.openxmlformats-officedocument.spreadsheetml.table+xml"/>
  <Override PartName="/xl/comments10.xml" ContentType="application/vnd.openxmlformats-officedocument.spreadsheetml.comments+xml"/>
  <Override PartName="/xl/tables/table24.xml" ContentType="application/vnd.openxmlformats-officedocument.spreadsheetml.table+xml"/>
  <Override PartName="/xl/tables/table25.xml" ContentType="application/vnd.openxmlformats-officedocument.spreadsheetml.table+xml"/>
  <Override PartName="/xl/comments11.xml" ContentType="application/vnd.openxmlformats-officedocument.spreadsheetml.comments+xml"/>
  <Override PartName="/xl/threadedComments/threadedComment4.xml" ContentType="application/vnd.ms-excel.threadedcomments+xml"/>
  <Override PartName="/xl/tables/table26.xml" ContentType="application/vnd.openxmlformats-officedocument.spreadsheetml.table+xml"/>
  <Override PartName="/xl/tables/table27.xml" ContentType="application/vnd.openxmlformats-officedocument.spreadsheetml.table+xml"/>
  <Override PartName="/xl/comments12.xml" ContentType="application/vnd.openxmlformats-officedocument.spreadsheetml.comments+xml"/>
  <Override PartName="/xl/tables/table28.xml" ContentType="application/vnd.openxmlformats-officedocument.spreadsheetml.table+xml"/>
  <Override PartName="/xl/tables/table29.xml" ContentType="application/vnd.openxmlformats-officedocument.spreadsheetml.table+xml"/>
  <Override PartName="/xl/comments13.xml" ContentType="application/vnd.openxmlformats-officedocument.spreadsheetml.comments+xml"/>
  <Override PartName="/xl/threadedComments/threadedComment5.xml" ContentType="application/vnd.ms-excel.threadedcomments+xml"/>
  <Override PartName="/xl/tables/table30.xml" ContentType="application/vnd.openxmlformats-officedocument.spreadsheetml.table+xml"/>
  <Override PartName="/xl/tables/table31.xml" ContentType="application/vnd.openxmlformats-officedocument.spreadsheetml.table+xml"/>
  <Override PartName="/xl/comments14.xml" ContentType="application/vnd.openxmlformats-officedocument.spreadsheetml.comments+xml"/>
  <Override PartName="/xl/tables/table32.xml" ContentType="application/vnd.openxmlformats-officedocument.spreadsheetml.table+xml"/>
  <Override PartName="/xl/tables/table33.xml" ContentType="application/vnd.openxmlformats-officedocument.spreadsheetml.table+xml"/>
  <Override PartName="/xl/comments15.xml" ContentType="application/vnd.openxmlformats-officedocument.spreadsheetml.comments+xml"/>
  <Override PartName="/xl/threadedComments/threadedComment6.xml" ContentType="application/vnd.ms-excel.threadedcomments+xml"/>
  <Override PartName="/xl/tables/table34.xml" ContentType="application/vnd.openxmlformats-officedocument.spreadsheetml.table+xml"/>
  <Override PartName="/xl/tables/table35.xml" ContentType="application/vnd.openxmlformats-officedocument.spreadsheetml.table+xml"/>
  <Override PartName="/xl/comments16.xml" ContentType="application/vnd.openxmlformats-officedocument.spreadsheetml.comments+xml"/>
  <Override PartName="/xl/threadedComments/threadedComment7.xml" ContentType="application/vnd.ms-excel.threadedcomments+xml"/>
  <Override PartName="/xl/tables/table36.xml" ContentType="application/vnd.openxmlformats-officedocument.spreadsheetml.table+xml"/>
  <Override PartName="/xl/tables/table37.xml" ContentType="application/vnd.openxmlformats-officedocument.spreadsheetml.table+xml"/>
  <Override PartName="/xl/comments17.xml" ContentType="application/vnd.openxmlformats-officedocument.spreadsheetml.comments+xml"/>
  <Override PartName="/xl/threadedComments/threadedComment8.xml" ContentType="application/vnd.ms-excel.threadedcomments+xml"/>
  <Override PartName="/xl/tables/table38.xml" ContentType="application/vnd.openxmlformats-officedocument.spreadsheetml.table+xml"/>
  <Override PartName="/xl/tables/table39.xml" ContentType="application/vnd.openxmlformats-officedocument.spreadsheetml.table+xml"/>
  <Override PartName="/xl/comments18.xml" ContentType="application/vnd.openxmlformats-officedocument.spreadsheetml.comments+xml"/>
  <Override PartName="/xl/threadedComments/threadedComment9.xml" ContentType="application/vnd.ms-excel.threadedcomments+xml"/>
  <Override PartName="/xl/tables/table40.xml" ContentType="application/vnd.openxmlformats-officedocument.spreadsheetml.table+xml"/>
  <Override PartName="/xl/tables/table41.xml" ContentType="application/vnd.openxmlformats-officedocument.spreadsheetml.table+xml"/>
  <Override PartName="/xl/comments19.xml" ContentType="application/vnd.openxmlformats-officedocument.spreadsheetml.comments+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comments20.xml" ContentType="application/vnd.openxmlformats-officedocument.spreadsheetml.comments+xml"/>
  <Override PartName="/xl/threadedComments/threadedComment10.xml" ContentType="application/vnd.ms-excel.threadedcomments+xml"/>
  <Override PartName="/xl/tables/table45.xml" ContentType="application/vnd.openxmlformats-officedocument.spreadsheetml.table+xml"/>
  <Override PartName="/xl/tables/table46.xml" ContentType="application/vnd.openxmlformats-officedocument.spreadsheetml.table+xml"/>
  <Override PartName="/xl/comments21.xml" ContentType="application/vnd.openxmlformats-officedocument.spreadsheetml.comments+xml"/>
  <Override PartName="/xl/tables/table47.xml" ContentType="application/vnd.openxmlformats-officedocument.spreadsheetml.table+xml"/>
  <Override PartName="/xl/tables/table48.xml" ContentType="application/vnd.openxmlformats-officedocument.spreadsheetml.table+xml"/>
  <Override PartName="/xl/comments22.xml" ContentType="application/vnd.openxmlformats-officedocument.spreadsheetml.comments+xml"/>
  <Override PartName="/xl/tables/table49.xml" ContentType="application/vnd.openxmlformats-officedocument.spreadsheetml.table+xml"/>
  <Override PartName="/xl/tables/table50.xml" ContentType="application/vnd.openxmlformats-officedocument.spreadsheetml.table+xml"/>
  <Override PartName="/xl/comments23.xml" ContentType="application/vnd.openxmlformats-officedocument.spreadsheetml.comments+xml"/>
  <Override PartName="/xl/tables/table51.xml" ContentType="application/vnd.openxmlformats-officedocument.spreadsheetml.table+xml"/>
  <Override PartName="/xl/tables/table52.xml" ContentType="application/vnd.openxmlformats-officedocument.spreadsheetml.table+xml"/>
  <Override PartName="/xl/comments24.xml" ContentType="application/vnd.openxmlformats-officedocument.spreadsheetml.comments+xml"/>
  <Override PartName="/xl/threadedComments/threadedComment11.xml" ContentType="application/vnd.ms-excel.threadedcomments+xml"/>
  <Override PartName="/xl/tables/table53.xml" ContentType="application/vnd.openxmlformats-officedocument.spreadsheetml.table+xml"/>
  <Override PartName="/xl/tables/table54.xml" ContentType="application/vnd.openxmlformats-officedocument.spreadsheetml.table+xml"/>
  <Override PartName="/xl/comments25.xml" ContentType="application/vnd.openxmlformats-officedocument.spreadsheetml.comments+xml"/>
  <Override PartName="/xl/tables/table55.xml" ContentType="application/vnd.openxmlformats-officedocument.spreadsheetml.table+xml"/>
  <Override PartName="/xl/tables/table56.xml" ContentType="application/vnd.openxmlformats-officedocument.spreadsheetml.table+xml"/>
  <Override PartName="/xl/comments26.xml" ContentType="application/vnd.openxmlformats-officedocument.spreadsheetml.comments+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comments27.xml" ContentType="application/vnd.openxmlformats-officedocument.spreadsheetml.comments+xml"/>
  <Override PartName="/xl/threadedComments/threadedComment12.xml" ContentType="application/vnd.ms-excel.threadedcomments+xml"/>
  <Override PartName="/xl/tables/table60.xml" ContentType="application/vnd.openxmlformats-officedocument.spreadsheetml.table+xml"/>
  <Override PartName="/xl/tables/table61.xml" ContentType="application/vnd.openxmlformats-officedocument.spreadsheetml.table+xml"/>
  <Override PartName="/xl/comments28.xml" ContentType="application/vnd.openxmlformats-officedocument.spreadsheetml.comments+xml"/>
  <Override PartName="/xl/threadedComments/threadedComment13.xml" ContentType="application/vnd.ms-excel.threadedcomments+xml"/>
  <Override PartName="/xl/tables/table62.xml" ContentType="application/vnd.openxmlformats-officedocument.spreadsheetml.table+xml"/>
  <Override PartName="/xl/tables/table63.xml" ContentType="application/vnd.openxmlformats-officedocument.spreadsheetml.table+xml"/>
  <Override PartName="/xl/comments29.xml" ContentType="application/vnd.openxmlformats-officedocument.spreadsheetml.comments+xml"/>
  <Override PartName="/xl/tables/table64.xml" ContentType="application/vnd.openxmlformats-officedocument.spreadsheetml.table+xml"/>
  <Override PartName="/xl/tables/table65.xml" ContentType="application/vnd.openxmlformats-officedocument.spreadsheetml.table+xml"/>
  <Override PartName="/xl/comments30.xml" ContentType="application/vnd.openxmlformats-officedocument.spreadsheetml.comments+xml"/>
  <Override PartName="/xl/threadedComments/threadedComment14.xml" ContentType="application/vnd.ms-excel.threadedcomments+xml"/>
  <Override PartName="/xl/tables/table66.xml" ContentType="application/vnd.openxmlformats-officedocument.spreadsheetml.table+xml"/>
  <Override PartName="/xl/tables/table67.xml" ContentType="application/vnd.openxmlformats-officedocument.spreadsheetml.table+xml"/>
  <Override PartName="/xl/comments31.xml" ContentType="application/vnd.openxmlformats-officedocument.spreadsheetml.comments+xml"/>
  <Override PartName="/xl/threadedComments/threadedComment15.xml" ContentType="application/vnd.ms-excel.threadedcomments+xml"/>
  <Override PartName="/xl/tables/table68.xml" ContentType="application/vnd.openxmlformats-officedocument.spreadsheetml.table+xml"/>
  <Override PartName="/xl/tables/table69.xml" ContentType="application/vnd.openxmlformats-officedocument.spreadsheetml.table+xml"/>
  <Override PartName="/xl/comments32.xml" ContentType="application/vnd.openxmlformats-officedocument.spreadsheetml.comments+xml"/>
  <Override PartName="/xl/threadedComments/threadedComment16.xml" ContentType="application/vnd.ms-excel.threadedcomments+xml"/>
  <Override PartName="/xl/tables/table70.xml" ContentType="application/vnd.openxmlformats-officedocument.spreadsheetml.table+xml"/>
  <Override PartName="/xl/tables/table71.xml" ContentType="application/vnd.openxmlformats-officedocument.spreadsheetml.table+xml"/>
  <Override PartName="/xl/comments33.xml" ContentType="application/vnd.openxmlformats-officedocument.spreadsheetml.comments+xml"/>
  <Override PartName="/xl/threadedComments/threadedComment17.xml" ContentType="application/vnd.ms-excel.threadedcomments+xml"/>
  <Override PartName="/xl/tables/table72.xml" ContentType="application/vnd.openxmlformats-officedocument.spreadsheetml.table+xml"/>
  <Override PartName="/xl/tables/table73.xml" ContentType="application/vnd.openxmlformats-officedocument.spreadsheetml.table+xml"/>
  <Override PartName="/xl/comments34.xml" ContentType="application/vnd.openxmlformats-officedocument.spreadsheetml.comments+xml"/>
  <Override PartName="/xl/threadedComments/threadedComment18.xml" ContentType="application/vnd.ms-excel.threadedcomments+xml"/>
  <Override PartName="/xl/tables/table74.xml" ContentType="application/vnd.openxmlformats-officedocument.spreadsheetml.table+xml"/>
  <Override PartName="/xl/tables/table75.xml" ContentType="application/vnd.openxmlformats-officedocument.spreadsheetml.table+xml"/>
  <Override PartName="/xl/comments35.xml" ContentType="application/vnd.openxmlformats-officedocument.spreadsheetml.comments+xml"/>
  <Override PartName="/xl/drawings/drawing1.xml" ContentType="application/vnd.openxmlformats-officedocument.drawing+xml"/>
  <Override PartName="/xl/tables/table76.xml" ContentType="application/vnd.openxmlformats-officedocument.spreadsheetml.table+xml"/>
  <Override PartName="/xl/tables/table77.xml" ContentType="application/vnd.openxmlformats-officedocument.spreadsheetml.table+xml"/>
  <Override PartName="/xl/comments36.xml" ContentType="application/vnd.openxmlformats-officedocument.spreadsheetml.comments+xml"/>
  <Override PartName="/xl/charts/chart1.xml" ContentType="application/vnd.openxmlformats-officedocument.drawingml.chart+xml"/>
  <Override PartName="/xl/tables/table78.xml" ContentType="application/vnd.openxmlformats-officedocument.spreadsheetml.table+xml"/>
  <Override PartName="/xl/tables/table79.xml" ContentType="application/vnd.openxmlformats-officedocument.spreadsheetml.table+xml"/>
  <Override PartName="/xl/comments37.xml" ContentType="application/vnd.openxmlformats-officedocument.spreadsheetml.comments+xml"/>
  <Override PartName="/xl/tables/table80.xml" ContentType="application/vnd.openxmlformats-officedocument.spreadsheetml.table+xml"/>
  <Override PartName="/xl/tables/table81.xml" ContentType="application/vnd.openxmlformats-officedocument.spreadsheetml.table+xml"/>
  <Override PartName="/xl/comments38.xml" ContentType="application/vnd.openxmlformats-officedocument.spreadsheetml.comments+xml"/>
  <Override PartName="/xl/threadedComments/threadedComment19.xml" ContentType="application/vnd.ms-excel.threadedcomments+xml"/>
  <Override PartName="/xl/comments39.xml" ContentType="application/vnd.openxmlformats-officedocument.spreadsheetml.comments+xml"/>
  <Override PartName="/xl/comments40.xml" ContentType="application/vnd.openxmlformats-officedocument.spreadsheetml.comments+xml"/>
  <Override PartName="/xl/tables/table82.xml" ContentType="application/vnd.openxmlformats-officedocument.spreadsheetml.table+xml"/>
  <Override PartName="/xl/tables/table83.xml" ContentType="application/vnd.openxmlformats-officedocument.spreadsheetml.table+xml"/>
  <Override PartName="/xl/comments41.xml" ContentType="application/vnd.openxmlformats-officedocument.spreadsheetml.comments+xml"/>
  <Override PartName="/xl/threadedComments/threadedComment20.xml" ContentType="application/vnd.ms-excel.threadedcomments+xml"/>
  <Override PartName="/xl/tables/table84.xml" ContentType="application/vnd.openxmlformats-officedocument.spreadsheetml.table+xml"/>
  <Override PartName="/xl/tables/table85.xml" ContentType="application/vnd.openxmlformats-officedocument.spreadsheetml.table+xml"/>
  <Override PartName="/xl/comments42.xml" ContentType="application/vnd.openxmlformats-officedocument.spreadsheetml.comments+xml"/>
  <Override PartName="/xl/threadedComments/threadedComment21.xml" ContentType="application/vnd.ms-excel.threadedcomments+xml"/>
  <Override PartName="/xl/tables/table86.xml" ContentType="application/vnd.openxmlformats-officedocument.spreadsheetml.table+xml"/>
  <Override PartName="/xl/tables/table87.xml" ContentType="application/vnd.openxmlformats-officedocument.spreadsheetml.table+xml"/>
  <Override PartName="/xl/comments43.xml" ContentType="application/vnd.openxmlformats-officedocument.spreadsheetml.comments+xml"/>
  <Override PartName="/xl/threadedComments/threadedComment22.xml" ContentType="application/vnd.ms-excel.threadedcomments+xml"/>
  <Override PartName="/xl/tables/table88.xml" ContentType="application/vnd.openxmlformats-officedocument.spreadsheetml.table+xml"/>
  <Override PartName="/xl/tables/table89.xml" ContentType="application/vnd.openxmlformats-officedocument.spreadsheetml.table+xml"/>
  <Override PartName="/xl/comments44.xml" ContentType="application/vnd.openxmlformats-officedocument.spreadsheetml.comments+xml"/>
  <Override PartName="/xl/tables/table90.xml" ContentType="application/vnd.openxmlformats-officedocument.spreadsheetml.table+xml"/>
  <Override PartName="/xl/tables/table91.xml" ContentType="application/vnd.openxmlformats-officedocument.spreadsheetml.table+xml"/>
  <Override PartName="/xl/comments45.xml" ContentType="application/vnd.openxmlformats-officedocument.spreadsheetml.comments+xml"/>
  <Override PartName="/xl/tables/table92.xml" ContentType="application/vnd.openxmlformats-officedocument.spreadsheetml.table+xml"/>
  <Override PartName="/xl/tables/table93.xml" ContentType="application/vnd.openxmlformats-officedocument.spreadsheetml.table+xml"/>
  <Override PartName="/xl/comments46.xml" ContentType="application/vnd.openxmlformats-officedocument.spreadsheetml.comments+xml"/>
  <Override PartName="/xl/threadedComments/threadedComment23.xml" ContentType="application/vnd.ms-excel.threadedcomments+xml"/>
  <Override PartName="/xl/tables/table94.xml" ContentType="application/vnd.openxmlformats-officedocument.spreadsheetml.table+xml"/>
  <Override PartName="/xl/tables/table95.xml" ContentType="application/vnd.openxmlformats-officedocument.spreadsheetml.table+xml"/>
  <Override PartName="/xl/comments47.xml" ContentType="application/vnd.openxmlformats-officedocument.spreadsheetml.comments+xml"/>
  <Override PartName="/xl/threadedComments/threadedComment24.xml" ContentType="application/vnd.ms-excel.threadedcomments+xml"/>
  <Override PartName="/xl/tables/table96.xml" ContentType="application/vnd.openxmlformats-officedocument.spreadsheetml.table+xml"/>
  <Override PartName="/xl/tables/table97.xml" ContentType="application/vnd.openxmlformats-officedocument.spreadsheetml.table+xml"/>
  <Override PartName="/xl/comments48.xml" ContentType="application/vnd.openxmlformats-officedocument.spreadsheetml.comments+xml"/>
  <Override PartName="/xl/threadedComments/threadedComment25.xml" ContentType="application/vnd.ms-excel.threadedcomments+xml"/>
  <Override PartName="/xl/tables/table98.xml" ContentType="application/vnd.openxmlformats-officedocument.spreadsheetml.table+xml"/>
  <Override PartName="/xl/tables/table99.xml" ContentType="application/vnd.openxmlformats-officedocument.spreadsheetml.table+xml"/>
  <Override PartName="/xl/comments49.xml" ContentType="application/vnd.openxmlformats-officedocument.spreadsheetml.comments+xml"/>
  <Override PartName="/xl/threadedComments/threadedComment26.xml" ContentType="application/vnd.ms-excel.threadedcomments+xml"/>
  <Override PartName="/xl/tables/table100.xml" ContentType="application/vnd.openxmlformats-officedocument.spreadsheetml.table+xml"/>
  <Override PartName="/xl/tables/table101.xml" ContentType="application/vnd.openxmlformats-officedocument.spreadsheetml.table+xml"/>
  <Override PartName="/xl/comments50.xml" ContentType="application/vnd.openxmlformats-officedocument.spreadsheetml.comments+xml"/>
  <Override PartName="/xl/tables/table102.xml" ContentType="application/vnd.openxmlformats-officedocument.spreadsheetml.table+xml"/>
  <Override PartName="/xl/tables/table103.xml" ContentType="application/vnd.openxmlformats-officedocument.spreadsheetml.table+xml"/>
  <Override PartName="/xl/comments51.xml" ContentType="application/vnd.openxmlformats-officedocument.spreadsheetml.comments+xml"/>
  <Override PartName="/xl/threadedComments/threadedComment27.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mc:AlternateContent xmlns:mc="http://schemas.openxmlformats.org/markup-compatibility/2006">
    <mc:Choice Requires="x15">
      <x15ac:absPath xmlns:x15ac="http://schemas.microsoft.com/office/spreadsheetml/2010/11/ac" url="https://feds-my.sharepoint.com/personal/acguevar_wusa_ca/Documents/Documents/Suzanne/Ops &amp; Finance/FY2023 Budget/"/>
    </mc:Choice>
  </mc:AlternateContent>
  <xr:revisionPtr revIDLastSave="1" documentId="13_ncr:1_{B03BC394-23A3-354E-9E60-2A5CE3B04D50}" xr6:coauthVersionLast="47" xr6:coauthVersionMax="47" xr10:uidLastSave="{4F0151C7-2ECC-4888-BF30-959C3EA2D4B0}"/>
  <bookViews>
    <workbookView xWindow="-28920" yWindow="-120" windowWidth="29040" windowHeight="15720" tabRatio="947" firstSheet="44" activeTab="46" xr2:uid="{00000000-000D-0000-FFFF-FFFF00000000}"/>
  </bookViews>
  <sheets>
    <sheet name="Feds 2022-23" sheetId="55" r:id="rId1"/>
    <sheet name="Summary of Operations" sheetId="1" state="hidden" r:id="rId2"/>
    <sheet name="Gen. Operating Budget Summary" sheetId="137" r:id="rId3"/>
    <sheet name="Governance Portfolio" sheetId="63" r:id="rId4"/>
    <sheet name="President (30100)" sheetId="57" r:id="rId5"/>
    <sheet name="BoD (31100)" sheetId="60" r:id="rId6"/>
    <sheet name="RPO (31200)" sheetId="59" r:id="rId7"/>
    <sheet name="Elections (31300)" sheetId="58" r:id="rId8"/>
    <sheet name="Student Life Portfolio" sheetId="10" r:id="rId9"/>
    <sheet name="VP Student Life (20100)" sheetId="11" r:id="rId10"/>
    <sheet name="Orientation (32100)" sheetId="127" r:id="rId11"/>
    <sheet name="Director of Campus Life (21100)" sheetId="51" r:id="rId12"/>
    <sheet name="Services Manager (24100)" sheetId="62" r:id="rId13"/>
    <sheet name="Clubs (23100)" sheetId="108" r:id="rId14"/>
    <sheet name="CRT (24300)" sheetId="12" r:id="rId15"/>
    <sheet name="FoodBank (24500)" sheetId="14" r:id="rId16"/>
    <sheet name="Glow (24600)" sheetId="15" r:id="rId17"/>
    <sheet name="WSP (24900)" sheetId="22" r:id="rId18"/>
    <sheet name="OCC (24800)" sheetId="17" r:id="rId19"/>
    <sheet name="Womens Centre (25100)" sheetId="19" r:id="rId20"/>
    <sheet name="Bike Centre (24200)" sheetId="81" r:id="rId21"/>
    <sheet name="ICSN (24700)" sheetId="88" r:id="rId22"/>
    <sheet name="Co-op Connection (24400)" sheetId="82" r:id="rId23"/>
    <sheet name="Volunteer Centre (25000)" sheetId="87" r:id="rId24"/>
    <sheet name="Warrior Tribe (25200)" sheetId="92" state="hidden" r:id="rId25"/>
    <sheet name="Mates (25300)" sheetId="93" r:id="rId26"/>
    <sheet name="RAISE (25400)" sheetId="109" r:id="rId27"/>
    <sheet name="CAPS (TBD)" sheetId="143" r:id="rId28"/>
    <sheet name="Special Events (22000)" sheetId="28" r:id="rId29"/>
    <sheet name="Thrift (25500)" sheetId="146" r:id="rId30"/>
    <sheet name="Education &amp; Advocacy Portfolio" sheetId="23" r:id="rId31"/>
    <sheet name="VP Education (40100)" sheetId="24" r:id="rId32"/>
    <sheet name="Academic Affairs (41100)" sheetId="52" r:id="rId33"/>
    <sheet name="Government Affairs (41200)" sheetId="136" r:id="rId34"/>
    <sheet name="Local Affairs (41300)" sheetId="53" r:id="rId35"/>
    <sheet name="OUSA (41400)" sheetId="26" r:id="rId36"/>
    <sheet name="SRO (41500)" sheetId="91" r:id="rId37"/>
    <sheet name="Operations &amp; Finance Portfolio" sheetId="7" r:id="rId38"/>
    <sheet name="VP Ops &amp; Finance (10100)" sheetId="8" r:id="rId39"/>
    <sheet name="Dir Ops &amp; Dev (11100)" sheetId="94" r:id="rId40"/>
    <sheet name="Summary of Ops &amp; Facilities" sheetId="111" r:id="rId41"/>
    <sheet name="Summary of Comms &amp; SR" sheetId="128" r:id="rId42"/>
    <sheet name="Director of Comms &amp; SR (TBD)" sheetId="138" r:id="rId43"/>
    <sheet name="Marketing General (16100)" sheetId="119" r:id="rId44"/>
    <sheet name="Communications (16200)" sheetId="120" r:id="rId45"/>
    <sheet name="Handbook (16300)" sheetId="121" r:id="rId46"/>
    <sheet name="Marketing - Advocacy (16400)" sheetId="122" r:id="rId47"/>
    <sheet name="Marketing -CL (16500)" sheetId="123" r:id="rId48"/>
    <sheet name="Marketing - Ops &amp; Fac (16600)" sheetId="124" r:id="rId49"/>
    <sheet name="Stakeholder Relations (41500)" sheetId="125" r:id="rId50"/>
    <sheet name="Advo Manager" sheetId="150" r:id="rId51"/>
    <sheet name="Equity Specialist" sheetId="90" r:id="rId52"/>
    <sheet name="Research (31200)" sheetId="139" r:id="rId53"/>
  </sheets>
  <externalReferences>
    <externalReference r:id="rId54"/>
  </externalReferences>
  <definedNames>
    <definedName name="_xlnm._FilterDatabase" localSheetId="19" hidden="1">'Womens Centre (25100)'!$L$11:$M$23</definedName>
    <definedName name="PeriodsInYear" localSheetId="50">'Advo Manager'!#REF!</definedName>
    <definedName name="PeriodsInYear" localSheetId="27">#REF!</definedName>
    <definedName name="PeriodsInYear" localSheetId="44">#REF!</definedName>
    <definedName name="PeriodsInYear" localSheetId="39">#REF!</definedName>
    <definedName name="PeriodsInYear" localSheetId="45">#REF!</definedName>
    <definedName name="PeriodsInYear" localSheetId="46">#REF!</definedName>
    <definedName name="PeriodsInYear" localSheetId="48">#REF!</definedName>
    <definedName name="PeriodsInYear" localSheetId="47">#REF!</definedName>
    <definedName name="PeriodsInYear" localSheetId="43">#REF!</definedName>
    <definedName name="PeriodsInYear" localSheetId="25">#REF!</definedName>
    <definedName name="PeriodsInYear" localSheetId="10">#REF!</definedName>
    <definedName name="PeriodsInYear" localSheetId="36">#REF!</definedName>
    <definedName name="PeriodsInYear" localSheetId="49">#REF!</definedName>
    <definedName name="PeriodsInYear" localSheetId="40">#REF!</definedName>
    <definedName name="PeriodsInYear" localSheetId="24">#REF!</definedName>
    <definedName name="PeriodsInYear">#REF!</definedName>
    <definedName name="Spec" localSheetId="50">'Advo Manager'!#REF!</definedName>
    <definedName name="Spec" localSheetId="27">#REF!</definedName>
    <definedName name="Spec" localSheetId="44">#REF!</definedName>
    <definedName name="Spec" localSheetId="39">#REF!</definedName>
    <definedName name="Spec" localSheetId="45">#REF!</definedName>
    <definedName name="Spec" localSheetId="46">#REF!</definedName>
    <definedName name="Spec" localSheetId="48">#REF!</definedName>
    <definedName name="Spec" localSheetId="47">#REF!</definedName>
    <definedName name="Spec" localSheetId="43">#REF!</definedName>
    <definedName name="Spec" localSheetId="25">#REF!</definedName>
    <definedName name="Spec" localSheetId="10">#REF!</definedName>
    <definedName name="Spec" localSheetId="36">#REF!</definedName>
    <definedName name="Spec" localSheetId="49">#REF!</definedName>
    <definedName name="Spec" localSheetId="40">#REF!</definedName>
    <definedName name="Spec" localSheetId="24">#REF!</definedName>
    <definedName name="Spec">#REF!</definedName>
  </definedNames>
  <calcPr calcId="191028"/>
  <customWorkbookViews>
    <customWorkbookView name="cherylp - Personal View" guid="{DC934874-AE9C-4DF4-8DA8-4394DABABB42}" mergeInterval="0" personalView="1" maximized="1" windowWidth="796" windowHeight="464" tabRatio="657" activeSheetId="34"/>
    <customWorkbookView name="suzanneb - Personal View" guid="{7FD89B2E-4983-4B8D-ABA2-A07F685A0C6E}" mergeInterval="0" personalView="1" maximized="1" windowWidth="1020" windowHeight="544" tabRatio="657" activeSheetId="37"/>
    <customWorkbookView name="Carmen Lam - Personal View" guid="{84D8AC11-A493-4338-8044-6F4154C29695}" mergeInterval="0" personalView="1" maximized="1" windowWidth="1020" windowHeight="622" tabRatio="657" activeSheetId="39"/>
    <customWorkbookView name="decapper - Personal View" guid="{BB157E55-0A2E-4D9F-A3BF-E83E5442FC27}" mergeInterval="0" personalView="1" maximized="1" windowWidth="796" windowHeight="464" tabRatio="657"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1" i="128" l="1"/>
  <c r="R36" i="88" l="1"/>
  <c r="AB10" i="24"/>
  <c r="H8" i="137" l="1"/>
  <c r="H6" i="137"/>
  <c r="X10" i="63"/>
  <c r="H5" i="137" s="1"/>
  <c r="H13" i="137"/>
  <c r="X5" i="10"/>
  <c r="Z72" i="28"/>
  <c r="X51" i="10" s="1"/>
  <c r="X11" i="10"/>
  <c r="H15" i="137"/>
  <c r="F20" i="139"/>
  <c r="F18" i="125"/>
  <c r="Q33" i="124"/>
  <c r="Q5" i="124"/>
  <c r="Q51" i="123"/>
  <c r="T38" i="119"/>
  <c r="T9" i="119"/>
  <c r="L9" i="119"/>
  <c r="Z35" i="8"/>
  <c r="X16" i="23"/>
  <c r="Z16" i="26"/>
  <c r="X19" i="23"/>
  <c r="T26" i="53"/>
  <c r="X18" i="23"/>
  <c r="W19" i="136"/>
  <c r="X14" i="23"/>
  <c r="X15" i="23"/>
  <c r="X17" i="23"/>
  <c r="T29" i="52"/>
  <c r="Z12" i="24"/>
  <c r="AA32" i="24"/>
  <c r="Z18" i="28"/>
  <c r="X26" i="10" s="1"/>
  <c r="D7" i="143"/>
  <c r="X25" i="10" s="1"/>
  <c r="D13" i="143"/>
  <c r="X50" i="10" s="1"/>
  <c r="J23" i="109"/>
  <c r="X49" i="10" s="1"/>
  <c r="J7" i="109"/>
  <c r="X23" i="10" s="1"/>
  <c r="M7" i="93"/>
  <c r="X22" i="10" s="1"/>
  <c r="M20" i="93"/>
  <c r="X48" i="10" s="1"/>
  <c r="O24" i="82"/>
  <c r="X46" i="10" s="1"/>
  <c r="O9" i="82"/>
  <c r="X20" i="10" s="1"/>
  <c r="Q34" i="88"/>
  <c r="X45" i="10" s="1"/>
  <c r="Q12" i="88"/>
  <c r="O40" i="81"/>
  <c r="X44" i="10" s="1"/>
  <c r="O10" i="81"/>
  <c r="X18" i="10" s="1"/>
  <c r="Y8" i="19"/>
  <c r="Y39" i="19"/>
  <c r="X43" i="10" s="1"/>
  <c r="Y33" i="17"/>
  <c r="X42" i="10" s="1"/>
  <c r="Y10" i="17"/>
  <c r="X16" i="10" s="1"/>
  <c r="Y54" i="22"/>
  <c r="X41" i="10" s="1"/>
  <c r="Y9" i="22"/>
  <c r="X15" i="10" s="1"/>
  <c r="Y31" i="15"/>
  <c r="X40" i="10" s="1"/>
  <c r="Y9" i="15"/>
  <c r="Y27" i="14"/>
  <c r="X39" i="10" s="1"/>
  <c r="Y7" i="14"/>
  <c r="X13" i="10" s="1"/>
  <c r="Z31" i="12"/>
  <c r="X38" i="10" s="1"/>
  <c r="Z8" i="12"/>
  <c r="X12" i="10" s="1"/>
  <c r="Z33" i="108"/>
  <c r="X37" i="10" s="1"/>
  <c r="T26" i="62"/>
  <c r="X36" i="10" s="1"/>
  <c r="T25" i="51"/>
  <c r="X35" i="10" s="1"/>
  <c r="T27" i="51"/>
  <c r="Z23" i="127"/>
  <c r="X32" i="10" s="1"/>
  <c r="Z34" i="11"/>
  <c r="X31" i="10" s="1"/>
  <c r="Z24" i="58"/>
  <c r="Y24" i="58"/>
  <c r="X14" i="63" s="1"/>
  <c r="X24" i="59"/>
  <c r="X22" i="59"/>
  <c r="AA14" i="60"/>
  <c r="AB11" i="24"/>
  <c r="C17" i="150"/>
  <c r="C18" i="150" s="1"/>
  <c r="X16" i="63" l="1"/>
  <c r="X15" i="63"/>
  <c r="X24" i="10"/>
  <c r="G26" i="128"/>
  <c r="AG2" i="24"/>
  <c r="AF2" i="24"/>
  <c r="AB9" i="24" s="1"/>
  <c r="U11" i="51"/>
  <c r="P14" i="90"/>
  <c r="AA9" i="57"/>
  <c r="AA10" i="57" s="1"/>
  <c r="C13" i="146"/>
  <c r="E10" i="143"/>
  <c r="K10" i="109"/>
  <c r="N10" i="93"/>
  <c r="P12" i="82"/>
  <c r="R72" i="28"/>
  <c r="S72" i="28"/>
  <c r="U72" i="28"/>
  <c r="V72" i="28"/>
  <c r="W72" i="28"/>
  <c r="X72" i="28"/>
  <c r="Y72" i="28"/>
  <c r="AA72" i="28"/>
  <c r="AA15" i="108" l="1"/>
  <c r="AA14" i="108"/>
  <c r="AA24" i="60"/>
  <c r="G18" i="138"/>
  <c r="AA29" i="60"/>
  <c r="Y10" i="57"/>
  <c r="Y16" i="63"/>
  <c r="AA24" i="58"/>
  <c r="Y15" i="63" s="1"/>
  <c r="Y19" i="23"/>
  <c r="AA11" i="26"/>
  <c r="AA16" i="26" s="1"/>
  <c r="U26" i="53"/>
  <c r="AF10" i="136"/>
  <c r="X19" i="136"/>
  <c r="Y18" i="23" s="1"/>
  <c r="U29" i="52"/>
  <c r="Y17" i="23" s="1"/>
  <c r="Y15" i="52"/>
  <c r="AC15" i="52" s="1"/>
  <c r="Y11" i="52"/>
  <c r="AC11" i="52" s="1"/>
  <c r="AA34" i="11"/>
  <c r="Y31" i="10" s="1"/>
  <c r="AB32" i="24"/>
  <c r="Y14" i="23" s="1"/>
  <c r="Y15" i="23" l="1"/>
  <c r="Y16" i="23"/>
  <c r="Y20" i="23"/>
  <c r="AA16" i="8"/>
  <c r="AA11" i="8"/>
  <c r="AA12" i="8" s="1"/>
  <c r="AA35" i="8" l="1"/>
  <c r="I15" i="137" l="1"/>
  <c r="I8" i="137"/>
  <c r="I5" i="137"/>
  <c r="C29" i="146" l="1"/>
  <c r="C9" i="146"/>
  <c r="C31" i="146" l="1"/>
  <c r="Y52" i="10"/>
  <c r="Y27" i="10"/>
  <c r="V27" i="10"/>
  <c r="V52" i="10"/>
  <c r="K23" i="109"/>
  <c r="Y49" i="10" s="1"/>
  <c r="N7" i="93" l="1"/>
  <c r="Y22" i="10" s="1"/>
  <c r="N20" i="93"/>
  <c r="Y48" i="10" l="1"/>
  <c r="N22" i="93"/>
  <c r="R18" i="88"/>
  <c r="R34" i="88"/>
  <c r="Y45" i="10" s="1"/>
  <c r="R12" i="88"/>
  <c r="Z39" i="19" l="1"/>
  <c r="Y43" i="10" s="1"/>
  <c r="Z33" i="17" l="1"/>
  <c r="Y42" i="10" s="1"/>
  <c r="Z54" i="22"/>
  <c r="Y41" i="10" s="1"/>
  <c r="Z31" i="15" l="1"/>
  <c r="Y40" i="10" s="1"/>
  <c r="Z27" i="14" l="1"/>
  <c r="Y39" i="10" s="1"/>
  <c r="Z7" i="14"/>
  <c r="Y13" i="10" s="1"/>
  <c r="P24" i="82" l="1"/>
  <c r="Y46" i="10" s="1"/>
  <c r="P9" i="82"/>
  <c r="Y20" i="10" s="1"/>
  <c r="E13" i="143"/>
  <c r="Y50" i="10" s="1"/>
  <c r="P40" i="81" l="1"/>
  <c r="Y44" i="10" s="1"/>
  <c r="P10" i="81"/>
  <c r="Y18" i="10" s="1"/>
  <c r="AA23" i="127" l="1"/>
  <c r="Y32" i="10" s="1"/>
  <c r="Y51" i="10" l="1"/>
  <c r="AA18" i="28"/>
  <c r="Y26" i="10" s="1"/>
  <c r="AA33" i="108" l="1"/>
  <c r="Y37" i="10" s="1"/>
  <c r="U26" i="62"/>
  <c r="Y36" i="10" s="1"/>
  <c r="O26" i="62"/>
  <c r="P26" i="62"/>
  <c r="Q26" i="62"/>
  <c r="R26" i="62"/>
  <c r="U25" i="51" l="1"/>
  <c r="Y35" i="10" s="1"/>
  <c r="R4" i="124" l="1"/>
  <c r="R5" i="124" s="1" a="1"/>
  <c r="R5" i="124" s="1"/>
  <c r="F17" i="128" l="1"/>
  <c r="F18" i="128"/>
  <c r="F9" i="128"/>
  <c r="G9" i="128"/>
  <c r="F11" i="128"/>
  <c r="F12" i="128"/>
  <c r="G12" i="128"/>
  <c r="F13" i="128"/>
  <c r="G13" i="128"/>
  <c r="F5" i="128"/>
  <c r="F4" i="128"/>
  <c r="G4" i="128"/>
  <c r="G20" i="139"/>
  <c r="G27" i="128" s="1"/>
  <c r="G18" i="125"/>
  <c r="G25" i="128" s="1"/>
  <c r="R33" i="124"/>
  <c r="R34" i="124" s="1"/>
  <c r="R51" i="123"/>
  <c r="G22" i="128" s="1"/>
  <c r="L51" i="123"/>
  <c r="N51" i="123"/>
  <c r="O51" i="123"/>
  <c r="P51" i="123"/>
  <c r="U38" i="119"/>
  <c r="G18" i="128" s="1"/>
  <c r="U9" i="119"/>
  <c r="G5" i="128" s="1"/>
  <c r="G21" i="138"/>
  <c r="G17" i="128" s="1"/>
  <c r="G24" i="128" l="1"/>
  <c r="G23" i="138"/>
  <c r="F21" i="139"/>
  <c r="G21" i="139"/>
  <c r="F19" i="125"/>
  <c r="G19" i="125"/>
  <c r="Q34" i="124"/>
  <c r="U27" i="120"/>
  <c r="V27" i="120"/>
  <c r="G19" i="128" s="1"/>
  <c r="G28" i="128" s="1"/>
  <c r="U6" i="120"/>
  <c r="F6" i="128" s="1"/>
  <c r="F14" i="128" s="1"/>
  <c r="V6" i="120"/>
  <c r="G6" i="128" s="1"/>
  <c r="G14" i="128" s="1"/>
  <c r="G30" i="128" s="1"/>
  <c r="T39" i="119"/>
  <c r="U39" i="119"/>
  <c r="F23" i="138"/>
  <c r="F28" i="128"/>
  <c r="I12" i="111"/>
  <c r="I23" i="111"/>
  <c r="I40" i="111"/>
  <c r="P19" i="94"/>
  <c r="Q19" i="94"/>
  <c r="Z37" i="8"/>
  <c r="AA37" i="8"/>
  <c r="X23" i="7"/>
  <c r="Z17" i="26"/>
  <c r="AA17" i="26"/>
  <c r="T28" i="53"/>
  <c r="U28" i="53"/>
  <c r="W21" i="136"/>
  <c r="X21" i="136"/>
  <c r="T31" i="52"/>
  <c r="U31" i="52"/>
  <c r="AA34" i="24"/>
  <c r="AB34" i="24"/>
  <c r="X22" i="23"/>
  <c r="Y22" i="23"/>
  <c r="Z74" i="28"/>
  <c r="AA74" i="28"/>
  <c r="D15" i="143"/>
  <c r="E15" i="143"/>
  <c r="J25" i="109"/>
  <c r="K25" i="109"/>
  <c r="M22" i="93"/>
  <c r="O25" i="82"/>
  <c r="P25" i="82"/>
  <c r="R20" i="88"/>
  <c r="Y19" i="10" s="1"/>
  <c r="Y28" i="10" s="1"/>
  <c r="I7" i="137" s="1"/>
  <c r="Q18" i="88"/>
  <c r="Q20" i="88" s="1"/>
  <c r="X19" i="10" s="1"/>
  <c r="X28" i="10" s="1"/>
  <c r="O42" i="81"/>
  <c r="P42" i="81"/>
  <c r="Y42" i="19"/>
  <c r="Z42" i="19"/>
  <c r="Y35" i="17"/>
  <c r="Y56" i="22"/>
  <c r="Z56" i="22"/>
  <c r="Y33" i="15"/>
  <c r="Z33" i="15"/>
  <c r="Y29" i="14"/>
  <c r="Z29" i="14"/>
  <c r="P21" i="94" l="1"/>
  <c r="U29" i="120"/>
  <c r="Q6" i="94" a="1"/>
  <c r="Q6" i="94" s="1"/>
  <c r="Q36" i="88"/>
  <c r="J12" i="111"/>
  <c r="J23" i="111"/>
  <c r="V29" i="120"/>
  <c r="F30" i="128"/>
  <c r="I42" i="111"/>
  <c r="I25" i="111"/>
  <c r="Q21" i="94" l="1"/>
  <c r="J25" i="111"/>
  <c r="Z33" i="12"/>
  <c r="AA33" i="12"/>
  <c r="Z35" i="108"/>
  <c r="AA35" i="108"/>
  <c r="T28" i="62"/>
  <c r="U28" i="62"/>
  <c r="U27" i="51"/>
  <c r="Z25" i="127"/>
  <c r="AA25" i="127"/>
  <c r="O15" i="90"/>
  <c r="P15" i="90"/>
  <c r="Z36" i="11"/>
  <c r="AA36" i="11"/>
  <c r="Z26" i="58"/>
  <c r="AA26" i="58"/>
  <c r="Z37" i="60"/>
  <c r="AA37" i="60"/>
  <c r="Z36" i="57"/>
  <c r="AA36" i="57"/>
  <c r="V50" i="10"/>
  <c r="V25" i="10"/>
  <c r="W7" i="14"/>
  <c r="V13" i="10" s="1"/>
  <c r="X13" i="8"/>
  <c r="O17" i="90" l="1"/>
  <c r="X34" i="10"/>
  <c r="X53" i="10" s="1"/>
  <c r="Z38" i="60"/>
  <c r="X17" i="63"/>
  <c r="Z37" i="57"/>
  <c r="X13" i="63"/>
  <c r="X18" i="63" s="1"/>
  <c r="Y11" i="7"/>
  <c r="I6" i="137" s="1"/>
  <c r="I9" i="137" s="1"/>
  <c r="P17" i="90"/>
  <c r="Y34" i="10"/>
  <c r="Y53" i="10" s="1"/>
  <c r="AA38" i="60"/>
  <c r="Y17" i="63"/>
  <c r="AA37" i="57"/>
  <c r="Y14" i="63" s="1"/>
  <c r="Y13" i="63"/>
  <c r="V19" i="7"/>
  <c r="F8" i="137"/>
  <c r="V8" i="23"/>
  <c r="H14" i="137" l="1"/>
  <c r="X55" i="10"/>
  <c r="H12" i="137"/>
  <c r="X20" i="63"/>
  <c r="Y18" i="63"/>
  <c r="I12" i="137" s="1"/>
  <c r="I14" i="137"/>
  <c r="Y55" i="10"/>
  <c r="Y20" i="63"/>
  <c r="I18" i="109"/>
  <c r="H16" i="137" l="1"/>
  <c r="H18" i="137" s="1"/>
  <c r="Y33" i="8"/>
  <c r="Y16" i="8"/>
  <c r="V7" i="63"/>
  <c r="V5" i="63"/>
  <c r="V6" i="63"/>
  <c r="D9" i="128"/>
  <c r="D7" i="128"/>
  <c r="D4" i="128"/>
  <c r="G8" i="111"/>
  <c r="V5" i="7"/>
  <c r="I24" i="82"/>
  <c r="I25" i="82" s="1"/>
  <c r="J24" i="82"/>
  <c r="L24" i="82"/>
  <c r="M23" i="82"/>
  <c r="M24" i="82" s="1"/>
  <c r="V46" i="10" s="1"/>
  <c r="M9" i="82"/>
  <c r="K24" i="82"/>
  <c r="I9" i="82"/>
  <c r="V9" i="10"/>
  <c r="V8" i="10"/>
  <c r="V6" i="10"/>
  <c r="V5" i="10"/>
  <c r="V24" i="10"/>
  <c r="R35" i="8"/>
  <c r="V35" i="8"/>
  <c r="C10" i="143"/>
  <c r="I10" i="109"/>
  <c r="N14" i="81"/>
  <c r="P24" i="88"/>
  <c r="N12" i="82"/>
  <c r="N24" i="82" s="1"/>
  <c r="L10" i="93"/>
  <c r="N10" i="81"/>
  <c r="W18" i="10" s="1"/>
  <c r="M10" i="81"/>
  <c r="V18" i="10" s="1"/>
  <c r="R39" i="19"/>
  <c r="U31" i="15"/>
  <c r="V31" i="12"/>
  <c r="Y20" i="24"/>
  <c r="R12" i="52"/>
  <c r="R14" i="52"/>
  <c r="M40" i="81"/>
  <c r="H10" i="81"/>
  <c r="I10" i="81"/>
  <c r="J10" i="81"/>
  <c r="T18" i="10" s="1"/>
  <c r="K10" i="81"/>
  <c r="L10" i="81"/>
  <c r="I40" i="81"/>
  <c r="J40" i="81"/>
  <c r="K40" i="81"/>
  <c r="L40" i="81"/>
  <c r="U44" i="10" s="1"/>
  <c r="O29" i="52"/>
  <c r="R19" i="136"/>
  <c r="R21" i="136" s="1"/>
  <c r="S19" i="136"/>
  <c r="T19" i="136"/>
  <c r="S16" i="26"/>
  <c r="X13" i="22"/>
  <c r="L6" i="94"/>
  <c r="R27" i="14"/>
  <c r="U27" i="14"/>
  <c r="Z11" i="24"/>
  <c r="W27" i="14"/>
  <c r="W29" i="14" s="1"/>
  <c r="U7" i="14"/>
  <c r="R10" i="108"/>
  <c r="V8" i="7"/>
  <c r="R13" i="119"/>
  <c r="R12" i="119"/>
  <c r="P9" i="119"/>
  <c r="M27" i="120"/>
  <c r="P27" i="120"/>
  <c r="S16" i="121"/>
  <c r="Q16" i="121"/>
  <c r="R16" i="121"/>
  <c r="D20" i="128" s="1"/>
  <c r="Q5" i="121"/>
  <c r="R5" i="121"/>
  <c r="P5" i="121"/>
  <c r="O16" i="121"/>
  <c r="B20" i="128" s="1"/>
  <c r="O38" i="119"/>
  <c r="B18" i="128" s="1"/>
  <c r="P38" i="119"/>
  <c r="K29" i="122"/>
  <c r="L29" i="122"/>
  <c r="M29" i="122"/>
  <c r="K7" i="122"/>
  <c r="M51" i="123"/>
  <c r="L33" i="124"/>
  <c r="B24" i="128" s="1"/>
  <c r="M33" i="124"/>
  <c r="N33" i="124"/>
  <c r="C24" i="128" s="1"/>
  <c r="F5" i="124"/>
  <c r="M5" i="124"/>
  <c r="M34" i="124" s="1"/>
  <c r="R34" i="11"/>
  <c r="V34" i="11"/>
  <c r="V36" i="11" s="1"/>
  <c r="U23" i="127"/>
  <c r="W23" i="127"/>
  <c r="U32" i="10" s="1"/>
  <c r="R51" i="10"/>
  <c r="T51" i="10"/>
  <c r="U51" i="10"/>
  <c r="V51" i="10"/>
  <c r="F23" i="109"/>
  <c r="F7" i="109"/>
  <c r="K7" i="93"/>
  <c r="V22" i="10" s="1"/>
  <c r="J34" i="88"/>
  <c r="N16" i="81"/>
  <c r="R33" i="17"/>
  <c r="T33" i="17"/>
  <c r="U54" i="22"/>
  <c r="U56" i="22" s="1"/>
  <c r="X11" i="14"/>
  <c r="X33" i="108"/>
  <c r="V37" i="10" s="1"/>
  <c r="L26" i="62"/>
  <c r="R8" i="62"/>
  <c r="V10" i="10" s="1"/>
  <c r="W9" i="15"/>
  <c r="V14" i="10" s="1"/>
  <c r="V9" i="15"/>
  <c r="R31" i="15"/>
  <c r="N6" i="94"/>
  <c r="V6" i="7" s="1"/>
  <c r="Y34" i="8"/>
  <c r="X12" i="19"/>
  <c r="X14" i="17"/>
  <c r="X12" i="15"/>
  <c r="X31" i="15" s="1"/>
  <c r="W40" i="10" s="1"/>
  <c r="S25" i="62"/>
  <c r="S26" i="62" s="1"/>
  <c r="S18" i="51"/>
  <c r="S25" i="51" s="1"/>
  <c r="W35" i="10" s="1"/>
  <c r="N14" i="90"/>
  <c r="X10" i="108"/>
  <c r="V11" i="10" s="1"/>
  <c r="Y10" i="108"/>
  <c r="W11" i="10" s="1"/>
  <c r="Y33" i="108"/>
  <c r="W37" i="10" s="1"/>
  <c r="E4" i="128"/>
  <c r="D5" i="125"/>
  <c r="D12" i="128" s="1"/>
  <c r="E5" i="125"/>
  <c r="E12" i="128" s="1"/>
  <c r="C5" i="125"/>
  <c r="G8" i="137"/>
  <c r="E16" i="137"/>
  <c r="X7" i="8"/>
  <c r="Y7" i="8"/>
  <c r="W5" i="8"/>
  <c r="W7" i="8" s="1"/>
  <c r="W5" i="10"/>
  <c r="X23" i="127"/>
  <c r="Y23" i="127"/>
  <c r="W32" i="10" s="1"/>
  <c r="Y25" i="127"/>
  <c r="W9" i="63" a="1"/>
  <c r="W9" i="63" s="1"/>
  <c r="W10" i="63" s="1"/>
  <c r="G5" i="137" s="1"/>
  <c r="J5" i="137" s="1"/>
  <c r="X6" i="60"/>
  <c r="V9" i="63" s="1"/>
  <c r="Y6" i="60"/>
  <c r="W14" i="63"/>
  <c r="Z14" i="63" s="1"/>
  <c r="X16" i="26"/>
  <c r="V16" i="23" s="1"/>
  <c r="Y16" i="26"/>
  <c r="W16" i="23" s="1"/>
  <c r="S7" i="26"/>
  <c r="W7" i="26"/>
  <c r="U7" i="23" s="1"/>
  <c r="X7" i="26"/>
  <c r="V7" i="23" s="1"/>
  <c r="Y7" i="26"/>
  <c r="X17" i="26"/>
  <c r="Y17" i="26"/>
  <c r="M15" i="90"/>
  <c r="V34" i="10" s="1"/>
  <c r="N15" i="90"/>
  <c r="Y10" i="11"/>
  <c r="Y34" i="11" s="1"/>
  <c r="Y36" i="57"/>
  <c r="Y37" i="57" s="1"/>
  <c r="X34" i="11"/>
  <c r="N17" i="90"/>
  <c r="W34" i="10"/>
  <c r="G32" i="111"/>
  <c r="G19" i="111"/>
  <c r="G28" i="111"/>
  <c r="G15" i="111"/>
  <c r="G7" i="111"/>
  <c r="V18" i="7"/>
  <c r="G37" i="111"/>
  <c r="O19" i="94"/>
  <c r="N19" i="94"/>
  <c r="V15" i="7" s="1"/>
  <c r="X35" i="8"/>
  <c r="V14" i="7" s="1"/>
  <c r="Y11" i="8"/>
  <c r="R6" i="53"/>
  <c r="V10" i="23" s="1"/>
  <c r="S6" i="53"/>
  <c r="R26" i="53"/>
  <c r="V19" i="23" s="1"/>
  <c r="S26" i="53"/>
  <c r="W19" i="23" s="1"/>
  <c r="T6" i="136"/>
  <c r="T21" i="136" s="1"/>
  <c r="U6" i="136"/>
  <c r="V9" i="23" s="1"/>
  <c r="V6" i="136"/>
  <c r="U19" i="136"/>
  <c r="V19" i="136"/>
  <c r="W18" i="23" s="1"/>
  <c r="W31" i="15"/>
  <c r="V40" i="10" s="1"/>
  <c r="R29" i="52"/>
  <c r="S29" i="52"/>
  <c r="X6" i="24"/>
  <c r="U5" i="23" s="1"/>
  <c r="Y6" i="24"/>
  <c r="V5" i="23" s="1"/>
  <c r="Z6" i="24"/>
  <c r="Y32" i="24"/>
  <c r="V14" i="23" s="1"/>
  <c r="Z9" i="24"/>
  <c r="Z10" i="24" s="1"/>
  <c r="W51" i="10"/>
  <c r="Y18" i="28"/>
  <c r="W26" i="10" s="1"/>
  <c r="X18" i="28"/>
  <c r="V26" i="10" s="1"/>
  <c r="R25" i="51"/>
  <c r="V35" i="10" s="1"/>
  <c r="X24" i="58"/>
  <c r="V15" i="63" s="1"/>
  <c r="W15" i="63"/>
  <c r="Y26" i="58"/>
  <c r="Y16" i="60"/>
  <c r="Y15" i="60"/>
  <c r="Y14" i="60"/>
  <c r="X37" i="60"/>
  <c r="V17" i="63" s="1"/>
  <c r="X36" i="57"/>
  <c r="X37" i="57" s="1"/>
  <c r="V14" i="63" s="1"/>
  <c r="E9" i="128"/>
  <c r="D5" i="139"/>
  <c r="D13" i="128" s="1"/>
  <c r="E5" i="139"/>
  <c r="E13" i="128" s="1"/>
  <c r="D20" i="139"/>
  <c r="D27" i="128" s="1"/>
  <c r="E20" i="139"/>
  <c r="E27" i="128" s="1"/>
  <c r="D18" i="125"/>
  <c r="D25" i="128" s="1"/>
  <c r="E18" i="125"/>
  <c r="E25" i="128" s="1"/>
  <c r="O5" i="124"/>
  <c r="P5" i="124"/>
  <c r="E11" i="128" s="1"/>
  <c r="O33" i="124"/>
  <c r="D24" i="128" s="1"/>
  <c r="P33" i="124"/>
  <c r="E24" i="128" s="1"/>
  <c r="X74" i="28"/>
  <c r="D22" i="128"/>
  <c r="E22" i="128"/>
  <c r="S6" i="120"/>
  <c r="D6" i="128" s="1"/>
  <c r="T6" i="120"/>
  <c r="T29" i="120" s="1"/>
  <c r="S27" i="120"/>
  <c r="D19" i="128" s="1"/>
  <c r="T27" i="120"/>
  <c r="E19" i="128" s="1"/>
  <c r="S38" i="119"/>
  <c r="E18" i="128" s="1"/>
  <c r="R9" i="119"/>
  <c r="D5" i="128" s="1"/>
  <c r="S9" i="119"/>
  <c r="E21" i="138"/>
  <c r="E17" i="128" s="1"/>
  <c r="D21" i="138"/>
  <c r="D17" i="128" s="1"/>
  <c r="V36" i="10"/>
  <c r="C13" i="143"/>
  <c r="C7" i="143"/>
  <c r="W25" i="10" s="1"/>
  <c r="W10" i="17"/>
  <c r="X10" i="17"/>
  <c r="W16" i="10" s="1"/>
  <c r="W33" i="17"/>
  <c r="V42" i="10" s="1"/>
  <c r="X33" i="17"/>
  <c r="W42" i="10" s="1"/>
  <c r="X8" i="12"/>
  <c r="Y8" i="12"/>
  <c r="W12" i="10" s="1"/>
  <c r="X31" i="12"/>
  <c r="V38" i="10" s="1"/>
  <c r="Y31" i="12"/>
  <c r="W38" i="10" s="1"/>
  <c r="W39" i="19"/>
  <c r="X39" i="19"/>
  <c r="W43" i="10" s="1"/>
  <c r="W8" i="19"/>
  <c r="V17" i="10" s="1"/>
  <c r="X8" i="19"/>
  <c r="L7" i="93"/>
  <c r="W22" i="10" s="1"/>
  <c r="K20" i="93"/>
  <c r="V48" i="10" s="1"/>
  <c r="L20" i="93"/>
  <c r="W48" i="10" s="1"/>
  <c r="O34" i="88"/>
  <c r="V45" i="10" s="1"/>
  <c r="P34" i="88"/>
  <c r="O18" i="88"/>
  <c r="P18" i="88"/>
  <c r="O12" i="88"/>
  <c r="P12" i="88"/>
  <c r="X9" i="22"/>
  <c r="X54" i="22"/>
  <c r="W41" i="10" s="1"/>
  <c r="W9" i="22"/>
  <c r="V15" i="10" s="1"/>
  <c r="W54" i="22"/>
  <c r="V41" i="10" s="1"/>
  <c r="N9" i="82"/>
  <c r="W20" i="10" s="1"/>
  <c r="W46" i="10"/>
  <c r="X7" i="14"/>
  <c r="W13" i="10" s="1"/>
  <c r="X27" i="14"/>
  <c r="W39" i="10" s="1"/>
  <c r="V11" i="26"/>
  <c r="Q11" i="119"/>
  <c r="Q38" i="119" s="1"/>
  <c r="C18" i="128" s="1"/>
  <c r="R9" i="120"/>
  <c r="R27" i="120" s="1"/>
  <c r="C19" i="128" s="1"/>
  <c r="M5" i="123"/>
  <c r="M52" i="123" s="1"/>
  <c r="L7" i="122"/>
  <c r="P16" i="121"/>
  <c r="P17" i="121" s="1"/>
  <c r="Q27" i="120"/>
  <c r="Q6" i="120"/>
  <c r="L19" i="94"/>
  <c r="V7" i="8"/>
  <c r="L19" i="91"/>
  <c r="L6" i="91"/>
  <c r="L21" i="91" s="1"/>
  <c r="V16" i="26"/>
  <c r="V17" i="26" s="1"/>
  <c r="V7" i="26"/>
  <c r="P26" i="53"/>
  <c r="P6" i="53"/>
  <c r="S6" i="136"/>
  <c r="P29" i="52"/>
  <c r="P6" i="52"/>
  <c r="W32" i="24"/>
  <c r="W6" i="24"/>
  <c r="V18" i="28"/>
  <c r="I20" i="93"/>
  <c r="I7" i="93"/>
  <c r="K19" i="87"/>
  <c r="K21" i="87" s="1"/>
  <c r="K6" i="87"/>
  <c r="K9" i="82"/>
  <c r="K25" i="82" s="1"/>
  <c r="M34" i="88"/>
  <c r="M12" i="88"/>
  <c r="U39" i="19"/>
  <c r="U8" i="19"/>
  <c r="U33" i="17"/>
  <c r="U10" i="17"/>
  <c r="U9" i="22"/>
  <c r="U9" i="15"/>
  <c r="U33" i="15" s="1"/>
  <c r="V8" i="12"/>
  <c r="V33" i="12" s="1"/>
  <c r="V10" i="108"/>
  <c r="V33" i="108"/>
  <c r="P28" i="62"/>
  <c r="P25" i="51"/>
  <c r="P27" i="51" s="1"/>
  <c r="V23" i="127"/>
  <c r="K15" i="90"/>
  <c r="K17" i="90" s="1"/>
  <c r="V24" i="58"/>
  <c r="V26" i="58" s="1"/>
  <c r="V22" i="59"/>
  <c r="V24" i="59" s="1"/>
  <c r="V37" i="60"/>
  <c r="V38" i="60"/>
  <c r="V36" i="57"/>
  <c r="V37" i="57" s="1"/>
  <c r="F25" i="109"/>
  <c r="K42" i="81"/>
  <c r="V37" i="8"/>
  <c r="W15" i="60"/>
  <c r="W16" i="60"/>
  <c r="W14" i="60"/>
  <c r="U12" i="8"/>
  <c r="V10" i="24"/>
  <c r="U10" i="11"/>
  <c r="U10" i="57"/>
  <c r="U36" i="57" s="1"/>
  <c r="U37" i="57" s="1"/>
  <c r="W12" i="8"/>
  <c r="W10" i="8"/>
  <c r="X14" i="24"/>
  <c r="T31" i="7"/>
  <c r="V27" i="14"/>
  <c r="U39" i="10" s="1"/>
  <c r="Q28" i="62"/>
  <c r="M19" i="91"/>
  <c r="U15" i="23" s="1"/>
  <c r="I6" i="91"/>
  <c r="R6" i="23" s="1"/>
  <c r="J6" i="91"/>
  <c r="S6" i="23" s="1"/>
  <c r="K6" i="91"/>
  <c r="M6" i="91"/>
  <c r="M21" i="91"/>
  <c r="M7" i="122"/>
  <c r="M30" i="122" s="1"/>
  <c r="X10" i="24"/>
  <c r="X32" i="24" s="1"/>
  <c r="W10" i="11"/>
  <c r="W10" i="57"/>
  <c r="W12" i="57"/>
  <c r="Q12" i="53"/>
  <c r="Q26" i="53" s="1"/>
  <c r="U19" i="23" s="1"/>
  <c r="Q29" i="52"/>
  <c r="O9" i="119"/>
  <c r="B5" i="128" s="1"/>
  <c r="Q9" i="119"/>
  <c r="C5" i="128" s="1"/>
  <c r="U6" i="23"/>
  <c r="U8" i="23"/>
  <c r="W17" i="26"/>
  <c r="W16" i="26"/>
  <c r="U16" i="23" s="1"/>
  <c r="U18" i="23"/>
  <c r="M19" i="94"/>
  <c r="M5" i="94" s="1"/>
  <c r="M6" i="94" s="1"/>
  <c r="M21" i="94" s="1"/>
  <c r="E40" i="111"/>
  <c r="E23" i="111"/>
  <c r="E12" i="111"/>
  <c r="C57" i="111"/>
  <c r="C59" i="111" s="1"/>
  <c r="C52" i="111"/>
  <c r="C58" i="111"/>
  <c r="C53" i="111"/>
  <c r="W18" i="8"/>
  <c r="W17" i="8"/>
  <c r="W21" i="8"/>
  <c r="W22" i="8"/>
  <c r="W24" i="8"/>
  <c r="W25" i="8"/>
  <c r="W28" i="8"/>
  <c r="W29" i="8"/>
  <c r="W35" i="8"/>
  <c r="T29" i="7"/>
  <c r="C51" i="111"/>
  <c r="C20" i="139"/>
  <c r="C27" i="128" s="1"/>
  <c r="C5" i="139"/>
  <c r="C13" i="128" s="1"/>
  <c r="N5" i="123"/>
  <c r="C9" i="128" s="1"/>
  <c r="C22" i="128"/>
  <c r="C20" i="128"/>
  <c r="C7" i="128"/>
  <c r="R6" i="120"/>
  <c r="R29" i="120" s="1"/>
  <c r="C21" i="138"/>
  <c r="C17" i="128" s="1"/>
  <c r="C5" i="138"/>
  <c r="C4" i="128" s="1"/>
  <c r="C6" i="128"/>
  <c r="V33" i="17"/>
  <c r="G23" i="109"/>
  <c r="U49" i="10" s="1"/>
  <c r="H23" i="109"/>
  <c r="V49" i="10" s="1"/>
  <c r="I23" i="109"/>
  <c r="G7" i="109"/>
  <c r="U23" i="10" s="1"/>
  <c r="H7" i="109"/>
  <c r="V23" i="10" s="1"/>
  <c r="I7" i="109"/>
  <c r="W23" i="10" s="1"/>
  <c r="J20" i="93"/>
  <c r="U48" i="10" s="1"/>
  <c r="L9" i="82"/>
  <c r="L25" i="82" s="1"/>
  <c r="N34" i="88"/>
  <c r="N18" i="88"/>
  <c r="N12" i="88"/>
  <c r="V8" i="19"/>
  <c r="V39" i="19"/>
  <c r="V10" i="17"/>
  <c r="V35" i="17" s="1"/>
  <c r="V54" i="22"/>
  <c r="U41" i="10" s="1"/>
  <c r="V9" i="22"/>
  <c r="U15" i="10" s="1"/>
  <c r="V31" i="15"/>
  <c r="V33" i="15" s="1"/>
  <c r="V7" i="14"/>
  <c r="V29" i="14" s="1"/>
  <c r="W31" i="12"/>
  <c r="U38" i="10" s="1"/>
  <c r="W8" i="12"/>
  <c r="U12" i="10" s="1"/>
  <c r="Q25" i="51"/>
  <c r="Q27" i="51" s="1"/>
  <c r="W18" i="28"/>
  <c r="U26" i="10" s="1"/>
  <c r="W10" i="108"/>
  <c r="U11" i="10" s="1"/>
  <c r="L15" i="90"/>
  <c r="L17" i="90"/>
  <c r="V6" i="127"/>
  <c r="W14" i="11"/>
  <c r="W34" i="11" s="1"/>
  <c r="U35" i="10"/>
  <c r="U36" i="10"/>
  <c r="U42" i="10"/>
  <c r="U46" i="10"/>
  <c r="U5" i="10"/>
  <c r="U8" i="10"/>
  <c r="U9" i="10"/>
  <c r="U10" i="10"/>
  <c r="U14" i="10"/>
  <c r="U17" i="10"/>
  <c r="U18" i="10"/>
  <c r="U20" i="10"/>
  <c r="W24" i="58"/>
  <c r="U15" i="63" s="1"/>
  <c r="W22" i="59"/>
  <c r="W6" i="60"/>
  <c r="U9" i="63" s="1"/>
  <c r="U5" i="63"/>
  <c r="U7" i="63"/>
  <c r="U8" i="63"/>
  <c r="W15" i="57"/>
  <c r="U34" i="10"/>
  <c r="U9" i="108"/>
  <c r="U10" i="108" s="1"/>
  <c r="T11" i="10" s="1"/>
  <c r="U18" i="8"/>
  <c r="U35" i="8" s="1"/>
  <c r="U37" i="8" s="1"/>
  <c r="V28" i="24"/>
  <c r="U30" i="8"/>
  <c r="U31" i="11"/>
  <c r="U34" i="11" s="1"/>
  <c r="U14" i="60"/>
  <c r="U37" i="60" s="1"/>
  <c r="T17" i="63" s="1"/>
  <c r="U15" i="60"/>
  <c r="T28" i="7"/>
  <c r="S7" i="10"/>
  <c r="S6" i="10"/>
  <c r="S9" i="10"/>
  <c r="S10" i="10"/>
  <c r="S5" i="10"/>
  <c r="R19" i="7"/>
  <c r="L6" i="1"/>
  <c r="S8" i="23"/>
  <c r="S9" i="23"/>
  <c r="S10" i="23"/>
  <c r="S5" i="23"/>
  <c r="N26" i="53"/>
  <c r="N28" i="53" s="1"/>
  <c r="S19" i="23" s="1"/>
  <c r="N29" i="52"/>
  <c r="N31" i="52" s="1"/>
  <c r="T17" i="26"/>
  <c r="T16" i="26"/>
  <c r="S16" i="23" s="1"/>
  <c r="J19" i="91"/>
  <c r="J21" i="91" s="1"/>
  <c r="U32" i="24"/>
  <c r="U34" i="24" s="1"/>
  <c r="K4" i="124"/>
  <c r="K5" i="124" s="1"/>
  <c r="K18" i="124"/>
  <c r="K33" i="124" s="1"/>
  <c r="K5" i="123"/>
  <c r="K51" i="123"/>
  <c r="J7" i="122"/>
  <c r="J29" i="122"/>
  <c r="N16" i="121"/>
  <c r="N5" i="121"/>
  <c r="N17" i="121" s="1"/>
  <c r="O6" i="120"/>
  <c r="P6" i="120"/>
  <c r="B6" i="128" s="1"/>
  <c r="O27" i="120"/>
  <c r="N17" i="119"/>
  <c r="N19" i="119"/>
  <c r="N9" i="119"/>
  <c r="S15" i="23"/>
  <c r="F12" i="111"/>
  <c r="C50" i="111"/>
  <c r="F23" i="111"/>
  <c r="C23" i="111"/>
  <c r="C12" i="111"/>
  <c r="D23" i="111"/>
  <c r="R18" i="23"/>
  <c r="R9" i="23"/>
  <c r="Q21" i="136"/>
  <c r="P21" i="136"/>
  <c r="O19" i="136"/>
  <c r="N19" i="136"/>
  <c r="M19" i="136"/>
  <c r="L19" i="136"/>
  <c r="K19" i="136"/>
  <c r="J19" i="136"/>
  <c r="I19" i="136"/>
  <c r="H19" i="136"/>
  <c r="G19" i="136"/>
  <c r="F19" i="136"/>
  <c r="E19" i="136"/>
  <c r="D19" i="136"/>
  <c r="C19" i="136"/>
  <c r="O6" i="136"/>
  <c r="N6" i="136"/>
  <c r="M6" i="136"/>
  <c r="L6" i="136"/>
  <c r="K6" i="136"/>
  <c r="J6" i="136"/>
  <c r="I6" i="136"/>
  <c r="H6" i="136"/>
  <c r="G6" i="136"/>
  <c r="F6" i="136"/>
  <c r="E6" i="136"/>
  <c r="D6" i="136"/>
  <c r="C6" i="136"/>
  <c r="R9" i="7"/>
  <c r="R18" i="7"/>
  <c r="F40" i="111"/>
  <c r="U21" i="7"/>
  <c r="T30" i="7"/>
  <c r="T32" i="7"/>
  <c r="J15" i="90"/>
  <c r="J17" i="90" s="1"/>
  <c r="T9" i="15"/>
  <c r="T14" i="10" s="1"/>
  <c r="N15" i="51"/>
  <c r="N25" i="51" s="1"/>
  <c r="T63" i="28"/>
  <c r="T72" i="28" s="1"/>
  <c r="T18" i="28"/>
  <c r="S26" i="10" s="1"/>
  <c r="U11" i="26"/>
  <c r="U16" i="26" s="1"/>
  <c r="T16" i="23" s="1"/>
  <c r="T25" i="12"/>
  <c r="T31" i="12" s="1"/>
  <c r="T8" i="12"/>
  <c r="T25" i="108"/>
  <c r="T33" i="108" s="1"/>
  <c r="S37" i="10" s="1"/>
  <c r="T10" i="108"/>
  <c r="S11" i="10" s="1"/>
  <c r="N19" i="62"/>
  <c r="N26" i="62" s="1"/>
  <c r="T23" i="127"/>
  <c r="T25" i="127" s="1"/>
  <c r="T34" i="11"/>
  <c r="S31" i="10" s="1"/>
  <c r="S9" i="63"/>
  <c r="S8" i="63"/>
  <c r="S7" i="63"/>
  <c r="S5" i="63"/>
  <c r="S6" i="63"/>
  <c r="T24" i="58"/>
  <c r="T26" i="58" s="1"/>
  <c r="T22" i="59"/>
  <c r="S16" i="63" s="1"/>
  <c r="T37" i="60"/>
  <c r="T38" i="60" s="1"/>
  <c r="T32" i="57"/>
  <c r="T36" i="57" s="1"/>
  <c r="T35" i="8"/>
  <c r="T37" i="8" s="1"/>
  <c r="J19" i="94"/>
  <c r="J21" i="94" s="1"/>
  <c r="S15" i="63"/>
  <c r="T36" i="11"/>
  <c r="C40" i="111"/>
  <c r="R17" i="7"/>
  <c r="B38" i="111"/>
  <c r="B40" i="111" s="1"/>
  <c r="R16" i="7" s="1"/>
  <c r="T5" i="23"/>
  <c r="T6" i="23"/>
  <c r="R5" i="23"/>
  <c r="T34" i="10"/>
  <c r="T46" i="10"/>
  <c r="T5" i="10"/>
  <c r="T8" i="10"/>
  <c r="T10" i="10"/>
  <c r="T21" i="10"/>
  <c r="R21" i="10"/>
  <c r="R10" i="10"/>
  <c r="R7" i="10"/>
  <c r="R5" i="10"/>
  <c r="S37" i="60"/>
  <c r="S38" i="60" s="1"/>
  <c r="T8" i="63"/>
  <c r="T5" i="63"/>
  <c r="R9" i="63"/>
  <c r="R8" i="63"/>
  <c r="R5" i="63"/>
  <c r="R6" i="7"/>
  <c r="R5" i="7"/>
  <c r="R17" i="63"/>
  <c r="E23" i="109"/>
  <c r="T49" i="10" s="1"/>
  <c r="L34" i="88"/>
  <c r="T45" i="10" s="1"/>
  <c r="T10" i="17"/>
  <c r="T16" i="10" s="1"/>
  <c r="U6" i="60"/>
  <c r="T9" i="63" s="1"/>
  <c r="B8" i="128"/>
  <c r="U6" i="127"/>
  <c r="T6" i="10" s="1"/>
  <c r="T32" i="10"/>
  <c r="S23" i="127"/>
  <c r="R32" i="10" s="1"/>
  <c r="R23" i="127"/>
  <c r="Q23" i="127"/>
  <c r="Q25" i="127" s="1"/>
  <c r="P32" i="10" s="1"/>
  <c r="P23" i="127"/>
  <c r="P25" i="127" s="1"/>
  <c r="O23" i="127"/>
  <c r="N23" i="127"/>
  <c r="M23" i="127"/>
  <c r="L23" i="127"/>
  <c r="K23" i="127"/>
  <c r="J23" i="127"/>
  <c r="I23" i="127"/>
  <c r="H23" i="127"/>
  <c r="H25" i="127" s="1"/>
  <c r="G23" i="127"/>
  <c r="F23" i="127"/>
  <c r="E23" i="127"/>
  <c r="D23" i="127"/>
  <c r="D25" i="127" s="1"/>
  <c r="C23" i="127"/>
  <c r="S6" i="127"/>
  <c r="R6" i="10" s="1"/>
  <c r="R6" i="127"/>
  <c r="O6" i="127"/>
  <c r="O25" i="127" s="1"/>
  <c r="N6" i="127"/>
  <c r="M6" i="127"/>
  <c r="L6" i="127"/>
  <c r="K6" i="127"/>
  <c r="K25" i="127" s="1"/>
  <c r="J6" i="127"/>
  <c r="I6" i="127"/>
  <c r="I25" i="127" s="1"/>
  <c r="H6" i="127"/>
  <c r="G6" i="127"/>
  <c r="G25" i="127" s="1"/>
  <c r="F6" i="127"/>
  <c r="E6" i="127"/>
  <c r="E25" i="127" s="1"/>
  <c r="D6" i="127"/>
  <c r="C6" i="127"/>
  <c r="C25" i="127" s="1"/>
  <c r="M25" i="127"/>
  <c r="S25" i="127"/>
  <c r="U25" i="127"/>
  <c r="C12" i="128"/>
  <c r="C18" i="125"/>
  <c r="C19" i="125" s="1"/>
  <c r="C5" i="124"/>
  <c r="D5" i="124"/>
  <c r="E5" i="124"/>
  <c r="G5" i="124"/>
  <c r="H5" i="124"/>
  <c r="I5" i="124"/>
  <c r="I20" i="124"/>
  <c r="I33" i="124" s="1"/>
  <c r="C33" i="124"/>
  <c r="D33" i="124"/>
  <c r="E33" i="124"/>
  <c r="F33" i="124"/>
  <c r="F34" i="124" s="1"/>
  <c r="G33" i="124"/>
  <c r="G34" i="124" s="1"/>
  <c r="H33" i="124"/>
  <c r="H34" i="124" s="1"/>
  <c r="J33" i="124"/>
  <c r="J4" i="124" s="1"/>
  <c r="J5" i="124" s="1"/>
  <c r="J34" i="124" s="1"/>
  <c r="C5" i="123"/>
  <c r="P52" i="123" s="1"/>
  <c r="D5" i="123"/>
  <c r="Q52" i="123" s="1"/>
  <c r="E5" i="123"/>
  <c r="R52" i="123" s="1"/>
  <c r="F5" i="123"/>
  <c r="G5" i="123"/>
  <c r="H5" i="123"/>
  <c r="I5" i="123"/>
  <c r="J5" i="123"/>
  <c r="L5" i="123"/>
  <c r="B9" i="128" s="1"/>
  <c r="I23" i="123"/>
  <c r="I51" i="123" s="1"/>
  <c r="C51" i="123"/>
  <c r="D51" i="123"/>
  <c r="E51" i="123"/>
  <c r="F51" i="123"/>
  <c r="G51" i="123"/>
  <c r="H51" i="123"/>
  <c r="J51" i="123"/>
  <c r="C7" i="122"/>
  <c r="C30" i="122" s="1"/>
  <c r="D7" i="122"/>
  <c r="E7" i="122"/>
  <c r="F7" i="122"/>
  <c r="J30" i="122" s="1"/>
  <c r="G7" i="122"/>
  <c r="H7" i="122"/>
  <c r="I7" i="122"/>
  <c r="C29" i="122"/>
  <c r="D29" i="122"/>
  <c r="D30" i="122" s="1"/>
  <c r="E29" i="122"/>
  <c r="F29" i="122"/>
  <c r="G29" i="122"/>
  <c r="H29" i="122"/>
  <c r="I29" i="122"/>
  <c r="B21" i="128"/>
  <c r="C5" i="121"/>
  <c r="D5" i="121"/>
  <c r="E5" i="121"/>
  <c r="F5" i="121"/>
  <c r="G5" i="121"/>
  <c r="H5" i="121"/>
  <c r="I5" i="121"/>
  <c r="J5" i="121"/>
  <c r="K5" i="121"/>
  <c r="L5" i="121"/>
  <c r="L17" i="121" s="1"/>
  <c r="M5" i="121"/>
  <c r="O5" i="121"/>
  <c r="B7" i="128" s="1"/>
  <c r="C16" i="121"/>
  <c r="C17" i="121" s="1"/>
  <c r="D16" i="121"/>
  <c r="E16" i="121"/>
  <c r="F16" i="121"/>
  <c r="G16" i="121"/>
  <c r="H16" i="121"/>
  <c r="H17" i="121" s="1"/>
  <c r="I16" i="121"/>
  <c r="J16" i="121"/>
  <c r="K16" i="121"/>
  <c r="L16" i="121"/>
  <c r="M16" i="121"/>
  <c r="C6" i="120"/>
  <c r="D6" i="120"/>
  <c r="E6" i="120"/>
  <c r="E29" i="120" s="1"/>
  <c r="F6" i="120"/>
  <c r="G6" i="120"/>
  <c r="H6" i="120"/>
  <c r="I6" i="120"/>
  <c r="J6" i="120"/>
  <c r="K6" i="120"/>
  <c r="L6" i="120"/>
  <c r="M6" i="120"/>
  <c r="M29" i="120" s="1"/>
  <c r="N6" i="120"/>
  <c r="C27" i="120"/>
  <c r="D27" i="120"/>
  <c r="E27" i="120"/>
  <c r="F27" i="120"/>
  <c r="G27" i="120"/>
  <c r="H27" i="120"/>
  <c r="I27" i="120"/>
  <c r="J27" i="120"/>
  <c r="K27" i="120"/>
  <c r="L27" i="120"/>
  <c r="L29" i="120" s="1"/>
  <c r="N27" i="120"/>
  <c r="C9" i="119"/>
  <c r="D9" i="119"/>
  <c r="E9" i="119"/>
  <c r="F9" i="119"/>
  <c r="G9" i="119"/>
  <c r="H9" i="119"/>
  <c r="I9" i="119"/>
  <c r="J9" i="119"/>
  <c r="K9" i="119"/>
  <c r="M13" i="119"/>
  <c r="M38" i="119" s="1"/>
  <c r="L35" i="119"/>
  <c r="L38" i="119" s="1"/>
  <c r="L39" i="119" s="1"/>
  <c r="I36" i="119"/>
  <c r="I38" i="119" s="1"/>
  <c r="C38" i="119"/>
  <c r="D38" i="119"/>
  <c r="E38" i="119"/>
  <c r="F38" i="119"/>
  <c r="G38" i="119"/>
  <c r="G39" i="119" s="1"/>
  <c r="H38" i="119"/>
  <c r="J38" i="119"/>
  <c r="K38" i="119"/>
  <c r="B19" i="128"/>
  <c r="U11" i="7"/>
  <c r="C39" i="119"/>
  <c r="S11" i="7"/>
  <c r="C6" i="137" s="1"/>
  <c r="G17" i="121"/>
  <c r="K17" i="121"/>
  <c r="M17" i="121"/>
  <c r="I17" i="121"/>
  <c r="F29" i="120"/>
  <c r="L4" i="124"/>
  <c r="L5" i="124" s="1"/>
  <c r="L52" i="123"/>
  <c r="B22" i="128"/>
  <c r="G30" i="122"/>
  <c r="I30" i="122"/>
  <c r="K30" i="122"/>
  <c r="O17" i="121"/>
  <c r="M9" i="119"/>
  <c r="S21" i="7"/>
  <c r="C13" i="137" s="1"/>
  <c r="T33" i="7"/>
  <c r="L15" i="1"/>
  <c r="M19" i="1"/>
  <c r="B23" i="111"/>
  <c r="B12" i="111"/>
  <c r="F35" i="1"/>
  <c r="E35" i="1"/>
  <c r="D35" i="1"/>
  <c r="C35" i="1"/>
  <c r="B35" i="1"/>
  <c r="L35" i="1"/>
  <c r="K35" i="1"/>
  <c r="T31" i="15"/>
  <c r="T40" i="10" s="1"/>
  <c r="Q6" i="53"/>
  <c r="O6" i="52"/>
  <c r="O31" i="52" s="1"/>
  <c r="U33" i="108"/>
  <c r="T37" i="10" s="1"/>
  <c r="W33" i="108"/>
  <c r="O25" i="51"/>
  <c r="T35" i="10" s="1"/>
  <c r="O7" i="51"/>
  <c r="T9" i="10" s="1"/>
  <c r="Y35" i="108"/>
  <c r="T17" i="23"/>
  <c r="H20" i="93"/>
  <c r="T48" i="10" s="1"/>
  <c r="H7" i="93"/>
  <c r="J7" i="93"/>
  <c r="J22" i="93" s="1"/>
  <c r="J19" i="87"/>
  <c r="T47" i="10" s="1"/>
  <c r="J21" i="87"/>
  <c r="J9" i="82"/>
  <c r="T20" i="10" s="1"/>
  <c r="L18" i="88"/>
  <c r="L12" i="88"/>
  <c r="E9" i="137"/>
  <c r="T44" i="10"/>
  <c r="J42" i="81"/>
  <c r="T39" i="19"/>
  <c r="T43" i="10" s="1"/>
  <c r="T8" i="19"/>
  <c r="T17" i="10" s="1"/>
  <c r="T42" i="10"/>
  <c r="T54" i="22"/>
  <c r="T41" i="10" s="1"/>
  <c r="T9" i="22"/>
  <c r="T15" i="10" s="1"/>
  <c r="T35" i="17"/>
  <c r="T33" i="15"/>
  <c r="T27" i="14"/>
  <c r="T39" i="10" s="1"/>
  <c r="T7" i="14"/>
  <c r="U8" i="12"/>
  <c r="T12" i="10" s="1"/>
  <c r="U31" i="12"/>
  <c r="T38" i="10" s="1"/>
  <c r="U35" i="108"/>
  <c r="V14" i="24"/>
  <c r="U18" i="28"/>
  <c r="O26" i="53"/>
  <c r="T19" i="23" s="1"/>
  <c r="O6" i="53"/>
  <c r="U7" i="26"/>
  <c r="T7" i="23" s="1"/>
  <c r="K19" i="91"/>
  <c r="K21" i="91" s="1"/>
  <c r="U22" i="59"/>
  <c r="U24" i="59" s="1"/>
  <c r="U24" i="58"/>
  <c r="T15" i="63" s="1"/>
  <c r="U6" i="58"/>
  <c r="K10" i="94"/>
  <c r="K19" i="94" s="1"/>
  <c r="K5" i="94" s="1"/>
  <c r="K6" i="94" s="1"/>
  <c r="K21" i="94" s="1"/>
  <c r="D40" i="111"/>
  <c r="N38" i="1"/>
  <c r="T21" i="7"/>
  <c r="D23" i="109"/>
  <c r="C23" i="109"/>
  <c r="E7" i="109"/>
  <c r="T23" i="10" s="1"/>
  <c r="D7" i="109"/>
  <c r="C7" i="109"/>
  <c r="R23" i="10" s="1"/>
  <c r="S8" i="12"/>
  <c r="R37" i="57"/>
  <c r="Q13" i="63" s="1"/>
  <c r="I17" i="90"/>
  <c r="S17" i="26"/>
  <c r="S33" i="17"/>
  <c r="R42" i="10" s="1"/>
  <c r="I19" i="94"/>
  <c r="R15" i="7" s="1"/>
  <c r="R36" i="57"/>
  <c r="S36" i="57"/>
  <c r="S37" i="57" s="1"/>
  <c r="H16" i="94"/>
  <c r="H19" i="94" s="1"/>
  <c r="H21" i="94" s="1"/>
  <c r="Q15" i="7" s="1"/>
  <c r="R31" i="12"/>
  <c r="S34" i="11"/>
  <c r="S36" i="11" s="1"/>
  <c r="S10" i="108"/>
  <c r="R11" i="10" s="1"/>
  <c r="K34" i="88"/>
  <c r="R45" i="10" s="1"/>
  <c r="T32" i="24"/>
  <c r="R14" i="23" s="1"/>
  <c r="S35" i="8"/>
  <c r="R14" i="7" s="1"/>
  <c r="R22" i="59"/>
  <c r="Q16" i="63" s="1"/>
  <c r="I15" i="90"/>
  <c r="R33" i="10" s="1"/>
  <c r="S18" i="28"/>
  <c r="R26" i="10" s="1"/>
  <c r="R37" i="60"/>
  <c r="R38" i="60" s="1"/>
  <c r="Q17" i="63" s="1"/>
  <c r="S24" i="58"/>
  <c r="S6" i="58"/>
  <c r="R24" i="58"/>
  <c r="R6" i="58"/>
  <c r="S22" i="59"/>
  <c r="R16" i="63" s="1"/>
  <c r="R7" i="63"/>
  <c r="M25" i="51"/>
  <c r="R35" i="10" s="1"/>
  <c r="M7" i="51"/>
  <c r="R9" i="10" s="1"/>
  <c r="L25" i="51"/>
  <c r="S39" i="19"/>
  <c r="R43" i="10" s="1"/>
  <c r="S8" i="19"/>
  <c r="G17" i="92"/>
  <c r="G6" i="92"/>
  <c r="I19" i="87"/>
  <c r="R47" i="10" s="1"/>
  <c r="M26" i="62"/>
  <c r="Q36" i="10"/>
  <c r="S54" i="22"/>
  <c r="S9" i="22"/>
  <c r="R15" i="10" s="1"/>
  <c r="R9" i="22"/>
  <c r="Q41" i="10" s="1"/>
  <c r="R10" i="17"/>
  <c r="R35" i="17" s="1"/>
  <c r="S10" i="17"/>
  <c r="R16" i="10" s="1"/>
  <c r="G20" i="93"/>
  <c r="R48" i="10" s="1"/>
  <c r="G7" i="93"/>
  <c r="K18" i="88"/>
  <c r="K12" i="88"/>
  <c r="S31" i="15"/>
  <c r="R40" i="10" s="1"/>
  <c r="S9" i="15"/>
  <c r="R14" i="10" s="1"/>
  <c r="S27" i="14"/>
  <c r="R39" i="10" s="1"/>
  <c r="S7" i="14"/>
  <c r="R13" i="10" s="1"/>
  <c r="S31" i="12"/>
  <c r="R38" i="10" s="1"/>
  <c r="R20" i="10"/>
  <c r="R44" i="10"/>
  <c r="R18" i="10"/>
  <c r="I42" i="81"/>
  <c r="S33" i="108"/>
  <c r="R37" i="10" s="1"/>
  <c r="I19" i="91"/>
  <c r="R16" i="23"/>
  <c r="M29" i="52"/>
  <c r="R17" i="23" s="1"/>
  <c r="M26" i="53"/>
  <c r="R19" i="23" s="1"/>
  <c r="M6" i="53"/>
  <c r="R10" i="23" s="1"/>
  <c r="M6" i="52"/>
  <c r="R8" i="23" s="1"/>
  <c r="T7" i="26"/>
  <c r="S7" i="23" s="1"/>
  <c r="R7" i="23"/>
  <c r="R15" i="23"/>
  <c r="L26" i="53"/>
  <c r="L6" i="53"/>
  <c r="L29" i="52"/>
  <c r="L6" i="52"/>
  <c r="R16" i="26"/>
  <c r="R7" i="26"/>
  <c r="H19" i="91"/>
  <c r="H21" i="91" s="1"/>
  <c r="H6" i="91"/>
  <c r="S32" i="24"/>
  <c r="S6" i="24"/>
  <c r="L28" i="62"/>
  <c r="R18" i="28"/>
  <c r="Q72" i="28"/>
  <c r="F20" i="93"/>
  <c r="F7" i="93"/>
  <c r="F17" i="92"/>
  <c r="F6" i="92"/>
  <c r="H19" i="87"/>
  <c r="H6" i="87"/>
  <c r="H24" i="82"/>
  <c r="H9" i="82"/>
  <c r="J18" i="88"/>
  <c r="J12" i="88"/>
  <c r="H40" i="81"/>
  <c r="Q44" i="10" s="1"/>
  <c r="R8" i="19"/>
  <c r="R54" i="22"/>
  <c r="R9" i="15"/>
  <c r="R33" i="15" s="1"/>
  <c r="R7" i="14"/>
  <c r="R29" i="14" s="1"/>
  <c r="R8" i="12"/>
  <c r="R21" i="108"/>
  <c r="R33" i="108" s="1"/>
  <c r="Q37" i="10" s="1"/>
  <c r="L7" i="51"/>
  <c r="H15" i="90"/>
  <c r="H17" i="90" s="1"/>
  <c r="Q33" i="10" s="1"/>
  <c r="Q14" i="7"/>
  <c r="R36" i="11"/>
  <c r="Q31" i="10"/>
  <c r="R37" i="8"/>
  <c r="C6" i="57"/>
  <c r="D6" i="57"/>
  <c r="E6" i="57"/>
  <c r="F6" i="57"/>
  <c r="G6" i="57"/>
  <c r="H6" i="57"/>
  <c r="I6" i="57"/>
  <c r="J6" i="57"/>
  <c r="I9" i="57"/>
  <c r="I13" i="57"/>
  <c r="I16" i="57"/>
  <c r="I17" i="57"/>
  <c r="I18" i="57"/>
  <c r="I19" i="57"/>
  <c r="I20" i="57"/>
  <c r="I21" i="57"/>
  <c r="I31" i="57"/>
  <c r="I34" i="57"/>
  <c r="Q7" i="14"/>
  <c r="K7" i="1"/>
  <c r="F24" i="82"/>
  <c r="H18" i="88"/>
  <c r="I18" i="88"/>
  <c r="I20" i="88" s="1"/>
  <c r="P37" i="60"/>
  <c r="J26" i="53"/>
  <c r="K26" i="53"/>
  <c r="J6" i="53"/>
  <c r="K6" i="53"/>
  <c r="J29" i="52"/>
  <c r="K29" i="52"/>
  <c r="J6" i="52"/>
  <c r="K6" i="52"/>
  <c r="P16" i="26"/>
  <c r="Q16" i="26"/>
  <c r="P7" i="26"/>
  <c r="O16" i="23" s="1"/>
  <c r="Q7" i="26"/>
  <c r="F19" i="91"/>
  <c r="G19" i="91"/>
  <c r="F6" i="91"/>
  <c r="G6" i="91"/>
  <c r="Q32" i="24"/>
  <c r="R32" i="24"/>
  <c r="Q6" i="24"/>
  <c r="R6" i="24"/>
  <c r="P10" i="108"/>
  <c r="Q10" i="108"/>
  <c r="P33" i="108"/>
  <c r="P35" i="108" s="1"/>
  <c r="Q33" i="108"/>
  <c r="J7" i="51"/>
  <c r="K7" i="51"/>
  <c r="P72" i="28"/>
  <c r="P27" i="28"/>
  <c r="Q27" i="28"/>
  <c r="P18" i="28"/>
  <c r="Q18" i="28"/>
  <c r="D7" i="93"/>
  <c r="E7" i="93"/>
  <c r="D20" i="93"/>
  <c r="E20" i="93"/>
  <c r="D17" i="92"/>
  <c r="E17" i="92"/>
  <c r="D6" i="92"/>
  <c r="E6" i="92"/>
  <c r="E19" i="92" s="1"/>
  <c r="G6" i="87"/>
  <c r="F19" i="87"/>
  <c r="G19" i="87"/>
  <c r="F6" i="87"/>
  <c r="O47" i="10" s="1"/>
  <c r="G24" i="82"/>
  <c r="F9" i="82"/>
  <c r="O46" i="10" s="1"/>
  <c r="G9" i="82"/>
  <c r="H12" i="88"/>
  <c r="H20" i="88" s="1"/>
  <c r="I12" i="88"/>
  <c r="H34" i="88"/>
  <c r="I34" i="88"/>
  <c r="F40" i="81"/>
  <c r="G40" i="81"/>
  <c r="F10" i="81"/>
  <c r="G10" i="81"/>
  <c r="P39" i="19"/>
  <c r="P42" i="19" s="1"/>
  <c r="Q39" i="19"/>
  <c r="P8" i="19"/>
  <c r="Q8" i="19"/>
  <c r="P33" i="17"/>
  <c r="O42" i="10" s="1"/>
  <c r="Q33" i="17"/>
  <c r="P10" i="17"/>
  <c r="Q10" i="17"/>
  <c r="P9" i="22"/>
  <c r="Q9" i="22"/>
  <c r="P54" i="22"/>
  <c r="Q54" i="22"/>
  <c r="P31" i="15"/>
  <c r="O40" i="10" s="1"/>
  <c r="Q31" i="15"/>
  <c r="P9" i="15"/>
  <c r="Q9" i="15"/>
  <c r="P27" i="14"/>
  <c r="O39" i="10" s="1"/>
  <c r="Q27" i="14"/>
  <c r="P7" i="14"/>
  <c r="Q8" i="12"/>
  <c r="P31" i="12"/>
  <c r="Q31" i="12"/>
  <c r="O8" i="12"/>
  <c r="P8" i="12"/>
  <c r="P16" i="23"/>
  <c r="Q17" i="26"/>
  <c r="D19" i="92"/>
  <c r="P46" i="10"/>
  <c r="G42" i="81"/>
  <c r="G21" i="87"/>
  <c r="J25" i="51"/>
  <c r="K25" i="51"/>
  <c r="F15" i="90"/>
  <c r="F17" i="90" s="1"/>
  <c r="G15" i="90"/>
  <c r="J26" i="62"/>
  <c r="O36" i="10" s="1"/>
  <c r="K26" i="62"/>
  <c r="P36" i="10" s="1"/>
  <c r="P34" i="11"/>
  <c r="O31" i="10" s="1"/>
  <c r="Q34" i="11"/>
  <c r="P31" i="10" s="1"/>
  <c r="F19" i="94"/>
  <c r="F21" i="94" s="1"/>
  <c r="G19" i="94"/>
  <c r="G21" i="94" s="1"/>
  <c r="P35" i="8"/>
  <c r="P37" i="8" s="1"/>
  <c r="Q35" i="8"/>
  <c r="Q37" i="8" s="1"/>
  <c r="P38" i="60"/>
  <c r="Q37" i="60"/>
  <c r="P17" i="63" s="1"/>
  <c r="P6" i="58"/>
  <c r="Q6" i="58"/>
  <c r="P24" i="58"/>
  <c r="O15" i="63" s="1"/>
  <c r="Q24" i="58"/>
  <c r="P22" i="59"/>
  <c r="Q22" i="59"/>
  <c r="P6" i="59"/>
  <c r="Q6" i="59"/>
  <c r="P6" i="57"/>
  <c r="Q6" i="57"/>
  <c r="P15" i="7"/>
  <c r="G17" i="90"/>
  <c r="P33" i="10" s="1"/>
  <c r="O14" i="7"/>
  <c r="O17" i="63"/>
  <c r="Q36" i="11"/>
  <c r="O9" i="57"/>
  <c r="O36" i="57" s="1"/>
  <c r="O10" i="57"/>
  <c r="K6" i="57"/>
  <c r="L6" i="57"/>
  <c r="M6" i="57"/>
  <c r="N6" i="57"/>
  <c r="O6" i="57"/>
  <c r="K15" i="57"/>
  <c r="M15" i="57"/>
  <c r="M36" i="57" s="1"/>
  <c r="M37" i="57" s="1"/>
  <c r="K19" i="57"/>
  <c r="K24" i="57"/>
  <c r="K34" i="57"/>
  <c r="C6" i="60"/>
  <c r="D6" i="60"/>
  <c r="E6" i="60"/>
  <c r="F6" i="60"/>
  <c r="G6" i="60"/>
  <c r="H6" i="60"/>
  <c r="I6" i="60"/>
  <c r="I38" i="60" s="1"/>
  <c r="J6" i="60"/>
  <c r="K6" i="60"/>
  <c r="L6" i="60"/>
  <c r="M6" i="60"/>
  <c r="M38" i="60" s="1"/>
  <c r="N6" i="60"/>
  <c r="O6" i="60"/>
  <c r="G25" i="60"/>
  <c r="G37" i="60"/>
  <c r="C37" i="60"/>
  <c r="C38" i="60"/>
  <c r="D37" i="60"/>
  <c r="E37" i="60"/>
  <c r="F37" i="60"/>
  <c r="H37" i="60"/>
  <c r="I37" i="60"/>
  <c r="J37" i="60"/>
  <c r="J38" i="60" s="1"/>
  <c r="K37" i="60"/>
  <c r="L37" i="60"/>
  <c r="L38" i="60" s="1"/>
  <c r="M37" i="60"/>
  <c r="N37" i="60"/>
  <c r="N38" i="60" s="1"/>
  <c r="O37" i="60"/>
  <c r="C6" i="58"/>
  <c r="C26" i="58" s="1"/>
  <c r="D6" i="58"/>
  <c r="E6" i="58"/>
  <c r="F6" i="58"/>
  <c r="G6" i="58"/>
  <c r="G26" i="58" s="1"/>
  <c r="H6" i="58"/>
  <c r="I6" i="58"/>
  <c r="J6" i="58"/>
  <c r="K6" i="58"/>
  <c r="L6" i="58"/>
  <c r="M6" i="58"/>
  <c r="N6" i="58"/>
  <c r="O6" i="58"/>
  <c r="O26" i="58" s="1"/>
  <c r="C24" i="58"/>
  <c r="D24" i="58"/>
  <c r="E24" i="58"/>
  <c r="F24" i="58"/>
  <c r="F26" i="58" s="1"/>
  <c r="G24" i="58"/>
  <c r="H24" i="58"/>
  <c r="H26" i="58" s="1"/>
  <c r="I24" i="58"/>
  <c r="J24" i="58"/>
  <c r="J26" i="58" s="1"/>
  <c r="K24" i="58"/>
  <c r="L24" i="58"/>
  <c r="M24" i="58"/>
  <c r="N24" i="58"/>
  <c r="N26" i="58" s="1"/>
  <c r="O24" i="58"/>
  <c r="C6" i="59"/>
  <c r="D6" i="59"/>
  <c r="E6" i="59"/>
  <c r="F6" i="59"/>
  <c r="G6" i="59"/>
  <c r="H6" i="59"/>
  <c r="I6" i="59"/>
  <c r="J6" i="59"/>
  <c r="K6" i="59"/>
  <c r="L6" i="59"/>
  <c r="M6" i="59"/>
  <c r="N6" i="59"/>
  <c r="O6" i="59"/>
  <c r="I11" i="59"/>
  <c r="I12" i="59"/>
  <c r="I13" i="59"/>
  <c r="I14" i="59"/>
  <c r="G19" i="59"/>
  <c r="G22" i="59" s="1"/>
  <c r="C22" i="59"/>
  <c r="D22" i="59"/>
  <c r="E22" i="59"/>
  <c r="F22" i="59"/>
  <c r="H22" i="59"/>
  <c r="J22" i="59"/>
  <c r="K22" i="59"/>
  <c r="L22" i="59"/>
  <c r="M22" i="59"/>
  <c r="N22" i="59"/>
  <c r="O22" i="59"/>
  <c r="F38" i="60"/>
  <c r="O12" i="8"/>
  <c r="C10" i="108"/>
  <c r="D10" i="108"/>
  <c r="E10" i="108"/>
  <c r="F10" i="108"/>
  <c r="G10" i="108"/>
  <c r="H10" i="108"/>
  <c r="I10" i="108"/>
  <c r="J10" i="108"/>
  <c r="K10" i="108"/>
  <c r="L10" i="108"/>
  <c r="M10" i="108"/>
  <c r="N10" i="108"/>
  <c r="O10" i="108"/>
  <c r="L26" i="108"/>
  <c r="L33" i="108" s="1"/>
  <c r="C33" i="108"/>
  <c r="D33" i="108"/>
  <c r="E33" i="108"/>
  <c r="F33" i="108"/>
  <c r="G33" i="108"/>
  <c r="H33" i="108"/>
  <c r="I33" i="108"/>
  <c r="J33" i="108"/>
  <c r="K33" i="108"/>
  <c r="M33" i="108"/>
  <c r="M35" i="108" s="1"/>
  <c r="N33" i="108"/>
  <c r="O33" i="108"/>
  <c r="N37" i="10" s="1"/>
  <c r="F35" i="108"/>
  <c r="C7" i="1"/>
  <c r="B7" i="1"/>
  <c r="O11" i="8"/>
  <c r="P10" i="24"/>
  <c r="P9" i="24"/>
  <c r="H29" i="52"/>
  <c r="I29" i="52"/>
  <c r="H6" i="52"/>
  <c r="I6" i="52"/>
  <c r="D7" i="1"/>
  <c r="N35" i="8"/>
  <c r="O35" i="8"/>
  <c r="C19" i="94"/>
  <c r="E19" i="94"/>
  <c r="D19" i="94"/>
  <c r="E6" i="94"/>
  <c r="D6" i="94"/>
  <c r="C6" i="94"/>
  <c r="C20" i="93"/>
  <c r="C7" i="93"/>
  <c r="C17" i="92"/>
  <c r="C6" i="92"/>
  <c r="D19" i="87"/>
  <c r="E19" i="87"/>
  <c r="C19" i="87"/>
  <c r="F7" i="1"/>
  <c r="E7" i="1"/>
  <c r="C19" i="92"/>
  <c r="O18" i="28"/>
  <c r="N72" i="28"/>
  <c r="O72" i="28"/>
  <c r="N18" i="28"/>
  <c r="N27" i="28"/>
  <c r="O27" i="28"/>
  <c r="D15" i="90"/>
  <c r="E15" i="90"/>
  <c r="D6" i="90"/>
  <c r="E6" i="90"/>
  <c r="N7" i="8"/>
  <c r="M14" i="7" s="1"/>
  <c r="O7" i="8"/>
  <c r="O37" i="8" s="1"/>
  <c r="C72" i="28"/>
  <c r="D72" i="28"/>
  <c r="E72" i="28"/>
  <c r="F72" i="28"/>
  <c r="H72" i="28"/>
  <c r="I72" i="28"/>
  <c r="J72" i="28"/>
  <c r="K72" i="28"/>
  <c r="L72" i="28"/>
  <c r="C27" i="28"/>
  <c r="D27" i="28"/>
  <c r="E27" i="28"/>
  <c r="F27" i="28"/>
  <c r="G27" i="28"/>
  <c r="H27" i="28"/>
  <c r="I27" i="28"/>
  <c r="J27" i="28"/>
  <c r="K27" i="28"/>
  <c r="L27" i="28"/>
  <c r="C18" i="28"/>
  <c r="D18" i="28"/>
  <c r="E18" i="28"/>
  <c r="F18" i="28"/>
  <c r="G18" i="28"/>
  <c r="H18" i="28"/>
  <c r="I18" i="28"/>
  <c r="J18" i="28"/>
  <c r="K18" i="28"/>
  <c r="M72" i="28"/>
  <c r="M27" i="28"/>
  <c r="C26" i="53"/>
  <c r="D26" i="53"/>
  <c r="E26" i="53"/>
  <c r="F26" i="53"/>
  <c r="G26" i="53"/>
  <c r="H26" i="53"/>
  <c r="I26" i="53"/>
  <c r="C6" i="53"/>
  <c r="D6" i="53"/>
  <c r="E6" i="53"/>
  <c r="F6" i="53"/>
  <c r="G6" i="53"/>
  <c r="H6" i="53"/>
  <c r="I6" i="53"/>
  <c r="C29" i="52"/>
  <c r="D29" i="52"/>
  <c r="E29" i="52"/>
  <c r="F29" i="52"/>
  <c r="D6" i="52"/>
  <c r="E6" i="52"/>
  <c r="F6" i="52"/>
  <c r="G6" i="52"/>
  <c r="C6" i="52"/>
  <c r="C31" i="52" s="1"/>
  <c r="G29" i="52"/>
  <c r="D16" i="26"/>
  <c r="F16" i="26"/>
  <c r="G16" i="26"/>
  <c r="H16" i="26"/>
  <c r="I16" i="26"/>
  <c r="J16" i="26"/>
  <c r="K16" i="26"/>
  <c r="L16" i="26"/>
  <c r="N16" i="26"/>
  <c r="M16" i="23" s="1"/>
  <c r="O16" i="26"/>
  <c r="D7" i="26"/>
  <c r="E7" i="26"/>
  <c r="F7" i="26"/>
  <c r="E16" i="23" s="1"/>
  <c r="G7" i="26"/>
  <c r="H7" i="26"/>
  <c r="I7" i="26"/>
  <c r="J7" i="26"/>
  <c r="K7" i="26"/>
  <c r="J7" i="23"/>
  <c r="L7" i="26"/>
  <c r="M7" i="26"/>
  <c r="N7" i="26"/>
  <c r="O7" i="26"/>
  <c r="D19" i="91"/>
  <c r="E19" i="91"/>
  <c r="N15" i="23" s="1"/>
  <c r="C19" i="91"/>
  <c r="D6" i="91"/>
  <c r="E6" i="91"/>
  <c r="C6" i="91"/>
  <c r="L6" i="23" s="1"/>
  <c r="C32" i="24"/>
  <c r="D32" i="24"/>
  <c r="E32" i="24"/>
  <c r="F32" i="24"/>
  <c r="H32" i="24"/>
  <c r="I32" i="24"/>
  <c r="J32" i="24"/>
  <c r="L32" i="24"/>
  <c r="N32" i="24"/>
  <c r="O32" i="24"/>
  <c r="D6" i="24"/>
  <c r="E6" i="24"/>
  <c r="D14" i="23" s="1"/>
  <c r="F6" i="24"/>
  <c r="G6" i="24"/>
  <c r="H6" i="24"/>
  <c r="I6" i="24"/>
  <c r="J6" i="24"/>
  <c r="K6" i="24"/>
  <c r="L6" i="24"/>
  <c r="M6" i="24"/>
  <c r="N6" i="24"/>
  <c r="O6" i="24"/>
  <c r="M14" i="23" s="1"/>
  <c r="P6" i="24"/>
  <c r="C6" i="24"/>
  <c r="D7" i="24"/>
  <c r="D6" i="87"/>
  <c r="M47" i="10" s="1"/>
  <c r="E6" i="87"/>
  <c r="C6" i="87"/>
  <c r="C21" i="87" s="1"/>
  <c r="D24" i="82"/>
  <c r="E24" i="82"/>
  <c r="D9" i="82"/>
  <c r="E9" i="82"/>
  <c r="C24" i="82"/>
  <c r="C9" i="82"/>
  <c r="F34" i="88"/>
  <c r="G34" i="88"/>
  <c r="F18" i="88"/>
  <c r="G18" i="88"/>
  <c r="F12" i="88"/>
  <c r="F20" i="88" s="1"/>
  <c r="G12" i="88"/>
  <c r="C34" i="88"/>
  <c r="D34" i="88"/>
  <c r="C18" i="88"/>
  <c r="D18" i="88"/>
  <c r="D20" i="88" s="1"/>
  <c r="E18" i="88"/>
  <c r="C12" i="88"/>
  <c r="D12" i="88"/>
  <c r="E34" i="88"/>
  <c r="E12" i="88"/>
  <c r="C20" i="88"/>
  <c r="L17" i="26"/>
  <c r="G16" i="23"/>
  <c r="D21" i="91"/>
  <c r="O17" i="26"/>
  <c r="G17" i="26"/>
  <c r="D31" i="52"/>
  <c r="C40" i="81"/>
  <c r="D40" i="81"/>
  <c r="C10" i="81"/>
  <c r="C42" i="81" s="1"/>
  <c r="D10" i="81"/>
  <c r="E40" i="81"/>
  <c r="E10" i="81"/>
  <c r="N8" i="19"/>
  <c r="O8" i="19"/>
  <c r="C39" i="19"/>
  <c r="D39" i="19"/>
  <c r="E39" i="19"/>
  <c r="F39" i="19"/>
  <c r="G39" i="19"/>
  <c r="H39" i="19"/>
  <c r="I39" i="19"/>
  <c r="J39" i="19"/>
  <c r="K39" i="19"/>
  <c r="L39" i="19"/>
  <c r="N39" i="19"/>
  <c r="O39" i="19"/>
  <c r="C8" i="19"/>
  <c r="D8" i="19"/>
  <c r="E8" i="19"/>
  <c r="D43" i="10" s="1"/>
  <c r="F8" i="19"/>
  <c r="E43" i="10" s="1"/>
  <c r="G8" i="19"/>
  <c r="G42" i="19" s="1"/>
  <c r="H8" i="19"/>
  <c r="H42" i="19" s="1"/>
  <c r="I8" i="19"/>
  <c r="J8" i="19"/>
  <c r="J42" i="19" s="1"/>
  <c r="K8" i="19"/>
  <c r="M8" i="19"/>
  <c r="L8" i="19"/>
  <c r="K43" i="10" s="1"/>
  <c r="M39" i="19"/>
  <c r="N10" i="17"/>
  <c r="O10" i="17"/>
  <c r="C33" i="17"/>
  <c r="D33" i="17"/>
  <c r="E33" i="17"/>
  <c r="F33" i="17"/>
  <c r="H33" i="17"/>
  <c r="I33" i="17"/>
  <c r="I35" i="17" s="1"/>
  <c r="J33" i="17"/>
  <c r="K33" i="17"/>
  <c r="L33" i="17"/>
  <c r="N33" i="17"/>
  <c r="O33" i="17"/>
  <c r="N42" i="10" s="1"/>
  <c r="M33" i="17"/>
  <c r="C10" i="17"/>
  <c r="B42" i="10" s="1"/>
  <c r="D10" i="17"/>
  <c r="C42" i="10" s="1"/>
  <c r="E10" i="17"/>
  <c r="F10" i="17"/>
  <c r="G10" i="17"/>
  <c r="H10" i="17"/>
  <c r="I10" i="17"/>
  <c r="J10" i="17"/>
  <c r="K10" i="17"/>
  <c r="J42" i="10" s="1"/>
  <c r="L10" i="17"/>
  <c r="M10" i="17"/>
  <c r="N9" i="22"/>
  <c r="O9" i="22"/>
  <c r="C54" i="22"/>
  <c r="D54" i="22"/>
  <c r="E54" i="22"/>
  <c r="F54" i="22"/>
  <c r="G54" i="22"/>
  <c r="H54" i="22"/>
  <c r="J54" i="22"/>
  <c r="K54" i="22"/>
  <c r="L54" i="22"/>
  <c r="N54" i="22"/>
  <c r="O54" i="22"/>
  <c r="M54" i="22"/>
  <c r="C9" i="22"/>
  <c r="D9" i="22"/>
  <c r="E9" i="22"/>
  <c r="E56" i="22" s="1"/>
  <c r="F9" i="22"/>
  <c r="F56" i="22" s="1"/>
  <c r="G9" i="22"/>
  <c r="G56" i="22" s="1"/>
  <c r="H9" i="22"/>
  <c r="I9" i="22"/>
  <c r="J9" i="22"/>
  <c r="K9" i="22"/>
  <c r="M9" i="22"/>
  <c r="L9" i="22"/>
  <c r="M31" i="15"/>
  <c r="N31" i="15"/>
  <c r="N33" i="15" s="1"/>
  <c r="O31" i="15"/>
  <c r="N9" i="15"/>
  <c r="O9" i="15"/>
  <c r="C31" i="15"/>
  <c r="D31" i="15"/>
  <c r="E31" i="15"/>
  <c r="F31" i="15"/>
  <c r="G31" i="15"/>
  <c r="F40" i="10" s="1"/>
  <c r="H31" i="15"/>
  <c r="I31" i="15"/>
  <c r="J31" i="15"/>
  <c r="K31" i="15"/>
  <c r="L31" i="15"/>
  <c r="C9" i="15"/>
  <c r="D9" i="15"/>
  <c r="E9" i="15"/>
  <c r="F9" i="15"/>
  <c r="G9" i="15"/>
  <c r="H9" i="15"/>
  <c r="G40" i="10" s="1"/>
  <c r="I9" i="15"/>
  <c r="J9" i="15"/>
  <c r="K9" i="15"/>
  <c r="L9" i="15"/>
  <c r="M9" i="15"/>
  <c r="D27" i="14"/>
  <c r="E27" i="14"/>
  <c r="F27" i="14"/>
  <c r="H27" i="14"/>
  <c r="I27" i="14"/>
  <c r="J27" i="14"/>
  <c r="K27" i="14"/>
  <c r="L27" i="14"/>
  <c r="L29" i="14" s="1"/>
  <c r="M27" i="14"/>
  <c r="N27" i="14"/>
  <c r="O27" i="14"/>
  <c r="C27" i="14"/>
  <c r="C29" i="14" s="1"/>
  <c r="D7" i="14"/>
  <c r="E7" i="14"/>
  <c r="E29" i="14" s="1"/>
  <c r="F7" i="14"/>
  <c r="F29" i="14" s="1"/>
  <c r="G7" i="14"/>
  <c r="H7" i="14"/>
  <c r="I7" i="14"/>
  <c r="J7" i="14"/>
  <c r="K7" i="14"/>
  <c r="L7" i="14"/>
  <c r="M7" i="14"/>
  <c r="L39" i="10" s="1"/>
  <c r="N7" i="14"/>
  <c r="O7" i="14"/>
  <c r="C7" i="14"/>
  <c r="N8" i="12"/>
  <c r="C31" i="12"/>
  <c r="D31" i="12"/>
  <c r="E31" i="12"/>
  <c r="F31" i="12"/>
  <c r="G31" i="12"/>
  <c r="H31" i="12"/>
  <c r="I31" i="12"/>
  <c r="J31" i="12"/>
  <c r="K31" i="12"/>
  <c r="L31" i="12"/>
  <c r="N31" i="12"/>
  <c r="O31" i="12"/>
  <c r="O33" i="12" s="1"/>
  <c r="C8" i="12"/>
  <c r="B38" i="10" s="1"/>
  <c r="D8" i="12"/>
  <c r="E8" i="12"/>
  <c r="F8" i="12"/>
  <c r="F33" i="12" s="1"/>
  <c r="G8" i="12"/>
  <c r="F38" i="10" s="1"/>
  <c r="H8" i="12"/>
  <c r="G38" i="10" s="1"/>
  <c r="I8" i="12"/>
  <c r="J8" i="12"/>
  <c r="I38" i="10" s="1"/>
  <c r="K8" i="12"/>
  <c r="J38" i="10" s="1"/>
  <c r="L8" i="12"/>
  <c r="K38" i="10" s="1"/>
  <c r="M8" i="12"/>
  <c r="D26" i="62"/>
  <c r="E26" i="62"/>
  <c r="F26" i="62"/>
  <c r="H26" i="62"/>
  <c r="I26" i="62"/>
  <c r="C8" i="62"/>
  <c r="D8" i="62"/>
  <c r="E8" i="62"/>
  <c r="F8" i="62"/>
  <c r="G8" i="62"/>
  <c r="H8" i="62"/>
  <c r="M36" i="10" s="1"/>
  <c r="G26" i="62"/>
  <c r="I8" i="62"/>
  <c r="I28" i="62" s="1"/>
  <c r="H7" i="51"/>
  <c r="I7" i="51"/>
  <c r="C25" i="51"/>
  <c r="D25" i="51"/>
  <c r="E25" i="51"/>
  <c r="F25" i="51"/>
  <c r="H25" i="51"/>
  <c r="I25" i="51"/>
  <c r="C7" i="51"/>
  <c r="D7" i="51"/>
  <c r="E7" i="51"/>
  <c r="F7" i="51"/>
  <c r="G25" i="51"/>
  <c r="G7" i="51"/>
  <c r="C6" i="90"/>
  <c r="C15" i="90"/>
  <c r="N6" i="11"/>
  <c r="O6" i="11"/>
  <c r="N34" i="11"/>
  <c r="O34" i="11"/>
  <c r="C34" i="11"/>
  <c r="D34" i="11"/>
  <c r="E34" i="11"/>
  <c r="F34" i="11"/>
  <c r="G34" i="11"/>
  <c r="H34" i="11"/>
  <c r="I34" i="11"/>
  <c r="J34" i="11"/>
  <c r="L34" i="11"/>
  <c r="C35" i="8"/>
  <c r="D35" i="8"/>
  <c r="F35" i="8"/>
  <c r="H35" i="8"/>
  <c r="I35" i="8"/>
  <c r="I37" i="8" s="1"/>
  <c r="J35" i="8"/>
  <c r="L35" i="8"/>
  <c r="C7" i="8"/>
  <c r="D7" i="8"/>
  <c r="D37" i="8" s="1"/>
  <c r="E7" i="8"/>
  <c r="F7" i="8"/>
  <c r="E14" i="7" s="1"/>
  <c r="E21" i="7" s="1"/>
  <c r="G7" i="8"/>
  <c r="H7" i="8"/>
  <c r="I7" i="8"/>
  <c r="J7" i="8"/>
  <c r="I14" i="7" s="1"/>
  <c r="I21" i="7" s="1"/>
  <c r="K7" i="8"/>
  <c r="L7" i="8"/>
  <c r="M7" i="8"/>
  <c r="C7" i="26"/>
  <c r="G43" i="10"/>
  <c r="F43" i="10"/>
  <c r="C43" i="10"/>
  <c r="D41" i="10"/>
  <c r="J43" i="10"/>
  <c r="G41" i="10"/>
  <c r="L41" i="10"/>
  <c r="L42" i="10"/>
  <c r="B43" i="10"/>
  <c r="C41" i="10"/>
  <c r="J37" i="10"/>
  <c r="H38" i="10"/>
  <c r="I33" i="12"/>
  <c r="D38" i="10"/>
  <c r="E33" i="12"/>
  <c r="D29" i="14"/>
  <c r="C39" i="10"/>
  <c r="E38" i="10"/>
  <c r="C33" i="12"/>
  <c r="M35" i="17"/>
  <c r="N56" i="22"/>
  <c r="H56" i="22"/>
  <c r="D56" i="22"/>
  <c r="I37" i="10"/>
  <c r="C37" i="10"/>
  <c r="D40" i="10"/>
  <c r="H33" i="15"/>
  <c r="D42" i="19"/>
  <c r="K42" i="19"/>
  <c r="C42" i="19"/>
  <c r="K29" i="14"/>
  <c r="C17" i="90"/>
  <c r="M16" i="12"/>
  <c r="M17" i="12"/>
  <c r="M14" i="28"/>
  <c r="M18" i="28" s="1"/>
  <c r="M14" i="11"/>
  <c r="M34" i="11" s="1"/>
  <c r="M18" i="8"/>
  <c r="M14" i="24"/>
  <c r="M32" i="24" s="1"/>
  <c r="L6" i="11"/>
  <c r="L36" i="11" s="1"/>
  <c r="M6" i="11"/>
  <c r="L6" i="28"/>
  <c r="L18" i="28" s="1"/>
  <c r="M11" i="26"/>
  <c r="M16" i="26" s="1"/>
  <c r="E20" i="1"/>
  <c r="E22" i="1" s="1"/>
  <c r="M25" i="8"/>
  <c r="F20" i="1"/>
  <c r="F22" i="1" s="1"/>
  <c r="K9" i="24"/>
  <c r="K32" i="24" s="1"/>
  <c r="K9" i="11"/>
  <c r="K34" i="11" s="1"/>
  <c r="K11" i="8"/>
  <c r="K35" i="8" s="1"/>
  <c r="J14" i="7" s="1"/>
  <c r="J21" i="7" s="1"/>
  <c r="K25" i="8"/>
  <c r="K6" i="11"/>
  <c r="J6" i="11"/>
  <c r="C20" i="1"/>
  <c r="C22" i="1" s="1"/>
  <c r="D20" i="1"/>
  <c r="C16" i="62"/>
  <c r="C26" i="62" s="1"/>
  <c r="H6" i="11"/>
  <c r="G6" i="11"/>
  <c r="F31" i="10" s="1"/>
  <c r="F6" i="11"/>
  <c r="E31" i="10" s="1"/>
  <c r="E6" i="11"/>
  <c r="D31" i="10" s="1"/>
  <c r="D6" i="11"/>
  <c r="C6" i="11"/>
  <c r="B31" i="10" s="1"/>
  <c r="I6" i="11"/>
  <c r="I36" i="11" s="1"/>
  <c r="E36" i="11"/>
  <c r="I15" i="22"/>
  <c r="I54" i="22" s="1"/>
  <c r="H41" i="10" s="1"/>
  <c r="G24" i="17"/>
  <c r="G33" i="17" s="1"/>
  <c r="G22" i="14"/>
  <c r="G27" i="14" s="1"/>
  <c r="G42" i="28"/>
  <c r="G72" i="28" s="1"/>
  <c r="F51" i="10" s="1"/>
  <c r="G9" i="24"/>
  <c r="G32" i="24" s="1"/>
  <c r="G11" i="8"/>
  <c r="G35" i="8" s="1"/>
  <c r="E11" i="8"/>
  <c r="E35" i="8" s="1"/>
  <c r="E11" i="26"/>
  <c r="E16" i="26" s="1"/>
  <c r="D7" i="23" s="1"/>
  <c r="C11" i="26"/>
  <c r="C16" i="26" s="1"/>
  <c r="B20" i="1"/>
  <c r="N36" i="57"/>
  <c r="N37" i="57" s="1"/>
  <c r="G36" i="57"/>
  <c r="G37" i="57" s="1"/>
  <c r="E36" i="57"/>
  <c r="E37" i="57"/>
  <c r="F36" i="57"/>
  <c r="H36" i="57"/>
  <c r="H37" i="57" s="1"/>
  <c r="C36" i="57"/>
  <c r="C37" i="57" s="1"/>
  <c r="J36" i="57"/>
  <c r="J37" i="57" s="1"/>
  <c r="D36" i="57"/>
  <c r="D37" i="57" s="1"/>
  <c r="K36" i="57"/>
  <c r="K37" i="57"/>
  <c r="P36" i="57"/>
  <c r="Q36" i="57"/>
  <c r="P13" i="63" s="1"/>
  <c r="J7" i="1"/>
  <c r="L36" i="57"/>
  <c r="L7" i="1"/>
  <c r="H7" i="1"/>
  <c r="G7" i="1"/>
  <c r="I7" i="1"/>
  <c r="J35" i="1"/>
  <c r="D12" i="111"/>
  <c r="D25" i="111" s="1"/>
  <c r="T11" i="7"/>
  <c r="D6" i="137" s="1"/>
  <c r="C25" i="111" l="1"/>
  <c r="D29" i="120"/>
  <c r="D17" i="121"/>
  <c r="N43" i="10"/>
  <c r="D36" i="11"/>
  <c r="H36" i="11"/>
  <c r="H28" i="62"/>
  <c r="B14" i="7"/>
  <c r="B21" i="7" s="1"/>
  <c r="G14" i="7"/>
  <c r="G21" i="7" s="1"/>
  <c r="F33" i="15"/>
  <c r="L40" i="10"/>
  <c r="K56" i="22"/>
  <c r="O56" i="22"/>
  <c r="C36" i="88"/>
  <c r="M17" i="63"/>
  <c r="Q38" i="60"/>
  <c r="O15" i="7"/>
  <c r="F21" i="87"/>
  <c r="P42" i="10"/>
  <c r="G25" i="82"/>
  <c r="Q35" i="108"/>
  <c r="I36" i="57"/>
  <c r="I37" i="57" s="1"/>
  <c r="O39" i="119"/>
  <c r="D39" i="119"/>
  <c r="R46" i="10"/>
  <c r="S32" i="10"/>
  <c r="T33" i="12"/>
  <c r="T34" i="7"/>
  <c r="C54" i="111"/>
  <c r="C61" i="111" s="1"/>
  <c r="B41" i="10"/>
  <c r="H31" i="10"/>
  <c r="L7" i="23"/>
  <c r="C14" i="7"/>
  <c r="C21" i="7" s="1"/>
  <c r="H33" i="12"/>
  <c r="N33" i="12"/>
  <c r="G33" i="15"/>
  <c r="I33" i="15"/>
  <c r="M41" i="10"/>
  <c r="J35" i="108"/>
  <c r="E37" i="10"/>
  <c r="L16" i="63"/>
  <c r="O38" i="60"/>
  <c r="K38" i="60"/>
  <c r="G38" i="60"/>
  <c r="O37" i="57"/>
  <c r="Q37" i="57"/>
  <c r="G19" i="92"/>
  <c r="R13" i="63"/>
  <c r="I21" i="94"/>
  <c r="J17" i="121"/>
  <c r="F17" i="121"/>
  <c r="E30" i="122"/>
  <c r="H52" i="123"/>
  <c r="D52" i="123"/>
  <c r="I34" i="124"/>
  <c r="F25" i="127"/>
  <c r="P20" i="88"/>
  <c r="W19" i="10" s="1"/>
  <c r="U29" i="14"/>
  <c r="M35" i="8"/>
  <c r="M31" i="12"/>
  <c r="L38" i="10" s="1"/>
  <c r="H14" i="7"/>
  <c r="H21" i="7" s="1"/>
  <c r="L33" i="12"/>
  <c r="N37" i="8"/>
  <c r="D17" i="90"/>
  <c r="D21" i="94"/>
  <c r="L17" i="63"/>
  <c r="P33" i="15"/>
  <c r="R35" i="108"/>
  <c r="J20" i="88"/>
  <c r="H21" i="87"/>
  <c r="S37" i="8"/>
  <c r="D34" i="124"/>
  <c r="W36" i="57"/>
  <c r="U35" i="17"/>
  <c r="M36" i="88"/>
  <c r="L21" i="94"/>
  <c r="J36" i="10"/>
  <c r="E28" i="62"/>
  <c r="D33" i="15"/>
  <c r="C40" i="10"/>
  <c r="D35" i="17"/>
  <c r="N41" i="10"/>
  <c r="O42" i="19"/>
  <c r="I43" i="10"/>
  <c r="I39" i="10"/>
  <c r="M43" i="10"/>
  <c r="Q47" i="10"/>
  <c r="G29" i="120"/>
  <c r="C8" i="128"/>
  <c r="L30" i="122"/>
  <c r="W37" i="8"/>
  <c r="G33" i="12"/>
  <c r="C21" i="91"/>
  <c r="P26" i="58"/>
  <c r="F30" i="122"/>
  <c r="S17" i="63"/>
  <c r="K40" i="10"/>
  <c r="L33" i="15"/>
  <c r="I41" i="10"/>
  <c r="J56" i="22"/>
  <c r="N14" i="7"/>
  <c r="V25" i="127"/>
  <c r="W25" i="127"/>
  <c r="G31" i="10"/>
  <c r="F42" i="19"/>
  <c r="H39" i="10"/>
  <c r="I29" i="14"/>
  <c r="D36" i="88"/>
  <c r="N17" i="63"/>
  <c r="Q40" i="10"/>
  <c r="S23" i="10"/>
  <c r="S28" i="10" s="1"/>
  <c r="C7" i="137" s="1"/>
  <c r="D25" i="109"/>
  <c r="F42" i="10"/>
  <c r="G36" i="11"/>
  <c r="E42" i="19"/>
  <c r="L42" i="19"/>
  <c r="F37" i="8"/>
  <c r="E40" i="10"/>
  <c r="J41" i="10"/>
  <c r="C35" i="17"/>
  <c r="E39" i="10"/>
  <c r="K33" i="12"/>
  <c r="H42" i="10"/>
  <c r="N6" i="23"/>
  <c r="N16" i="23"/>
  <c r="N7" i="23"/>
  <c r="C51" i="10"/>
  <c r="K37" i="10"/>
  <c r="E38" i="60"/>
  <c r="P14" i="7"/>
  <c r="P21" i="7" s="1"/>
  <c r="J12" i="1" s="1"/>
  <c r="O16" i="63"/>
  <c r="O38" i="10"/>
  <c r="T7" i="63"/>
  <c r="U26" i="58"/>
  <c r="U17" i="26"/>
  <c r="J52" i="123"/>
  <c r="Y36" i="11"/>
  <c r="X47" i="10"/>
  <c r="D42" i="111"/>
  <c r="D43" i="111" s="1"/>
  <c r="P37" i="57"/>
  <c r="K31" i="10"/>
  <c r="C37" i="8"/>
  <c r="D39" i="10"/>
  <c r="M38" i="10"/>
  <c r="C38" i="10"/>
  <c r="D33" i="12"/>
  <c r="J39" i="10"/>
  <c r="M33" i="15"/>
  <c r="H40" i="10"/>
  <c r="E33" i="15"/>
  <c r="K42" i="10"/>
  <c r="H35" i="17"/>
  <c r="J35" i="17"/>
  <c r="M42" i="10"/>
  <c r="D21" i="87"/>
  <c r="J16" i="23"/>
  <c r="K17" i="26"/>
  <c r="F16" i="23"/>
  <c r="L47" i="10"/>
  <c r="B37" i="10"/>
  <c r="K26" i="58"/>
  <c r="H38" i="60"/>
  <c r="D38" i="60"/>
  <c r="P29" i="14"/>
  <c r="P35" i="17"/>
  <c r="O37" i="10"/>
  <c r="Q15" i="23"/>
  <c r="I21" i="91"/>
  <c r="T15" i="23"/>
  <c r="U38" i="60"/>
  <c r="I29" i="120"/>
  <c r="E17" i="121"/>
  <c r="H30" i="122"/>
  <c r="C52" i="123"/>
  <c r="L25" i="127"/>
  <c r="R25" i="127"/>
  <c r="Q32" i="10" s="1"/>
  <c r="W26" i="58"/>
  <c r="U16" i="10"/>
  <c r="U40" i="10"/>
  <c r="Q31" i="52"/>
  <c r="U17" i="23"/>
  <c r="X35" i="108"/>
  <c r="J31" i="10"/>
  <c r="N44" i="10"/>
  <c r="G24" i="59"/>
  <c r="I22" i="59"/>
  <c r="I24" i="59" s="1"/>
  <c r="L37" i="57"/>
  <c r="Q33" i="12"/>
  <c r="P47" i="10"/>
  <c r="G21" i="91"/>
  <c r="Q38" i="10"/>
  <c r="F19" i="92"/>
  <c r="E25" i="109"/>
  <c r="J29" i="120"/>
  <c r="J25" i="127"/>
  <c r="N25" i="127"/>
  <c r="O29" i="120"/>
  <c r="U16" i="63"/>
  <c r="W24" i="59"/>
  <c r="Y37" i="60"/>
  <c r="W17" i="63" s="1"/>
  <c r="W37" i="60"/>
  <c r="U42" i="19"/>
  <c r="X42" i="19"/>
  <c r="S28" i="62"/>
  <c r="H42" i="81"/>
  <c r="C34" i="124"/>
  <c r="F52" i="123"/>
  <c r="N38" i="119"/>
  <c r="N39" i="119" s="1"/>
  <c r="F39" i="119"/>
  <c r="J39" i="119"/>
  <c r="P39" i="119"/>
  <c r="R38" i="119"/>
  <c r="D18" i="128" s="1"/>
  <c r="P32" i="24"/>
  <c r="N14" i="23" s="1"/>
  <c r="I22" i="93"/>
  <c r="L44" i="10"/>
  <c r="O44" i="10"/>
  <c r="G42" i="10"/>
  <c r="Q42" i="10"/>
  <c r="S35" i="17"/>
  <c r="X35" i="17"/>
  <c r="L35" i="17"/>
  <c r="N35" i="17"/>
  <c r="K35" i="17"/>
  <c r="N38" i="10"/>
  <c r="P33" i="12"/>
  <c r="J33" i="12"/>
  <c r="G28" i="62"/>
  <c r="L24" i="59"/>
  <c r="E24" i="59"/>
  <c r="D24" i="59"/>
  <c r="O24" i="59"/>
  <c r="K24" i="59"/>
  <c r="C24" i="59"/>
  <c r="Q24" i="59"/>
  <c r="R24" i="59"/>
  <c r="T16" i="63"/>
  <c r="S24" i="59"/>
  <c r="H24" i="59"/>
  <c r="M16" i="63"/>
  <c r="J24" i="59"/>
  <c r="F24" i="59"/>
  <c r="P24" i="59"/>
  <c r="T24" i="59"/>
  <c r="M24" i="59"/>
  <c r="N16" i="63"/>
  <c r="E21" i="94"/>
  <c r="P45" i="10"/>
  <c r="O45" i="10"/>
  <c r="L42" i="81"/>
  <c r="W44" i="10"/>
  <c r="V44" i="10"/>
  <c r="D22" i="1"/>
  <c r="B22" i="1"/>
  <c r="J36" i="88"/>
  <c r="I36" i="88"/>
  <c r="H36" i="88"/>
  <c r="N10" i="23"/>
  <c r="E28" i="53"/>
  <c r="T18" i="23"/>
  <c r="S21" i="136"/>
  <c r="C21" i="136"/>
  <c r="J19" i="23"/>
  <c r="I28" i="53"/>
  <c r="D21" i="136"/>
  <c r="H21" i="136"/>
  <c r="L21" i="136"/>
  <c r="M34" i="24"/>
  <c r="J34" i="24"/>
  <c r="J40" i="111"/>
  <c r="J42" i="111" s="1"/>
  <c r="C42" i="111"/>
  <c r="F42" i="111"/>
  <c r="F43" i="111" s="1"/>
  <c r="B25" i="111"/>
  <c r="R7" i="7" s="1"/>
  <c r="J29" i="14"/>
  <c r="M29" i="14"/>
  <c r="S29" i="14"/>
  <c r="P37" i="10"/>
  <c r="L36" i="10"/>
  <c r="K28" i="62"/>
  <c r="W36" i="10"/>
  <c r="M35" i="10"/>
  <c r="O35" i="10"/>
  <c r="Q35" i="10"/>
  <c r="P35" i="10"/>
  <c r="C27" i="51"/>
  <c r="J35" i="10"/>
  <c r="L27" i="51"/>
  <c r="H35" i="10"/>
  <c r="K27" i="51"/>
  <c r="E27" i="51"/>
  <c r="F25" i="111"/>
  <c r="E34" i="124"/>
  <c r="I52" i="123"/>
  <c r="E52" i="123"/>
  <c r="B10" i="128"/>
  <c r="G52" i="123"/>
  <c r="H29" i="120"/>
  <c r="P29" i="120"/>
  <c r="N29" i="120"/>
  <c r="K29" i="120"/>
  <c r="C29" i="120"/>
  <c r="I39" i="119"/>
  <c r="E39" i="119"/>
  <c r="H39" i="119"/>
  <c r="K39" i="119"/>
  <c r="Q39" i="119"/>
  <c r="M39" i="119"/>
  <c r="C21" i="139"/>
  <c r="C25" i="128"/>
  <c r="C28" i="128" s="1"/>
  <c r="K52" i="123"/>
  <c r="Q29" i="120"/>
  <c r="B28" i="128"/>
  <c r="D23" i="138"/>
  <c r="H37" i="8"/>
  <c r="K14" i="7"/>
  <c r="K21" i="7" s="1"/>
  <c r="U23" i="7"/>
  <c r="R21" i="7"/>
  <c r="B13" i="137" s="1"/>
  <c r="O21" i="7"/>
  <c r="I12" i="1" s="1"/>
  <c r="R11" i="7"/>
  <c r="Q21" i="7"/>
  <c r="K12" i="1" s="1"/>
  <c r="M17" i="26"/>
  <c r="E17" i="26"/>
  <c r="G7" i="23"/>
  <c r="H17" i="26"/>
  <c r="F7" i="23"/>
  <c r="H7" i="23"/>
  <c r="D17" i="26"/>
  <c r="N19" i="23"/>
  <c r="H28" i="53"/>
  <c r="I19" i="23"/>
  <c r="G28" i="53"/>
  <c r="O19" i="23"/>
  <c r="K28" i="53"/>
  <c r="K10" i="23"/>
  <c r="L10" i="23"/>
  <c r="H19" i="23"/>
  <c r="J28" i="53"/>
  <c r="J10" i="23"/>
  <c r="O10" i="23"/>
  <c r="M28" i="53"/>
  <c r="P28" i="53"/>
  <c r="R28" i="53"/>
  <c r="I10" i="23"/>
  <c r="P19" i="23"/>
  <c r="Q28" i="53"/>
  <c r="F21" i="136"/>
  <c r="J21" i="136"/>
  <c r="N21" i="136"/>
  <c r="M21" i="136"/>
  <c r="E21" i="136"/>
  <c r="I21" i="136"/>
  <c r="G21" i="136"/>
  <c r="K21" i="136"/>
  <c r="O21" i="136"/>
  <c r="V21" i="136"/>
  <c r="I8" i="23"/>
  <c r="H17" i="23"/>
  <c r="I17" i="23"/>
  <c r="E31" i="52"/>
  <c r="H8" i="23"/>
  <c r="L17" i="23"/>
  <c r="P17" i="23"/>
  <c r="F31" i="52"/>
  <c r="N8" i="23"/>
  <c r="K31" i="52"/>
  <c r="M8" i="23"/>
  <c r="P31" i="52"/>
  <c r="H31" i="52"/>
  <c r="Q17" i="23"/>
  <c r="I31" i="52"/>
  <c r="N17" i="23"/>
  <c r="L31" i="52"/>
  <c r="T8" i="23"/>
  <c r="S17" i="23"/>
  <c r="W34" i="24"/>
  <c r="I14" i="23"/>
  <c r="O14" i="23"/>
  <c r="S14" i="23"/>
  <c r="J5" i="23"/>
  <c r="B14" i="23"/>
  <c r="L14" i="23"/>
  <c r="T34" i="24"/>
  <c r="V32" i="24"/>
  <c r="T14" i="23" s="1"/>
  <c r="O5" i="23"/>
  <c r="I5" i="23"/>
  <c r="I34" i="24"/>
  <c r="C34" i="24"/>
  <c r="O34" i="24"/>
  <c r="N34" i="24"/>
  <c r="E14" i="23"/>
  <c r="E20" i="23" s="1"/>
  <c r="P34" i="24"/>
  <c r="M5" i="23"/>
  <c r="U14" i="23"/>
  <c r="X34" i="24"/>
  <c r="N13" i="63"/>
  <c r="L34" i="24"/>
  <c r="L5" i="23"/>
  <c r="H14" i="23"/>
  <c r="Q34" i="24"/>
  <c r="B5" i="23"/>
  <c r="G5" i="23"/>
  <c r="E5" i="23"/>
  <c r="S34" i="24"/>
  <c r="Y34" i="24"/>
  <c r="H51" i="10"/>
  <c r="S74" i="28"/>
  <c r="P74" i="28"/>
  <c r="P51" i="10"/>
  <c r="T74" i="28"/>
  <c r="N51" i="10"/>
  <c r="G25" i="109"/>
  <c r="Q48" i="10"/>
  <c r="C22" i="93"/>
  <c r="U22" i="10"/>
  <c r="P48" i="10"/>
  <c r="F22" i="93"/>
  <c r="L22" i="93"/>
  <c r="E22" i="93"/>
  <c r="N48" i="10"/>
  <c r="K22" i="93"/>
  <c r="M46" i="10"/>
  <c r="N46" i="10"/>
  <c r="E25" i="82"/>
  <c r="F25" i="82"/>
  <c r="D25" i="82"/>
  <c r="E36" i="88"/>
  <c r="G20" i="88"/>
  <c r="Q45" i="10"/>
  <c r="N20" i="88"/>
  <c r="U19" i="10" s="1"/>
  <c r="L36" i="88"/>
  <c r="O36" i="88"/>
  <c r="N36" i="88"/>
  <c r="K45" i="10"/>
  <c r="L20" i="88"/>
  <c r="T19" i="10" s="1"/>
  <c r="F42" i="81"/>
  <c r="P44" i="10"/>
  <c r="E42" i="81"/>
  <c r="O43" i="10"/>
  <c r="M42" i="19"/>
  <c r="S42" i="19"/>
  <c r="R17" i="10"/>
  <c r="V42" i="19"/>
  <c r="I42" i="10"/>
  <c r="G35" i="17"/>
  <c r="E35" i="17"/>
  <c r="O35" i="17"/>
  <c r="Q35" i="17"/>
  <c r="R56" i="22"/>
  <c r="P56" i="22"/>
  <c r="T56" i="22"/>
  <c r="O41" i="10"/>
  <c r="V56" i="22"/>
  <c r="M56" i="22"/>
  <c r="W56" i="22"/>
  <c r="W33" i="15"/>
  <c r="S33" i="15"/>
  <c r="J40" i="10"/>
  <c r="B40" i="10"/>
  <c r="M40" i="10"/>
  <c r="Q33" i="15"/>
  <c r="Q39" i="10"/>
  <c r="B39" i="10"/>
  <c r="K39" i="10"/>
  <c r="G39" i="10"/>
  <c r="M33" i="12"/>
  <c r="P38" i="10"/>
  <c r="W33" i="12"/>
  <c r="S33" i="12"/>
  <c r="R12" i="10"/>
  <c r="O35" i="108"/>
  <c r="K35" i="108"/>
  <c r="F37" i="10"/>
  <c r="C35" i="108"/>
  <c r="H37" i="10"/>
  <c r="D35" i="108"/>
  <c r="I35" i="108"/>
  <c r="D37" i="10"/>
  <c r="T35" i="108"/>
  <c r="L37" i="10"/>
  <c r="I36" i="10"/>
  <c r="J27" i="51"/>
  <c r="R27" i="51"/>
  <c r="H27" i="51"/>
  <c r="S27" i="51"/>
  <c r="N35" i="10"/>
  <c r="O27" i="51"/>
  <c r="M27" i="51"/>
  <c r="G27" i="51"/>
  <c r="U6" i="10"/>
  <c r="E17" i="90"/>
  <c r="R31" i="10"/>
  <c r="W31" i="10"/>
  <c r="J36" i="11"/>
  <c r="F36" i="11"/>
  <c r="O36" i="11"/>
  <c r="C36" i="11"/>
  <c r="K36" i="11"/>
  <c r="M15" i="63"/>
  <c r="L15" i="63"/>
  <c r="I26" i="58"/>
  <c r="E26" i="58"/>
  <c r="P15" i="63"/>
  <c r="L26" i="58"/>
  <c r="D26" i="58"/>
  <c r="R26" i="58"/>
  <c r="X26" i="58"/>
  <c r="Q26" i="58"/>
  <c r="Q15" i="63"/>
  <c r="Q18" i="63" s="1"/>
  <c r="K11" i="1" s="1"/>
  <c r="F37" i="57"/>
  <c r="S10" i="63"/>
  <c r="C5" i="137" s="1"/>
  <c r="U10" i="63"/>
  <c r="T10" i="63"/>
  <c r="D5" i="137" s="1"/>
  <c r="R10" i="63"/>
  <c r="E18" i="137"/>
  <c r="C28" i="62"/>
  <c r="H36" i="10"/>
  <c r="B16" i="23"/>
  <c r="L14" i="7"/>
  <c r="M37" i="8"/>
  <c r="G29" i="14"/>
  <c r="F39" i="10"/>
  <c r="L31" i="10"/>
  <c r="F14" i="23"/>
  <c r="F20" i="23" s="1"/>
  <c r="F5" i="23"/>
  <c r="G34" i="24"/>
  <c r="D14" i="7"/>
  <c r="D21" i="7" s="1"/>
  <c r="E37" i="8"/>
  <c r="F14" i="7"/>
  <c r="F21" i="7" s="1"/>
  <c r="G37" i="8"/>
  <c r="I35" i="10"/>
  <c r="D27" i="51"/>
  <c r="K36" i="10"/>
  <c r="F28" i="62"/>
  <c r="J17" i="26"/>
  <c r="I7" i="23"/>
  <c r="C21" i="94"/>
  <c r="L15" i="7"/>
  <c r="I56" i="22"/>
  <c r="B7" i="23"/>
  <c r="D28" i="62"/>
  <c r="H29" i="14"/>
  <c r="C33" i="15"/>
  <c r="K33" i="15"/>
  <c r="L37" i="8"/>
  <c r="I27" i="51"/>
  <c r="C56" i="22"/>
  <c r="L43" i="10"/>
  <c r="N31" i="10"/>
  <c r="E41" i="10"/>
  <c r="F41" i="10"/>
  <c r="N36" i="10"/>
  <c r="D42" i="10"/>
  <c r="H43" i="10"/>
  <c r="I42" i="19"/>
  <c r="N42" i="19"/>
  <c r="I17" i="26"/>
  <c r="F34" i="24"/>
  <c r="D28" i="53"/>
  <c r="C16" i="23"/>
  <c r="H5" i="23"/>
  <c r="M10" i="23"/>
  <c r="H10" i="23"/>
  <c r="N47" i="10"/>
  <c r="E21" i="87"/>
  <c r="D5" i="23"/>
  <c r="D11" i="23" s="1"/>
  <c r="E34" i="24"/>
  <c r="E21" i="91"/>
  <c r="K7" i="23"/>
  <c r="K16" i="23"/>
  <c r="H16" i="23"/>
  <c r="G31" i="52"/>
  <c r="L8" i="23"/>
  <c r="J8" i="23"/>
  <c r="L19" i="23"/>
  <c r="C28" i="53"/>
  <c r="K19" i="23"/>
  <c r="F28" i="53"/>
  <c r="L35" i="108"/>
  <c r="G37" i="10"/>
  <c r="H35" i="108"/>
  <c r="C5" i="23"/>
  <c r="C14" i="23"/>
  <c r="L13" i="63"/>
  <c r="L18" i="63" s="1"/>
  <c r="C17" i="26"/>
  <c r="C31" i="10"/>
  <c r="I31" i="10"/>
  <c r="K37" i="8"/>
  <c r="K34" i="24"/>
  <c r="L16" i="23"/>
  <c r="L35" i="10"/>
  <c r="O29" i="14"/>
  <c r="N39" i="10"/>
  <c r="K41" i="10"/>
  <c r="L56" i="22"/>
  <c r="E42" i="10"/>
  <c r="F35" i="17"/>
  <c r="M44" i="10"/>
  <c r="D42" i="81"/>
  <c r="J17" i="23"/>
  <c r="N17" i="26"/>
  <c r="M19" i="23"/>
  <c r="I16" i="23"/>
  <c r="K14" i="23"/>
  <c r="E7" i="23"/>
  <c r="M7" i="23"/>
  <c r="N45" i="10"/>
  <c r="G36" i="88"/>
  <c r="L46" i="10"/>
  <c r="C25" i="82"/>
  <c r="K5" i="23"/>
  <c r="C7" i="23"/>
  <c r="I74" i="28"/>
  <c r="D74" i="28"/>
  <c r="M17" i="23"/>
  <c r="N15" i="7"/>
  <c r="N21" i="7" s="1"/>
  <c r="N35" i="108"/>
  <c r="M37" i="10"/>
  <c r="K35" i="10"/>
  <c r="F27" i="51"/>
  <c r="K8" i="23"/>
  <c r="K17" i="23"/>
  <c r="O13" i="63"/>
  <c r="O18" i="63" s="1"/>
  <c r="M36" i="11"/>
  <c r="T23" i="7"/>
  <c r="M13" i="63"/>
  <c r="D16" i="23"/>
  <c r="D20" i="23" s="1"/>
  <c r="J14" i="23"/>
  <c r="J37" i="8"/>
  <c r="N36" i="11"/>
  <c r="M31" i="10"/>
  <c r="M39" i="10"/>
  <c r="N29" i="14"/>
  <c r="I40" i="10"/>
  <c r="J33" i="15"/>
  <c r="O33" i="15"/>
  <c r="N40" i="10"/>
  <c r="D34" i="24"/>
  <c r="L15" i="23"/>
  <c r="F17" i="26"/>
  <c r="L45" i="10"/>
  <c r="E20" i="88"/>
  <c r="M45" i="10"/>
  <c r="F36" i="88"/>
  <c r="M74" i="28"/>
  <c r="K51" i="10"/>
  <c r="H74" i="28"/>
  <c r="C74" i="28"/>
  <c r="E35" i="108"/>
  <c r="T31" i="10"/>
  <c r="U36" i="11"/>
  <c r="N27" i="51"/>
  <c r="S35" i="10"/>
  <c r="O15" i="23"/>
  <c r="F21" i="91"/>
  <c r="O6" i="23"/>
  <c r="O7" i="23"/>
  <c r="P17" i="26"/>
  <c r="O8" i="23"/>
  <c r="O17" i="23"/>
  <c r="O20" i="23" s="1"/>
  <c r="I30" i="1" s="1"/>
  <c r="Q43" i="10"/>
  <c r="R42" i="19"/>
  <c r="Q46" i="10"/>
  <c r="H25" i="82"/>
  <c r="R17" i="26"/>
  <c r="Q16" i="23"/>
  <c r="L28" i="53"/>
  <c r="Q19" i="23"/>
  <c r="R22" i="10"/>
  <c r="G22" i="93"/>
  <c r="R41" i="10"/>
  <c r="S56" i="22"/>
  <c r="R15" i="63"/>
  <c r="R18" i="63" s="1"/>
  <c r="S26" i="58"/>
  <c r="D13" i="137"/>
  <c r="M12" i="1"/>
  <c r="T26" i="10"/>
  <c r="U74" i="28"/>
  <c r="W35" i="108"/>
  <c r="U37" i="10"/>
  <c r="K34" i="124"/>
  <c r="U31" i="10"/>
  <c r="W36" i="11"/>
  <c r="J51" i="10"/>
  <c r="F74" i="28"/>
  <c r="M51" i="10"/>
  <c r="M15" i="7"/>
  <c r="M21" i="7" s="1"/>
  <c r="G35" i="108"/>
  <c r="M26" i="58"/>
  <c r="N24" i="59"/>
  <c r="P36" i="11"/>
  <c r="J31" i="52"/>
  <c r="Q29" i="14"/>
  <c r="P39" i="10"/>
  <c r="Q56" i="22"/>
  <c r="P41" i="10"/>
  <c r="P43" i="10"/>
  <c r="Q42" i="19"/>
  <c r="O48" i="10"/>
  <c r="D22" i="93"/>
  <c r="R34" i="24"/>
  <c r="P14" i="23"/>
  <c r="U33" i="12"/>
  <c r="T13" i="10"/>
  <c r="T29" i="14"/>
  <c r="T36" i="10"/>
  <c r="O28" i="62"/>
  <c r="U13" i="63"/>
  <c r="W37" i="57"/>
  <c r="W38" i="60"/>
  <c r="U17" i="63"/>
  <c r="H34" i="24"/>
  <c r="G14" i="23"/>
  <c r="G20" i="23" s="1"/>
  <c r="J74" i="28"/>
  <c r="E74" i="28"/>
  <c r="N15" i="63"/>
  <c r="J28" i="62"/>
  <c r="P16" i="63"/>
  <c r="P40" i="10"/>
  <c r="P15" i="23"/>
  <c r="R33" i="12"/>
  <c r="K36" i="88"/>
  <c r="K20" i="88"/>
  <c r="R19" i="10" s="1"/>
  <c r="R36" i="10"/>
  <c r="M28" i="62"/>
  <c r="R49" i="10"/>
  <c r="C25" i="109"/>
  <c r="T10" i="23"/>
  <c r="T11" i="23" s="1"/>
  <c r="O28" i="53"/>
  <c r="T22" i="10"/>
  <c r="H22" i="93"/>
  <c r="B11" i="128"/>
  <c r="B14" i="128" s="1"/>
  <c r="L34" i="124"/>
  <c r="S13" i="63"/>
  <c r="T37" i="57"/>
  <c r="S14" i="63" s="1"/>
  <c r="S36" i="10"/>
  <c r="N28" i="62"/>
  <c r="O51" i="10"/>
  <c r="S35" i="108"/>
  <c r="I21" i="87"/>
  <c r="T13" i="63"/>
  <c r="T18" i="63" s="1"/>
  <c r="T42" i="19"/>
  <c r="J25" i="82"/>
  <c r="U10" i="23"/>
  <c r="U11" i="23" s="1"/>
  <c r="N4" i="124"/>
  <c r="N5" i="124" s="1"/>
  <c r="V35" i="108"/>
  <c r="X29" i="14"/>
  <c r="V16" i="10"/>
  <c r="W35" i="17"/>
  <c r="M31" i="52"/>
  <c r="B42" i="111"/>
  <c r="U13" i="10"/>
  <c r="U43" i="10"/>
  <c r="V19" i="10"/>
  <c r="O20" i="88"/>
  <c r="AA11" i="7"/>
  <c r="S20" i="23"/>
  <c r="C15" i="137" s="1"/>
  <c r="C23" i="138"/>
  <c r="V43" i="10"/>
  <c r="W42" i="19"/>
  <c r="D11" i="128"/>
  <c r="O34" i="124"/>
  <c r="S23" i="7"/>
  <c r="AA21" i="7"/>
  <c r="U45" i="10"/>
  <c r="H25" i="109"/>
  <c r="N52" i="123"/>
  <c r="W15" i="10"/>
  <c r="W28" i="10" s="1"/>
  <c r="G7" i="137" s="1"/>
  <c r="J7" i="137" s="1"/>
  <c r="X56" i="22"/>
  <c r="G4" i="111"/>
  <c r="G12" i="111" s="1"/>
  <c r="V10" i="63"/>
  <c r="F5" i="137" s="1"/>
  <c r="X33" i="12"/>
  <c r="V12" i="10"/>
  <c r="E19" i="125"/>
  <c r="E21" i="139"/>
  <c r="X38" i="60"/>
  <c r="C15" i="143"/>
  <c r="W50" i="10"/>
  <c r="R28" i="62"/>
  <c r="E23" i="138"/>
  <c r="P34" i="124"/>
  <c r="R31" i="52"/>
  <c r="V17" i="23"/>
  <c r="S28" i="53"/>
  <c r="N21" i="94"/>
  <c r="X25" i="127"/>
  <c r="V32" i="10"/>
  <c r="P36" i="88"/>
  <c r="E28" i="128"/>
  <c r="D19" i="125"/>
  <c r="X33" i="15"/>
  <c r="U21" i="136"/>
  <c r="V18" i="23"/>
  <c r="G31" i="111"/>
  <c r="O6" i="94"/>
  <c r="G39" i="111"/>
  <c r="X36" i="11"/>
  <c r="V31" i="10"/>
  <c r="M17" i="90"/>
  <c r="G38" i="111"/>
  <c r="V17" i="7"/>
  <c r="Q51" i="10"/>
  <c r="M25" i="82"/>
  <c r="V20" i="10"/>
  <c r="V74" i="28"/>
  <c r="R17" i="121"/>
  <c r="Q17" i="121"/>
  <c r="V39" i="10"/>
  <c r="B51" i="10"/>
  <c r="K74" i="28"/>
  <c r="Y74" i="28"/>
  <c r="D51" i="10"/>
  <c r="S51" i="10"/>
  <c r="L51" i="10"/>
  <c r="E51" i="10"/>
  <c r="R74" i="28"/>
  <c r="Q74" i="28"/>
  <c r="L74" i="28"/>
  <c r="O74" i="28"/>
  <c r="W74" i="28"/>
  <c r="N74" i="28"/>
  <c r="G51" i="10"/>
  <c r="G74" i="28"/>
  <c r="I51" i="10"/>
  <c r="X37" i="8"/>
  <c r="R20" i="23"/>
  <c r="B15" i="137" s="1"/>
  <c r="R11" i="23"/>
  <c r="B8" i="137" s="1"/>
  <c r="S11" i="23"/>
  <c r="U20" i="23"/>
  <c r="V13" i="63"/>
  <c r="V18" i="63" s="1"/>
  <c r="W13" i="63"/>
  <c r="Y33" i="12"/>
  <c r="I25" i="109"/>
  <c r="V9" i="7"/>
  <c r="Y12" i="8"/>
  <c r="Y35" i="8" s="1"/>
  <c r="N25" i="82"/>
  <c r="W49" i="10"/>
  <c r="W45" i="10"/>
  <c r="M42" i="81"/>
  <c r="N40" i="81"/>
  <c r="N42" i="81" s="1"/>
  <c r="Z32" i="24"/>
  <c r="S17" i="121"/>
  <c r="E5" i="128"/>
  <c r="S39" i="119"/>
  <c r="E6" i="128"/>
  <c r="S29" i="120"/>
  <c r="O52" i="123"/>
  <c r="D21" i="139"/>
  <c r="W17" i="23"/>
  <c r="S31" i="52"/>
  <c r="Z15" i="63"/>
  <c r="N5" i="23" l="1"/>
  <c r="N11" i="23" s="1"/>
  <c r="C11" i="23"/>
  <c r="B53" i="10"/>
  <c r="Z17" i="63"/>
  <c r="W18" i="63"/>
  <c r="W20" i="63" s="1"/>
  <c r="V28" i="10"/>
  <c r="F7" i="137" s="1"/>
  <c r="S18" i="63"/>
  <c r="P18" i="63"/>
  <c r="J11" i="1" s="1"/>
  <c r="M18" i="63"/>
  <c r="C53" i="10"/>
  <c r="B20" i="23"/>
  <c r="B22" i="23" s="1"/>
  <c r="N20" i="23"/>
  <c r="H14" i="1" s="1"/>
  <c r="T20" i="23"/>
  <c r="D15" i="137" s="1"/>
  <c r="L12" i="1"/>
  <c r="Y38" i="60"/>
  <c r="U28" i="10"/>
  <c r="AA23" i="7"/>
  <c r="F11" i="23"/>
  <c r="R39" i="119"/>
  <c r="Q20" i="23"/>
  <c r="K14" i="1" s="1"/>
  <c r="I20" i="23"/>
  <c r="Y21" i="7"/>
  <c r="T28" i="10"/>
  <c r="D7" i="137" s="1"/>
  <c r="J53" i="10"/>
  <c r="L29" i="10" s="1"/>
  <c r="Q53" i="10"/>
  <c r="K13" i="1" s="1"/>
  <c r="F53" i="10"/>
  <c r="H53" i="10"/>
  <c r="K53" i="10"/>
  <c r="G40" i="111"/>
  <c r="V16" i="7" s="1"/>
  <c r="B30" i="128"/>
  <c r="M15" i="1" s="1"/>
  <c r="G11" i="23"/>
  <c r="I28" i="1"/>
  <c r="R23" i="7"/>
  <c r="B6" i="137"/>
  <c r="L21" i="7"/>
  <c r="I11" i="23"/>
  <c r="L20" i="23"/>
  <c r="E11" i="23"/>
  <c r="M20" i="23"/>
  <c r="G30" i="1" s="1"/>
  <c r="M11" i="23"/>
  <c r="I14" i="1"/>
  <c r="L11" i="23"/>
  <c r="J20" i="23"/>
  <c r="J11" i="23"/>
  <c r="V34" i="24"/>
  <c r="B11" i="23"/>
  <c r="N18" i="63"/>
  <c r="H11" i="1" s="1"/>
  <c r="H20" i="23"/>
  <c r="H11" i="23"/>
  <c r="P20" i="23"/>
  <c r="J14" i="1" s="1"/>
  <c r="K20" i="23"/>
  <c r="S22" i="23"/>
  <c r="L14" i="1"/>
  <c r="K11" i="23"/>
  <c r="V20" i="23"/>
  <c r="V22" i="23" s="1"/>
  <c r="O53" i="10"/>
  <c r="I13" i="1" s="1"/>
  <c r="R28" i="10"/>
  <c r="B7" i="137" s="1"/>
  <c r="D53" i="10"/>
  <c r="M53" i="10"/>
  <c r="G13" i="1" s="1"/>
  <c r="U53" i="10"/>
  <c r="U55" i="10" s="1"/>
  <c r="T53" i="10"/>
  <c r="D14" i="137" s="1"/>
  <c r="G53" i="10"/>
  <c r="L53" i="10"/>
  <c r="V53" i="10"/>
  <c r="F14" i="137" s="1"/>
  <c r="N53" i="10"/>
  <c r="H13" i="1" s="1"/>
  <c r="P53" i="10"/>
  <c r="J13" i="1" s="1"/>
  <c r="E53" i="10"/>
  <c r="R53" i="10"/>
  <c r="L13" i="1" s="1"/>
  <c r="U18" i="63"/>
  <c r="R20" i="63"/>
  <c r="B5" i="137"/>
  <c r="Z13" i="63"/>
  <c r="C11" i="128"/>
  <c r="C14" i="128" s="1"/>
  <c r="C30" i="128" s="1"/>
  <c r="N34" i="124"/>
  <c r="D8" i="137"/>
  <c r="I53" i="10"/>
  <c r="S53" i="10"/>
  <c r="C14" i="137" s="1"/>
  <c r="D12" i="137"/>
  <c r="M11" i="1"/>
  <c r="G18" i="111"/>
  <c r="G23" i="111" s="1"/>
  <c r="C12" i="137"/>
  <c r="S20" i="63"/>
  <c r="G28" i="1"/>
  <c r="G12" i="1"/>
  <c r="L11" i="1"/>
  <c r="B12" i="137"/>
  <c r="O11" i="23"/>
  <c r="I11" i="1"/>
  <c r="I27" i="1"/>
  <c r="O21" i="94"/>
  <c r="H12" i="111"/>
  <c r="T20" i="63"/>
  <c r="G27" i="1"/>
  <c r="G11" i="1"/>
  <c r="H12" i="1"/>
  <c r="H28" i="1"/>
  <c r="C20" i="23"/>
  <c r="C22" i="23" s="1"/>
  <c r="AA26" i="10"/>
  <c r="W53" i="10"/>
  <c r="G14" i="137" s="1"/>
  <c r="K14" i="137" s="1"/>
  <c r="U22" i="23"/>
  <c r="H30" i="1"/>
  <c r="C8" i="137"/>
  <c r="C9" i="137" s="1"/>
  <c r="R22" i="23"/>
  <c r="V20" i="63"/>
  <c r="F12" i="137"/>
  <c r="G12" i="137"/>
  <c r="K12" i="137" s="1"/>
  <c r="Y37" i="8"/>
  <c r="Z34" i="24"/>
  <c r="W14" i="23"/>
  <c r="W20" i="23" s="1"/>
  <c r="W22" i="23" s="1"/>
  <c r="D28" i="128"/>
  <c r="V20" i="7" s="1"/>
  <c r="D14" i="128"/>
  <c r="E14" i="128"/>
  <c r="U20" i="63"/>
  <c r="G14" i="1" l="1"/>
  <c r="T22" i="23"/>
  <c r="K20" i="1"/>
  <c r="K22" i="1" s="1"/>
  <c r="K38" i="1" s="1"/>
  <c r="M14" i="1"/>
  <c r="Z18" i="63"/>
  <c r="B9" i="137"/>
  <c r="D9" i="137"/>
  <c r="I29" i="1"/>
  <c r="L20" i="1"/>
  <c r="L22" i="1" s="1"/>
  <c r="I13" i="137"/>
  <c r="I16" i="137" s="1"/>
  <c r="I18" i="137" s="1"/>
  <c r="Y23" i="7"/>
  <c r="V55" i="10"/>
  <c r="V21" i="7"/>
  <c r="F13" i="137" s="1"/>
  <c r="G42" i="111"/>
  <c r="G43" i="111" s="1"/>
  <c r="H27" i="1"/>
  <c r="F15" i="137"/>
  <c r="Z22" i="23"/>
  <c r="I20" i="1"/>
  <c r="I22" i="1" s="1"/>
  <c r="R55" i="10"/>
  <c r="G29" i="1"/>
  <c r="H29" i="1"/>
  <c r="D16" i="137"/>
  <c r="B14" i="137"/>
  <c r="B16" i="137" s="1"/>
  <c r="G35" i="1"/>
  <c r="T55" i="10"/>
  <c r="M13" i="1"/>
  <c r="M20" i="1" s="1"/>
  <c r="S55" i="10"/>
  <c r="I35" i="1"/>
  <c r="H20" i="1"/>
  <c r="H22" i="1" s="1"/>
  <c r="Z20" i="63"/>
  <c r="G20" i="1"/>
  <c r="G22" i="1" s="1"/>
  <c r="D30" i="128"/>
  <c r="V10" i="7"/>
  <c r="C16" i="137"/>
  <c r="C18" i="137" s="1"/>
  <c r="G25" i="111"/>
  <c r="V7" i="7" s="1"/>
  <c r="AA50" i="10"/>
  <c r="W55" i="10"/>
  <c r="AA53" i="10" s="1"/>
  <c r="Z20" i="23"/>
  <c r="G15" i="137"/>
  <c r="K15" i="137" s="1"/>
  <c r="E30" i="128"/>
  <c r="B18" i="137" l="1"/>
  <c r="D18" i="137"/>
  <c r="H35" i="1"/>
  <c r="F16" i="137"/>
  <c r="V11" i="7"/>
  <c r="H23" i="111"/>
  <c r="H25" i="111" s="1"/>
  <c r="W11" i="7" l="1"/>
  <c r="G6" i="137" s="1"/>
  <c r="F6" i="137"/>
  <c r="F9" i="137" s="1"/>
  <c r="F18" i="137" s="1"/>
  <c r="V23" i="7"/>
  <c r="H40" i="111"/>
  <c r="W21" i="7" s="1"/>
  <c r="H42" i="111" l="1"/>
  <c r="H43" i="111" s="1"/>
  <c r="G13" i="137"/>
  <c r="K13" i="137" s="1"/>
  <c r="J6" i="137"/>
  <c r="G9" i="137"/>
  <c r="W23" i="7" l="1"/>
  <c r="G16" i="137"/>
  <c r="K16" i="137" s="1"/>
  <c r="J9" i="137"/>
  <c r="G18" i="137" l="1"/>
  <c r="J18" i="137" s="1"/>
  <c r="Z35" i="17"/>
  <c r="J22" i="1"/>
  <c r="J20" i="1"/>
  <c r="J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Collins</author>
    <author>Suzanne Burdett</author>
  </authors>
  <commentList>
    <comment ref="B15" authorId="0" shapeId="0" xr:uid="{00000000-0006-0000-0100-000001000000}">
      <text>
        <r>
          <rPr>
            <b/>
            <sz val="8"/>
            <color indexed="81"/>
            <rFont val="Tahoma"/>
            <family val="2"/>
          </rPr>
          <t>David Collins:</t>
        </r>
        <r>
          <rPr>
            <sz val="8"/>
            <color indexed="81"/>
            <rFont val="Tahoma"/>
            <family val="2"/>
          </rPr>
          <t xml:space="preserve">
Add 2000 for General Meetings</t>
        </r>
      </text>
    </comment>
    <comment ref="F18" authorId="1" shapeId="0" xr:uid="{00000000-0006-0000-0100-000002000000}">
      <text>
        <r>
          <rPr>
            <b/>
            <sz val="9"/>
            <color indexed="81"/>
            <rFont val="Tahoma"/>
            <family val="2"/>
          </rPr>
          <t>Suzanne Burdett:</t>
        </r>
        <r>
          <rPr>
            <sz val="9"/>
            <color indexed="81"/>
            <rFont val="Tahoma"/>
            <family val="2"/>
          </rPr>
          <t xml:space="preserve">
Director of Communications - now part of VPOF budget
</t>
        </r>
      </text>
    </comment>
    <comment ref="B31" authorId="0" shapeId="0" xr:uid="{00000000-0006-0000-0100-000003000000}">
      <text>
        <r>
          <rPr>
            <b/>
            <sz val="8"/>
            <color indexed="81"/>
            <rFont val="Tahoma"/>
            <family val="2"/>
          </rPr>
          <t>David Collins:</t>
        </r>
        <r>
          <rPr>
            <sz val="8"/>
            <color indexed="81"/>
            <rFont val="Tahoma"/>
            <family val="2"/>
          </rPr>
          <t xml:space="preserve">
Add 2000 for General Meetings</t>
        </r>
      </text>
    </comment>
    <comment ref="F34" authorId="1" shapeId="0" xr:uid="{00000000-0006-0000-0100-000004000000}">
      <text>
        <r>
          <rPr>
            <b/>
            <sz val="9"/>
            <color indexed="81"/>
            <rFont val="Tahoma"/>
            <family val="2"/>
          </rPr>
          <t>Suzanne Burdett:</t>
        </r>
        <r>
          <rPr>
            <sz val="9"/>
            <color indexed="81"/>
            <rFont val="Tahoma"/>
            <family val="2"/>
          </rPr>
          <t xml:space="preserve">
Director of Communications - now part of VPOF budget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Windows User</author>
    <author>Suzanne Burdett</author>
    <author>Carly McCready</author>
    <author>Kurt MacMillan</author>
    <author>Brendan Lowther (he/him)</author>
    <author>Ben Balfour</author>
  </authors>
  <commentList>
    <comment ref="O11" authorId="0" shapeId="0" xr:uid="{00000000-0006-0000-0C00-000001000000}">
      <text>
        <r>
          <rPr>
            <b/>
            <sz val="9"/>
            <color indexed="81"/>
            <rFont val="Tahoma"/>
            <family val="2"/>
          </rPr>
          <t>Windows User:</t>
        </r>
        <r>
          <rPr>
            <sz val="9"/>
            <color indexed="81"/>
            <rFont val="Tahoma"/>
            <family val="2"/>
          </rPr>
          <t xml:space="preserve">
New CL dept assistant to support department - $2000 from 31300 + $500 from 30100, $200 from VPSL spec01 and $200 from Equity Commissioner spec01
Paid $14 hourly for 10 hours/week</t>
        </r>
      </text>
    </comment>
    <comment ref="Q11" authorId="0" shapeId="0" xr:uid="{00000000-0006-0000-0C00-000002000000}">
      <text>
        <r>
          <rPr>
            <b/>
            <sz val="9"/>
            <color indexed="81"/>
            <rFont val="Tahoma"/>
            <family val="2"/>
          </rPr>
          <t>Windows User:</t>
        </r>
        <r>
          <rPr>
            <sz val="9"/>
            <color indexed="81"/>
            <rFont val="Tahoma"/>
            <family val="2"/>
          </rPr>
          <t xml:space="preserve">
pt staff for society event forms and pt clubs mgr hours to Sept</t>
        </r>
      </text>
    </comment>
    <comment ref="U11" authorId="1" shapeId="0" xr:uid="{17BCCEEB-165E-4A88-A50A-EABEF4627886}">
      <text>
        <r>
          <rPr>
            <b/>
            <sz val="9"/>
            <color indexed="81"/>
            <rFont val="Tahoma"/>
            <family val="2"/>
          </rPr>
          <t>Suzanne Burdett:</t>
        </r>
        <r>
          <rPr>
            <sz val="9"/>
            <color indexed="81"/>
            <rFont val="Tahoma"/>
            <family val="2"/>
          </rPr>
          <t xml:space="preserve">
$17/hr*15 hrs/week, 14 weeks/term, *1.13, 2 terms</t>
        </r>
      </text>
    </comment>
    <comment ref="G18" authorId="2" shapeId="0" xr:uid="{00000000-0006-0000-0C00-000004000000}">
      <text>
        <r>
          <rPr>
            <b/>
            <sz val="9"/>
            <color indexed="81"/>
            <rFont val="Tahoma"/>
            <family val="2"/>
          </rPr>
          <t>Carly McCready:</t>
        </r>
        <r>
          <rPr>
            <sz val="9"/>
            <color indexed="81"/>
            <rFont val="Tahoma"/>
            <family val="2"/>
          </rPr>
          <t xml:space="preserve">
attending CAUCUS</t>
        </r>
      </text>
    </comment>
    <comment ref="I18" authorId="2" shapeId="0" xr:uid="{00000000-0006-0000-0C00-000005000000}">
      <text>
        <r>
          <rPr>
            <b/>
            <sz val="9"/>
            <color indexed="81"/>
            <rFont val="Tahoma"/>
            <family val="2"/>
          </rPr>
          <t>Carly McCready:</t>
        </r>
        <r>
          <rPr>
            <sz val="9"/>
            <color indexed="81"/>
            <rFont val="Tahoma"/>
            <family val="2"/>
          </rPr>
          <t xml:space="preserve">
Director CL + Special Events attending COCA</t>
        </r>
      </text>
    </comment>
    <comment ref="M18" authorId="3" shapeId="0" xr:uid="{00000000-0006-0000-0C00-000006000000}">
      <text>
        <r>
          <rPr>
            <b/>
            <sz val="9"/>
            <color indexed="81"/>
            <rFont val="Tahoma"/>
            <family val="2"/>
          </rPr>
          <t>Kurt MacMillan:</t>
        </r>
        <r>
          <rPr>
            <sz val="9"/>
            <color indexed="81"/>
            <rFont val="Tahoma"/>
            <family val="2"/>
          </rPr>
          <t xml:space="preserve">
New conf this year on Student engagement </t>
        </r>
      </text>
    </comment>
    <comment ref="O18" authorId="3" shapeId="0" xr:uid="{00000000-0006-0000-0C00-000007000000}">
      <text>
        <r>
          <rPr>
            <b/>
            <sz val="9"/>
            <color indexed="81"/>
            <rFont val="Tahoma"/>
            <family val="2"/>
          </rPr>
          <t>Kurt MacMillan:</t>
        </r>
        <r>
          <rPr>
            <sz val="9"/>
            <color indexed="81"/>
            <rFont val="Tahoma"/>
            <family val="2"/>
          </rPr>
          <t xml:space="preserve">
1 COCA + 1 AMICCUS + 2 school visit
</t>
        </r>
      </text>
    </comment>
    <comment ref="U18" authorId="4" shapeId="0" xr:uid="{C4705F65-2CD1-4222-BDA7-AAE002D4742E}">
      <text>
        <r>
          <rPr>
            <b/>
            <sz val="9"/>
            <color rgb="FF000000"/>
            <rFont val="Tahoma"/>
            <family val="2"/>
          </rPr>
          <t>Brendan Lowther (he/him):</t>
        </r>
        <r>
          <rPr>
            <sz val="9"/>
            <color rgb="FF000000"/>
            <rFont val="Tahoma"/>
            <family val="2"/>
          </rPr>
          <t xml:space="preserve">
</t>
        </r>
        <r>
          <rPr>
            <sz val="9"/>
            <color rgb="FF000000"/>
            <rFont val="Tahoma"/>
            <family val="2"/>
          </rPr>
          <t xml:space="preserve">AMICCUS Conference - Halifax
</t>
        </r>
      </text>
    </comment>
    <comment ref="E20" authorId="5" shapeId="0" xr:uid="{00000000-0006-0000-0C00-000008000000}">
      <text>
        <r>
          <rPr>
            <b/>
            <sz val="9"/>
            <color indexed="81"/>
            <rFont val="Tahoma"/>
            <family val="2"/>
          </rPr>
          <t>Ben Balfour:</t>
        </r>
        <r>
          <rPr>
            <sz val="9"/>
            <color indexed="81"/>
            <rFont val="Tahoma"/>
            <family val="2"/>
          </rPr>
          <t xml:space="preserve">
Agreed that managers could take out staff once per year.  Otherwise covered under staff relations in general office</t>
        </r>
      </text>
    </comment>
    <comment ref="G20" authorId="1" shapeId="0" xr:uid="{00000000-0006-0000-0C00-000009000000}">
      <text>
        <r>
          <rPr>
            <b/>
            <sz val="9"/>
            <color indexed="81"/>
            <rFont val="Tahoma"/>
            <family val="2"/>
          </rPr>
          <t>Suzanne Burdett:</t>
        </r>
        <r>
          <rPr>
            <sz val="9"/>
            <color indexed="81"/>
            <rFont val="Tahoma"/>
            <family val="2"/>
          </rPr>
          <t xml:space="preserve">
$60/staff member per year
</t>
        </r>
      </text>
    </comment>
    <comment ref="Q20" authorId="0" shapeId="0" xr:uid="{00000000-0006-0000-0C00-00000A000000}">
      <text>
        <r>
          <rPr>
            <b/>
            <sz val="9"/>
            <color indexed="81"/>
            <rFont val="Tahoma"/>
            <family val="2"/>
          </rPr>
          <t>Windows User:</t>
        </r>
        <r>
          <rPr>
            <sz val="9"/>
            <color indexed="81"/>
            <rFont val="Tahoma"/>
            <family val="2"/>
          </rPr>
          <t xml:space="preserve">
We now have 2 extra staff in the CLD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tc={7A0EA619-54B1-499B-B3BD-D4E63AECDD58}</author>
    <author>Brendan Lowther</author>
    <author>Brian Schwan</author>
    <author>Kurt MacMillan</author>
    <author>Windows User</author>
    <author>Brendan Lowther (he/him)</author>
    <author>Kierra Young</author>
    <author>Alana Christi Guevara</author>
  </authors>
  <commentList>
    <comment ref="R8" authorId="0" shapeId="0" xr:uid="{7A0EA619-54B1-499B-B3BD-D4E63AECDD58}">
      <text>
        <t xml:space="preserve">[Threaded comment]
Your version of Excel allows you to read this threaded comment; however, any edits to it will get removed if the file is opened in a newer version of Excel. Learn more: https://go.microsoft.com/fwlink/?linkid=870924
Comment:
    added line
</t>
      </text>
    </comment>
    <comment ref="C11" authorId="1" shapeId="0" xr:uid="{00000000-0006-0000-0D00-000001000000}">
      <text>
        <r>
          <rPr>
            <b/>
            <sz val="8"/>
            <color indexed="81"/>
            <rFont val="Tahoma"/>
            <family val="2"/>
          </rPr>
          <t>Brendan Lowther:</t>
        </r>
        <r>
          <rPr>
            <sz val="8"/>
            <color indexed="81"/>
            <rFont val="Tahoma"/>
            <family val="2"/>
          </rPr>
          <t xml:space="preserve">
12 Coordinators x $200 x 3 terms
</t>
        </r>
      </text>
    </comment>
    <comment ref="I11" authorId="2" shapeId="0" xr:uid="{00000000-0006-0000-0D00-000002000000}">
      <text>
        <r>
          <rPr>
            <b/>
            <sz val="9"/>
            <color indexed="81"/>
            <rFont val="Tahoma"/>
            <family val="2"/>
          </rPr>
          <t>Brian Schwan:</t>
        </r>
        <r>
          <rPr>
            <sz val="9"/>
            <color indexed="81"/>
            <rFont val="Tahoma"/>
            <family val="2"/>
          </rPr>
          <t xml:space="preserve">
350 per term per coord x 24 z 3 terms</t>
        </r>
      </text>
    </comment>
    <comment ref="M11" authorId="3" shapeId="0" xr:uid="{00000000-0006-0000-0D00-000003000000}">
      <text>
        <r>
          <rPr>
            <b/>
            <sz val="9"/>
            <color indexed="81"/>
            <rFont val="Tahoma"/>
            <family val="2"/>
          </rPr>
          <t>Kurt MacMillan:</t>
        </r>
        <r>
          <rPr>
            <sz val="9"/>
            <color indexed="81"/>
            <rFont val="Tahoma"/>
            <family val="2"/>
          </rPr>
          <t xml:space="preserve">
Due to new service and multiple coordinators in some services (2 coord per service at $500 honoraria at once per term) </t>
        </r>
      </text>
    </comment>
    <comment ref="O11" authorId="4" shapeId="0" xr:uid="{00000000-0006-0000-0D00-000004000000}">
      <text>
        <r>
          <rPr>
            <b/>
            <sz val="9"/>
            <color indexed="81"/>
            <rFont val="Tahoma"/>
            <family val="2"/>
          </rPr>
          <t xml:space="preserve">Brendan Lowther:
</t>
        </r>
        <r>
          <rPr>
            <sz val="9"/>
            <color indexed="81"/>
            <rFont val="Tahoma"/>
            <family val="2"/>
          </rPr>
          <t>20 Coordinators x $500 x 3 terms. This does not include the Bike Centre if they go to PT Staff Manager. If not, we need to add $1000/term. 
Note: VPOF and VPSL have approved PT staff manager for Bike Centre out of its net surplus (revenues over expenses)</t>
        </r>
      </text>
    </comment>
    <comment ref="Q11" authorId="1" shapeId="0" xr:uid="{00000000-0006-0000-0D00-000005000000}">
      <text>
        <r>
          <rPr>
            <b/>
            <sz val="10"/>
            <color rgb="FF000000"/>
            <rFont val="Tahoma"/>
            <family val="2"/>
          </rPr>
          <t>Brendan Lowther:</t>
        </r>
        <r>
          <rPr>
            <sz val="10"/>
            <color rgb="FF000000"/>
            <rFont val="Tahoma"/>
            <family val="2"/>
          </rPr>
          <t xml:space="preserve">
</t>
        </r>
        <r>
          <rPr>
            <sz val="10"/>
            <color rgb="FF000000"/>
            <rFont val="Tahoma"/>
            <family val="2"/>
          </rPr>
          <t>This is now reflected in each Service budget directly.</t>
        </r>
      </text>
    </comment>
    <comment ref="C12" authorId="1" shapeId="0" xr:uid="{00000000-0006-0000-0D00-000006000000}">
      <text>
        <r>
          <rPr>
            <b/>
            <sz val="8"/>
            <color indexed="81"/>
            <rFont val="Tahoma"/>
            <family val="2"/>
          </rPr>
          <t>Brendan Lowther:</t>
        </r>
        <r>
          <rPr>
            <sz val="8"/>
            <color indexed="81"/>
            <rFont val="Tahoma"/>
            <family val="2"/>
          </rPr>
          <t xml:space="preserve">
12 Coordinators x $30 (Gift) + $30 (Dinner) x 3 terms
+ $30 x 3 (Service Manager Meals)</t>
        </r>
      </text>
    </comment>
    <comment ref="M12" authorId="3" shapeId="0" xr:uid="{00000000-0006-0000-0D00-000007000000}">
      <text>
        <r>
          <rPr>
            <b/>
            <sz val="9"/>
            <color indexed="81"/>
            <rFont val="Tahoma"/>
            <family val="2"/>
          </rPr>
          <t>Kurt MacMillan:</t>
        </r>
        <r>
          <rPr>
            <sz val="9"/>
            <color indexed="81"/>
            <rFont val="Tahoma"/>
            <family val="2"/>
          </rPr>
          <t xml:space="preserve">
Over 3 terms there's 72 coordinators $30/gift and $30/dinner</t>
        </r>
      </text>
    </comment>
    <comment ref="O12" authorId="4" shapeId="0" xr:uid="{00000000-0006-0000-0D00-000008000000}">
      <text>
        <r>
          <rPr>
            <b/>
            <sz val="9"/>
            <color indexed="81"/>
            <rFont val="Tahoma"/>
            <family val="2"/>
          </rPr>
          <t>Brendan Lowther:</t>
        </r>
        <r>
          <rPr>
            <sz val="9"/>
            <color indexed="81"/>
            <rFont val="Tahoma"/>
            <family val="2"/>
          </rPr>
          <t xml:space="preserve">
$60 Appreciation per Coordinator x 20 x 3 Terms
* Does not include Bike Centre - Must add $360 if no PT Manager
</t>
        </r>
      </text>
    </comment>
    <comment ref="Q12" authorId="1" shapeId="0" xr:uid="{00000000-0006-0000-0D00-000009000000}">
      <text>
        <r>
          <rPr>
            <b/>
            <sz val="10"/>
            <color rgb="FF000000"/>
            <rFont val="Tahoma"/>
            <family val="2"/>
          </rPr>
          <t>Brendan Lowther:</t>
        </r>
        <r>
          <rPr>
            <sz val="10"/>
            <color rgb="FF000000"/>
            <rFont val="Tahoma"/>
            <family val="2"/>
          </rPr>
          <t xml:space="preserve">
</t>
        </r>
        <r>
          <rPr>
            <sz val="10"/>
            <color rgb="FF000000"/>
            <rFont val="Tahoma"/>
            <family val="2"/>
          </rPr>
          <t xml:space="preserve">Assumption made that no appreciation will happen for Winter term due to pay for Coords
</t>
        </r>
        <r>
          <rPr>
            <sz val="10"/>
            <color rgb="FF000000"/>
            <rFont val="Tahoma"/>
            <family val="2"/>
          </rPr>
          <t xml:space="preserve">
</t>
        </r>
        <r>
          <rPr>
            <sz val="10"/>
            <color rgb="FF000000"/>
            <rFont val="Tahoma"/>
            <family val="2"/>
          </rPr>
          <t xml:space="preserve">14 Coords x $60 - Spring Term = $840
</t>
        </r>
        <r>
          <rPr>
            <sz val="10"/>
            <color rgb="FF000000"/>
            <rFont val="Tahoma"/>
            <family val="2"/>
          </rPr>
          <t>19 Coords x $60 - Fall Term = 1140</t>
        </r>
      </text>
    </comment>
    <comment ref="S13" authorId="1" shapeId="0" xr:uid="{D0F5AC95-E84C-47FB-A56B-C8034F07738D}">
      <text>
        <r>
          <rPr>
            <b/>
            <sz val="10"/>
            <color rgb="FF000000"/>
            <rFont val="Tahoma"/>
            <family val="2"/>
          </rPr>
          <t>Brendan Lowther:</t>
        </r>
        <r>
          <rPr>
            <sz val="10"/>
            <color rgb="FF000000"/>
            <rFont val="Tahoma"/>
            <family val="2"/>
          </rPr>
          <t xml:space="preserve">
</t>
        </r>
        <r>
          <rPr>
            <sz val="10"/>
            <color rgb="FF000000"/>
            <rFont val="Tahoma"/>
            <family val="2"/>
          </rPr>
          <t>Would like to reflect this amount due to working from home and some costs for returning to campus</t>
        </r>
      </text>
    </comment>
    <comment ref="U13" authorId="1" shapeId="0" xr:uid="{8FCE6589-8414-4491-9A65-39C899A91B64}">
      <text>
        <r>
          <rPr>
            <b/>
            <sz val="10"/>
            <color rgb="FF000000"/>
            <rFont val="Tahoma"/>
            <family val="2"/>
          </rPr>
          <t xml:space="preserve">Kierra Young: </t>
        </r>
        <r>
          <rPr>
            <sz val="10"/>
            <color rgb="FF000000"/>
            <rFont val="Tahoma"/>
            <family val="2"/>
          </rPr>
          <t xml:space="preserve">Costs to reflect updates to Services Manager new office </t>
        </r>
      </text>
    </comment>
    <comment ref="S14" authorId="5" shapeId="0" xr:uid="{CF542755-4334-4F04-97F7-8FE1A411F0CE}">
      <text>
        <r>
          <rPr>
            <b/>
            <sz val="10"/>
            <color rgb="FF000000"/>
            <rFont val="Tahoma"/>
            <family val="2"/>
          </rPr>
          <t>Brendan Lowther (he/him):</t>
        </r>
        <r>
          <rPr>
            <sz val="10"/>
            <color rgb="FF000000"/>
            <rFont val="Tahoma"/>
            <family val="2"/>
          </rPr>
          <t xml:space="preserve">
</t>
        </r>
        <r>
          <rPr>
            <sz val="10"/>
            <color rgb="FF000000"/>
            <rFont val="Tahoma"/>
            <family val="2"/>
          </rPr>
          <t xml:space="preserve">$!00 for in person training costs Winter term
</t>
        </r>
        <r>
          <rPr>
            <sz val="10"/>
            <color rgb="FF000000"/>
            <rFont val="Tahoma"/>
            <family val="2"/>
          </rPr>
          <t>$300 for ongoing education/training costs for services manager</t>
        </r>
      </text>
    </comment>
    <comment ref="U14" authorId="5" shapeId="0" xr:uid="{3BEE6A16-CC7F-41B3-966A-FC4907CA0324}">
      <text>
        <r>
          <rPr>
            <b/>
            <sz val="10"/>
            <color rgb="FF000000"/>
            <rFont val="Tahoma"/>
            <family val="2"/>
          </rPr>
          <t>Kierra (she/hher):</t>
        </r>
        <r>
          <rPr>
            <sz val="10"/>
            <color rgb="FF000000"/>
            <rFont val="Tahoma"/>
            <family val="2"/>
          </rPr>
          <t xml:space="preserve">
No more in person training so food costs here no longer necessary
</t>
        </r>
      </text>
    </comment>
    <comment ref="C16" authorId="1" shapeId="0" xr:uid="{00000000-0006-0000-0D00-00000A000000}">
      <text>
        <r>
          <rPr>
            <b/>
            <sz val="8"/>
            <color indexed="81"/>
            <rFont val="Tahoma"/>
            <family val="2"/>
          </rPr>
          <t>Brendan Lowther:</t>
        </r>
        <r>
          <rPr>
            <sz val="8"/>
            <color indexed="81"/>
            <rFont val="Tahoma"/>
            <family val="2"/>
          </rPr>
          <t xml:space="preserve">
$200/term for various training sessions + $20/term for 12 coordinators and $20/term for 35 execs for "Team Building" budget</t>
        </r>
      </text>
    </comment>
    <comment ref="M16" authorId="3" shapeId="0" xr:uid="{00000000-0006-0000-0D00-00000B000000}">
      <text>
        <r>
          <rPr>
            <b/>
            <sz val="9"/>
            <color indexed="81"/>
            <rFont val="Tahoma"/>
            <family val="2"/>
          </rPr>
          <t>Kurt MacMillan:</t>
        </r>
        <r>
          <rPr>
            <sz val="9"/>
            <color indexed="81"/>
            <rFont val="Tahoma"/>
            <family val="2"/>
          </rPr>
          <t xml:space="preserve">
$250/term for coordinator orientation and then meeting snacks</t>
        </r>
      </text>
    </comment>
    <comment ref="S17" authorId="5" shapeId="0" xr:uid="{D52D1B79-CB1B-47FE-9823-E1A0D2AF55DB}">
      <text>
        <r>
          <rPr>
            <b/>
            <sz val="10"/>
            <color rgb="FF000000"/>
            <rFont val="Tahoma"/>
            <family val="2"/>
          </rPr>
          <t>Brendan Lowther (he/him):</t>
        </r>
        <r>
          <rPr>
            <sz val="10"/>
            <color rgb="FF000000"/>
            <rFont val="Tahoma"/>
            <family val="2"/>
          </rPr>
          <t xml:space="preserve">
</t>
        </r>
        <r>
          <rPr>
            <sz val="10"/>
            <color rgb="FF000000"/>
            <rFont val="Tahoma"/>
            <family val="2"/>
          </rPr>
          <t>$20/person per term</t>
        </r>
      </text>
    </comment>
    <comment ref="C19" authorId="1" shapeId="0" xr:uid="{00000000-0006-0000-0D00-00000C000000}">
      <text>
        <r>
          <rPr>
            <b/>
            <sz val="8"/>
            <color indexed="81"/>
            <rFont val="Tahoma"/>
            <family val="2"/>
          </rPr>
          <t>Brendan Lowther</t>
        </r>
      </text>
    </comment>
    <comment ref="S19" authorId="5" shapeId="0" xr:uid="{F6991490-A6C1-4C07-846B-62E4C98D4E5D}">
      <text>
        <r>
          <rPr>
            <b/>
            <sz val="10"/>
            <color rgb="FF000000"/>
            <rFont val="Tahoma"/>
            <family val="2"/>
          </rPr>
          <t>Brendan Lowther (he/him):</t>
        </r>
        <r>
          <rPr>
            <sz val="10"/>
            <color rgb="FF000000"/>
            <rFont val="Tahoma"/>
            <family val="2"/>
          </rPr>
          <t xml:space="preserve">
</t>
        </r>
        <r>
          <rPr>
            <sz val="10"/>
            <color rgb="FF000000"/>
            <rFont val="Tahoma"/>
            <family val="2"/>
          </rPr>
          <t xml:space="preserve">$100 per term to support initiatives from the services or new supports
</t>
        </r>
      </text>
    </comment>
    <comment ref="U19" authorId="5" shapeId="0" xr:uid="{0592C28B-0A49-455E-A835-BCCAA24A7C83}">
      <text>
        <r>
          <rPr>
            <b/>
            <sz val="10"/>
            <color rgb="FF000000"/>
            <rFont val="Tahoma"/>
            <family val="2"/>
          </rPr>
          <t>Kierra Young:</t>
        </r>
        <r>
          <rPr>
            <sz val="10"/>
            <color rgb="FF000000"/>
            <rFont val="Tahoma"/>
            <family val="2"/>
          </rPr>
          <t xml:space="preserve">
$100 per term to support initiatives from the services or new supports
</t>
        </r>
      </text>
    </comment>
    <comment ref="C20" authorId="1" shapeId="0" xr:uid="{00000000-0006-0000-0D00-00000D000000}">
      <text>
        <r>
          <rPr>
            <b/>
            <sz val="8"/>
            <color indexed="81"/>
            <rFont val="Tahoma"/>
            <family val="2"/>
          </rPr>
          <t>Brendan Lowther:</t>
        </r>
        <r>
          <rPr>
            <sz val="8"/>
            <color indexed="81"/>
            <rFont val="Tahoma"/>
            <family val="2"/>
          </rPr>
          <t xml:space="preserve">
Necessary or under Campus Life Dept?</t>
        </r>
      </text>
    </comment>
    <comment ref="U21" authorId="6" shapeId="0" xr:uid="{3ECAC981-2FBB-4F4F-90AC-7320F5ED5C35}">
      <text>
        <r>
          <rPr>
            <b/>
            <sz val="9"/>
            <color indexed="81"/>
            <rFont val="Tahoma"/>
            <family val="2"/>
          </rPr>
          <t>Kierra Young:</t>
        </r>
        <r>
          <rPr>
            <sz val="9"/>
            <color indexed="81"/>
            <rFont val="Tahoma"/>
            <family val="2"/>
          </rPr>
          <t xml:space="preserve">
AMICUS - $650 in conference fees plus accommodations for several nights and potential flights if out of province</t>
        </r>
      </text>
    </comment>
    <comment ref="U22" authorId="6" shapeId="0" xr:uid="{693E1AF8-A0E8-4B53-A60F-12A58F25E672}">
      <text>
        <r>
          <rPr>
            <b/>
            <sz val="9"/>
            <color indexed="81"/>
            <rFont val="Tahoma"/>
            <family val="2"/>
          </rPr>
          <t>Kierra Young:</t>
        </r>
        <r>
          <rPr>
            <sz val="9"/>
            <color indexed="81"/>
            <rFont val="Tahoma"/>
            <family val="2"/>
          </rPr>
          <t xml:space="preserve">
New phone system - no more landlines or phone costs</t>
        </r>
      </text>
    </comment>
    <comment ref="U24" authorId="1" shapeId="0" xr:uid="{13EABAA7-2834-4DF2-B964-C4D3903D7352}">
      <text>
        <r>
          <rPr>
            <b/>
            <sz val="9"/>
            <color rgb="FF000000"/>
            <rFont val="Tahoma"/>
            <family val="2"/>
          </rPr>
          <t xml:space="preserve">Kierra Young:
</t>
        </r>
        <r>
          <rPr>
            <b/>
            <sz val="9"/>
            <color rgb="FF000000"/>
            <rFont val="Tahoma"/>
            <family val="2"/>
          </rPr>
          <t xml:space="preserve">See Co-op Proposal Document for detail
</t>
        </r>
      </text>
    </comment>
    <comment ref="M25" authorId="3" shapeId="0" xr:uid="{00000000-0006-0000-0D00-00000F000000}">
      <text>
        <r>
          <rPr>
            <b/>
            <sz val="9"/>
            <color indexed="81"/>
            <rFont val="Tahoma"/>
            <family val="2"/>
          </rPr>
          <t>Kurt MacMillan:</t>
        </r>
        <r>
          <rPr>
            <sz val="9"/>
            <color indexed="81"/>
            <rFont val="Tahoma"/>
            <family val="2"/>
          </rPr>
          <t xml:space="preserve">
New position approved at GM to support seeking services. ~26wks at $15.50, 15hr/wk</t>
        </r>
      </text>
    </comment>
    <comment ref="O25" authorId="4" shapeId="0" xr:uid="{00000000-0006-0000-0D00-000010000000}">
      <text>
        <r>
          <rPr>
            <b/>
            <sz val="9"/>
            <color indexed="81"/>
            <rFont val="Tahoma"/>
            <family val="2"/>
          </rPr>
          <t>Windows User:</t>
        </r>
        <r>
          <rPr>
            <sz val="9"/>
            <color indexed="81"/>
            <rFont val="Tahoma"/>
            <family val="2"/>
          </rPr>
          <t xml:space="preserve">
Money must be used for PT support based on services by usage rates. All services should see benefit, notes Bucget &amp; Appropriations Committee</t>
        </r>
      </text>
    </comment>
    <comment ref="Q25" authorId="7" shapeId="0" xr:uid="{5979F790-27E3-4748-83AD-4E3EF214BB67}">
      <text>
        <r>
          <rPr>
            <b/>
            <sz val="9"/>
            <color indexed="81"/>
            <rFont val="Tahoma"/>
            <family val="2"/>
          </rPr>
          <t>Alana Christi Guevara:</t>
        </r>
        <r>
          <rPr>
            <sz val="9"/>
            <color indexed="81"/>
            <rFont val="Tahoma"/>
            <family val="2"/>
          </rPr>
          <t xml:space="preserve">
18 weeks - 15 hours/week at 15.50/hr</t>
        </r>
      </text>
    </comment>
    <comment ref="S25" authorId="1" shapeId="0" xr:uid="{67C10A1A-783F-49D2-A75F-E11CF39E5C09}">
      <text>
        <r>
          <rPr>
            <b/>
            <sz val="9"/>
            <color rgb="FF000000"/>
            <rFont val="Tahoma"/>
            <family val="2"/>
          </rPr>
          <t>Brendan Lowther:</t>
        </r>
        <r>
          <rPr>
            <sz val="9"/>
            <color rgb="FF000000"/>
            <rFont val="Tahoma"/>
            <family val="2"/>
          </rPr>
          <t xml:space="preserve">
</t>
        </r>
        <r>
          <rPr>
            <sz val="9"/>
            <color rgb="FF000000"/>
            <rFont val="Tahoma"/>
            <family val="2"/>
          </rPr>
          <t>$16.50 (+4%) x 15hrs/week x 48 weeks</t>
        </r>
      </text>
    </comment>
    <comment ref="U25" authorId="5" shapeId="0" xr:uid="{B59E429D-48A5-4A1F-874E-77A38BB1407B}">
      <text>
        <r>
          <rPr>
            <b/>
            <sz val="10"/>
            <color rgb="FF000000"/>
            <rFont val="Tahoma"/>
            <family val="2"/>
          </rPr>
          <t>Brendan Lowther (he/him):</t>
        </r>
        <r>
          <rPr>
            <sz val="10"/>
            <color rgb="FF000000"/>
            <rFont val="Tahoma"/>
            <family val="2"/>
          </rPr>
          <t xml:space="preserve">
1 Term PT Services 
Coordinator prior to Co-op in Fall</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Kumar Patel</author>
    <author>Kurt MacMillan</author>
    <author>Windows User</author>
    <author>nbest</author>
    <author>Natasha Pozega</author>
    <author>Benjamin Balfour</author>
    <author>Rachel Lui</author>
    <author>Suzanne Burdett</author>
    <author>Ben Balfour</author>
    <author>Clark</author>
    <author>David Collins</author>
    <author>Carly McCready</author>
  </authors>
  <commentList>
    <comment ref="G6" authorId="0" shapeId="0" xr:uid="{00000000-0006-0000-0E00-000001000000}">
      <text>
        <r>
          <rPr>
            <b/>
            <sz val="8"/>
            <color indexed="81"/>
            <rFont val="Tahoma"/>
            <family val="2"/>
          </rPr>
          <t>Kumar Patel:</t>
        </r>
        <r>
          <rPr>
            <sz val="8"/>
            <color indexed="81"/>
            <rFont val="Tahoma"/>
            <family val="2"/>
          </rPr>
          <t xml:space="preserve">
Based on 50 cotton candy machine rentals at 20 dollars each</t>
        </r>
      </text>
    </comment>
    <comment ref="S6" authorId="1" shapeId="0" xr:uid="{00000000-0006-0000-0E00-000002000000}">
      <text>
        <r>
          <rPr>
            <b/>
            <sz val="9"/>
            <color indexed="81"/>
            <rFont val="Tahoma"/>
            <family val="2"/>
          </rPr>
          <t>Kurt MacMillan:</t>
        </r>
        <r>
          <rPr>
            <sz val="9"/>
            <color indexed="81"/>
            <rFont val="Tahoma"/>
            <family val="2"/>
          </rPr>
          <t xml:space="preserve">
For BBQ and projector rentals
</t>
        </r>
      </text>
    </comment>
    <comment ref="U6" authorId="2" shapeId="0" xr:uid="{00000000-0006-0000-0E00-000003000000}">
      <text>
        <r>
          <rPr>
            <b/>
            <sz val="9"/>
            <color indexed="81"/>
            <rFont val="Tahoma"/>
            <family val="2"/>
          </rPr>
          <t>Windows User:</t>
        </r>
        <r>
          <rPr>
            <sz val="9"/>
            <color indexed="81"/>
            <rFont val="Tahoma"/>
            <family val="2"/>
          </rPr>
          <t xml:space="preserve">
looking at opportunities for BBQ rental to continue </t>
        </r>
      </text>
    </comment>
    <comment ref="G7" authorId="0" shapeId="0" xr:uid="{00000000-0006-0000-0E00-000004000000}">
      <text>
        <r>
          <rPr>
            <b/>
            <sz val="8"/>
            <color indexed="81"/>
            <rFont val="Tahoma"/>
            <family val="2"/>
          </rPr>
          <t>Kumar Patel:</t>
        </r>
        <r>
          <rPr>
            <sz val="8"/>
            <color indexed="81"/>
            <rFont val="Tahoma"/>
            <family val="2"/>
          </rPr>
          <t xml:space="preserve">
Based on 150 cartons of cotton candy sugar at 10 dollars each</t>
        </r>
      </text>
    </comment>
    <comment ref="T8" authorId="2" shapeId="0" xr:uid="{00000000-0006-0000-0E00-000005000000}">
      <text>
        <r>
          <rPr>
            <b/>
            <sz val="9"/>
            <color indexed="81"/>
            <rFont val="Tahoma"/>
            <family val="2"/>
          </rPr>
          <t>Windows User:</t>
        </r>
        <r>
          <rPr>
            <sz val="9"/>
            <color indexed="81"/>
            <rFont val="Tahoma"/>
            <family val="2"/>
          </rPr>
          <t xml:space="preserve">
Accounts not yet closed out</t>
        </r>
      </text>
    </comment>
    <comment ref="U8" authorId="2" shapeId="0" xr:uid="{00000000-0006-0000-0E00-000006000000}">
      <text>
        <r>
          <rPr>
            <b/>
            <sz val="9"/>
            <color indexed="81"/>
            <rFont val="Tahoma"/>
            <family val="2"/>
          </rPr>
          <t>Windows User:</t>
        </r>
        <r>
          <rPr>
            <sz val="9"/>
            <color indexed="81"/>
            <rFont val="Tahoma"/>
            <family val="2"/>
          </rPr>
          <t xml:space="preserve">
When clubs dissolve, bank accounts go into surplus</t>
        </r>
      </text>
    </comment>
    <comment ref="G13" authorId="0" shapeId="0" xr:uid="{00000000-0006-0000-0E00-000007000000}">
      <text>
        <r>
          <rPr>
            <b/>
            <sz val="8"/>
            <color indexed="81"/>
            <rFont val="Tahoma"/>
            <family val="2"/>
          </rPr>
          <t>Kumar Patel:</t>
        </r>
        <r>
          <rPr>
            <sz val="8"/>
            <color indexed="81"/>
            <rFont val="Tahoma"/>
            <family val="2"/>
          </rPr>
          <t xml:space="preserve">
Will cover operations of the Internal Services Director, Services Manager, and Clubs Manager (three full-time staff)</t>
        </r>
      </text>
    </comment>
    <comment ref="C14" authorId="3" shapeId="0" xr:uid="{00000000-0006-0000-0E00-000008000000}">
      <text>
        <r>
          <rPr>
            <b/>
            <sz val="8"/>
            <color indexed="81"/>
            <rFont val="Tahoma"/>
            <family val="2"/>
          </rPr>
          <t>nbest:</t>
        </r>
        <r>
          <rPr>
            <sz val="8"/>
            <color indexed="81"/>
            <rFont val="Tahoma"/>
            <family val="2"/>
          </rPr>
          <t xml:space="preserve">
This is for another assistant for 2/3 of the yea @11/hr for 20 hours. Includes the increase of 5 hours per week for Ashlea this term.  Also includes the .25 raise each term for the original assistant for performance. </t>
        </r>
      </text>
    </comment>
    <comment ref="G14" authorId="0" shapeId="0" xr:uid="{00000000-0006-0000-0E00-000009000000}">
      <text>
        <r>
          <rPr>
            <b/>
            <sz val="8"/>
            <color indexed="81"/>
            <rFont val="Tahoma"/>
            <family val="2"/>
          </rPr>
          <t>Kumar Patel:</t>
        </r>
        <r>
          <rPr>
            <sz val="8"/>
            <color indexed="81"/>
            <rFont val="Tahoma"/>
            <family val="2"/>
          </rPr>
          <t xml:space="preserve">
One full-time student for the summer term. Not using part-time students anymore (replaced by full-time clubs manager)</t>
        </r>
      </text>
    </comment>
    <comment ref="H14" authorId="4" shapeId="0" xr:uid="{00000000-0006-0000-0E00-00000A000000}">
      <text>
        <r>
          <rPr>
            <b/>
            <sz val="8"/>
            <color indexed="81"/>
            <rFont val="Tahoma"/>
            <family val="2"/>
          </rPr>
          <t>Natasha Pozega:</t>
        </r>
        <r>
          <rPr>
            <sz val="8"/>
            <color indexed="81"/>
            <rFont val="Tahoma"/>
            <family val="2"/>
          </rPr>
          <t xml:space="preserve">
Now a Full-time position
</t>
        </r>
      </text>
    </comment>
    <comment ref="K14" authorId="5" shapeId="0" xr:uid="{00000000-0006-0000-0E00-00000B000000}">
      <text>
        <r>
          <rPr>
            <b/>
            <sz val="9"/>
            <color indexed="81"/>
            <rFont val="Tahoma"/>
            <family val="2"/>
          </rPr>
          <t>Benjamin Balfour:</t>
        </r>
        <r>
          <rPr>
            <sz val="9"/>
            <color indexed="81"/>
            <rFont val="Tahoma"/>
            <family val="2"/>
          </rPr>
          <t xml:space="preserve">
remove 375 only paying 3/4 of the salary for the work study.  Plus BBQ assistant.</t>
        </r>
      </text>
    </comment>
    <comment ref="S14" authorId="1" shapeId="0" xr:uid="{00000000-0006-0000-0E00-00000C000000}">
      <text>
        <r>
          <rPr>
            <b/>
            <sz val="9"/>
            <color indexed="81"/>
            <rFont val="Tahoma"/>
            <family val="2"/>
          </rPr>
          <t xml:space="preserve">Savannah Richardson:
</t>
        </r>
        <r>
          <rPr>
            <sz val="9"/>
            <color indexed="81"/>
            <rFont val="Tahoma"/>
            <family val="2"/>
          </rPr>
          <t>S18: $14, up to 10hr/wk for 13wks ($1820)
F18: $14.50, up to 10hr/wk for 13 wks ($1885)
W18: $14.50, up to 10hrs/wk for 13wks ($1885)</t>
        </r>
      </text>
    </comment>
    <comment ref="U14" authorId="2" shapeId="0" xr:uid="{00000000-0006-0000-0E00-00000D000000}">
      <text>
        <r>
          <rPr>
            <b/>
            <sz val="9"/>
            <color indexed="81"/>
            <rFont val="Tahoma"/>
            <family val="2"/>
          </rPr>
          <t>Windows User:</t>
        </r>
        <r>
          <rPr>
            <sz val="9"/>
            <color indexed="81"/>
            <rFont val="Tahoma"/>
            <family val="2"/>
          </rPr>
          <t xml:space="preserve">
$14.50/hr for 10/wk</t>
        </r>
      </text>
    </comment>
    <comment ref="W14" authorId="2" shapeId="0" xr:uid="{00000000-0006-0000-0E00-00000E000000}">
      <text>
        <r>
          <rPr>
            <b/>
            <sz val="9"/>
            <color indexed="81"/>
            <rFont val="Tahoma"/>
            <family val="2"/>
          </rPr>
          <t>Windows User:</t>
        </r>
        <r>
          <rPr>
            <sz val="9"/>
            <color indexed="81"/>
            <rFont val="Tahoma"/>
            <family val="2"/>
          </rPr>
          <t xml:space="preserve">
Not anticipating hiring for the Spring term</t>
        </r>
      </text>
    </comment>
    <comment ref="Y14" authorId="6" shapeId="0" xr:uid="{DA278289-5D45-4EBD-BC24-6EE94693D587}">
      <text>
        <r>
          <rPr>
            <b/>
            <sz val="9"/>
            <color indexed="81"/>
            <rFont val="Tahoma"/>
            <family val="2"/>
          </rPr>
          <t>Rachel Lui:</t>
        </r>
        <r>
          <rPr>
            <sz val="9"/>
            <color indexed="81"/>
            <rFont val="Tahoma"/>
            <family val="2"/>
          </rPr>
          <t xml:space="preserve">
No hiring for Spring term </t>
        </r>
      </text>
    </comment>
    <comment ref="AA14" authorId="6" shapeId="0" xr:uid="{4E1C9F21-B4F6-41F4-98B3-444E33B10600}">
      <text>
        <r>
          <rPr>
            <sz val="10"/>
            <rFont val="Arial"/>
            <family val="2"/>
          </rPr>
          <t>Rachel Lui:
Including Co-op in this 2 PT Spring term, 1 coop in both Fall/Winter Term. 
2 PT: $3,050 (20 hrs/week x $15.25/hr x 10 weeks)
Co-op (Fall/Winter): $9,765/term (35 hours/week x $18 hr x 15.5 weeks)
multiply both by 1.13 for employer contributions to EI, EHT, WSIB, ets</t>
        </r>
      </text>
    </comment>
    <comment ref="AB14" authorId="7" shapeId="0" xr:uid="{C6EFC75E-B12B-4903-9EB1-48B7C270CCCD}">
      <text>
        <r>
          <rPr>
            <sz val="10"/>
            <rFont val="Arial"/>
            <family val="2"/>
          </rPr>
          <t>Suzanne Burdett:
Is this 20 hours each or total?</t>
        </r>
      </text>
    </comment>
    <comment ref="K16" authorId="5" shapeId="0" xr:uid="{00000000-0006-0000-0E00-00000F000000}">
      <text>
        <r>
          <rPr>
            <b/>
            <sz val="9"/>
            <color indexed="81"/>
            <rFont val="Tahoma"/>
            <family val="2"/>
          </rPr>
          <t>Benjamin Balfour:new clubs support team</t>
        </r>
      </text>
    </comment>
    <comment ref="U16" authorId="2" shapeId="0" xr:uid="{00000000-0006-0000-0E00-000010000000}">
      <text>
        <r>
          <rPr>
            <b/>
            <sz val="9"/>
            <color indexed="81"/>
            <rFont val="Tahoma"/>
            <family val="2"/>
          </rPr>
          <t>Windows User:</t>
        </r>
        <r>
          <rPr>
            <sz val="9"/>
            <color indexed="81"/>
            <rFont val="Tahoma"/>
            <family val="2"/>
          </rPr>
          <t xml:space="preserve">
10 Campus support team term* 3terms * $20/CST</t>
        </r>
      </text>
    </comment>
    <comment ref="W16" authorId="2" shapeId="0" xr:uid="{00000000-0006-0000-0E00-000011000000}">
      <text>
        <r>
          <rPr>
            <b/>
            <sz val="9"/>
            <color indexed="81"/>
            <rFont val="Tahoma"/>
            <family val="2"/>
          </rPr>
          <t>Windows User:</t>
        </r>
        <r>
          <rPr>
            <sz val="9"/>
            <color indexed="81"/>
            <rFont val="Tahoma"/>
            <family val="2"/>
          </rPr>
          <t xml:space="preserve">
10 clubs support team*2 terms*$20</t>
        </r>
      </text>
    </comment>
    <comment ref="Y16" authorId="6" shapeId="0" xr:uid="{A1B4B510-AA14-41B3-981D-526B149CD5B9}">
      <text>
        <r>
          <rPr>
            <b/>
            <sz val="9"/>
            <color indexed="81"/>
            <rFont val="Tahoma"/>
            <family val="2"/>
          </rPr>
          <t>Rachel Lui:</t>
        </r>
        <r>
          <rPr>
            <sz val="9"/>
            <color indexed="81"/>
            <rFont val="Tahoma"/>
            <family val="2"/>
          </rPr>
          <t xml:space="preserve">
3 clubs support team for Spring, 10 for Fall/Winter. 23 volunteers*20 </t>
        </r>
      </text>
    </comment>
    <comment ref="AA16" authorId="6" shapeId="0" xr:uid="{173D82E0-2C94-4CD7-AAD3-24B7A8A9DDE9}">
      <text>
        <r>
          <rPr>
            <b/>
            <sz val="9"/>
            <color rgb="FF000000"/>
            <rFont val="Tahoma"/>
            <family val="2"/>
          </rPr>
          <t>Rachel Lui:</t>
        </r>
        <r>
          <rPr>
            <sz val="9"/>
            <color rgb="FF000000"/>
            <rFont val="Tahoma"/>
            <family val="2"/>
          </rPr>
          <t xml:space="preserve">
</t>
        </r>
        <r>
          <rPr>
            <sz val="9"/>
            <color rgb="FF000000"/>
            <rFont val="Tahoma"/>
            <family val="2"/>
          </rPr>
          <t xml:space="preserve">3 clubs support team for Spring, 10 for Fall/Winter. 23 volunteers*20 </t>
        </r>
      </text>
    </comment>
    <comment ref="C17" authorId="3" shapeId="0" xr:uid="{00000000-0006-0000-0E00-000012000000}">
      <text>
        <r>
          <rPr>
            <b/>
            <sz val="8"/>
            <color indexed="81"/>
            <rFont val="Tahoma"/>
            <family val="2"/>
          </rPr>
          <t>nbest:</t>
        </r>
        <r>
          <rPr>
            <sz val="8"/>
            <color indexed="81"/>
            <rFont val="Tahoma"/>
            <family val="2"/>
          </rPr>
          <t xml:space="preserve">
Director and assistant phones, also accounts for many long distance calls to club execs and businesses</t>
        </r>
      </text>
    </comment>
    <comment ref="C18" authorId="3" shapeId="0" xr:uid="{00000000-0006-0000-0E00-000013000000}">
      <text>
        <r>
          <rPr>
            <b/>
            <sz val="8"/>
            <color indexed="81"/>
            <rFont val="Tahoma"/>
            <family val="2"/>
          </rPr>
          <t>nbest:</t>
        </r>
        <r>
          <rPr>
            <sz val="8"/>
            <color indexed="81"/>
            <rFont val="Tahoma"/>
            <family val="2"/>
          </rPr>
          <t xml:space="preserve">
All included in the VPIN's budget</t>
        </r>
      </text>
    </comment>
    <comment ref="C19" authorId="3" shapeId="0" xr:uid="{00000000-0006-0000-0E00-000014000000}">
      <text>
        <r>
          <rPr>
            <b/>
            <sz val="8"/>
            <color indexed="81"/>
            <rFont val="Tahoma"/>
            <family val="2"/>
          </rPr>
          <t>nbest:</t>
        </r>
        <r>
          <rPr>
            <sz val="8"/>
            <color indexed="81"/>
            <rFont val="Tahoma"/>
            <family val="2"/>
          </rPr>
          <t xml:space="preserve">
Used by some services before codes are given and for backups of club documents and new record keeping procedures
</t>
        </r>
      </text>
    </comment>
    <comment ref="C20" authorId="3" shapeId="0" xr:uid="{00000000-0006-0000-0E00-000015000000}">
      <text>
        <r>
          <rPr>
            <b/>
            <sz val="8"/>
            <color indexed="81"/>
            <rFont val="Tahoma"/>
            <family val="2"/>
          </rPr>
          <t>nbest:</t>
        </r>
        <r>
          <rPr>
            <sz val="8"/>
            <color indexed="81"/>
            <rFont val="Tahoma"/>
            <family val="2"/>
          </rPr>
          <t xml:space="preserve">
Includes all normal stuff, plus the purchase of two foldable tables for clubs use for outside events totalling $250, and in need of a new computer for 2nd clubs and service assistant amortized for 4 years at 900, and restocking of materials in the clubs resource room
- new services projector
</t>
        </r>
      </text>
    </comment>
    <comment ref="K20" authorId="8" shapeId="0" xr:uid="{00000000-0006-0000-0E00-000016000000}">
      <text>
        <r>
          <rPr>
            <b/>
            <sz val="9"/>
            <color indexed="81"/>
            <rFont val="Tahoma"/>
            <family val="2"/>
          </rPr>
          <t>Ben Balfour:</t>
        </r>
        <r>
          <rPr>
            <sz val="9"/>
            <color indexed="81"/>
            <rFont val="Tahoma"/>
            <family val="2"/>
          </rPr>
          <t xml:space="preserve">
Does this include art supplies?  Why was there such a large amount spent in 13/14</t>
        </r>
      </text>
    </comment>
    <comment ref="C21" authorId="3" shapeId="0" xr:uid="{00000000-0006-0000-0E00-000017000000}">
      <text>
        <r>
          <rPr>
            <b/>
            <sz val="8"/>
            <color indexed="81"/>
            <rFont val="Tahoma"/>
            <family val="2"/>
          </rPr>
          <t>nbest:</t>
        </r>
        <r>
          <rPr>
            <sz val="8"/>
            <color indexed="81"/>
            <rFont val="Tahoma"/>
            <family val="2"/>
          </rPr>
          <t xml:space="preserve">
for food at training meetings that happen 2 times a term (1 for clubs and 1 for services), and new iniitative of clubs appreciation day, feedback from clubs was that the EOT celebrations were too late to network, so this allows them an early opportunity to netowrk as well as be trained at the same time</t>
        </r>
      </text>
    </comment>
    <comment ref="G21" authorId="0" shapeId="0" xr:uid="{00000000-0006-0000-0E00-000018000000}">
      <text>
        <r>
          <rPr>
            <b/>
            <sz val="8"/>
            <color indexed="81"/>
            <rFont val="Tahoma"/>
            <family val="2"/>
          </rPr>
          <t>Kumar Patel:</t>
        </r>
        <r>
          <rPr>
            <sz val="8"/>
            <color indexed="81"/>
            <rFont val="Tahoma"/>
            <family val="2"/>
          </rPr>
          <t xml:space="preserve">
Increase to cover expenses of running new department</t>
        </r>
      </text>
    </comment>
    <comment ref="K21" authorId="5" shapeId="0" xr:uid="{00000000-0006-0000-0E00-000019000000}">
      <text>
        <r>
          <rPr>
            <b/>
            <sz val="9"/>
            <color indexed="81"/>
            <rFont val="Tahoma"/>
            <family val="2"/>
          </rPr>
          <t>Benjamin Balfour:</t>
        </r>
        <r>
          <rPr>
            <sz val="9"/>
            <color indexed="81"/>
            <rFont val="Tahoma"/>
            <family val="2"/>
          </rPr>
          <t xml:space="preserve">
Increased interaction with club execs.  Training sessions avec food</t>
        </r>
      </text>
    </comment>
    <comment ref="G22" authorId="0" shapeId="0" xr:uid="{00000000-0006-0000-0E00-00001A000000}">
      <text>
        <r>
          <rPr>
            <b/>
            <sz val="8"/>
            <color indexed="81"/>
            <rFont val="Tahoma"/>
            <family val="2"/>
          </rPr>
          <t>Kumar Patel:</t>
        </r>
        <r>
          <rPr>
            <sz val="8"/>
            <color indexed="81"/>
            <rFont val="Tahoma"/>
            <family val="2"/>
          </rPr>
          <t xml:space="preserve">
Increase to allow for PD based on new roles. Covers three staff.</t>
        </r>
      </text>
    </comment>
    <comment ref="AA22" authorId="7" shapeId="0" xr:uid="{31476F09-F5E2-4143-A998-F7A9290BEE67}">
      <text>
        <r>
          <rPr>
            <sz val="10"/>
            <rFont val="Arial"/>
            <family val="2"/>
          </rPr>
          <t>Suzanne Burdett:
National COCA conference in June</t>
        </r>
      </text>
    </comment>
    <comment ref="C23" authorId="3" shapeId="0" xr:uid="{00000000-0006-0000-0E00-00001B000000}">
      <text>
        <r>
          <rPr>
            <b/>
            <sz val="8"/>
            <color indexed="81"/>
            <rFont val="Tahoma"/>
            <family val="2"/>
          </rPr>
          <t>nbest:</t>
        </r>
        <r>
          <rPr>
            <sz val="8"/>
            <color indexed="81"/>
            <rFont val="Tahoma"/>
            <family val="2"/>
          </rPr>
          <t xml:space="preserve">
- staff luncheon, assistant gifts</t>
        </r>
      </text>
    </comment>
    <comment ref="U23" authorId="2" shapeId="0" xr:uid="{00000000-0006-0000-0E00-00001C000000}">
      <text>
        <r>
          <rPr>
            <b/>
            <sz val="9"/>
            <color indexed="81"/>
            <rFont val="Tahoma"/>
            <family val="2"/>
          </rPr>
          <t>Windows User:</t>
        </r>
        <r>
          <rPr>
            <sz val="9"/>
            <color indexed="81"/>
            <rFont val="Tahoma"/>
            <family val="2"/>
          </rPr>
          <t xml:space="preserve">
$20/term per PT staff
Should be $60 for future terms. This year no FTE during Spring term because of staf on secondment</t>
        </r>
      </text>
    </comment>
    <comment ref="Y23" authorId="6" shapeId="0" xr:uid="{1177E674-F249-4C44-B7C2-CA0539D2572F}">
      <text>
        <r>
          <rPr>
            <b/>
            <sz val="9"/>
            <color indexed="81"/>
            <rFont val="Tahoma"/>
            <family val="2"/>
          </rPr>
          <t>Rachel Lui:</t>
        </r>
        <r>
          <rPr>
            <sz val="9"/>
            <color indexed="81"/>
            <rFont val="Tahoma"/>
            <family val="2"/>
          </rPr>
          <t xml:space="preserve">
$20/term per PT staff, no Clubs Assistant for Spring term</t>
        </r>
      </text>
    </comment>
    <comment ref="AA23" authorId="6" shapeId="0" xr:uid="{F8F248B2-BED7-454A-9CD5-4B060F658639}">
      <text>
        <r>
          <rPr>
            <b/>
            <sz val="9"/>
            <color rgb="FF000000"/>
            <rFont val="Tahoma"/>
            <family val="2"/>
          </rPr>
          <t>Rachel Lui:</t>
        </r>
        <r>
          <rPr>
            <sz val="9"/>
            <color rgb="FF000000"/>
            <rFont val="Tahoma"/>
            <family val="2"/>
          </rPr>
          <t xml:space="preserve">
</t>
        </r>
        <r>
          <rPr>
            <sz val="9"/>
            <color rgb="FF000000"/>
            <rFont val="Tahoma"/>
            <family val="2"/>
          </rPr>
          <t>$20/term per PT/Co-op staff. Assuming 2 PT for spring, 1 Co-op for Fall and Winter</t>
        </r>
      </text>
    </comment>
    <comment ref="E24" authorId="9" shapeId="0" xr:uid="{00000000-0006-0000-0E00-00001D000000}">
      <text>
        <r>
          <rPr>
            <b/>
            <sz val="9"/>
            <color indexed="81"/>
            <rFont val="Tahoma"/>
            <family val="2"/>
          </rPr>
          <t>Kumar: 2 Computers $600/year until 2014/2015</t>
        </r>
        <r>
          <rPr>
            <sz val="9"/>
            <color indexed="81"/>
            <rFont val="Tahoma"/>
            <family val="2"/>
          </rPr>
          <t xml:space="preserve">
</t>
        </r>
      </text>
    </comment>
    <comment ref="G24" authorId="0" shapeId="0" xr:uid="{00000000-0006-0000-0E00-00001E000000}">
      <text>
        <r>
          <rPr>
            <b/>
            <sz val="8"/>
            <color indexed="81"/>
            <rFont val="Tahoma"/>
            <family val="2"/>
          </rPr>
          <t>Kumar Patel:</t>
        </r>
        <r>
          <rPr>
            <sz val="8"/>
            <color indexed="81"/>
            <rFont val="Tahoma"/>
            <family val="2"/>
          </rPr>
          <t xml:space="preserve">
Cotton Candy Machine Amortization (3years)</t>
        </r>
      </text>
    </comment>
    <comment ref="I24" authorId="10" shapeId="0" xr:uid="{00000000-0006-0000-0E00-00001F000000}">
      <text>
        <r>
          <rPr>
            <b/>
            <sz val="8"/>
            <color indexed="81"/>
            <rFont val="Tahoma"/>
            <family val="2"/>
          </rPr>
          <t>David Collins:</t>
        </r>
        <r>
          <rPr>
            <sz val="8"/>
            <color indexed="81"/>
            <rFont val="Tahoma"/>
            <family val="2"/>
          </rPr>
          <t xml:space="preserve">
Service Renovations
</t>
        </r>
      </text>
    </comment>
    <comment ref="S25" authorId="1" shapeId="0" xr:uid="{00000000-0006-0000-0E00-000020000000}">
      <text>
        <r>
          <rPr>
            <b/>
            <sz val="9"/>
            <color indexed="81"/>
            <rFont val="Tahoma"/>
            <family val="2"/>
          </rPr>
          <t>Kurt MacMillan:</t>
        </r>
        <r>
          <rPr>
            <sz val="9"/>
            <color indexed="81"/>
            <rFont val="Tahoma"/>
            <family val="2"/>
          </rPr>
          <t xml:space="preserve">
$3200 for club talent show + $250 spring and fall engagement project
+ $100/term club misc</t>
        </r>
      </text>
    </comment>
    <comment ref="C26" authorId="3" shapeId="0" xr:uid="{00000000-0006-0000-0E00-000021000000}">
      <text>
        <r>
          <rPr>
            <b/>
            <sz val="8"/>
            <color indexed="81"/>
            <rFont val="Tahoma"/>
            <family val="2"/>
          </rPr>
          <t>nbest:</t>
        </r>
        <r>
          <rPr>
            <sz val="8"/>
            <color indexed="81"/>
            <rFont val="Tahoma"/>
            <family val="2"/>
          </rPr>
          <t xml:space="preserve">
Every year this increased by 1000, until recently it has gone to 1500 at $75 per club. </t>
        </r>
      </text>
    </comment>
    <comment ref="K26" authorId="5" shapeId="0" xr:uid="{00000000-0006-0000-0E00-000022000000}">
      <text>
        <r>
          <rPr>
            <b/>
            <sz val="9"/>
            <color indexed="81"/>
            <rFont val="Tahoma"/>
            <family val="2"/>
          </rPr>
          <t>Benjamin Balfour:</t>
        </r>
        <r>
          <rPr>
            <sz val="9"/>
            <color indexed="81"/>
            <rFont val="Tahoma"/>
            <family val="2"/>
          </rPr>
          <t xml:space="preserve">
$75 per club went over last year </t>
        </r>
      </text>
    </comment>
    <comment ref="L26" authorId="11" shapeId="0" xr:uid="{00000000-0006-0000-0E00-000023000000}">
      <text>
        <r>
          <rPr>
            <b/>
            <sz val="9"/>
            <color indexed="81"/>
            <rFont val="Tahoma"/>
            <family val="2"/>
          </rPr>
          <t>Carly McCready:</t>
        </r>
        <r>
          <rPr>
            <sz val="9"/>
            <color indexed="81"/>
            <rFont val="Tahoma"/>
            <family val="2"/>
          </rPr>
          <t xml:space="preserve">
incl "surplus expenses clubs"
</t>
        </r>
      </text>
    </comment>
    <comment ref="S26" authorId="1" shapeId="0" xr:uid="{00000000-0006-0000-0E00-000024000000}">
      <text>
        <r>
          <rPr>
            <b/>
            <sz val="9"/>
            <color indexed="81"/>
            <rFont val="Tahoma"/>
            <family val="2"/>
          </rPr>
          <t>Kurt MacMillan:</t>
        </r>
        <r>
          <rPr>
            <sz val="9"/>
            <color indexed="81"/>
            <rFont val="Tahoma"/>
            <family val="2"/>
          </rPr>
          <t xml:space="preserve">
Each club is allotted up to $75/term </t>
        </r>
      </text>
    </comment>
    <comment ref="U26" authorId="2" shapeId="0" xr:uid="{00000000-0006-0000-0E00-000025000000}">
      <text>
        <r>
          <rPr>
            <b/>
            <sz val="9"/>
            <color indexed="81"/>
            <rFont val="Tahoma"/>
            <family val="2"/>
          </rPr>
          <t>Windows User:</t>
        </r>
        <r>
          <rPr>
            <sz val="9"/>
            <color indexed="81"/>
            <rFont val="Tahoma"/>
            <family val="2"/>
          </rPr>
          <t xml:space="preserve">
$75/club (100 clubs/fall, 100 clubs winter, 50 clubs spring)</t>
        </r>
      </text>
    </comment>
    <comment ref="W26" authorId="2" shapeId="0" xr:uid="{00000000-0006-0000-0E00-000026000000}">
      <text>
        <r>
          <rPr>
            <b/>
            <sz val="9"/>
            <color indexed="81"/>
            <rFont val="Tahoma"/>
            <family val="2"/>
          </rPr>
          <t>Windows User:</t>
        </r>
        <r>
          <rPr>
            <sz val="9"/>
            <color indexed="81"/>
            <rFont val="Tahoma"/>
            <family val="2"/>
          </rPr>
          <t xml:space="preserve">
$75/club (100 clubs/fall, 100 clubs winter) Unlikely that clubs willl spend money in spring</t>
        </r>
      </text>
    </comment>
    <comment ref="AA26" authorId="7" shapeId="0" xr:uid="{DE232AC4-931F-4FA4-8B0E-3F46FEE8BF1B}">
      <text>
        <r>
          <rPr>
            <b/>
            <sz val="9"/>
            <color indexed="81"/>
            <rFont val="Tahoma"/>
            <family val="2"/>
          </rPr>
          <t>Suzanne Burdett:</t>
        </r>
        <r>
          <rPr>
            <sz val="9"/>
            <color indexed="81"/>
            <rFont val="Tahoma"/>
            <family val="2"/>
          </rPr>
          <t xml:space="preserve">
Increasing to pre-Covid levels</t>
        </r>
      </text>
    </comment>
    <comment ref="G27" authorId="0" shapeId="0" xr:uid="{00000000-0006-0000-0E00-000027000000}">
      <text>
        <r>
          <rPr>
            <b/>
            <sz val="8"/>
            <color indexed="81"/>
            <rFont val="Tahoma"/>
            <family val="2"/>
          </rPr>
          <t>Kumar Patel:</t>
        </r>
        <r>
          <rPr>
            <sz val="8"/>
            <color indexed="81"/>
            <rFont val="Tahoma"/>
            <family val="2"/>
          </rPr>
          <t xml:space="preserve">
Plaques were purchased last year, just engravings and deposits now</t>
        </r>
      </text>
    </comment>
    <comment ref="S27" authorId="1" shapeId="0" xr:uid="{00000000-0006-0000-0E00-000028000000}">
      <text>
        <r>
          <rPr>
            <b/>
            <sz val="9"/>
            <color indexed="81"/>
            <rFont val="Tahoma"/>
            <family val="2"/>
          </rPr>
          <t>Kurt MacMillan:</t>
        </r>
        <r>
          <rPr>
            <sz val="9"/>
            <color indexed="81"/>
            <rFont val="Tahoma"/>
            <family val="2"/>
          </rPr>
          <t xml:space="preserve">
8 awards x 3 terms x ($50/winner + $25 honourable mention) + $200
 in case co-winners $150 for updating plaque</t>
        </r>
      </text>
    </comment>
    <comment ref="U27" authorId="2" shapeId="0" xr:uid="{00000000-0006-0000-0E00-000029000000}">
      <text>
        <r>
          <rPr>
            <b/>
            <sz val="9"/>
            <color indexed="81"/>
            <rFont val="Tahoma"/>
            <family val="2"/>
          </rPr>
          <t>Windows User:</t>
        </r>
        <r>
          <rPr>
            <sz val="9"/>
            <color indexed="81"/>
            <rFont val="Tahoma"/>
            <family val="2"/>
          </rPr>
          <t xml:space="preserve">
Plaques $165/term * 3 terms, 7 winners * $50, 7 Runner Up * $25</t>
        </r>
      </text>
    </comment>
    <comment ref="W27" authorId="2" shapeId="0" xr:uid="{00000000-0006-0000-0E00-00002A000000}">
      <text>
        <r>
          <rPr>
            <b/>
            <sz val="9"/>
            <color indexed="81"/>
            <rFont val="Tahoma"/>
            <family val="2"/>
          </rPr>
          <t>Windows User:</t>
        </r>
        <r>
          <rPr>
            <sz val="9"/>
            <color indexed="81"/>
            <rFont val="Tahoma"/>
            <family val="2"/>
          </rPr>
          <t xml:space="preserve">
2 terms* 7 winners * $50, 7 Runner Up * $25</t>
        </r>
      </text>
    </comment>
    <comment ref="Y27" authorId="6" shapeId="0" xr:uid="{BF254C18-706C-4EAF-B6D1-2D6022FCD9AE}">
      <text>
        <r>
          <rPr>
            <b/>
            <sz val="9"/>
            <color indexed="81"/>
            <rFont val="Tahoma"/>
            <family val="2"/>
          </rPr>
          <t>Rachel Lui:</t>
        </r>
        <r>
          <rPr>
            <sz val="9"/>
            <color indexed="81"/>
            <rFont val="Tahoma"/>
            <family val="2"/>
          </rPr>
          <t xml:space="preserve">
Moved to VPSL portfolio
64080-20100</t>
        </r>
      </text>
    </comment>
    <comment ref="AA27" authorId="6" shapeId="0" xr:uid="{D312B147-E913-4D06-8D9D-8D5E8BD25A6A}">
      <text>
        <r>
          <rPr>
            <b/>
            <sz val="9"/>
            <color indexed="81"/>
            <rFont val="Tahoma"/>
            <family val="2"/>
          </rPr>
          <t>Rachel Lui:</t>
        </r>
        <r>
          <rPr>
            <sz val="9"/>
            <color indexed="81"/>
            <rFont val="Tahoma"/>
            <family val="2"/>
          </rPr>
          <t xml:space="preserve">
Moved to VPSL portfolio
64080-20100</t>
        </r>
      </text>
    </comment>
    <comment ref="C28" authorId="3" shapeId="0" xr:uid="{00000000-0006-0000-0E00-00002B000000}">
      <text>
        <r>
          <rPr>
            <b/>
            <sz val="8"/>
            <color indexed="81"/>
            <rFont val="Tahoma"/>
            <family val="2"/>
          </rPr>
          <t>nbest:</t>
        </r>
        <r>
          <rPr>
            <sz val="8"/>
            <color indexed="81"/>
            <rFont val="Tahoma"/>
            <family val="2"/>
          </rPr>
          <t xml:space="preserve">
100 max per coord x 2 coords per term approx x x3 terms x 7 services</t>
        </r>
      </text>
    </comment>
    <comment ref="G28" authorId="0" shapeId="0" xr:uid="{00000000-0006-0000-0E00-00002C000000}">
      <text>
        <r>
          <rPr>
            <b/>
            <sz val="8"/>
            <color indexed="81"/>
            <rFont val="Tahoma"/>
            <family val="2"/>
          </rPr>
          <t>Kumar Patel:</t>
        </r>
        <r>
          <rPr>
            <sz val="8"/>
            <color indexed="81"/>
            <rFont val="Tahoma"/>
            <family val="2"/>
          </rPr>
          <t xml:space="preserve">
Honorarium increased to $200 per coordinator. 8 services with 2 coordinators each.</t>
        </r>
      </text>
    </comment>
    <comment ref="I28" authorId="10" shapeId="0" xr:uid="{00000000-0006-0000-0E00-00002D000000}">
      <text>
        <r>
          <rPr>
            <b/>
            <sz val="8"/>
            <color indexed="81"/>
            <rFont val="Tahoma"/>
            <family val="2"/>
          </rPr>
          <t>David Collins:</t>
        </r>
        <r>
          <rPr>
            <sz val="8"/>
            <color indexed="81"/>
            <rFont val="Tahoma"/>
            <family val="2"/>
          </rPr>
          <t xml:space="preserve">
Now under Services General
</t>
        </r>
      </text>
    </comment>
    <comment ref="U29" authorId="2" shapeId="0" xr:uid="{00000000-0006-0000-0E00-00002E000000}">
      <text>
        <r>
          <rPr>
            <b/>
            <sz val="9"/>
            <color indexed="81"/>
            <rFont val="Tahoma"/>
            <family val="2"/>
          </rPr>
          <t>Windows User:</t>
        </r>
        <r>
          <rPr>
            <sz val="9"/>
            <color indexed="81"/>
            <rFont val="Tahoma"/>
            <family val="2"/>
          </rPr>
          <t xml:space="preserve">
supply maintenance (utensils)</t>
        </r>
      </text>
    </comment>
    <comment ref="W29" authorId="2" shapeId="0" xr:uid="{00000000-0006-0000-0E00-00002F000000}">
      <text>
        <r>
          <rPr>
            <b/>
            <sz val="9"/>
            <color indexed="81"/>
            <rFont val="Tahoma"/>
            <family val="2"/>
          </rPr>
          <t>Windows User:</t>
        </r>
        <r>
          <rPr>
            <sz val="9"/>
            <color indexed="81"/>
            <rFont val="Tahoma"/>
            <family val="2"/>
          </rPr>
          <t xml:space="preserve">
Not anticipating any BBQ rentals </t>
        </r>
      </text>
    </comment>
    <comment ref="K30" authorId="5" shapeId="0" xr:uid="{00000000-0006-0000-0E00-000030000000}">
      <text>
        <r>
          <rPr>
            <b/>
            <sz val="9"/>
            <color indexed="81"/>
            <rFont val="Tahoma"/>
            <family val="2"/>
          </rPr>
          <t>Benjamin Balfour:</t>
        </r>
        <r>
          <rPr>
            <sz val="9"/>
            <color indexed="81"/>
            <rFont val="Tahoma"/>
            <family val="2"/>
          </rPr>
          <t xml:space="preserve">
annual event in the winter term. Cultural based performances. Biggest cost is the stage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Brendan Lowther</author>
    <author>Matthew Schwarze</author>
    <author>DeL</author>
    <author>nbest</author>
    <author>Kumar Patel</author>
    <author>Kurt MacMillan</author>
    <author>Carly McCready</author>
    <author>s4cook</author>
    <author>Windows User</author>
    <author>Maaz Yasin</author>
    <author>tc={5E3B2D70-7318-41D8-BE42-126CDF7DD3DA}</author>
  </authors>
  <commentList>
    <comment ref="W12" authorId="0" shapeId="0" xr:uid="{00000000-0006-0000-0F00-000001000000}">
      <text>
        <r>
          <rPr>
            <b/>
            <sz val="10"/>
            <color rgb="FF000000"/>
            <rFont val="Tahoma"/>
            <family val="2"/>
          </rPr>
          <t>Brendan Lowther:</t>
        </r>
        <r>
          <rPr>
            <sz val="10"/>
            <color rgb="FF000000"/>
            <rFont val="Tahoma"/>
            <family val="2"/>
          </rPr>
          <t xml:space="preserve">
</t>
        </r>
        <r>
          <rPr>
            <sz val="18"/>
            <color rgb="FF000000"/>
            <rFont val="Calibri"/>
            <family val="2"/>
          </rPr>
          <t xml:space="preserve">- 20hrs week x 15 Weeks x $16
</t>
        </r>
        <r>
          <rPr>
            <sz val="18"/>
            <color rgb="FF000000"/>
            <rFont val="Calibri"/>
            <family val="2"/>
          </rPr>
          <t xml:space="preserve">$4800 / Coordinator / per term
</t>
        </r>
        <r>
          <rPr>
            <sz val="18"/>
            <color rgb="FF000000"/>
            <rFont val="Calibri"/>
            <family val="2"/>
          </rPr>
          <t xml:space="preserve">x 2 Coords x 1 term
</t>
        </r>
      </text>
    </comment>
    <comment ref="Y12" authorId="1" shapeId="0" xr:uid="{19529E65-E9C3-4236-A8A4-6BBDF3F5EBE3}">
      <text>
        <r>
          <rPr>
            <b/>
            <sz val="9"/>
            <color indexed="81"/>
            <rFont val="Tahoma"/>
            <family val="2"/>
          </rPr>
          <t>Matthew Schwarze:</t>
        </r>
        <r>
          <rPr>
            <sz val="9"/>
            <color indexed="81"/>
            <rFont val="Tahoma"/>
            <family val="2"/>
          </rPr>
          <t xml:space="preserve">
(20 hours per week) x (15 weeks) x $16 = $4,800
13% employment taxes
2 coords for 1 term</t>
        </r>
      </text>
    </comment>
    <comment ref="W13" authorId="0" shapeId="0" xr:uid="{00000000-0006-0000-0F00-000002000000}">
      <text>
        <r>
          <rPr>
            <b/>
            <sz val="10"/>
            <color rgb="FF000000"/>
            <rFont val="Tahoma"/>
            <family val="2"/>
          </rPr>
          <t>Brendan Lowther:</t>
        </r>
        <r>
          <rPr>
            <sz val="10"/>
            <color rgb="FF000000"/>
            <rFont val="Tahoma"/>
            <family val="2"/>
          </rPr>
          <t xml:space="preserve">
</t>
        </r>
        <r>
          <rPr>
            <sz val="10"/>
            <color rgb="FF000000"/>
            <rFont val="Tahoma"/>
            <family val="2"/>
          </rPr>
          <t xml:space="preserve"> 2 x $500 Honoarium x 2 terms</t>
        </r>
      </text>
    </comment>
    <comment ref="B14" authorId="2" shapeId="0" xr:uid="{00000000-0006-0000-0F00-000003000000}">
      <text>
        <r>
          <rPr>
            <b/>
            <sz val="9"/>
            <color indexed="81"/>
            <rFont val="Tahoma"/>
            <family val="2"/>
          </rPr>
          <t>DeL:</t>
        </r>
        <r>
          <rPr>
            <sz val="9"/>
            <color indexed="81"/>
            <rFont val="Tahoma"/>
            <family val="2"/>
          </rPr>
          <t xml:space="preserve">
new line</t>
        </r>
      </text>
    </comment>
    <comment ref="C14" authorId="3" shapeId="0" xr:uid="{00000000-0006-0000-0F00-000004000000}">
      <text>
        <r>
          <rPr>
            <b/>
            <sz val="8"/>
            <color indexed="81"/>
            <rFont val="Tahoma"/>
            <family val="2"/>
          </rPr>
          <t>nbest:</t>
        </r>
        <r>
          <rPr>
            <sz val="8"/>
            <color indexed="81"/>
            <rFont val="Tahoma"/>
            <family val="2"/>
          </rPr>
          <t xml:space="preserve">
Have about 120 volunteers over a year span, and never provides food or anything for meetings unlike most services
</t>
        </r>
      </text>
    </comment>
    <comment ref="G14" authorId="4" shapeId="0" xr:uid="{00000000-0006-0000-0F00-000005000000}">
      <text>
        <r>
          <rPr>
            <b/>
            <sz val="8"/>
            <color indexed="81"/>
            <rFont val="Tahoma"/>
            <family val="2"/>
          </rPr>
          <t>Kumar Patel:</t>
        </r>
        <r>
          <rPr>
            <sz val="8"/>
            <color indexed="81"/>
            <rFont val="Tahoma"/>
            <family val="2"/>
          </rPr>
          <t xml:space="preserve">
Increased to match volunteer appreciation matrix of other services</t>
        </r>
      </text>
    </comment>
    <comment ref="I14" authorId="0" shapeId="0" xr:uid="{00000000-0006-0000-0F00-000006000000}">
      <text>
        <r>
          <rPr>
            <b/>
            <sz val="8"/>
            <color indexed="81"/>
            <rFont val="Tahoma"/>
            <family val="2"/>
          </rPr>
          <t>Brendan Lowther:</t>
        </r>
        <r>
          <rPr>
            <sz val="8"/>
            <color indexed="81"/>
            <rFont val="Tahoma"/>
            <family val="2"/>
          </rPr>
          <t xml:space="preserve">
Average 45 Members - 8Exec @ $30/term, 35 Volunteers @ $10/term - Coordinator and Manger meals @ $30/term</t>
        </r>
      </text>
    </comment>
    <comment ref="S14" authorId="5" shapeId="0" xr:uid="{00000000-0006-0000-0F00-000007000000}">
      <text>
        <r>
          <rPr>
            <b/>
            <sz val="9"/>
            <color indexed="81"/>
            <rFont val="Tahoma"/>
            <family val="2"/>
          </rPr>
          <t>Kurt MacMillan:</t>
        </r>
        <r>
          <rPr>
            <sz val="9"/>
            <color indexed="81"/>
            <rFont val="Tahoma"/>
            <family val="2"/>
          </rPr>
          <t xml:space="preserve">
• Spring – 20 members
• Fall – 40 members
• Winter – 40 members
o Total – 100 members x $20.00 = $2,000
Executives – 21 x $30.00 = $630.00
</t>
        </r>
      </text>
    </comment>
    <comment ref="Y14" authorId="1" shapeId="0" xr:uid="{169E86E1-F4D7-427C-AD95-BCF699B82D38}">
      <text>
        <r>
          <rPr>
            <b/>
            <sz val="9"/>
            <color indexed="81"/>
            <rFont val="Tahoma"/>
            <family val="2"/>
          </rPr>
          <t>Matthew Schwarze:</t>
        </r>
        <r>
          <rPr>
            <sz val="9"/>
            <color indexed="81"/>
            <rFont val="Tahoma"/>
            <family val="2"/>
          </rPr>
          <t xml:space="preserve">
$30 x (8 executive members) = $720
$20 x (35 active members) = $2,100
</t>
        </r>
      </text>
    </comment>
    <comment ref="I15" authorId="0" shapeId="0" xr:uid="{00000000-0006-0000-0F00-000008000000}">
      <text>
        <r>
          <rPr>
            <b/>
            <sz val="8"/>
            <color indexed="81"/>
            <rFont val="Tahoma"/>
            <family val="2"/>
          </rPr>
          <t>Brendan Lowther:</t>
        </r>
        <r>
          <rPr>
            <sz val="8"/>
            <color indexed="81"/>
            <rFont val="Tahoma"/>
            <family val="2"/>
          </rPr>
          <t xml:space="preserve">
They now have a 2nd phone line
Could this be 500?</t>
        </r>
      </text>
    </comment>
    <comment ref="I16" authorId="0" shapeId="0" xr:uid="{00000000-0006-0000-0F00-000009000000}">
      <text>
        <r>
          <rPr>
            <b/>
            <sz val="8"/>
            <color indexed="81"/>
            <rFont val="Tahoma"/>
            <family val="2"/>
          </rPr>
          <t>Brendan Lowther:</t>
        </r>
        <r>
          <rPr>
            <sz val="8"/>
            <color indexed="81"/>
            <rFont val="Tahoma"/>
            <family val="2"/>
          </rPr>
          <t xml:space="preserve">
Increase due to increased need</t>
        </r>
      </text>
    </comment>
    <comment ref="M16" authorId="6" shapeId="0" xr:uid="{00000000-0006-0000-0F00-00000A000000}">
      <text>
        <r>
          <rPr>
            <b/>
            <sz val="9"/>
            <color indexed="81"/>
            <rFont val="Tahoma"/>
            <family val="2"/>
          </rPr>
          <t>Carly McCready:</t>
        </r>
        <r>
          <rPr>
            <sz val="9"/>
            <color indexed="81"/>
            <rFont val="Tahoma"/>
            <family val="2"/>
          </rPr>
          <t xml:space="preserve">
$130 moved from GO to Photocopying. Approved at EB 09/24</t>
        </r>
      </text>
    </comment>
    <comment ref="C17" authorId="7" shapeId="0" xr:uid="{00000000-0006-0000-0F00-00000B000000}">
      <text>
        <r>
          <rPr>
            <b/>
            <sz val="8"/>
            <color indexed="81"/>
            <rFont val="Tahoma"/>
            <family val="2"/>
          </rPr>
          <t>s4cook:</t>
        </r>
        <r>
          <rPr>
            <sz val="8"/>
            <color indexed="81"/>
            <rFont val="Tahoma"/>
            <family val="2"/>
          </rPr>
          <t xml:space="preserve">
- fan
- office supplies
</t>
        </r>
      </text>
    </comment>
    <comment ref="I17" authorId="0" shapeId="0" xr:uid="{00000000-0006-0000-0F00-00000C000000}">
      <text>
        <r>
          <rPr>
            <b/>
            <sz val="8"/>
            <color indexed="81"/>
            <rFont val="Tahoma"/>
            <family val="2"/>
          </rPr>
          <t>Brendan Lowther:</t>
        </r>
        <r>
          <rPr>
            <sz val="8"/>
            <color indexed="81"/>
            <rFont val="Tahoma"/>
            <family val="2"/>
          </rPr>
          <t xml:space="preserve">
slight increase to reflect growing needs</t>
        </r>
      </text>
    </comment>
    <comment ref="U17" authorId="8" shapeId="0" xr:uid="{00000000-0006-0000-0F00-00000D000000}">
      <text>
        <r>
          <rPr>
            <b/>
            <sz val="9"/>
            <color indexed="81"/>
            <rFont val="Tahoma"/>
            <family val="2"/>
          </rPr>
          <t>Windows User:</t>
        </r>
        <r>
          <rPr>
            <sz val="9"/>
            <color indexed="81"/>
            <rFont val="Tahoma"/>
            <family val="2"/>
          </rPr>
          <t xml:space="preserve">
Increase in budget for Radio License Renewal Fee </t>
        </r>
      </text>
    </comment>
    <comment ref="B18" authorId="2" shapeId="0" xr:uid="{00000000-0006-0000-0F00-00000E000000}">
      <text>
        <r>
          <rPr>
            <b/>
            <sz val="9"/>
            <color indexed="81"/>
            <rFont val="Tahoma"/>
            <family val="2"/>
          </rPr>
          <t>DeL:</t>
        </r>
        <r>
          <rPr>
            <sz val="9"/>
            <color indexed="81"/>
            <rFont val="Tahoma"/>
            <family val="2"/>
          </rPr>
          <t xml:space="preserve">
new line</t>
        </r>
      </text>
    </comment>
    <comment ref="C18" authorId="3" shapeId="0" xr:uid="{00000000-0006-0000-0F00-00000F000000}">
      <text>
        <r>
          <rPr>
            <b/>
            <sz val="8"/>
            <color indexed="81"/>
            <rFont val="Tahoma"/>
            <family val="2"/>
          </rPr>
          <t>nbest:</t>
        </r>
        <r>
          <rPr>
            <sz val="8"/>
            <color indexed="81"/>
            <rFont val="Tahoma"/>
            <family val="2"/>
          </rPr>
          <t xml:space="preserve">
For late night safe transportation home for volunteers after buses no longer run from CRT convered events</t>
        </r>
      </text>
    </comment>
    <comment ref="G18" authorId="4" shapeId="0" xr:uid="{00000000-0006-0000-0F00-000010000000}">
      <text>
        <r>
          <rPr>
            <b/>
            <sz val="8"/>
            <color indexed="81"/>
            <rFont val="Tahoma"/>
            <family val="2"/>
          </rPr>
          <t>Kumar Patel:</t>
        </r>
        <r>
          <rPr>
            <sz val="8"/>
            <color indexed="81"/>
            <rFont val="Tahoma"/>
            <family val="2"/>
          </rPr>
          <t xml:space="preserve">
Increased to accommodate overspending and a foreseeable increase in night coverage</t>
        </r>
      </text>
    </comment>
    <comment ref="I18" authorId="0" shapeId="0" xr:uid="{00000000-0006-0000-0F00-000011000000}">
      <text>
        <r>
          <rPr>
            <b/>
            <sz val="8"/>
            <color indexed="81"/>
            <rFont val="Tahoma"/>
            <family val="2"/>
          </rPr>
          <t>Brendan Lowther:</t>
        </r>
        <r>
          <rPr>
            <sz val="8"/>
            <color indexed="81"/>
            <rFont val="Tahoma"/>
            <family val="2"/>
          </rPr>
          <t xml:space="preserve">
increase as shifts increase
</t>
        </r>
      </text>
    </comment>
    <comment ref="R18" authorId="5" shapeId="0" xr:uid="{00000000-0006-0000-0F00-000012000000}">
      <text>
        <r>
          <rPr>
            <b/>
            <sz val="9"/>
            <color indexed="81"/>
            <rFont val="Tahoma"/>
            <family val="2"/>
          </rPr>
          <t>Kurt MacMillan:</t>
        </r>
        <r>
          <rPr>
            <sz val="9"/>
            <color indexed="81"/>
            <rFont val="Tahoma"/>
            <family val="2"/>
          </rPr>
          <t xml:space="preserve">
Over budget as CRT did not account for MIXER </t>
        </r>
      </text>
    </comment>
    <comment ref="G19" authorId="4" shapeId="0" xr:uid="{00000000-0006-0000-0F00-000013000000}">
      <text>
        <r>
          <rPr>
            <b/>
            <sz val="8"/>
            <color indexed="81"/>
            <rFont val="Tahoma"/>
            <family val="2"/>
          </rPr>
          <t>Kumar Patel:</t>
        </r>
        <r>
          <rPr>
            <sz val="8"/>
            <color indexed="81"/>
            <rFont val="Tahoma"/>
            <family val="2"/>
          </rPr>
          <t xml:space="preserve">
Small increase to allwo for more consistent offerings at team meetings</t>
        </r>
      </text>
    </comment>
    <comment ref="I19" authorId="0" shapeId="0" xr:uid="{00000000-0006-0000-0F00-000014000000}">
      <text>
        <r>
          <rPr>
            <b/>
            <sz val="8"/>
            <color indexed="81"/>
            <rFont val="Tahoma"/>
            <family val="2"/>
          </rPr>
          <t>Brendan Lowther:</t>
        </r>
        <r>
          <rPr>
            <sz val="8"/>
            <color indexed="81"/>
            <rFont val="Tahoma"/>
            <family val="2"/>
          </rPr>
          <t xml:space="preserve">
increase to relieve reliance on donations
</t>
        </r>
      </text>
    </comment>
    <comment ref="B20" authorId="2" shapeId="0" xr:uid="{00000000-0006-0000-0F00-000015000000}">
      <text>
        <r>
          <rPr>
            <b/>
            <sz val="9"/>
            <color indexed="81"/>
            <rFont val="Tahoma"/>
            <family val="2"/>
          </rPr>
          <t>DeL:</t>
        </r>
        <r>
          <rPr>
            <sz val="9"/>
            <color indexed="81"/>
            <rFont val="Tahoma"/>
            <family val="2"/>
          </rPr>
          <t xml:space="preserve">
new line</t>
        </r>
      </text>
    </comment>
    <comment ref="G20" authorId="4" shapeId="0" xr:uid="{00000000-0006-0000-0F00-000016000000}">
      <text>
        <r>
          <rPr>
            <b/>
            <sz val="8"/>
            <color indexed="81"/>
            <rFont val="Tahoma"/>
            <family val="2"/>
          </rPr>
          <t>Kumar Patel:</t>
        </r>
        <r>
          <rPr>
            <sz val="8"/>
            <color indexed="81"/>
            <rFont val="Tahoma"/>
            <family val="2"/>
          </rPr>
          <t xml:space="preserve">
Increase due to past overspending, and to allow CRT members to attend one ACERT event</t>
        </r>
      </text>
    </comment>
    <comment ref="I20" authorId="0" shapeId="0" xr:uid="{00000000-0006-0000-0F00-000017000000}">
      <text>
        <r>
          <rPr>
            <b/>
            <sz val="8"/>
            <color indexed="81"/>
            <rFont val="Tahoma"/>
            <family val="2"/>
          </rPr>
          <t>Brendan Lowther:</t>
        </r>
        <r>
          <rPr>
            <sz val="8"/>
            <color indexed="81"/>
            <rFont val="Tahoma"/>
            <family val="2"/>
          </rPr>
          <t xml:space="preserve">
Conference travel and fees increase. Membership fee for ACERT for 5 years</t>
        </r>
      </text>
    </comment>
    <comment ref="M20" authorId="9" shapeId="0" xr:uid="{00000000-0006-0000-0F00-000018000000}">
      <text>
        <r>
          <rPr>
            <b/>
            <sz val="9"/>
            <color indexed="81"/>
            <rFont val="Tahoma"/>
            <family val="2"/>
          </rPr>
          <t>Maaz Yasin:</t>
        </r>
        <r>
          <rPr>
            <sz val="9"/>
            <color indexed="81"/>
            <rFont val="Tahoma"/>
            <family val="2"/>
          </rPr>
          <t xml:space="preserve">
CRT can apply for additional funding from EOI if needed</t>
        </r>
      </text>
    </comment>
    <comment ref="R20" authorId="5" shapeId="0" xr:uid="{00000000-0006-0000-0F00-000019000000}">
      <text>
        <r>
          <rPr>
            <b/>
            <sz val="9"/>
            <color indexed="81"/>
            <rFont val="Tahoma"/>
            <family val="2"/>
          </rPr>
          <t>Kurt MacMillan:</t>
        </r>
        <r>
          <rPr>
            <sz val="9"/>
            <color indexed="81"/>
            <rFont val="Tahoma"/>
            <family val="2"/>
          </rPr>
          <t xml:space="preserve">
Didn't account for MIXER and NCCER 
10 people x $110.00
NCCER – 15 people x $120.00
Grand Total = $2,900
</t>
        </r>
      </text>
    </comment>
    <comment ref="C22" authorId="7" shapeId="0" xr:uid="{00000000-0006-0000-0F00-00001A000000}">
      <text>
        <r>
          <rPr>
            <b/>
            <sz val="8"/>
            <color indexed="81"/>
            <rFont val="Tahoma"/>
            <family val="2"/>
          </rPr>
          <t>s4cook:</t>
        </r>
        <r>
          <rPr>
            <sz val="8"/>
            <color indexed="81"/>
            <rFont val="Tahoma"/>
            <family val="2"/>
          </rPr>
          <t xml:space="preserve">
1.5xlast year's budget</t>
        </r>
      </text>
    </comment>
    <comment ref="G22" authorId="4" shapeId="0" xr:uid="{00000000-0006-0000-0F00-00001B000000}">
      <text>
        <r>
          <rPr>
            <b/>
            <sz val="8"/>
            <color indexed="81"/>
            <rFont val="Tahoma"/>
            <family val="2"/>
          </rPr>
          <t>Kumar Patel:</t>
        </r>
        <r>
          <rPr>
            <sz val="8"/>
            <color indexed="81"/>
            <rFont val="Tahoma"/>
            <family val="2"/>
          </rPr>
          <t xml:space="preserve">
Services advertising lines are being transferred t be reflected in marketing account</t>
        </r>
      </text>
    </comment>
    <comment ref="G24" authorId="4" shapeId="0" xr:uid="{00000000-0006-0000-0F00-00001C000000}">
      <text>
        <r>
          <rPr>
            <b/>
            <sz val="8"/>
            <color indexed="81"/>
            <rFont val="Tahoma"/>
            <family val="2"/>
          </rPr>
          <t>Kumar Patel:</t>
        </r>
        <r>
          <rPr>
            <sz val="8"/>
            <color indexed="81"/>
            <rFont val="Tahoma"/>
            <family val="2"/>
          </rPr>
          <t xml:space="preserve">
Increased to allow for the purchase of 7 digital radios (please see digital radio proposal) 3year ammortization. 7 additional radios to be paid for through SLEF</t>
        </r>
      </text>
    </comment>
    <comment ref="C25" authorId="7" shapeId="0" xr:uid="{00000000-0006-0000-0F00-00001D000000}">
      <text>
        <r>
          <rPr>
            <b/>
            <sz val="8"/>
            <color indexed="81"/>
            <rFont val="Tahoma"/>
            <family val="2"/>
          </rPr>
          <t>s4cook:</t>
        </r>
        <r>
          <rPr>
            <sz val="8"/>
            <color indexed="81"/>
            <rFont val="Tahoma"/>
            <family val="2"/>
          </rPr>
          <t xml:space="preserve">
- hosting cassim</t>
        </r>
      </text>
    </comment>
    <comment ref="I25" authorId="0" shapeId="0" xr:uid="{00000000-0006-0000-0F00-00001E000000}">
      <text>
        <r>
          <rPr>
            <b/>
            <sz val="8"/>
            <color indexed="81"/>
            <rFont val="Tahoma"/>
            <family val="2"/>
          </rPr>
          <t>Brendan Lowther:</t>
        </r>
        <r>
          <rPr>
            <sz val="8"/>
            <color indexed="81"/>
            <rFont val="Tahoma"/>
            <family val="2"/>
          </rPr>
          <t xml:space="preserve">
increase due to Hosting Tri_U Conference and 15th Anniversary</t>
        </r>
      </text>
    </comment>
    <comment ref="U25" authorId="8" shapeId="0" xr:uid="{00000000-0006-0000-0F00-00001F000000}">
      <text>
        <r>
          <rPr>
            <b/>
            <sz val="9"/>
            <color indexed="81"/>
            <rFont val="Tahoma"/>
            <family val="2"/>
          </rPr>
          <t>Windows User:</t>
        </r>
        <r>
          <rPr>
            <sz val="9"/>
            <color indexed="81"/>
            <rFont val="Tahoma"/>
            <family val="2"/>
          </rPr>
          <t xml:space="preserve">
Reallocated $600 to general office for fees associated with radio. Subsequently cut by $100</t>
        </r>
      </text>
    </comment>
    <comment ref="G26" authorId="4" shapeId="0" xr:uid="{00000000-0006-0000-0F00-000020000000}">
      <text>
        <r>
          <rPr>
            <b/>
            <sz val="8"/>
            <color indexed="81"/>
            <rFont val="Tahoma"/>
            <family val="2"/>
          </rPr>
          <t>Kumar Patel:</t>
        </r>
        <r>
          <rPr>
            <sz val="8"/>
            <color indexed="81"/>
            <rFont val="Tahoma"/>
            <family val="2"/>
          </rPr>
          <t xml:space="preserve">
MFR reinbursements eliminated</t>
        </r>
      </text>
    </comment>
    <comment ref="I26" authorId="0" shapeId="0" xr:uid="{00000000-0006-0000-0F00-000021000000}">
      <text>
        <r>
          <rPr>
            <b/>
            <sz val="8"/>
            <color indexed="81"/>
            <rFont val="Tahoma"/>
            <family val="2"/>
          </rPr>
          <t>Brendan Lowther:</t>
        </r>
        <r>
          <rPr>
            <sz val="8"/>
            <color indexed="81"/>
            <rFont val="Tahoma"/>
            <family val="2"/>
          </rPr>
          <t xml:space="preserve">
Request that cost covered for members to take AMFR course. This certification is a step in the direction of providing higher standard of care and UW is the only ACERT member that does not have members with AMFR training</t>
        </r>
      </text>
    </comment>
    <comment ref="S26" authorId="5" shapeId="0" xr:uid="{00000000-0006-0000-0F00-000022000000}">
      <text>
        <r>
          <rPr>
            <b/>
            <sz val="9"/>
            <color indexed="81"/>
            <rFont val="Tahoma"/>
            <family val="2"/>
          </rPr>
          <t>Kurt MacMillan:</t>
        </r>
        <r>
          <rPr>
            <sz val="9"/>
            <color indexed="81"/>
            <rFont val="Tahoma"/>
            <family val="2"/>
          </rPr>
          <t xml:space="preserve">
CRT recruit 15 members a term. Average of 10 members are retained, they want to train them up to standards in First Responder and Applied Suicide Intervention Skills Training to provide the best service to the Waterloo community.
ASIST – 30 people x $160.00 = $4,800
FR – 30 people x $623.92 = $18,717.60
Grand Total – $23,517.60
Partial Reimbursement of (38%)</t>
        </r>
      </text>
    </comment>
    <comment ref="U26" authorId="8" shapeId="0" xr:uid="{00000000-0006-0000-0F00-000023000000}">
      <text>
        <r>
          <rPr>
            <b/>
            <sz val="9"/>
            <color indexed="81"/>
            <rFont val="Tahoma"/>
            <family val="2"/>
          </rPr>
          <t>Windows User:</t>
        </r>
        <r>
          <rPr>
            <sz val="9"/>
            <color indexed="81"/>
            <rFont val="Tahoma"/>
            <family val="2"/>
          </rPr>
          <t xml:space="preserve">
Increase for more volunteers who need to take FR course. Planning to have 10 members/term </t>
        </r>
      </text>
    </comment>
    <comment ref="Y26" authorId="10" shapeId="0" xr:uid="{5E3B2D70-7318-41D8-BE42-126CDF7DD3DA}">
      <text>
        <t>[Threaded comment]
Your version of Excel allows you to read this threaded comment; however, any edits to it will get removed if the file is opened in a newer version of Excel. Learn more: https://go.microsoft.com/fwlink/?linkid=870924
Comment:
    $340 reimbursement x 20 responders for S21 = $6,800
(8 new members anticipated) x (3 terms) x $340 = $8,160 
$100 for SFA reimbursement
$6,800 + $8,160 + $100 = $15,060</t>
      </text>
    </comment>
    <comment ref="G27" authorId="4" shapeId="0" xr:uid="{00000000-0006-0000-0F00-000024000000}">
      <text>
        <r>
          <rPr>
            <b/>
            <sz val="8"/>
            <color indexed="81"/>
            <rFont val="Tahoma"/>
            <family val="2"/>
          </rPr>
          <t>Kumar Patel:</t>
        </r>
        <r>
          <rPr>
            <sz val="8"/>
            <color indexed="81"/>
            <rFont val="Tahoma"/>
            <family val="2"/>
          </rPr>
          <t xml:space="preserve">
Increased due to us hosting and overspending in special projects</t>
        </r>
      </text>
    </comment>
    <comment ref="G28" authorId="4" shapeId="0" xr:uid="{00000000-0006-0000-0F00-000025000000}">
      <text>
        <r>
          <rPr>
            <b/>
            <sz val="8"/>
            <color indexed="81"/>
            <rFont val="Tahoma"/>
            <family val="2"/>
          </rPr>
          <t>Kumar Patel:</t>
        </r>
        <r>
          <rPr>
            <sz val="8"/>
            <color indexed="81"/>
            <rFont val="Tahoma"/>
            <family val="2"/>
          </rPr>
          <t xml:space="preserve">
Slight decrease as all packs were fully restored at the end of last fiscal year</t>
        </r>
      </text>
    </comment>
    <comment ref="I28" authorId="0" shapeId="0" xr:uid="{00000000-0006-0000-0F00-000026000000}">
      <text>
        <r>
          <rPr>
            <b/>
            <sz val="8"/>
            <color indexed="81"/>
            <rFont val="Tahoma"/>
            <family val="2"/>
          </rPr>
          <t>Brendan Lowther:</t>
        </r>
        <r>
          <rPr>
            <sz val="8"/>
            <color indexed="81"/>
            <rFont val="Tahoma"/>
            <family val="2"/>
          </rPr>
          <t xml:space="preserve">
reflect general increase in costs of equipment
</t>
        </r>
      </text>
    </comment>
    <comment ref="O29" authorId="6" shapeId="0" xr:uid="{00000000-0006-0000-0F00-000027000000}">
      <text>
        <r>
          <rPr>
            <b/>
            <sz val="9"/>
            <color indexed="81"/>
            <rFont val="Tahoma"/>
            <family val="2"/>
          </rPr>
          <t>Carly McCready:</t>
        </r>
        <r>
          <rPr>
            <sz val="9"/>
            <color indexed="81"/>
            <rFont val="Tahoma"/>
            <family val="2"/>
          </rPr>
          <t xml:space="preserve">
Police Reference Checks</t>
        </r>
      </text>
    </comment>
    <comment ref="I30" authorId="0" shapeId="0" xr:uid="{00000000-0006-0000-0F00-000028000000}">
      <text>
        <r>
          <rPr>
            <b/>
            <sz val="8"/>
            <color indexed="81"/>
            <rFont val="Tahoma"/>
            <family val="2"/>
          </rPr>
          <t xml:space="preserve">Brendan Lowther:
3 training weekends, x total of 130 people x $30/person (Sat/Sun breakfast and lunch)
</t>
        </r>
      </text>
    </comment>
    <comment ref="U30" authorId="8" shapeId="0" xr:uid="{00000000-0006-0000-0F00-000029000000}">
      <text>
        <r>
          <rPr>
            <b/>
            <sz val="9"/>
            <color indexed="81"/>
            <rFont val="Tahoma"/>
            <family val="2"/>
          </rPr>
          <t>Windows User:</t>
        </r>
        <r>
          <rPr>
            <sz val="9"/>
            <color indexed="81"/>
            <rFont val="Tahoma"/>
            <family val="2"/>
          </rPr>
          <t xml:space="preserve">
shortened schedule with FR training meaning less food provided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Suzanne Burdett</author>
    <author>Brendan Lowther</author>
    <author>Matthew Schwarze</author>
    <author>nbest</author>
    <author>Kurt MacMillan</author>
    <author>Windows User</author>
    <author>Kumar Patel</author>
  </authors>
  <commentList>
    <comment ref="Z6" authorId="0" shapeId="0" xr:uid="{B9380A4F-0E18-4F6E-AFAA-9EF3A7AF6D7B}">
      <text>
        <r>
          <rPr>
            <sz val="10"/>
            <rFont val="Arial"/>
            <family val="2"/>
          </rPr>
          <t>Suzanne Burdett:
GSA contribution</t>
        </r>
      </text>
    </comment>
    <comment ref="V11" authorId="1" shapeId="0" xr:uid="{00000000-0006-0000-1000-000001000000}">
      <text>
        <r>
          <rPr>
            <b/>
            <sz val="10"/>
            <color rgb="FF000000"/>
            <rFont val="Tahoma"/>
            <family val="2"/>
          </rPr>
          <t>Brendan Lowther:</t>
        </r>
        <r>
          <rPr>
            <sz val="10"/>
            <color rgb="FF000000"/>
            <rFont val="Tahoma"/>
            <family val="2"/>
          </rPr>
          <t xml:space="preserve">
</t>
        </r>
        <r>
          <rPr>
            <sz val="12"/>
            <color rgb="FF000000"/>
            <rFont val="Calibri"/>
            <family val="2"/>
          </rPr>
          <t xml:space="preserve">15 hrs week x 15 Weeks x $16
</t>
        </r>
        <r>
          <rPr>
            <sz val="12"/>
            <color rgb="FF000000"/>
            <rFont val="Calibri"/>
            <family val="2"/>
          </rPr>
          <t xml:space="preserve">$3600 / Coordinator / Per Term
</t>
        </r>
        <r>
          <rPr>
            <sz val="12"/>
            <color rgb="FF000000"/>
            <rFont val="Calibri"/>
            <family val="2"/>
          </rPr>
          <t xml:space="preserve">x 2 coordinators x 1 term
</t>
        </r>
      </text>
    </comment>
    <comment ref="W11" authorId="2" shapeId="0" xr:uid="{4BF1D7E5-1E44-415F-A80B-93607F30AA13}">
      <text>
        <r>
          <rPr>
            <b/>
            <sz val="9"/>
            <color indexed="81"/>
            <rFont val="Tahoma"/>
            <family val="2"/>
          </rPr>
          <t>Matthew Schwarze:</t>
        </r>
        <r>
          <rPr>
            <sz val="9"/>
            <color indexed="81"/>
            <rFont val="Tahoma"/>
            <family val="2"/>
          </rPr>
          <t xml:space="preserve">
($3600 * 1.13) * 2 coords * 3 terms</t>
        </r>
      </text>
    </comment>
    <comment ref="X11" authorId="2" shapeId="0" xr:uid="{E6095175-D024-4137-80FF-312DB870863C}">
      <text>
        <r>
          <rPr>
            <b/>
            <sz val="9"/>
            <color indexed="81"/>
            <rFont val="Tahoma"/>
            <family val="2"/>
          </rPr>
          <t>Matthew Schwarze:</t>
        </r>
        <r>
          <rPr>
            <sz val="9"/>
            <color indexed="81"/>
            <rFont val="Tahoma"/>
            <family val="2"/>
          </rPr>
          <t xml:space="preserve">
($3600 * 1.13) * 2 coords * 3 terms</t>
        </r>
      </text>
    </comment>
    <comment ref="V12" authorId="1" shapeId="0" xr:uid="{00000000-0006-0000-1000-000002000000}">
      <text>
        <r>
          <rPr>
            <b/>
            <sz val="10"/>
            <color rgb="FF000000"/>
            <rFont val="Tahoma"/>
            <family val="2"/>
          </rPr>
          <t>Brendan Lowther:</t>
        </r>
        <r>
          <rPr>
            <sz val="10"/>
            <color rgb="FF000000"/>
            <rFont val="Tahoma"/>
            <family val="2"/>
          </rPr>
          <t xml:space="preserve">
</t>
        </r>
        <r>
          <rPr>
            <sz val="10"/>
            <color rgb="FF000000"/>
            <rFont val="Tahoma"/>
            <family val="2"/>
          </rPr>
          <t>$500 x 2 Coords x 2 terms</t>
        </r>
      </text>
    </comment>
    <comment ref="C13" authorId="3" shapeId="0" xr:uid="{00000000-0006-0000-1000-000003000000}">
      <text>
        <r>
          <rPr>
            <b/>
            <sz val="8"/>
            <color indexed="81"/>
            <rFont val="Tahoma"/>
            <family val="2"/>
          </rPr>
          <t>nbest:</t>
        </r>
        <r>
          <rPr>
            <sz val="8"/>
            <color indexed="81"/>
            <rFont val="Tahoma"/>
            <family val="2"/>
          </rPr>
          <t xml:space="preserve">
Planning events for end of each term to thank the 60 volunteers around each term ($250.00 per term)</t>
        </r>
      </text>
    </comment>
    <comment ref="S13" authorId="4" shapeId="0" xr:uid="{00000000-0006-0000-1000-000004000000}">
      <text>
        <r>
          <rPr>
            <b/>
            <sz val="9"/>
            <color indexed="81"/>
            <rFont val="Tahoma"/>
            <family val="2"/>
          </rPr>
          <t>Kurt MacMillan:</t>
        </r>
        <r>
          <rPr>
            <sz val="9"/>
            <color indexed="81"/>
            <rFont val="Tahoma"/>
            <family val="2"/>
          </rPr>
          <t xml:space="preserve">
3 terms x $10/volunteer x 25 volunteers</t>
        </r>
      </text>
    </comment>
    <comment ref="T13" authorId="5" shapeId="0" xr:uid="{00000000-0006-0000-1000-000005000000}">
      <text>
        <r>
          <rPr>
            <b/>
            <sz val="9"/>
            <color indexed="81"/>
            <rFont val="Tahoma"/>
            <family val="2"/>
          </rPr>
          <t>Windows User:</t>
        </r>
        <r>
          <rPr>
            <sz val="9"/>
            <color indexed="81"/>
            <rFont val="Tahoma"/>
            <family val="2"/>
          </rPr>
          <t xml:space="preserve">
3 terms x $10/vol x 15 vol + $30/exec x 7 exec</t>
        </r>
      </text>
    </comment>
    <comment ref="G16" authorId="6" shapeId="0" xr:uid="{00000000-0006-0000-1000-000006000000}">
      <text>
        <r>
          <rPr>
            <b/>
            <sz val="8"/>
            <color indexed="81"/>
            <rFont val="Tahoma"/>
            <family val="2"/>
          </rPr>
          <t>Kumar Patel:</t>
        </r>
        <r>
          <rPr>
            <sz val="8"/>
            <color indexed="81"/>
            <rFont val="Tahoma"/>
            <family val="2"/>
          </rPr>
          <t xml:space="preserve">
Increased to allow for te purchase of can organization units and specialized shelving</t>
        </r>
      </text>
    </comment>
    <comment ref="G17" authorId="6" shapeId="0" xr:uid="{00000000-0006-0000-1000-000007000000}">
      <text>
        <r>
          <rPr>
            <b/>
            <sz val="8"/>
            <color indexed="81"/>
            <rFont val="Tahoma"/>
            <family val="2"/>
          </rPr>
          <t>Kumar Patel:</t>
        </r>
        <r>
          <rPr>
            <sz val="8"/>
            <color indexed="81"/>
            <rFont val="Tahoma"/>
            <family val="2"/>
          </rPr>
          <t xml:space="preserve">
Increased to allow 2 vehicle rentals to acquire food from the regional food bank</t>
        </r>
      </text>
    </comment>
    <comment ref="I17" authorId="1" shapeId="0" xr:uid="{00000000-0006-0000-1000-000008000000}">
      <text>
        <r>
          <rPr>
            <b/>
            <sz val="8"/>
            <color indexed="81"/>
            <rFont val="Tahoma"/>
            <family val="2"/>
          </rPr>
          <t>Brendan Lowther:</t>
        </r>
        <r>
          <rPr>
            <sz val="8"/>
            <color indexed="81"/>
            <rFont val="Tahoma"/>
            <family val="2"/>
          </rPr>
          <t xml:space="preserve">
Needs to be upped due to increase in trips and coords have no access to personal vehicle.</t>
        </r>
      </text>
    </comment>
    <comment ref="S17" authorId="4" shapeId="0" xr:uid="{00000000-0006-0000-1000-000009000000}">
      <text>
        <r>
          <rPr>
            <b/>
            <sz val="9"/>
            <color indexed="81"/>
            <rFont val="Tahoma"/>
            <family val="2"/>
          </rPr>
          <t>Kurt MacMillan:</t>
        </r>
        <r>
          <rPr>
            <sz val="9"/>
            <color indexed="81"/>
            <rFont val="Tahoma"/>
            <family val="2"/>
          </rPr>
          <t xml:space="preserve">
Allows rental of vehicles for food pickup</t>
        </r>
      </text>
    </comment>
    <comment ref="G18" authorId="6" shapeId="0" xr:uid="{00000000-0006-0000-1000-00000A000000}">
      <text>
        <r>
          <rPr>
            <b/>
            <sz val="8"/>
            <color indexed="81"/>
            <rFont val="Tahoma"/>
            <family val="2"/>
          </rPr>
          <t>Kumar Patel:</t>
        </r>
        <r>
          <rPr>
            <sz val="8"/>
            <color indexed="81"/>
            <rFont val="Tahoma"/>
            <family val="2"/>
          </rPr>
          <t xml:space="preserve">
Decreased due to underspending</t>
        </r>
      </text>
    </comment>
    <comment ref="G20" authorId="6" shapeId="0" xr:uid="{00000000-0006-0000-1000-00000B000000}">
      <text>
        <r>
          <rPr>
            <b/>
            <sz val="8"/>
            <color indexed="81"/>
            <rFont val="Tahoma"/>
            <family val="2"/>
          </rPr>
          <t>Kumar Patel:</t>
        </r>
        <r>
          <rPr>
            <sz val="8"/>
            <color indexed="81"/>
            <rFont val="Tahoma"/>
            <family val="2"/>
          </rPr>
          <t xml:space="preserve">
Never been charged</t>
        </r>
      </text>
    </comment>
    <comment ref="T20" authorId="5" shapeId="0" xr:uid="{00000000-0006-0000-1000-00000C000000}">
      <text>
        <r>
          <rPr>
            <b/>
            <sz val="9"/>
            <color indexed="81"/>
            <rFont val="Tahoma"/>
            <family val="2"/>
          </rPr>
          <t>Windows User:</t>
        </r>
        <r>
          <rPr>
            <sz val="9"/>
            <color indexed="81"/>
            <rFont val="Tahoma"/>
            <family val="2"/>
          </rPr>
          <t xml:space="preserve">
Food Bank WR reduced their membership fee</t>
        </r>
      </text>
    </comment>
    <comment ref="C23" authorId="3" shapeId="0" xr:uid="{00000000-0006-0000-1000-00000D000000}">
      <text>
        <r>
          <rPr>
            <b/>
            <sz val="8"/>
            <color indexed="81"/>
            <rFont val="Tahoma"/>
            <family val="2"/>
          </rPr>
          <t>nbest:</t>
        </r>
        <r>
          <rPr>
            <sz val="8"/>
            <color indexed="81"/>
            <rFont val="Tahoma"/>
            <family val="2"/>
          </rPr>
          <t xml:space="preserve">
Things like free cotton candy, popcorn to raise awareness of the food bank; possibly a recipe contest for KD</t>
        </r>
      </text>
    </comment>
    <comment ref="S23" authorId="4" shapeId="0" xr:uid="{00000000-0006-0000-1000-00000E000000}">
      <text>
        <r>
          <rPr>
            <b/>
            <sz val="9"/>
            <color indexed="81"/>
            <rFont val="Tahoma"/>
            <family val="2"/>
          </rPr>
          <t>Kurt MacMillan:</t>
        </r>
        <r>
          <rPr>
            <sz val="9"/>
            <color indexed="81"/>
            <rFont val="Tahoma"/>
            <family val="2"/>
          </rPr>
          <t xml:space="preserve">
Canstruction, cooking classes etc
</t>
        </r>
      </text>
    </comment>
    <comment ref="Z23" authorId="0" shapeId="0" xr:uid="{94E7B043-8744-4501-B64C-CA4044B28ED2}">
      <text>
        <r>
          <rPr>
            <b/>
            <sz val="9"/>
            <color indexed="81"/>
            <rFont val="Tahoma"/>
            <family val="2"/>
          </rPr>
          <t>Suzanne Burdett:</t>
        </r>
        <r>
          <rPr>
            <sz val="9"/>
            <color indexed="81"/>
            <rFont val="Tahoma"/>
            <family val="2"/>
          </rPr>
          <t xml:space="preserve">
3500 for Hamper Lockers</t>
        </r>
      </text>
    </comment>
    <comment ref="G25" authorId="6" shapeId="0" xr:uid="{00000000-0006-0000-1000-00000F000000}">
      <text>
        <r>
          <rPr>
            <b/>
            <sz val="8"/>
            <color indexed="81"/>
            <rFont val="Tahoma"/>
            <family val="2"/>
          </rPr>
          <t>Kumar Patel:</t>
        </r>
        <r>
          <rPr>
            <sz val="8"/>
            <color indexed="81"/>
            <rFont val="Tahoma"/>
            <family val="2"/>
          </rPr>
          <t xml:space="preserve">
Decreased, will find efficiencies within budget</t>
        </r>
      </text>
    </comment>
    <comment ref="I25" authorId="1" shapeId="0" xr:uid="{00000000-0006-0000-1000-000010000000}">
      <text>
        <r>
          <rPr>
            <b/>
            <sz val="8"/>
            <color indexed="81"/>
            <rFont val="Tahoma"/>
            <family val="2"/>
          </rPr>
          <t>Brendan Lowther:</t>
        </r>
        <r>
          <rPr>
            <sz val="8"/>
            <color indexed="81"/>
            <rFont val="Tahoma"/>
            <family val="2"/>
          </rPr>
          <t xml:space="preserve">
Increase based on extra vols required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Seneca Velling</author>
    <author>Kurt MacMillan</author>
    <author>Brendan Lowther</author>
    <author>tc={34DEEFD5-94B4-49BF-A4A0-AA1AC94CC0CD}</author>
    <author>tc={C429964F-9078-4964-8BED-3F993AC772FC}</author>
    <author>Kumar Patel</author>
    <author>Carly McCready</author>
    <author>Matthew Schwarze</author>
    <author>tc={7617A1B1-14CD-483B-9620-7D402D8D25C1}</author>
    <author>David Collins</author>
    <author>nbest</author>
    <author>Windows User</author>
    <author>tc={5F22E4A7-2203-4EF9-84EB-7E70C550AD27}</author>
    <author>tc={05D48765-7237-421F-9FF1-6AB391A70CCE}</author>
  </authors>
  <commentList>
    <comment ref="V6" authorId="0" shapeId="0" xr:uid="{43B4B597-25A1-448B-B4CF-73A1B7DD7473}">
      <text>
        <r>
          <rPr>
            <b/>
            <sz val="9"/>
            <color indexed="81"/>
            <rFont val="Tahoma"/>
            <family val="2"/>
          </rPr>
          <t>Seneca Velling:</t>
        </r>
        <r>
          <rPr>
            <sz val="9"/>
            <color indexed="81"/>
            <rFont val="Tahoma"/>
            <family val="2"/>
          </rPr>
          <t xml:space="preserve">
Requiring GLOW to seek $500 in Endowment Funding</t>
        </r>
      </text>
    </comment>
    <comment ref="S7" authorId="1" shapeId="0" xr:uid="{00000000-0006-0000-1100-000001000000}">
      <text>
        <r>
          <rPr>
            <b/>
            <sz val="9"/>
            <color indexed="81"/>
            <rFont val="Tahoma"/>
            <family val="2"/>
          </rPr>
          <t>Kurt MacMillan:</t>
        </r>
        <r>
          <rPr>
            <sz val="9"/>
            <color indexed="81"/>
            <rFont val="Tahoma"/>
            <family val="2"/>
          </rPr>
          <t xml:space="preserve">
From Bus Sales to TO Parade</t>
        </r>
      </text>
    </comment>
    <comment ref="V12" authorId="2" shapeId="0" xr:uid="{00000000-0006-0000-1100-000002000000}">
      <text>
        <r>
          <rPr>
            <b/>
            <sz val="10"/>
            <color rgb="FF000000"/>
            <rFont val="Tahoma"/>
            <family val="2"/>
          </rPr>
          <t>Brendan Lowther:</t>
        </r>
        <r>
          <rPr>
            <sz val="10"/>
            <color rgb="FF000000"/>
            <rFont val="Tahoma"/>
            <family val="2"/>
          </rPr>
          <t xml:space="preserve">
</t>
        </r>
        <r>
          <rPr>
            <sz val="14"/>
            <color rgb="FF000000"/>
            <rFont val="Calibri"/>
            <family val="2"/>
          </rPr>
          <t xml:space="preserve">25 hrs week x 15 Weeks x $16
</t>
        </r>
        <r>
          <rPr>
            <sz val="14"/>
            <color rgb="FF000000"/>
            <rFont val="Calibri"/>
            <family val="2"/>
          </rPr>
          <t xml:space="preserve">$6000/ Coordinator / per term
</t>
        </r>
        <r>
          <rPr>
            <sz val="14"/>
            <color rgb="FF000000"/>
            <rFont val="Calibri"/>
            <family val="2"/>
          </rPr>
          <t xml:space="preserve">x 2 Coordinators / 1 Term
</t>
        </r>
      </text>
    </comment>
    <comment ref="X12" authorId="3" shapeId="0" xr:uid="{34DEEFD5-94B4-49BF-A4A0-AA1AC94CC0CD}">
      <text>
        <t>[Threaded comment]
Your version of Excel allows you to read this threaded comment; however, any edits to it will get removed if the file is opened in a newer version of Excel. Learn more: https://go.microsoft.com/fwlink/?linkid=870924
Comment:
    25 hrs week x 15 Weeks x $16
$6000/ Coordinator / per term
x 2 Coordinators / 1 Term</t>
      </text>
    </comment>
    <comment ref="Z12" authorId="4" shapeId="0" xr:uid="{C429964F-9078-4964-8BED-3F993AC772FC}">
      <text>
        <t>[Threaded comment]
Your version of Excel allows you to read this threaded comment; however, any edits to it will get removed if the file is opened in a newer version of Excel. Learn more: https://go.microsoft.com/fwlink/?linkid=870924
Comment:
    Kierra Young: Breakdown for wages: 25 hours a week x $16/hour x 14 weeks =$5600 12.5 hours a week x $16/hour x 1 week = $200 $5600 + $200 + 4 percent = $6032 (amount 1 coordinator is paid per term) $6032 x 6 (2 coordinators per term) = $36,192 – rounded to $36,200 
Reply:
    Changed to *1.13 instead of 1.04</t>
      </text>
    </comment>
    <comment ref="V13" authorId="2" shapeId="0" xr:uid="{00000000-0006-0000-1100-000003000000}">
      <text>
        <r>
          <rPr>
            <b/>
            <sz val="10"/>
            <color rgb="FF000000"/>
            <rFont val="Tahoma"/>
            <family val="2"/>
          </rPr>
          <t>Brendan Lowther:</t>
        </r>
        <r>
          <rPr>
            <sz val="10"/>
            <color rgb="FF000000"/>
            <rFont val="Tahoma"/>
            <family val="2"/>
          </rPr>
          <t xml:space="preserve">
</t>
        </r>
        <r>
          <rPr>
            <sz val="10"/>
            <color rgb="FF000000"/>
            <rFont val="Tahoma"/>
            <family val="2"/>
          </rPr>
          <t xml:space="preserve">$500 x 1 Coord - Spring
</t>
        </r>
        <r>
          <rPr>
            <sz val="10"/>
            <color rgb="FF000000"/>
            <rFont val="Tahoma"/>
            <family val="2"/>
          </rPr>
          <t xml:space="preserve">$500 x 2 Coords x 2 terms
</t>
        </r>
      </text>
    </comment>
    <comment ref="G14" authorId="5" shapeId="0" xr:uid="{00000000-0006-0000-1100-000004000000}">
      <text>
        <r>
          <rPr>
            <b/>
            <sz val="8"/>
            <color indexed="81"/>
            <rFont val="Tahoma"/>
            <family val="2"/>
          </rPr>
          <t>Kumar Patel:</t>
        </r>
        <r>
          <rPr>
            <sz val="8"/>
            <color indexed="81"/>
            <rFont val="Tahoma"/>
            <family val="2"/>
          </rPr>
          <t xml:space="preserve">
Decreased to match volunteer appreciation matrix of other services</t>
        </r>
      </text>
    </comment>
    <comment ref="I14" authorId="2" shapeId="0" xr:uid="{00000000-0006-0000-1100-000005000000}">
      <text>
        <r>
          <rPr>
            <b/>
            <sz val="8"/>
            <color indexed="81"/>
            <rFont val="Tahoma"/>
            <family val="2"/>
          </rPr>
          <t>Brendan Lowther:</t>
        </r>
        <r>
          <rPr>
            <sz val="8"/>
            <color indexed="81"/>
            <rFont val="Tahoma"/>
            <family val="2"/>
          </rPr>
          <t xml:space="preserve">
7 execs @ $30/term + Coord and Manager Meals @30/term + 25 vols/term @$10/term</t>
        </r>
      </text>
    </comment>
    <comment ref="O14" authorId="6" shapeId="0" xr:uid="{00000000-0006-0000-1100-000006000000}">
      <text>
        <r>
          <rPr>
            <b/>
            <sz val="9"/>
            <color indexed="81"/>
            <rFont val="Tahoma"/>
            <family val="2"/>
          </rPr>
          <t>Carly McCready:</t>
        </r>
        <r>
          <rPr>
            <sz val="9"/>
            <color indexed="81"/>
            <rFont val="Tahoma"/>
            <family val="2"/>
          </rPr>
          <t xml:space="preserve">
Why the jump of &gt;$1000</t>
        </r>
      </text>
    </comment>
    <comment ref="S14" authorId="1" shapeId="0" xr:uid="{00000000-0006-0000-1100-000007000000}">
      <text>
        <r>
          <rPr>
            <b/>
            <sz val="9"/>
            <color indexed="81"/>
            <rFont val="Tahoma"/>
            <family val="2"/>
          </rPr>
          <t>Kurt MacMillan:</t>
        </r>
        <r>
          <rPr>
            <sz val="9"/>
            <color indexed="81"/>
            <rFont val="Tahoma"/>
            <family val="2"/>
          </rPr>
          <t xml:space="preserve">
Spring term: ~20 peer support volunteers at $20, ~15 standard volunteers at $10, 7 executives at $30
 20 x 20 = 400
 15 x 10 = 150
  7 x 30  = 210
   = 760
Fall term: ~25 peer support volunteers at $20, ~25 standard volunteers at $10, 7 executives at $30
 25 x 20 = 500
 25 x 10 = 250
  7 x 30   = 210
              = 960
Winter term: Fall term: ~25 peer support volunteers at $20, ~25 standard volunteers at $10, 7 executives at $30
 25 x 20 = 500
 25 x 10 = 250
  7 x 30  = 210
              = 960
</t>
        </r>
      </text>
    </comment>
    <comment ref="X14" authorId="7" shapeId="0" xr:uid="{3C4B2E3D-0DB9-442E-99B0-5FA4AA9CB748}">
      <text>
        <r>
          <rPr>
            <b/>
            <sz val="9"/>
            <color indexed="81"/>
            <rFont val="Tahoma"/>
            <family val="2"/>
          </rPr>
          <t>Matthew Schwarze:</t>
        </r>
        <r>
          <rPr>
            <sz val="9"/>
            <color indexed="81"/>
            <rFont val="Tahoma"/>
            <family val="2"/>
          </rPr>
          <t xml:space="preserve">
10 general, 10 peer support, 8 execs each term
</t>
        </r>
      </text>
    </comment>
    <comment ref="Z14" authorId="8" shapeId="0" xr:uid="{7617A1B1-14CD-483B-9620-7D402D8D25C1}">
      <text>
        <t xml:space="preserve">[Threaded comment]
Your version of Excel allows you to read this threaded comment; however, any edits to it will get removed if the file is opened in a newer version of Excel. Learn more: https://go.microsoft.com/fwlink/?linkid=870924
Comment:
    Increased to maintain support for large in-person events and the work load of executives. </t>
      </text>
    </comment>
    <comment ref="G15" authorId="5" shapeId="0" xr:uid="{00000000-0006-0000-1100-000008000000}">
      <text>
        <r>
          <rPr>
            <b/>
            <sz val="8"/>
            <color indexed="81"/>
            <rFont val="Tahoma"/>
            <family val="2"/>
          </rPr>
          <t>Kumar Patel:</t>
        </r>
        <r>
          <rPr>
            <sz val="8"/>
            <color indexed="81"/>
            <rFont val="Tahoma"/>
            <family val="2"/>
          </rPr>
          <t xml:space="preserve">
Decreased to reflect the removal of Perr Support Phone Line</t>
        </r>
      </text>
    </comment>
    <comment ref="G17" authorId="5" shapeId="0" xr:uid="{00000000-0006-0000-1100-000009000000}">
      <text>
        <r>
          <rPr>
            <b/>
            <sz val="8"/>
            <color indexed="81"/>
            <rFont val="Tahoma"/>
            <family val="2"/>
          </rPr>
          <t>Kumar Patel:</t>
        </r>
        <r>
          <rPr>
            <sz val="8"/>
            <color indexed="81"/>
            <rFont val="Tahoma"/>
            <family val="2"/>
          </rPr>
          <t xml:space="preserve">
Purchase female condoms and dental dams. Sameas Women's Centre is doing. $200 each</t>
        </r>
      </text>
    </comment>
    <comment ref="X17" authorId="7" shapeId="0" xr:uid="{889F1F6C-1753-49BC-AE47-5E779B79B36E}">
      <text>
        <r>
          <rPr>
            <b/>
            <sz val="9"/>
            <color indexed="81"/>
            <rFont val="Tahoma"/>
            <family val="2"/>
          </rPr>
          <t>Matthew Schwarze:</t>
        </r>
        <r>
          <rPr>
            <sz val="9"/>
            <color indexed="81"/>
            <rFont val="Tahoma"/>
            <family val="2"/>
          </rPr>
          <t xml:space="preserve">
Cleaning supplies, gloves, masks, general</t>
        </r>
      </text>
    </comment>
    <comment ref="I18" authorId="9" shapeId="0" xr:uid="{00000000-0006-0000-1100-00000A000000}">
      <text>
        <r>
          <rPr>
            <b/>
            <sz val="8"/>
            <color indexed="81"/>
            <rFont val="Tahoma"/>
            <family val="2"/>
          </rPr>
          <t>David Collins:</t>
        </r>
        <r>
          <rPr>
            <sz val="8"/>
            <color indexed="81"/>
            <rFont val="Tahoma"/>
            <family val="2"/>
          </rPr>
          <t xml:space="preserve">
-6 speakers x $10 gift
-Meal for 9 execs 3 times per year
</t>
        </r>
      </text>
    </comment>
    <comment ref="C19" authorId="10" shapeId="0" xr:uid="{00000000-0006-0000-1100-00000B000000}">
      <text>
        <r>
          <rPr>
            <b/>
            <sz val="8"/>
            <color indexed="81"/>
            <rFont val="Tahoma"/>
            <family val="2"/>
          </rPr>
          <t>nbest:</t>
        </r>
        <r>
          <rPr>
            <sz val="8"/>
            <color indexed="81"/>
            <rFont val="Tahoma"/>
            <family val="2"/>
          </rPr>
          <t xml:space="preserve">
IFC had to fund last year because it wasn't budgeted before. Now included in budget.</t>
        </r>
      </text>
    </comment>
    <comment ref="I19" authorId="9" shapeId="0" xr:uid="{00000000-0006-0000-1100-00000C000000}">
      <text>
        <r>
          <rPr>
            <b/>
            <sz val="8"/>
            <color indexed="81"/>
            <rFont val="Tahoma"/>
            <family val="2"/>
          </rPr>
          <t>David Collins:</t>
        </r>
        <r>
          <rPr>
            <sz val="8"/>
            <color indexed="81"/>
            <rFont val="Tahoma"/>
            <family val="2"/>
          </rPr>
          <t xml:space="preserve">
CUQS conference. Happens first week of May</t>
        </r>
      </text>
    </comment>
    <comment ref="X19" authorId="7" shapeId="0" xr:uid="{AB475E92-0532-4DF5-AF90-792CF296B524}">
      <text>
        <r>
          <rPr>
            <b/>
            <sz val="9"/>
            <color indexed="81"/>
            <rFont val="Tahoma"/>
            <family val="2"/>
          </rPr>
          <t>Matthew Schwarze:</t>
        </r>
        <r>
          <rPr>
            <sz val="9"/>
            <color indexed="81"/>
            <rFont val="Tahoma"/>
            <family val="2"/>
          </rPr>
          <t xml:space="preserve">
virtual confrences post 2022 and in person after, Toronto Queer Film Festival, Queer and Trans Mathematicians in Combinatorics Conference</t>
        </r>
      </text>
    </comment>
    <comment ref="G20" authorId="5" shapeId="0" xr:uid="{00000000-0006-0000-1100-00000D000000}">
      <text>
        <r>
          <rPr>
            <b/>
            <sz val="8"/>
            <color indexed="81"/>
            <rFont val="Tahoma"/>
            <family val="2"/>
          </rPr>
          <t>Kumar Patel:</t>
        </r>
        <r>
          <rPr>
            <sz val="8"/>
            <color indexed="81"/>
            <rFont val="Tahoma"/>
            <family val="2"/>
          </rPr>
          <t xml:space="preserve">
Increased to allow for thepurchase of more Trans* magazine resources</t>
        </r>
      </text>
    </comment>
    <comment ref="C22" authorId="10" shapeId="0" xr:uid="{00000000-0006-0000-1100-00000E000000}">
      <text>
        <r>
          <rPr>
            <b/>
            <sz val="8"/>
            <color indexed="81"/>
            <rFont val="Tahoma"/>
            <family val="2"/>
          </rPr>
          <t>nbest:</t>
        </r>
        <r>
          <rPr>
            <sz val="8"/>
            <color indexed="81"/>
            <rFont val="Tahoma"/>
            <family val="2"/>
          </rPr>
          <t xml:space="preserve">
40th anniversary celebration is this year, love doesn't doscriminate posters as example, and BBGG night, and other interest things</t>
        </r>
      </text>
    </comment>
    <comment ref="G22" authorId="5" shapeId="0" xr:uid="{00000000-0006-0000-1100-00000F000000}">
      <text>
        <r>
          <rPr>
            <b/>
            <sz val="8"/>
            <color indexed="81"/>
            <rFont val="Tahoma"/>
            <family val="2"/>
          </rPr>
          <t>Kumar Patel:</t>
        </r>
        <r>
          <rPr>
            <sz val="8"/>
            <color indexed="81"/>
            <rFont val="Tahoma"/>
            <family val="2"/>
          </rPr>
          <t xml:space="preserve">
Decreased due to underspending in previous terms</t>
        </r>
      </text>
    </comment>
    <comment ref="I22" authorId="2" shapeId="0" xr:uid="{00000000-0006-0000-1100-000010000000}">
      <text>
        <r>
          <rPr>
            <b/>
            <sz val="8"/>
            <color indexed="81"/>
            <rFont val="Tahoma"/>
            <family val="2"/>
          </rPr>
          <t>Brendan Lowther:
Special projects line reduced due to underspending</t>
        </r>
      </text>
    </comment>
    <comment ref="T22" authorId="11" shapeId="0" xr:uid="{00000000-0006-0000-1100-000011000000}">
      <text>
        <r>
          <rPr>
            <b/>
            <sz val="9"/>
            <color indexed="81"/>
            <rFont val="Tahoma"/>
            <family val="2"/>
          </rPr>
          <t>Windows User:</t>
        </r>
        <r>
          <rPr>
            <sz val="9"/>
            <color indexed="81"/>
            <rFont val="Tahoma"/>
            <family val="2"/>
          </rPr>
          <t xml:space="preserve">
Supporting professional drag performers attending "drag me to" events</t>
        </r>
      </text>
    </comment>
    <comment ref="C25" authorId="10" shapeId="0" xr:uid="{00000000-0006-0000-1100-000012000000}">
      <text>
        <r>
          <rPr>
            <b/>
            <sz val="8"/>
            <color indexed="81"/>
            <rFont val="Tahoma"/>
            <family val="2"/>
          </rPr>
          <t>nbest:</t>
        </r>
        <r>
          <rPr>
            <sz val="8"/>
            <color indexed="81"/>
            <rFont val="Tahoma"/>
            <family val="2"/>
          </rPr>
          <t xml:space="preserve">
Bus trip to TO, 500/per bus, $5.00/ticket = $530.00, plus marching fee, bottled water for bus, and a few prizes
</t>
        </r>
      </text>
    </comment>
    <comment ref="I25" authorId="2" shapeId="0" xr:uid="{00000000-0006-0000-1100-000013000000}">
      <text>
        <r>
          <rPr>
            <b/>
            <sz val="8"/>
            <color indexed="81"/>
            <rFont val="Tahoma"/>
            <family val="2"/>
          </rPr>
          <t>Brendan Lowther:</t>
        </r>
        <r>
          <rPr>
            <sz val="8"/>
            <color indexed="81"/>
            <rFont val="Tahoma"/>
            <family val="2"/>
          </rPr>
          <t xml:space="preserve">
general increase in costs
</t>
        </r>
      </text>
    </comment>
    <comment ref="S25" authorId="1" shapeId="0" xr:uid="{00000000-0006-0000-1100-000014000000}">
      <text>
        <r>
          <rPr>
            <b/>
            <sz val="9"/>
            <color indexed="81"/>
            <rFont val="Tahoma"/>
            <family val="2"/>
          </rPr>
          <t>Kurt MacMillan:</t>
        </r>
        <r>
          <rPr>
            <sz val="9"/>
            <color indexed="81"/>
            <rFont val="Tahoma"/>
            <family val="2"/>
          </rPr>
          <t xml:space="preserve">
Includes bus down, truck and speaker rentals &amp; cost of being in parade </t>
        </r>
      </text>
    </comment>
    <comment ref="X25" authorId="7" shapeId="0" xr:uid="{4F36BC1E-9C30-4E74-A3A2-E59BC809393E}">
      <text>
        <r>
          <rPr>
            <b/>
            <sz val="9"/>
            <color indexed="81"/>
            <rFont val="Tahoma"/>
            <family val="2"/>
          </rPr>
          <t>Matthew Schwarze:</t>
        </r>
        <r>
          <rPr>
            <sz val="9"/>
            <color indexed="81"/>
            <rFont val="Tahoma"/>
            <family val="2"/>
          </rPr>
          <t xml:space="preserve">
flags accross campus, in home pride care box</t>
        </r>
      </text>
    </comment>
    <comment ref="Z25" authorId="12" shapeId="0" xr:uid="{5F22E4A7-2203-4EF9-84EB-7E70C550AD27}">
      <text>
        <t>[Threaded comment]
Your version of Excel allows you to read this threaded comment; however, any edits to it will get removed if the file is opened in a newer version of Excel. Learn more: https://go.microsoft.com/fwlink/?linkid=870924
Comment:
    Increased to it's pre-pandemic budget in order to pay for the planning of Glow participating in pride (in-person)</t>
      </text>
    </comment>
    <comment ref="G26" authorId="5" shapeId="0" xr:uid="{00000000-0006-0000-1100-000015000000}">
      <text>
        <r>
          <rPr>
            <b/>
            <sz val="8"/>
            <color indexed="81"/>
            <rFont val="Tahoma"/>
            <family val="2"/>
          </rPr>
          <t>Kumar Patel:</t>
        </r>
        <r>
          <rPr>
            <sz val="8"/>
            <color indexed="81"/>
            <rFont val="Tahoma"/>
            <family val="2"/>
          </rPr>
          <t xml:space="preserve">
Decreased as library is established, funds will only be utilized to purchase new topics and replace old titles</t>
        </r>
      </text>
    </comment>
    <comment ref="I26" authorId="2" shapeId="0" xr:uid="{00000000-0006-0000-1100-000016000000}">
      <text>
        <r>
          <rPr>
            <b/>
            <sz val="8"/>
            <color indexed="81"/>
            <rFont val="Tahoma"/>
            <family val="2"/>
          </rPr>
          <t>Brendan Lowther:</t>
        </r>
        <r>
          <rPr>
            <sz val="8"/>
            <color indexed="81"/>
            <rFont val="Tahoma"/>
            <family val="2"/>
          </rPr>
          <t xml:space="preserve">
reduction as library is in good shape</t>
        </r>
      </text>
    </comment>
    <comment ref="C27" authorId="10" shapeId="0" xr:uid="{00000000-0006-0000-1100-000017000000}">
      <text>
        <r>
          <rPr>
            <b/>
            <sz val="8"/>
            <color indexed="81"/>
            <rFont val="Tahoma"/>
            <family val="2"/>
          </rPr>
          <t>nbest:</t>
        </r>
        <r>
          <rPr>
            <sz val="8"/>
            <color indexed="81"/>
            <rFont val="Tahoma"/>
            <family val="2"/>
          </rPr>
          <t xml:space="preserve">
coming out week, sapphic mondays, Tuesday movies, </t>
        </r>
      </text>
    </comment>
    <comment ref="G27" authorId="5" shapeId="0" xr:uid="{00000000-0006-0000-1100-000018000000}">
      <text>
        <r>
          <rPr>
            <b/>
            <sz val="8"/>
            <color indexed="81"/>
            <rFont val="Tahoma"/>
            <family val="2"/>
          </rPr>
          <t>Kumar Patel:</t>
        </r>
        <r>
          <rPr>
            <sz val="8"/>
            <color indexed="81"/>
            <rFont val="Tahoma"/>
            <family val="2"/>
          </rPr>
          <t xml:space="preserve">
Decreased due to underspending and increased revenue from Drag Me to the Bomber</t>
        </r>
      </text>
    </comment>
    <comment ref="S27" authorId="1" shapeId="0" xr:uid="{00000000-0006-0000-1100-000019000000}">
      <text>
        <r>
          <rPr>
            <b/>
            <sz val="9"/>
            <color indexed="81"/>
            <rFont val="Tahoma"/>
            <family val="2"/>
          </rPr>
          <t>Kurt MacMillan:</t>
        </r>
        <r>
          <rPr>
            <sz val="9"/>
            <color indexed="81"/>
            <rFont val="Tahoma"/>
            <family val="2"/>
          </rPr>
          <t xml:space="preserve">
Drag, Trans Day, Pride House, Coming Out Week, Bonfires etc</t>
        </r>
      </text>
    </comment>
    <comment ref="X27" authorId="7" shapeId="0" xr:uid="{5BC9DB36-D885-49D5-A3B3-7EDCF7927530}">
      <text>
        <r>
          <rPr>
            <b/>
            <sz val="9"/>
            <color indexed="81"/>
            <rFont val="Tahoma"/>
            <family val="2"/>
          </rPr>
          <t>Matthew Schwarze:</t>
        </r>
        <r>
          <rPr>
            <sz val="9"/>
            <color indexed="81"/>
            <rFont val="Tahoma"/>
            <family val="2"/>
          </rPr>
          <t xml:space="preserve">
QFab, Glow handbooks, printing banner, others</t>
        </r>
      </text>
    </comment>
    <comment ref="Z27" authorId="13" shapeId="0" xr:uid="{05D48765-7237-421F-9FF1-6AB391A70CCE}">
      <text>
        <t>[Threaded comment]
Your version of Excel allows you to read this threaded comment; however, any edits to it will get removed if the file is opened in a newer version of Excel. Learn more: https://go.microsoft.com/fwlink/?linkid=870924
Comment:
    Increased to accomodate costs of in-person event materials and initatives</t>
      </text>
    </comment>
    <comment ref="G28" authorId="5" shapeId="0" xr:uid="{00000000-0006-0000-1100-00001A000000}">
      <text>
        <r>
          <rPr>
            <b/>
            <sz val="8"/>
            <color indexed="81"/>
            <rFont val="Tahoma"/>
            <family val="2"/>
          </rPr>
          <t>Kumar Patel:</t>
        </r>
        <r>
          <rPr>
            <sz val="8"/>
            <color indexed="81"/>
            <rFont val="Tahoma"/>
            <family val="2"/>
          </rPr>
          <t xml:space="preserve">
Added to allow for the hirgn of a Work-Study student in Fall and Winter terms</t>
        </r>
      </text>
    </comment>
    <comment ref="I28" authorId="2" shapeId="0" xr:uid="{00000000-0006-0000-1100-00001B000000}">
      <text>
        <r>
          <rPr>
            <b/>
            <sz val="8"/>
            <color indexed="81"/>
            <rFont val="Tahoma"/>
            <family val="2"/>
          </rPr>
          <t>Brendan Lowther:</t>
        </r>
        <r>
          <rPr>
            <sz val="8"/>
            <color indexed="81"/>
            <rFont val="Tahoma"/>
            <family val="2"/>
          </rPr>
          <t xml:space="preserve">
removed as unused from previous year
</t>
        </r>
      </text>
    </comment>
    <comment ref="I29" authorId="2" shapeId="0" xr:uid="{00000000-0006-0000-1100-00001C000000}">
      <text>
        <r>
          <rPr>
            <b/>
            <sz val="8"/>
            <color indexed="81"/>
            <rFont val="Tahoma"/>
            <family val="2"/>
          </rPr>
          <t>Brendan Lowther:</t>
        </r>
        <r>
          <rPr>
            <sz val="8"/>
            <color indexed="81"/>
            <rFont val="Tahoma"/>
            <family val="2"/>
          </rPr>
          <t xml:space="preserve">
New Line - Training is a full day affair now, so $200 per term for food is required</t>
        </r>
      </text>
    </comment>
    <comment ref="S29" authorId="1" shapeId="0" xr:uid="{00000000-0006-0000-1100-00001D000000}">
      <text>
        <r>
          <rPr>
            <b/>
            <sz val="9"/>
            <color indexed="81"/>
            <rFont val="Tahoma"/>
            <family val="2"/>
          </rPr>
          <t>Kurt MacMillan:</t>
        </r>
        <r>
          <rPr>
            <sz val="9"/>
            <color indexed="81"/>
            <rFont val="Tahoma"/>
            <family val="2"/>
          </rPr>
          <t xml:space="preserve">
Seen a large increase in volunteers. Expecting  35 in Spring, 50 in Winter and Fall</t>
        </r>
      </text>
    </comment>
    <comment ref="X29" authorId="7" shapeId="0" xr:uid="{41AA2F09-1619-46A7-A37B-9A88AC03646F}">
      <text>
        <r>
          <rPr>
            <b/>
            <sz val="9"/>
            <color indexed="81"/>
            <rFont val="Tahoma"/>
            <family val="2"/>
          </rPr>
          <t>Matthew Schwarze:</t>
        </r>
        <r>
          <rPr>
            <sz val="9"/>
            <color indexed="81"/>
            <rFont val="Tahoma"/>
            <family val="2"/>
          </rPr>
          <t xml:space="preserve">
Councelling service gift card, food, Jill</t>
        </r>
      </text>
    </comment>
    <comment ref="S30" authorId="1" shapeId="0" xr:uid="{00000000-0006-0000-1100-00001E000000}">
      <text>
        <r>
          <rPr>
            <b/>
            <sz val="9"/>
            <color indexed="81"/>
            <rFont val="Tahoma"/>
            <family val="2"/>
          </rPr>
          <t>Kurt MacMillan:</t>
        </r>
        <r>
          <rPr>
            <sz val="9"/>
            <color indexed="81"/>
            <rFont val="Tahoma"/>
            <family val="2"/>
          </rPr>
          <t xml:space="preserve">
50th anniversary want to hire for that</t>
        </r>
      </text>
    </comment>
    <comment ref="T30" authorId="11" shapeId="0" xr:uid="{00000000-0006-0000-1100-00001F000000}">
      <text>
        <r>
          <rPr>
            <b/>
            <sz val="9"/>
            <color indexed="81"/>
            <rFont val="Tahoma"/>
            <family val="2"/>
          </rPr>
          <t>Windows User:</t>
        </r>
        <r>
          <rPr>
            <sz val="9"/>
            <color indexed="81"/>
            <rFont val="Tahoma"/>
            <family val="2"/>
          </rPr>
          <t xml:space="preserve">
FY2018-2019 budget went unused because of no hiring, this year will be used.</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Windows User</author>
    <author>tc={D3FB4BB9-E992-4103-B0D2-2C0338A4FEBE}</author>
    <author>Kierra Young</author>
    <author>Brendan Lowther</author>
    <author>Matthew Schwarze</author>
    <author>Del Pereria</author>
    <author>s4cook</author>
    <author>Kumar Patel</author>
    <author>tc={610AC1E4-579F-4C9A-8F49-676663752768}</author>
    <author>Maaz Yasin</author>
    <author>Kurt MacMillan</author>
    <author>Renjie Butalid</author>
    <author>nbest</author>
    <author>Natasha Pozega</author>
    <author>tc={9DFCDFFC-27AB-4914-9065-E0BEC18EAD5D}</author>
    <author>Suzanne Burdett</author>
  </authors>
  <commentList>
    <comment ref="T6" authorId="0" shapeId="0" xr:uid="{00000000-0006-0000-1200-000001000000}">
      <text>
        <r>
          <rPr>
            <b/>
            <sz val="9"/>
            <color indexed="81"/>
            <rFont val="Tahoma"/>
            <family val="2"/>
          </rPr>
          <t>Windows User:</t>
        </r>
        <r>
          <rPr>
            <sz val="9"/>
            <color indexed="81"/>
            <rFont val="Tahoma"/>
            <family val="2"/>
          </rPr>
          <t xml:space="preserve">
potential only having 1 sidewalk sale</t>
        </r>
      </text>
    </comment>
    <comment ref="X13" authorId="1" shapeId="0" xr:uid="{D3FB4BB9-E992-4103-B0D2-2C0338A4FEBE}">
      <text>
        <t>[Threaded comment]
Your version of Excel allows you to read this threaded comment; however, any edits to it will get removed if the file is opened in a newer version of Excel. Learn more: https://go.microsoft.com/fwlink/?linkid=870924
Comment:
    $12 355.20 (3 terms * 16 weeks each * 15 hours/week * $16.5/hour * 4%)</t>
      </text>
    </comment>
    <comment ref="Z13" authorId="2" shapeId="0" xr:uid="{EF55C22F-A69B-4AB2-8513-CBC0EBB199B8}">
      <text>
        <r>
          <rPr>
            <sz val="10"/>
            <color rgb="FF000000"/>
            <rFont val="Arial"/>
            <family val="2"/>
          </rPr>
          <t xml:space="preserve">Kierra Young:
WSP Wage Breakdown:
15 hours a week x $16.50/hour x 14 weeks=$3465
7.5 hours a week x $16.50/hour x 1 week= $123.75
$3465 + $123.75 + 13 percent = $4055.29 (amount commissioner is paid per term)
$4055.29 x 3 terms= $12,165.86 (rounded up to $12,200)
</t>
        </r>
      </text>
    </comment>
    <comment ref="V14" authorId="3" shapeId="0" xr:uid="{00000000-0006-0000-1200-000002000000}">
      <text>
        <r>
          <rPr>
            <b/>
            <sz val="10"/>
            <color rgb="FF000000"/>
            <rFont val="Tahoma"/>
            <family val="2"/>
          </rPr>
          <t>Brendan Lowther:</t>
        </r>
        <r>
          <rPr>
            <sz val="10"/>
            <color rgb="FF000000"/>
            <rFont val="Tahoma"/>
            <family val="2"/>
          </rPr>
          <t xml:space="preserve">
</t>
        </r>
        <r>
          <rPr>
            <sz val="10"/>
            <color rgb="FF000000"/>
            <rFont val="Calibri"/>
            <family val="2"/>
          </rPr>
          <t xml:space="preserve">$500 ( 1 Clothing project Manager  1 terms @500
$1000 (2 campus compost managers @ $250 each x 2 term)  </t>
        </r>
      </text>
    </comment>
    <comment ref="X14" authorId="4" shapeId="0" xr:uid="{245AB979-D9F1-4977-B9DF-8BF99673DB06}">
      <text>
        <r>
          <rPr>
            <b/>
            <sz val="9"/>
            <color indexed="81"/>
            <rFont val="Tahoma"/>
            <family val="2"/>
          </rPr>
          <t>Matthew Schwarze:</t>
        </r>
        <r>
          <rPr>
            <sz val="9"/>
            <color indexed="81"/>
            <rFont val="Tahoma"/>
            <family val="2"/>
          </rPr>
          <t xml:space="preserve">
$500 (1 Clothing Store manager: 2 terms @ 250, may convert to PT in winter 2022)              
___
$1500 (2 Campus Compost coordinators: 3 terms @ $250) </t>
        </r>
      </text>
    </comment>
    <comment ref="Z14" authorId="4" shapeId="0" xr:uid="{1BEE512B-1E4E-4B49-99A5-CC8637DE6CC6}">
      <text>
        <r>
          <rPr>
            <sz val="10"/>
            <rFont val="Arial"/>
            <family val="2"/>
          </rPr>
          <t xml:space="preserve">          ___
$1500 (2 Campus Compost coordinators: 3 terms @ $250) </t>
        </r>
      </text>
    </comment>
    <comment ref="B15" authorId="5" shapeId="0" xr:uid="{00000000-0006-0000-1200-000003000000}">
      <text>
        <r>
          <rPr>
            <b/>
            <sz val="8"/>
            <color indexed="81"/>
            <rFont val="Tahoma"/>
            <family val="2"/>
          </rPr>
          <t>Del Pereria:</t>
        </r>
        <r>
          <rPr>
            <sz val="8"/>
            <color indexed="81"/>
            <rFont val="Tahoma"/>
            <family val="2"/>
          </rPr>
          <t xml:space="preserve">
NEW LINE ITEM
</t>
        </r>
      </text>
    </comment>
    <comment ref="C15" authorId="6" shapeId="0" xr:uid="{00000000-0006-0000-1200-000004000000}">
      <text>
        <r>
          <rPr>
            <b/>
            <sz val="8"/>
            <color indexed="81"/>
            <rFont val="Tahoma"/>
            <family val="2"/>
          </rPr>
          <t>s4cook:</t>
        </r>
        <r>
          <rPr>
            <sz val="8"/>
            <color indexed="81"/>
            <rFont val="Tahoma"/>
            <family val="2"/>
          </rPr>
          <t xml:space="preserve">
- 120 volunteers for all the working groups and the general service volunteers</t>
        </r>
      </text>
    </comment>
    <comment ref="G15" authorId="7" shapeId="0" xr:uid="{00000000-0006-0000-1200-000005000000}">
      <text>
        <r>
          <rPr>
            <b/>
            <sz val="8"/>
            <color indexed="81"/>
            <rFont val="Tahoma"/>
            <family val="2"/>
          </rPr>
          <t>Kumar Patel:</t>
        </r>
        <r>
          <rPr>
            <sz val="8"/>
            <color indexed="81"/>
            <rFont val="Tahoma"/>
            <family val="2"/>
          </rPr>
          <t xml:space="preserve">
Increased to match volunteer appreciation matrix of other service and all volunteer</t>
        </r>
      </text>
    </comment>
    <comment ref="I15" authorId="3" shapeId="0" xr:uid="{00000000-0006-0000-1200-000006000000}">
      <text>
        <r>
          <rPr>
            <b/>
            <sz val="8"/>
            <color indexed="81"/>
            <rFont val="Tahoma"/>
            <family val="2"/>
          </rPr>
          <t>Brendan Lowther:</t>
        </r>
        <r>
          <rPr>
            <sz val="8"/>
            <color indexed="81"/>
            <rFont val="Tahoma"/>
            <family val="2"/>
          </rPr>
          <t xml:space="preserve">
30 Volunteers x $10/term + 6 Execs @ $30/term + 2 Coords x 3 meals and Manager x 3 meals </t>
        </r>
      </text>
    </comment>
    <comment ref="V15" authorId="3" shapeId="0" xr:uid="{00000000-0006-0000-1200-000007000000}">
      <text>
        <r>
          <rPr>
            <b/>
            <sz val="10"/>
            <color rgb="FF000000"/>
            <rFont val="Tahoma"/>
            <family val="2"/>
          </rPr>
          <t>Brendan Lowther:</t>
        </r>
        <r>
          <rPr>
            <sz val="10"/>
            <color rgb="FF000000"/>
            <rFont val="Tahoma"/>
            <family val="2"/>
          </rPr>
          <t xml:space="preserve">
</t>
        </r>
        <r>
          <rPr>
            <sz val="10"/>
            <color rgb="FF000000"/>
            <rFont val="Calibri"/>
            <family val="2"/>
          </rPr>
          <t xml:space="preserve">$270 (3 clothing project execs x $30 x 2 terms + 5 campus compost execs x $30 x 2 terms) 
</t>
        </r>
        <r>
          <rPr>
            <sz val="10"/>
            <color rgb="FF000000"/>
            <rFont val="Tahoma"/>
            <family val="2"/>
          </rPr>
          <t xml:space="preserve">
</t>
        </r>
        <r>
          <rPr>
            <sz val="10"/>
            <color rgb="FF000000"/>
            <rFont val="Calibri"/>
            <family val="2"/>
          </rPr>
          <t xml:space="preserve">Clothing Store Vols $500 (25 vols x $10 x 2-fall and winter) 
</t>
        </r>
        <r>
          <rPr>
            <sz val="10"/>
            <color rgb="FF000000"/>
            <rFont val="Calibri"/>
            <family val="2"/>
          </rPr>
          <t xml:space="preserve">
</t>
        </r>
        <r>
          <rPr>
            <sz val="10"/>
            <color rgb="FF000000"/>
            <rFont val="Calibri"/>
            <family val="2"/>
          </rPr>
          <t xml:space="preserve">Clothing Store Manager - $30 x 1 Manager x 3 Terms
</t>
        </r>
        <r>
          <rPr>
            <sz val="10"/>
            <color rgb="FF000000"/>
            <rFont val="Calibri"/>
            <family val="2"/>
          </rPr>
          <t xml:space="preserve">
</t>
        </r>
        <r>
          <rPr>
            <sz val="10"/>
            <color rgb="FF000000"/>
            <rFont val="Calibri"/>
            <family val="2"/>
          </rPr>
          <t>Campus Compost Managers - $30 x 2 Managers x 3 terms</t>
        </r>
      </text>
    </comment>
    <comment ref="X15" authorId="8" shapeId="0" xr:uid="{610AC1E4-579F-4C9A-8F49-676663752768}">
      <text>
        <t>[Threaded comment]
Your version of Excel allows you to read this threaded comment; however, any edits to it will get removed if the file is opened in a newer version of Excel. Learn more: https://go.microsoft.com/fwlink/?linkid=870924
Comment:
    $530 - Clothing Project (spring- 7 vols, 2 execs; fall- 14 vols, 2 execs: winter- 14 vols, 2 execs)
____
$490 - Campus Compost (spring- 6 vols, 3 execs; fall- 8 vols, 3 execs; winter- 8 vols, 3 execs)</t>
      </text>
    </comment>
    <comment ref="Z15" authorId="2" shapeId="0" xr:uid="{BC2B2F20-1D60-47B1-BDE5-47D7090C5C38}">
      <text>
        <r>
          <rPr>
            <sz val="10"/>
            <rFont val="Arial"/>
            <family val="2"/>
          </rPr>
          <t>Kierra Young:
WSP - 1 exec x 3 terms =$90
Campus Compost - 2 exec/term x $30 x 3 terms =$180
TOTAL: $270 (rounded to $300)</t>
        </r>
      </text>
    </comment>
    <comment ref="G18" authorId="7" shapeId="0" xr:uid="{00000000-0006-0000-1200-000008000000}">
      <text>
        <r>
          <rPr>
            <b/>
            <sz val="8"/>
            <color indexed="81"/>
            <rFont val="Tahoma"/>
            <family val="2"/>
          </rPr>
          <t>Kumar Patel:</t>
        </r>
        <r>
          <rPr>
            <sz val="8"/>
            <color indexed="81"/>
            <rFont val="Tahoma"/>
            <family val="2"/>
          </rPr>
          <t xml:space="preserve">
Decreased, no supplies needed</t>
        </r>
      </text>
    </comment>
    <comment ref="G19" authorId="7" shapeId="0" xr:uid="{00000000-0006-0000-1200-000009000000}">
      <text>
        <r>
          <rPr>
            <b/>
            <sz val="8"/>
            <color indexed="81"/>
            <rFont val="Tahoma"/>
            <family val="2"/>
          </rPr>
          <t>Kumar Patel:</t>
        </r>
        <r>
          <rPr>
            <sz val="8"/>
            <color indexed="81"/>
            <rFont val="Tahoma"/>
            <family val="2"/>
          </rPr>
          <t xml:space="preserve">
Decreased, will find efficiencies</t>
        </r>
      </text>
    </comment>
    <comment ref="C20" authorId="6" shapeId="0" xr:uid="{00000000-0006-0000-1200-00000A000000}">
      <text>
        <r>
          <rPr>
            <b/>
            <sz val="8"/>
            <color indexed="81"/>
            <rFont val="Tahoma"/>
            <family val="2"/>
          </rPr>
          <t>s4cook:</t>
        </r>
        <r>
          <rPr>
            <sz val="8"/>
            <color indexed="81"/>
            <rFont val="Tahoma"/>
            <family val="2"/>
          </rPr>
          <t xml:space="preserve">
? Nikki to find out</t>
        </r>
      </text>
    </comment>
    <comment ref="G20" authorId="7" shapeId="0" xr:uid="{00000000-0006-0000-1200-00000B000000}">
      <text>
        <r>
          <rPr>
            <b/>
            <sz val="8"/>
            <color indexed="81"/>
            <rFont val="Tahoma"/>
            <family val="2"/>
          </rPr>
          <t>Kumar Patel:</t>
        </r>
        <r>
          <rPr>
            <sz val="8"/>
            <color indexed="81"/>
            <rFont val="Tahoma"/>
            <family val="2"/>
          </rPr>
          <t xml:space="preserve">
Cut. No plansfor any conferences </t>
        </r>
      </text>
    </comment>
    <comment ref="C21" authorId="6" shapeId="0" xr:uid="{00000000-0006-0000-1200-00000C000000}">
      <text>
        <r>
          <rPr>
            <b/>
            <sz val="8"/>
            <color indexed="81"/>
            <rFont val="Tahoma"/>
            <family val="2"/>
          </rPr>
          <t>s4cook:</t>
        </r>
        <r>
          <rPr>
            <sz val="8"/>
            <color indexed="81"/>
            <rFont val="Tahoma"/>
            <family val="2"/>
          </rPr>
          <t xml:space="preserve">
last years budget x 2
</t>
        </r>
      </text>
    </comment>
    <comment ref="G21" authorId="7" shapeId="0" xr:uid="{00000000-0006-0000-1200-00000D000000}">
      <text>
        <r>
          <rPr>
            <b/>
            <sz val="8"/>
            <color indexed="81"/>
            <rFont val="Tahoma"/>
            <family val="2"/>
          </rPr>
          <t>Kumar Patel:</t>
        </r>
        <r>
          <rPr>
            <sz val="8"/>
            <color indexed="81"/>
            <rFont val="Tahoma"/>
            <family val="2"/>
          </rPr>
          <t xml:space="preserve">
Please see attached prposal for additional advertising supplies needed from otuside Feds Marketin Department</t>
        </r>
      </text>
    </comment>
    <comment ref="I23" authorId="3" shapeId="0" xr:uid="{00000000-0006-0000-1200-00000E000000}">
      <text>
        <r>
          <rPr>
            <b/>
            <sz val="8"/>
            <color indexed="81"/>
            <rFont val="Tahoma"/>
            <family val="2"/>
          </rPr>
          <t>Brendan Lowther:</t>
        </r>
        <r>
          <rPr>
            <sz val="8"/>
            <color indexed="81"/>
            <rFont val="Tahoma"/>
            <family val="2"/>
          </rPr>
          <t xml:space="preserve">
increase as other lines are consolidated into this one</t>
        </r>
      </text>
    </comment>
    <comment ref="M23" authorId="9" shapeId="0" xr:uid="{00000000-0006-0000-1200-00000F000000}">
      <text>
        <r>
          <rPr>
            <b/>
            <sz val="9"/>
            <color indexed="81"/>
            <rFont val="Tahoma"/>
            <family val="2"/>
          </rPr>
          <t>Maaz Yasin:</t>
        </r>
        <r>
          <rPr>
            <sz val="9"/>
            <color indexed="81"/>
            <rFont val="Tahoma"/>
            <family val="2"/>
          </rPr>
          <t xml:space="preserve">
To reflect change made by Council</t>
        </r>
      </text>
    </comment>
    <comment ref="S23" authorId="10" shapeId="0" xr:uid="{00000000-0006-0000-1200-000010000000}">
      <text>
        <r>
          <rPr>
            <b/>
            <sz val="9"/>
            <color indexed="81"/>
            <rFont val="Tahoma"/>
            <family val="2"/>
          </rPr>
          <t>Kurt MacMillan:</t>
        </r>
        <r>
          <rPr>
            <sz val="9"/>
            <color indexed="81"/>
            <rFont val="Tahoma"/>
            <family val="2"/>
          </rPr>
          <t xml:space="preserve">
expansion of SCI talks collab w TedX</t>
        </r>
      </text>
    </comment>
    <comment ref="C26" authorId="6" shapeId="0" xr:uid="{00000000-0006-0000-1200-000011000000}">
      <text>
        <r>
          <rPr>
            <b/>
            <sz val="8"/>
            <color indexed="81"/>
            <rFont val="Tahoma"/>
            <family val="2"/>
          </rPr>
          <t>s4cook:</t>
        </r>
        <r>
          <rPr>
            <sz val="8"/>
            <color indexed="81"/>
            <rFont val="Tahoma"/>
            <family val="2"/>
          </rPr>
          <t xml:space="preserve">
- removed engineering consult fee of $450 for solar panels</t>
        </r>
      </text>
    </comment>
    <comment ref="I26" authorId="3" shapeId="0" xr:uid="{00000000-0006-0000-1200-000012000000}">
      <text>
        <r>
          <rPr>
            <b/>
            <sz val="8"/>
            <color indexed="81"/>
            <rFont val="Tahoma"/>
            <family val="2"/>
          </rPr>
          <t>Brendan Lowther:</t>
        </r>
        <r>
          <rPr>
            <sz val="8"/>
            <color indexed="81"/>
            <rFont val="Tahoma"/>
            <family val="2"/>
          </rPr>
          <t xml:space="preserve">
Green Bomber/Green Day in Spring 13</t>
        </r>
      </text>
    </comment>
    <comment ref="C28" authorId="6" shapeId="0" xr:uid="{00000000-0006-0000-1200-000013000000}">
      <text>
        <r>
          <rPr>
            <b/>
            <sz val="8"/>
            <color indexed="81"/>
            <rFont val="Tahoma"/>
            <family val="2"/>
          </rPr>
          <t>s4cook:</t>
        </r>
        <r>
          <rPr>
            <sz val="8"/>
            <color indexed="81"/>
            <rFont val="Tahoma"/>
            <family val="2"/>
          </rPr>
          <t xml:space="preserve">
- removed trees for st. pauls
</t>
        </r>
      </text>
    </comment>
    <comment ref="I28" authorId="3" shapeId="0" xr:uid="{00000000-0006-0000-1200-000014000000}">
      <text>
        <r>
          <rPr>
            <b/>
            <sz val="8"/>
            <color indexed="81"/>
            <rFont val="Tahoma"/>
            <family val="2"/>
          </rPr>
          <t>Brendan Lowther:</t>
        </r>
        <r>
          <rPr>
            <sz val="8"/>
            <color indexed="81"/>
            <rFont val="Tahoma"/>
            <family val="2"/>
          </rPr>
          <t xml:space="preserve">
removed and added to special projects</t>
        </r>
      </text>
    </comment>
    <comment ref="B29" authorId="11" shapeId="0" xr:uid="{00000000-0006-0000-1200-000015000000}">
      <text>
        <r>
          <rPr>
            <b/>
            <sz val="8"/>
            <color indexed="81"/>
            <rFont val="Tahoma"/>
            <family val="2"/>
          </rPr>
          <t>Renjie Butalid:</t>
        </r>
        <r>
          <rPr>
            <sz val="8"/>
            <color indexed="81"/>
            <rFont val="Tahoma"/>
            <family val="2"/>
          </rPr>
          <t xml:space="preserve">
New Line Item Added</t>
        </r>
      </text>
    </comment>
    <comment ref="B30" authorId="5" shapeId="0" xr:uid="{00000000-0006-0000-1200-000016000000}">
      <text>
        <r>
          <rPr>
            <b/>
            <sz val="8"/>
            <color indexed="81"/>
            <rFont val="Tahoma"/>
            <family val="2"/>
          </rPr>
          <t>Del Pereria:</t>
        </r>
        <r>
          <rPr>
            <sz val="8"/>
            <color indexed="81"/>
            <rFont val="Tahoma"/>
            <family val="2"/>
          </rPr>
          <t xml:space="preserve">
new line item
</t>
        </r>
      </text>
    </comment>
    <comment ref="B31" authorId="5" shapeId="0" xr:uid="{00000000-0006-0000-1200-000017000000}">
      <text>
        <r>
          <rPr>
            <b/>
            <sz val="8"/>
            <color indexed="81"/>
            <rFont val="Tahoma"/>
            <family val="2"/>
          </rPr>
          <t>Del Pereria:</t>
        </r>
        <r>
          <rPr>
            <sz val="8"/>
            <color indexed="81"/>
            <rFont val="Tahoma"/>
            <family val="2"/>
          </rPr>
          <t xml:space="preserve">
new line item
</t>
        </r>
      </text>
    </comment>
    <comment ref="B33" authorId="5" shapeId="0" xr:uid="{00000000-0006-0000-1200-000018000000}">
      <text>
        <r>
          <rPr>
            <b/>
            <sz val="8"/>
            <color indexed="81"/>
            <rFont val="Tahoma"/>
            <family val="2"/>
          </rPr>
          <t xml:space="preserve">Del Pereira:
new line item
</t>
        </r>
      </text>
    </comment>
    <comment ref="I34" authorId="3" shapeId="0" xr:uid="{00000000-0006-0000-1200-000019000000}">
      <text>
        <r>
          <rPr>
            <b/>
            <sz val="8"/>
            <color indexed="81"/>
            <rFont val="Tahoma"/>
            <family val="2"/>
          </rPr>
          <t>Brendan Lowther:</t>
        </r>
        <r>
          <rPr>
            <sz val="8"/>
            <color indexed="81"/>
            <rFont val="Tahoma"/>
            <family val="2"/>
          </rPr>
          <t xml:space="preserve">
removed and added to special projects</t>
        </r>
      </text>
    </comment>
    <comment ref="C35" authorId="12" shapeId="0" xr:uid="{00000000-0006-0000-1200-00001A000000}">
      <text>
        <r>
          <rPr>
            <sz val="8"/>
            <color indexed="81"/>
            <rFont val="Tahoma"/>
            <family val="2"/>
          </rPr>
          <t xml:space="preserve">- warrior weekends
</t>
        </r>
      </text>
    </comment>
    <comment ref="I35" authorId="3" shapeId="0" xr:uid="{00000000-0006-0000-1200-00001B000000}">
      <text>
        <r>
          <rPr>
            <b/>
            <sz val="8"/>
            <color indexed="81"/>
            <rFont val="Tahoma"/>
            <family val="2"/>
          </rPr>
          <t>Brendan Lowther:</t>
        </r>
        <r>
          <rPr>
            <sz val="8"/>
            <color indexed="81"/>
            <rFont val="Tahoma"/>
            <family val="2"/>
          </rPr>
          <t xml:space="preserve">
removed and added to special projects</t>
        </r>
      </text>
    </comment>
    <comment ref="I36" authorId="3" shapeId="0" xr:uid="{00000000-0006-0000-1200-00001C000000}">
      <text>
        <r>
          <rPr>
            <b/>
            <sz val="8"/>
            <color indexed="81"/>
            <rFont val="Tahoma"/>
            <family val="2"/>
          </rPr>
          <t>Brendan Lowther:</t>
        </r>
        <r>
          <rPr>
            <sz val="8"/>
            <color indexed="81"/>
            <rFont val="Tahoma"/>
            <family val="2"/>
          </rPr>
          <t xml:space="preserve">
removed and added to special projects</t>
        </r>
      </text>
    </comment>
    <comment ref="M37" authorId="9" shapeId="0" xr:uid="{00000000-0006-0000-1200-00001D000000}">
      <text>
        <r>
          <rPr>
            <b/>
            <sz val="9"/>
            <color indexed="81"/>
            <rFont val="Tahoma"/>
            <family val="2"/>
          </rPr>
          <t>Maaz Yasin:</t>
        </r>
        <r>
          <rPr>
            <sz val="9"/>
            <color indexed="81"/>
            <rFont val="Tahoma"/>
            <family val="2"/>
          </rPr>
          <t xml:space="preserve">
SCI can apply for int'l work study which is cheaper</t>
        </r>
      </text>
    </comment>
    <comment ref="B38" authorId="5" shapeId="0" xr:uid="{00000000-0006-0000-1200-00001E000000}">
      <text>
        <r>
          <rPr>
            <b/>
            <sz val="8"/>
            <color indexed="81"/>
            <rFont val="Tahoma"/>
            <family val="2"/>
          </rPr>
          <t>Del Pereria:</t>
        </r>
        <r>
          <rPr>
            <sz val="8"/>
            <color indexed="81"/>
            <rFont val="Tahoma"/>
            <family val="2"/>
          </rPr>
          <t xml:space="preserve">
NEW LINE ITEM
</t>
        </r>
      </text>
    </comment>
    <comment ref="I38" authorId="3" shapeId="0" xr:uid="{00000000-0006-0000-1200-00001F000000}">
      <text>
        <r>
          <rPr>
            <b/>
            <sz val="8"/>
            <color indexed="81"/>
            <rFont val="Tahoma"/>
            <family val="2"/>
          </rPr>
          <t>Brendan Lowther:</t>
        </r>
        <r>
          <rPr>
            <sz val="8"/>
            <color indexed="81"/>
            <rFont val="Tahoma"/>
            <family val="2"/>
          </rPr>
          <t xml:space="preserve">
removed and added to special projects</t>
        </r>
      </text>
    </comment>
    <comment ref="I41" authorId="3" shapeId="0" xr:uid="{00000000-0006-0000-1200-000020000000}">
      <text>
        <r>
          <rPr>
            <b/>
            <sz val="8"/>
            <color indexed="81"/>
            <rFont val="Tahoma"/>
            <family val="2"/>
          </rPr>
          <t>Brendan Lowther:</t>
        </r>
        <r>
          <rPr>
            <sz val="8"/>
            <color indexed="81"/>
            <rFont val="Tahoma"/>
            <family val="2"/>
          </rPr>
          <t xml:space="preserve">
removed and added to special projects</t>
        </r>
      </text>
    </comment>
    <comment ref="I44" authorId="13" shapeId="0" xr:uid="{00000000-0006-0000-1200-000021000000}">
      <text>
        <r>
          <rPr>
            <b/>
            <sz val="8"/>
            <color indexed="81"/>
            <rFont val="Tahoma"/>
            <family val="2"/>
          </rPr>
          <t>Natasha Pozega:</t>
        </r>
        <r>
          <rPr>
            <sz val="8"/>
            <color indexed="81"/>
            <rFont val="Tahoma"/>
            <family val="2"/>
          </rPr>
          <t xml:space="preserve">
Small budget to allow volunteers to come up with termly intitiaves beyond the large projects
</t>
        </r>
      </text>
    </comment>
    <comment ref="Z47" authorId="14" shapeId="0" xr:uid="{9DFCDFFC-27AB-4914-9065-E0BEC18EAD5D}">
      <text>
        <t>[Threaded comment]
Your version of Excel allows you to read this threaded comment; however, any edits to it will get removed if the file is opened in a newer version of Excel. Learn more: https://go.microsoft.com/fwlink/?linkid=870924
Comment:
    For information and education on sustainability practices</t>
      </text>
    </comment>
    <comment ref="I48" authorId="3" shapeId="0" xr:uid="{00000000-0006-0000-1200-000022000000}">
      <text>
        <r>
          <rPr>
            <b/>
            <sz val="8"/>
            <color indexed="81"/>
            <rFont val="Tahoma"/>
            <family val="2"/>
          </rPr>
          <t>Brendan Lowther:</t>
        </r>
        <r>
          <rPr>
            <sz val="8"/>
            <color indexed="81"/>
            <rFont val="Tahoma"/>
            <family val="2"/>
          </rPr>
          <t xml:space="preserve">
New campaign in the Spring term called Recycle week. Smaller events planned throughout the week</t>
        </r>
      </text>
    </comment>
    <comment ref="S49" authorId="10" shapeId="0" xr:uid="{00000000-0006-0000-1200-000023000000}">
      <text>
        <r>
          <rPr>
            <b/>
            <sz val="9"/>
            <color indexed="81"/>
            <rFont val="Tahoma"/>
            <family val="2"/>
          </rPr>
          <t>Kurt MacMillan:</t>
        </r>
        <r>
          <rPr>
            <sz val="9"/>
            <color indexed="81"/>
            <rFont val="Tahoma"/>
            <family val="2"/>
          </rPr>
          <t xml:space="preserve">
Increase in hopes to have more promotion or appreciation for vendors</t>
        </r>
      </text>
    </comment>
    <comment ref="I50" authorId="3" shapeId="0" xr:uid="{00000000-0006-0000-1200-000024000000}">
      <text>
        <r>
          <rPr>
            <b/>
            <sz val="8"/>
            <color indexed="81"/>
            <rFont val="Tahoma"/>
            <family val="2"/>
          </rPr>
          <t>Brendan Lowther:</t>
        </r>
        <r>
          <rPr>
            <sz val="8"/>
            <color indexed="81"/>
            <rFont val="Tahoma"/>
            <family val="2"/>
          </rPr>
          <t xml:space="preserve">
Purchase of new signs</t>
        </r>
      </text>
    </comment>
    <comment ref="V52" authorId="15" shapeId="0" xr:uid="{62BC6A53-655C-4C7E-BBC3-3F9218835E84}">
      <text>
        <r>
          <rPr>
            <b/>
            <sz val="9"/>
            <color indexed="81"/>
            <rFont val="Tahoma"/>
            <family val="2"/>
          </rPr>
          <t>Suzanne Burdett:</t>
        </r>
        <r>
          <rPr>
            <sz val="9"/>
            <color indexed="81"/>
            <rFont val="Tahoma"/>
            <family val="2"/>
          </rPr>
          <t xml:space="preserve">
any renos/equipment - amortized once in use</t>
        </r>
      </text>
    </comment>
    <comment ref="S53" authorId="10" shapeId="0" xr:uid="{00000000-0006-0000-1200-000025000000}">
      <text>
        <r>
          <rPr>
            <b/>
            <sz val="9"/>
            <color indexed="81"/>
            <rFont val="Tahoma"/>
            <family val="2"/>
          </rPr>
          <t>Kurt MacMillan:</t>
        </r>
        <r>
          <rPr>
            <sz val="9"/>
            <color indexed="81"/>
            <rFont val="Tahoma"/>
            <family val="2"/>
          </rPr>
          <t xml:space="preserve">
From Accounting. Finished amortizing off fountains</t>
        </r>
      </text>
    </comment>
    <comment ref="T56" authorId="0" shapeId="0" xr:uid="{00000000-0006-0000-1200-000026000000}">
      <text>
        <r>
          <rPr>
            <b/>
            <sz val="9"/>
            <color indexed="81"/>
            <rFont val="Tahoma"/>
            <family val="2"/>
          </rPr>
          <t>Windows User:</t>
        </r>
        <r>
          <rPr>
            <sz val="9"/>
            <color indexed="81"/>
            <rFont val="Tahoma"/>
            <family val="2"/>
          </rPr>
          <t xml:space="preserve">
Budget &amp; Apps Committee recommends to Council that any additional funds brought in by SCI are retained by the service for use for their purposes.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Brendan Lowther</author>
    <author>s4cook</author>
    <author>Kumar Patel</author>
    <author>Kurt MacMillan</author>
    <author>Windows User</author>
    <author>nbest</author>
    <author>Alana Christi Guevara</author>
    <author>tc={42E77433-EB47-46EF-A156-94626F51B57A}</author>
    <author>Maaz Yasin</author>
  </authors>
  <commentList>
    <comment ref="V14" authorId="0" shapeId="0" xr:uid="{00000000-0006-0000-1300-000001000000}">
      <text>
        <r>
          <rPr>
            <b/>
            <sz val="10"/>
            <color rgb="FF000000"/>
            <rFont val="Tahoma"/>
            <family val="2"/>
          </rPr>
          <t>Brendan Lowther:</t>
        </r>
        <r>
          <rPr>
            <sz val="10"/>
            <color rgb="FF000000"/>
            <rFont val="Tahoma"/>
            <family val="2"/>
          </rPr>
          <t xml:space="preserve">
</t>
        </r>
        <r>
          <rPr>
            <sz val="12"/>
            <color rgb="FF000000"/>
            <rFont val="Calibri"/>
            <family val="2"/>
            <scheme val="minor"/>
          </rPr>
          <t>15 hrs week x 15 Weeks x $16</t>
        </r>
        <r>
          <rPr>
            <sz val="12"/>
            <color rgb="FF000000"/>
            <rFont val="Calibri"/>
            <family val="2"/>
            <scheme val="minor"/>
          </rPr>
          <t xml:space="preserve">
</t>
        </r>
        <r>
          <rPr>
            <sz val="12"/>
            <color rgb="FF000000"/>
            <rFont val="Calibri"/>
            <family val="2"/>
            <scheme val="minor"/>
          </rPr>
          <t>$3600 / Coordinator / Per Term</t>
        </r>
        <r>
          <rPr>
            <sz val="12"/>
            <color rgb="FF000000"/>
            <rFont val="Calibri"/>
            <family val="2"/>
            <scheme val="minor"/>
          </rPr>
          <t xml:space="preserve">
</t>
        </r>
        <r>
          <rPr>
            <sz val="12"/>
            <color rgb="FF000000"/>
            <rFont val="Calibri"/>
            <family val="2"/>
            <scheme val="minor"/>
          </rPr>
          <t>X 2 Coordinators / 1 term</t>
        </r>
      </text>
    </comment>
    <comment ref="X14" authorId="0" shapeId="0" xr:uid="{0352998D-00B0-44BE-A3B2-9AF29F4D9F07}">
      <text>
        <r>
          <rPr>
            <b/>
            <sz val="10"/>
            <color rgb="FF000000"/>
            <rFont val="Tahoma"/>
            <family val="2"/>
          </rPr>
          <t>Brendan Lowther:</t>
        </r>
        <r>
          <rPr>
            <sz val="10"/>
            <color rgb="FF000000"/>
            <rFont val="Tahoma"/>
            <family val="2"/>
          </rPr>
          <t xml:space="preserve">
</t>
        </r>
        <r>
          <rPr>
            <sz val="12"/>
            <color rgb="FF000000"/>
            <rFont val="Calibri"/>
            <family val="2"/>
            <scheme val="minor"/>
          </rPr>
          <t>15 hrs week x 15 Weeks x $16</t>
        </r>
        <r>
          <rPr>
            <sz val="12"/>
            <color rgb="FF000000"/>
            <rFont val="Calibri"/>
            <family val="2"/>
            <scheme val="minor"/>
          </rPr>
          <t xml:space="preserve">
</t>
        </r>
        <r>
          <rPr>
            <sz val="12"/>
            <color rgb="FF000000"/>
            <rFont val="Calibri"/>
            <family val="2"/>
            <scheme val="minor"/>
          </rPr>
          <t>$3600 / Coordinator / Per Term</t>
        </r>
        <r>
          <rPr>
            <sz val="12"/>
            <color rgb="FF000000"/>
            <rFont val="Calibri"/>
            <family val="2"/>
            <scheme val="minor"/>
          </rPr>
          <t xml:space="preserve">
</t>
        </r>
        <r>
          <rPr>
            <sz val="12"/>
            <color rgb="FF000000"/>
            <rFont val="Calibri"/>
            <family val="2"/>
            <scheme val="minor"/>
          </rPr>
          <t>X 2 Coordinators / 1 term</t>
        </r>
      </text>
    </comment>
    <comment ref="Z14" authorId="0" shapeId="0" xr:uid="{78752292-2CE8-49F1-ADDB-4ADF41B2FB71}">
      <text>
        <r>
          <rPr>
            <sz val="10"/>
            <color rgb="FF000000"/>
            <rFont val="Arial"/>
            <family val="2"/>
          </rPr>
          <t>Services Support
OCC Spring term is only 1 coordinator , but 2 coords for fall and winter.Spring term/1 coord15 hours a week x $16/hour x 14 weeks = $33607.5 (half hours) x $16/hour x 1 week = $120 3360 + 120 = 1 term, 1 coord = 3480Fall/Winter 2/coords (4 total)3360 + 120 = 3480 x 2 terms x 2 coords = 13, 920 = 3360 (for 1 coord, 1 term) + 4% = 17971.20 rounded up to 18,000
**Edited to reflect 13% instead of 4% - Alana</t>
        </r>
      </text>
    </comment>
    <comment ref="V15" authorId="0" shapeId="0" xr:uid="{00000000-0006-0000-1300-000002000000}">
      <text>
        <r>
          <rPr>
            <b/>
            <sz val="10"/>
            <color rgb="FF000000"/>
            <rFont val="Tahoma"/>
            <family val="2"/>
          </rPr>
          <t>Brendan Lowther:</t>
        </r>
        <r>
          <rPr>
            <sz val="10"/>
            <color rgb="FF000000"/>
            <rFont val="Tahoma"/>
            <family val="2"/>
          </rPr>
          <t xml:space="preserve">
</t>
        </r>
        <r>
          <rPr>
            <sz val="10"/>
            <color rgb="FF000000"/>
            <rFont val="Tahoma"/>
            <family val="2"/>
          </rPr>
          <t>2/Coords @ $500 x 2 terms</t>
        </r>
      </text>
    </comment>
    <comment ref="X15" authorId="0" shapeId="0" xr:uid="{501E02D1-536A-4CC1-876E-C8D7E1E07C73}">
      <text>
        <r>
          <rPr>
            <b/>
            <sz val="10"/>
            <color rgb="FF000000"/>
            <rFont val="Tahoma"/>
            <family val="2"/>
          </rPr>
          <t>Brendan Lowther:</t>
        </r>
        <r>
          <rPr>
            <sz val="10"/>
            <color rgb="FF000000"/>
            <rFont val="Tahoma"/>
            <family val="2"/>
          </rPr>
          <t xml:space="preserve">
</t>
        </r>
        <r>
          <rPr>
            <sz val="10"/>
            <color rgb="FF000000"/>
            <rFont val="Tahoma"/>
            <family val="2"/>
          </rPr>
          <t>2/Coords @ $500 x 2 terms</t>
        </r>
      </text>
    </comment>
    <comment ref="C17" authorId="1" shapeId="0" xr:uid="{00000000-0006-0000-1300-000003000000}">
      <text>
        <r>
          <rPr>
            <b/>
            <sz val="8"/>
            <color indexed="81"/>
            <rFont val="Tahoma"/>
            <family val="2"/>
          </rPr>
          <t>s4cook:</t>
        </r>
        <r>
          <rPr>
            <sz val="8"/>
            <color indexed="81"/>
            <rFont val="Tahoma"/>
            <family val="2"/>
          </rPr>
          <t xml:space="preserve">
meal per term, and a sweater for each don; trying to bring up to par with UW Housing</t>
        </r>
      </text>
    </comment>
    <comment ref="G17" authorId="2" shapeId="0" xr:uid="{00000000-0006-0000-1300-000004000000}">
      <text>
        <r>
          <rPr>
            <b/>
            <sz val="8"/>
            <color indexed="81"/>
            <rFont val="Tahoma"/>
            <family val="2"/>
          </rPr>
          <t>Kumar Patel:</t>
        </r>
        <r>
          <rPr>
            <sz val="8"/>
            <color indexed="81"/>
            <rFont val="Tahoma"/>
            <family val="2"/>
          </rPr>
          <t xml:space="preserve">
Decreased to match volunteer appreciation matrix of other services. Approx 31 dons per term</t>
        </r>
      </text>
    </comment>
    <comment ref="I17" authorId="0" shapeId="0" xr:uid="{00000000-0006-0000-1300-000005000000}">
      <text>
        <r>
          <rPr>
            <b/>
            <sz val="8"/>
            <color indexed="81"/>
            <rFont val="Tahoma"/>
            <family val="2"/>
          </rPr>
          <t>Brendan Lowther:</t>
        </r>
        <r>
          <rPr>
            <sz val="8"/>
            <color indexed="81"/>
            <rFont val="Tahoma"/>
            <family val="2"/>
          </rPr>
          <t xml:space="preserve">
26 Dons @ $10 each and 3 execs @ $30 + 3 Manager and 3 Coord meals @$30</t>
        </r>
      </text>
    </comment>
    <comment ref="S17" authorId="3" shapeId="0" xr:uid="{00000000-0006-0000-1300-000006000000}">
      <text>
        <r>
          <rPr>
            <b/>
            <sz val="9"/>
            <color indexed="81"/>
            <rFont val="Tahoma"/>
            <family val="2"/>
          </rPr>
          <t>Kurt MacMillan:</t>
        </r>
        <r>
          <rPr>
            <sz val="9"/>
            <color indexed="81"/>
            <rFont val="Tahoma"/>
            <family val="2"/>
          </rPr>
          <t xml:space="preserve">
If Actuals are more it's because there were more dons:
- 2{(30x3)+(20x34)}=$1540,</t>
        </r>
      </text>
    </comment>
    <comment ref="T18" authorId="4" shapeId="0" xr:uid="{00000000-0006-0000-1300-000007000000}">
      <text>
        <r>
          <rPr>
            <b/>
            <sz val="9"/>
            <color indexed="81"/>
            <rFont val="Tahoma"/>
            <family val="2"/>
          </rPr>
          <t>Windows User:</t>
        </r>
        <r>
          <rPr>
            <sz val="9"/>
            <color indexed="81"/>
            <rFont val="Tahoma"/>
            <family val="2"/>
          </rPr>
          <t xml:space="preserve">
install in late spring due to peer support starting in fall (includes panic button install cost) </t>
        </r>
      </text>
    </comment>
    <comment ref="I21" authorId="0" shapeId="0" xr:uid="{00000000-0006-0000-1300-000008000000}">
      <text>
        <r>
          <rPr>
            <b/>
            <sz val="8"/>
            <color indexed="81"/>
            <rFont val="Tahoma"/>
            <family val="2"/>
          </rPr>
          <t>Brendan Lowther:</t>
        </r>
        <r>
          <rPr>
            <sz val="8"/>
            <color indexed="81"/>
            <rFont val="Tahoma"/>
            <family val="2"/>
          </rPr>
          <t xml:space="preserve">
reduced per spending requirements</t>
        </r>
      </text>
    </comment>
    <comment ref="G22" authorId="2" shapeId="0" xr:uid="{00000000-0006-0000-1300-000009000000}">
      <text>
        <r>
          <rPr>
            <b/>
            <sz val="8"/>
            <color indexed="81"/>
            <rFont val="Tahoma"/>
            <family val="2"/>
          </rPr>
          <t>Kumar Patel:</t>
        </r>
        <r>
          <rPr>
            <sz val="8"/>
            <color indexed="81"/>
            <rFont val="Tahoma"/>
            <family val="2"/>
          </rPr>
          <t xml:space="preserve">
Services advertising lines are being transferred to be reflected in marketing account</t>
        </r>
      </text>
    </comment>
    <comment ref="B24" authorId="5" shapeId="0" xr:uid="{00000000-0006-0000-1300-00000A000000}">
      <text>
        <r>
          <rPr>
            <b/>
            <sz val="8"/>
            <color indexed="81"/>
            <rFont val="Tahoma"/>
            <family val="2"/>
          </rPr>
          <t>nbest:</t>
        </r>
        <r>
          <rPr>
            <sz val="8"/>
            <color indexed="81"/>
            <rFont val="Tahoma"/>
            <family val="2"/>
          </rPr>
          <t xml:space="preserve">
New Line 2010-2011
</t>
        </r>
      </text>
    </comment>
    <comment ref="G25" authorId="2" shapeId="0" xr:uid="{00000000-0006-0000-1300-00000B000000}">
      <text>
        <r>
          <rPr>
            <b/>
            <sz val="8"/>
            <color indexed="81"/>
            <rFont val="Tahoma"/>
            <family val="2"/>
          </rPr>
          <t>Kumar Patel:</t>
        </r>
        <r>
          <rPr>
            <sz val="8"/>
            <color indexed="81"/>
            <rFont val="Tahoma"/>
            <family val="2"/>
          </rPr>
          <t xml:space="preserve">
Decreased to be reflectant of annual grant from AP students</t>
        </r>
      </text>
    </comment>
    <comment ref="I25" authorId="0" shapeId="0" xr:uid="{00000000-0006-0000-1300-00000C000000}">
      <text>
        <r>
          <rPr>
            <b/>
            <sz val="8"/>
            <color indexed="81"/>
            <rFont val="Tahoma"/>
            <family val="2"/>
          </rPr>
          <t>Brendan Lowther:</t>
        </r>
        <r>
          <rPr>
            <sz val="8"/>
            <color indexed="81"/>
            <rFont val="Tahoma"/>
            <family val="2"/>
          </rPr>
          <t xml:space="preserve">
Increase requested due to new cost of residence rental during training</t>
        </r>
      </text>
    </comment>
    <comment ref="S25" authorId="3" shapeId="0" xr:uid="{00000000-0006-0000-1300-00000D000000}">
      <text>
        <r>
          <rPr>
            <b/>
            <sz val="9"/>
            <color indexed="81"/>
            <rFont val="Tahoma"/>
            <family val="2"/>
          </rPr>
          <t>Kurt MacMillan:</t>
        </r>
        <r>
          <rPr>
            <sz val="9"/>
            <color indexed="81"/>
            <rFont val="Tahoma"/>
            <family val="2"/>
          </rPr>
          <t xml:space="preserve">
Weekend Trg where they expect more volunteers</t>
        </r>
      </text>
    </comment>
    <comment ref="T25" authorId="4" shapeId="0" xr:uid="{00000000-0006-0000-1300-00000E000000}">
      <text>
        <r>
          <rPr>
            <b/>
            <sz val="9"/>
            <color indexed="81"/>
            <rFont val="Tahoma"/>
            <family val="2"/>
          </rPr>
          <t>Windows User:</t>
        </r>
        <r>
          <rPr>
            <sz val="9"/>
            <color indexed="81"/>
            <rFont val="Tahoma"/>
            <family val="2"/>
          </rPr>
          <t xml:space="preserve">
training happens before fall term </t>
        </r>
      </text>
    </comment>
    <comment ref="V25" authorId="6" shapeId="0" xr:uid="{2E147551-7DC7-4839-BF23-E872519130C4}">
      <text>
        <r>
          <rPr>
            <b/>
            <sz val="9"/>
            <color indexed="81"/>
            <rFont val="Tahoma"/>
            <family val="2"/>
          </rPr>
          <t>Alana Christi Guevara:</t>
        </r>
        <r>
          <rPr>
            <sz val="9"/>
            <color indexed="81"/>
            <rFont val="Tahoma"/>
            <family val="2"/>
          </rPr>
          <t xml:space="preserve">
Moved to Orientation</t>
        </r>
      </text>
    </comment>
    <comment ref="Z25" authorId="7" shapeId="0" xr:uid="{42E77433-EB47-46EF-A156-94626F51B57A}">
      <text>
        <t>[Threaded comment]
Your version of Excel allows you to read this threaded comment; however, any edits to it will get removed if the file is opened in a newer version of Excel. Learn more: https://go.microsoft.com/fwlink/?linkid=870924
Comment:
    Accounts for in-person training and renting out REV for multiple days</t>
      </text>
    </comment>
    <comment ref="G26" authorId="2" shapeId="0" xr:uid="{00000000-0006-0000-1300-00000F000000}">
      <text>
        <r>
          <rPr>
            <b/>
            <sz val="8"/>
            <color indexed="81"/>
            <rFont val="Tahoma"/>
            <family val="2"/>
          </rPr>
          <t>Kumar Patel:</t>
        </r>
        <r>
          <rPr>
            <sz val="8"/>
            <color indexed="81"/>
            <rFont val="Tahoma"/>
            <family val="2"/>
          </rPr>
          <t xml:space="preserve">
Decreased due to underspending in previous years</t>
        </r>
      </text>
    </comment>
    <comment ref="M26" authorId="8" shapeId="0" xr:uid="{00000000-0006-0000-1300-000010000000}">
      <text>
        <r>
          <rPr>
            <b/>
            <sz val="9"/>
            <color indexed="81"/>
            <rFont val="Tahoma"/>
            <family val="2"/>
          </rPr>
          <t xml:space="preserve">Maaz Yasin:
Decreased, </t>
        </r>
        <r>
          <rPr>
            <sz val="9"/>
            <color indexed="81"/>
            <rFont val="Tahoma"/>
            <family val="2"/>
          </rPr>
          <t xml:space="preserve">OCC will be encouraged to acquire sponsorships and break even at events </t>
        </r>
      </text>
    </comment>
    <comment ref="S26" authorId="3" shapeId="0" xr:uid="{00000000-0006-0000-1300-000011000000}">
      <text>
        <r>
          <rPr>
            <b/>
            <sz val="9"/>
            <color indexed="81"/>
            <rFont val="Tahoma"/>
            <family val="2"/>
          </rPr>
          <t>Kurt MacMillan:</t>
        </r>
        <r>
          <rPr>
            <sz val="9"/>
            <color indexed="81"/>
            <rFont val="Tahoma"/>
            <family val="2"/>
          </rPr>
          <t xml:space="preserve">
Don application recruitment events - for our first years to get involved. This money is dispersed among our event groups to allow us to run events such as Karaoke Night, Coffee House, Games and Movies Night, as well as field trip events like OCC Goes to the Escape Room, or the VR Arcade</t>
        </r>
      </text>
    </comment>
    <comment ref="G27" authorId="2" shapeId="0" xr:uid="{00000000-0006-0000-1300-000012000000}">
      <text>
        <r>
          <rPr>
            <b/>
            <sz val="8"/>
            <color indexed="81"/>
            <rFont val="Tahoma"/>
            <family val="2"/>
          </rPr>
          <t>Kumar Patel:</t>
        </r>
        <r>
          <rPr>
            <sz val="8"/>
            <color indexed="81"/>
            <rFont val="Tahoma"/>
            <family val="2"/>
          </rPr>
          <t xml:space="preserve">
Decreased, will find efficiencies</t>
        </r>
      </text>
    </comment>
    <comment ref="I27" authorId="0" shapeId="0" xr:uid="{00000000-0006-0000-1300-000013000000}">
      <text>
        <r>
          <rPr>
            <b/>
            <sz val="8"/>
            <color indexed="81"/>
            <rFont val="Tahoma"/>
            <family val="2"/>
          </rPr>
          <t>Brendan Lowther:</t>
        </r>
        <r>
          <rPr>
            <sz val="8"/>
            <color indexed="81"/>
            <rFont val="Tahoma"/>
            <family val="2"/>
          </rPr>
          <t xml:space="preserve">
increase requested as spending increase reflected in cost of events
</t>
        </r>
      </text>
    </comment>
    <comment ref="B28" authorId="5" shapeId="0" xr:uid="{00000000-0006-0000-1300-000014000000}">
      <text>
        <r>
          <rPr>
            <b/>
            <sz val="8"/>
            <color indexed="81"/>
            <rFont val="Tahoma"/>
            <family val="2"/>
          </rPr>
          <t>nbest:</t>
        </r>
        <r>
          <rPr>
            <sz val="8"/>
            <color indexed="81"/>
            <rFont val="Tahoma"/>
            <family val="2"/>
          </rPr>
          <t xml:space="preserve">
New Line 2010-2011
</t>
        </r>
      </text>
    </comment>
    <comment ref="M32" authorId="8" shapeId="0" xr:uid="{00000000-0006-0000-1300-000015000000}">
      <text>
        <r>
          <rPr>
            <b/>
            <sz val="9"/>
            <color indexed="81"/>
            <rFont val="Tahoma"/>
            <family val="2"/>
          </rPr>
          <t xml:space="preserve">Maaz Yasin: </t>
        </r>
        <r>
          <rPr>
            <sz val="9"/>
            <color indexed="81"/>
            <rFont val="Tahoma"/>
            <family val="2"/>
          </rPr>
          <t xml:space="preserve">Same as last year's budget.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Brendan Lowther</author>
    <author>tc={9F928962-F2C9-4C13-ABDB-D5F86BA02335}</author>
    <author>Kierra Young</author>
    <author>Kumar Patel</author>
    <author>Kurt MacMillan</author>
    <author>tc={963FB940-C694-47C7-B669-A3D07AEE5204}</author>
    <author>tc={84F2B575-10AA-45C7-9116-1D3A1D68AEC1}</author>
    <author>tc={A5E5701E-1C88-4882-A51F-3F094308622A}</author>
    <author>nbest</author>
    <author>Windows User</author>
    <author>p32patel</author>
    <author>Ben Balfour</author>
    <author>Karl Kliewer</author>
    <author>tc={F640D783-46D2-4F7C-BB95-25B56B716856}</author>
    <author>tc={33228446-3178-497E-8D6C-DB47EBAD43A6}</author>
    <author>Natasha Pozega</author>
    <author>tc={F5AED0D9-C15C-4B49-89C5-E1E38BA63430}</author>
  </authors>
  <commentList>
    <comment ref="V12" authorId="0" shapeId="0" xr:uid="{00000000-0006-0000-1400-000001000000}">
      <text>
        <r>
          <rPr>
            <b/>
            <sz val="10"/>
            <color rgb="FF000000"/>
            <rFont val="Tahoma"/>
            <family val="2"/>
          </rPr>
          <t>Brendan Lowther:</t>
        </r>
        <r>
          <rPr>
            <sz val="10"/>
            <color rgb="FF000000"/>
            <rFont val="Tahoma"/>
            <family val="2"/>
          </rPr>
          <t xml:space="preserve">
</t>
        </r>
        <r>
          <rPr>
            <sz val="18"/>
            <color rgb="FF000000"/>
            <rFont val="Calibri"/>
            <family val="2"/>
          </rPr>
          <t xml:space="preserve">25 hrs week x 15 Weeks x $16
</t>
        </r>
        <r>
          <rPr>
            <sz val="18"/>
            <color rgb="FF000000"/>
            <rFont val="Calibri"/>
            <family val="2"/>
          </rPr>
          <t xml:space="preserve">$6000/ Coordinator / per term
</t>
        </r>
        <r>
          <rPr>
            <sz val="18"/>
            <color rgb="FF000000"/>
            <rFont val="Calibri"/>
            <family val="2"/>
          </rPr>
          <t xml:space="preserve">x 2 Coordinators / 1 Term
</t>
        </r>
      </text>
    </comment>
    <comment ref="X12" authorId="1" shapeId="0" xr:uid="{9F928962-F2C9-4C13-ABDB-D5F86BA02335}">
      <text>
        <t>[Threaded comment]
Your version of Excel allows you to read this threaded comment; however, any edits to it will get removed if the file is opened in a newer version of Excel. Learn more: https://go.microsoft.com/fwlink/?linkid=870924
Comment:
    Coordinator PT Salary – 2 Coords x $16/hr x 25hrs/week x 15 weeks x 3 terms + 4%</t>
      </text>
    </comment>
    <comment ref="Z12" authorId="2" shapeId="0" xr:uid="{C342CE27-79F3-4467-AFAF-AA38099DF0AE}">
      <text>
        <r>
          <rPr>
            <sz val="10"/>
            <rFont val="Arial"/>
            <family val="2"/>
          </rPr>
          <t xml:space="preserve">Kierra Young:
Breakdown for wages:  
25 hours a week x $16/hour x 14 weeks =$5600 
12.5 hours a week x $16/hour x 1 week = $200 
$5600 + $200 + 13 percent = $6554 (amount 1 coordinator is paid per term) 
$6554 x 6 (2 coordinators per term) = $39,324 
</t>
        </r>
      </text>
    </comment>
    <comment ref="V13" authorId="0" shapeId="0" xr:uid="{00000000-0006-0000-1400-000002000000}">
      <text>
        <r>
          <rPr>
            <b/>
            <sz val="10"/>
            <color rgb="FF000000"/>
            <rFont val="Tahoma"/>
            <family val="2"/>
          </rPr>
          <t>Brendan Lowther:</t>
        </r>
        <r>
          <rPr>
            <sz val="10"/>
            <color rgb="FF000000"/>
            <rFont val="Tahoma"/>
            <family val="2"/>
          </rPr>
          <t xml:space="preserve">
</t>
        </r>
        <r>
          <rPr>
            <sz val="10"/>
            <color rgb="FF000000"/>
            <rFont val="Tahoma"/>
            <family val="2"/>
          </rPr>
          <t xml:space="preserve">$500/Coord x 1 Term x 2 Coords (Fall)
</t>
        </r>
        <r>
          <rPr>
            <sz val="10"/>
            <color rgb="FF000000"/>
            <rFont val="Tahoma"/>
            <family val="2"/>
          </rPr>
          <t>$500/Cord x 1 Term x 1 Coord (Spring)</t>
        </r>
      </text>
    </comment>
    <comment ref="G14" authorId="3" shapeId="0" xr:uid="{00000000-0006-0000-1400-000003000000}">
      <text>
        <r>
          <rPr>
            <b/>
            <sz val="8"/>
            <color indexed="81"/>
            <rFont val="Tahoma"/>
            <family val="2"/>
          </rPr>
          <t>Kumar Patel:</t>
        </r>
        <r>
          <rPr>
            <sz val="8"/>
            <color indexed="81"/>
            <rFont val="Tahoma"/>
            <family val="2"/>
          </rPr>
          <t xml:space="preserve">
Decreased to match volunteer appreciation matrix of other services. Fewer execs in the spring term</t>
        </r>
      </text>
    </comment>
    <comment ref="I14" authorId="0" shapeId="0" xr:uid="{00000000-0006-0000-1400-000004000000}">
      <text>
        <r>
          <rPr>
            <b/>
            <sz val="8"/>
            <color indexed="81"/>
            <rFont val="Tahoma"/>
            <family val="2"/>
          </rPr>
          <t>Brendan Lowther:</t>
        </r>
        <r>
          <rPr>
            <sz val="8"/>
            <color indexed="81"/>
            <rFont val="Tahoma"/>
            <family val="2"/>
          </rPr>
          <t xml:space="preserve">
Based on 15 Vols and 5 Execs per term
+ 3 Manager Meals and +3 Coordinator Meals</t>
        </r>
      </text>
    </comment>
    <comment ref="S14" authorId="4" shapeId="0" xr:uid="{00000000-0006-0000-1400-000005000000}">
      <text>
        <r>
          <rPr>
            <b/>
            <sz val="9"/>
            <color indexed="81"/>
            <rFont val="Tahoma"/>
            <family val="2"/>
          </rPr>
          <t>Kurt MacMillan:</t>
        </r>
        <r>
          <rPr>
            <sz val="9"/>
            <color indexed="81"/>
            <rFont val="Tahoma"/>
            <family val="2"/>
          </rPr>
          <t xml:space="preserve">
Volunteer flow has remained steady over past few years</t>
        </r>
      </text>
    </comment>
    <comment ref="Z14" authorId="5" shapeId="0" xr:uid="{963FB940-C694-47C7-B669-A3D07AEE5204}">
      <text>
        <t>[Threaded comment]
Your version of Excel allows you to read this threaded comment; however, any edits to it will get removed if the file is opened in a newer version of Excel. Learn more: https://go.microsoft.com/fwlink/?linkid=870924
Comment:
    Due to changes with peer support trained volunteers vs general volunteers, we need to adjust for $20 per volunteer instead of $10. Generally we have 30 volunteers in Fall and Winter terms, and 20 for Spring term. Executive team will range between terms but we will generally have 8 executives in fall and winter, 5 in spring.</t>
      </text>
    </comment>
    <comment ref="Z15" authorId="6" shapeId="0" xr:uid="{84F2B575-10AA-45C7-9116-1D3A1D68AEC1}">
      <text>
        <t>[Threaded comment]
Your version of Excel allows you to read this threaded comment; however, any edits to it will get removed if the file is opened in a newer version of Excel. Learn more: https://go.microsoft.com/fwlink/?linkid=870924
Comment:
    As our telephone bill has stayed the same, we plan to reallocate $50 to office supplies</t>
      </text>
    </comment>
    <comment ref="G16" authorId="3" shapeId="0" xr:uid="{00000000-0006-0000-1400-000006000000}">
      <text>
        <r>
          <rPr>
            <b/>
            <sz val="8"/>
            <color indexed="81"/>
            <rFont val="Tahoma"/>
            <family val="2"/>
          </rPr>
          <t>Kumar Patel:</t>
        </r>
        <r>
          <rPr>
            <sz val="8"/>
            <color indexed="81"/>
            <rFont val="Tahoma"/>
            <family val="2"/>
          </rPr>
          <t xml:space="preserve">
Decreased due to underspendng</t>
        </r>
      </text>
    </comment>
    <comment ref="G17" authorId="3" shapeId="0" xr:uid="{00000000-0006-0000-1400-000007000000}">
      <text>
        <r>
          <rPr>
            <b/>
            <sz val="8"/>
            <color indexed="81"/>
            <rFont val="Tahoma"/>
            <family val="2"/>
          </rPr>
          <t>Kumar Patel:</t>
        </r>
        <r>
          <rPr>
            <sz val="8"/>
            <color indexed="81"/>
            <rFont val="Tahoma"/>
            <family val="2"/>
          </rPr>
          <t xml:space="preserve">
Mainly for female condoms and dental dams</t>
        </r>
      </text>
    </comment>
    <comment ref="Z17" authorId="7" shapeId="0" xr:uid="{A5E5701E-1C88-4882-A51F-3F094308622A}">
      <text>
        <t>[Threaded comment]
Your version of Excel allows you to read this threaded comment; however, any edits to it will get removed if the file is opened in a newer version of Excel. Learn more: https://go.microsoft.com/fwlink/?linkid=870924
Comment:
    As we are no longer getting donations from the Equity Office, we need a greater budget for buying pads/tampons. Please note that we were primarily online for 2 of 3 semesters this year.
Reply:
    $1000 for outlet installation
Reply:
    500 for officed decor</t>
      </text>
    </comment>
    <comment ref="C18" authorId="8" shapeId="0" xr:uid="{00000000-0006-0000-1400-000008000000}">
      <text>
        <r>
          <rPr>
            <b/>
            <sz val="8"/>
            <color indexed="81"/>
            <rFont val="Tahoma"/>
            <family val="2"/>
          </rPr>
          <t>nbest:</t>
        </r>
        <r>
          <rPr>
            <sz val="8"/>
            <color indexed="81"/>
            <rFont val="Tahoma"/>
            <family val="2"/>
          </rPr>
          <t xml:space="preserve">
Meetings and conferences</t>
        </r>
      </text>
    </comment>
    <comment ref="G18" authorId="3" shapeId="0" xr:uid="{00000000-0006-0000-1400-000009000000}">
      <text>
        <r>
          <rPr>
            <b/>
            <sz val="8"/>
            <color indexed="81"/>
            <rFont val="Tahoma"/>
            <family val="2"/>
          </rPr>
          <t>Kumar Patel:</t>
        </r>
        <r>
          <rPr>
            <sz val="8"/>
            <color indexed="81"/>
            <rFont val="Tahoma"/>
            <family val="2"/>
          </rPr>
          <t xml:space="preserve">
Decreased, will find efficiencies</t>
        </r>
      </text>
    </comment>
    <comment ref="V18" authorId="9" shapeId="0" xr:uid="{00000000-0006-0000-1400-00000A000000}">
      <text>
        <r>
          <rPr>
            <b/>
            <sz val="9"/>
            <color indexed="81"/>
            <rFont val="Tahoma"/>
            <family val="2"/>
          </rPr>
          <t>Windows User:</t>
        </r>
        <r>
          <rPr>
            <sz val="9"/>
            <color indexed="81"/>
            <rFont val="Tahoma"/>
            <family val="2"/>
          </rPr>
          <t xml:space="preserve">
want to extend meetings to satellite campuses </t>
        </r>
      </text>
    </comment>
    <comment ref="C19" authorId="8" shapeId="0" xr:uid="{00000000-0006-0000-1400-00000B000000}">
      <text>
        <r>
          <rPr>
            <b/>
            <sz val="8"/>
            <color indexed="81"/>
            <rFont val="Tahoma"/>
            <family val="2"/>
          </rPr>
          <t>nbest:</t>
        </r>
        <r>
          <rPr>
            <sz val="8"/>
            <color indexed="81"/>
            <rFont val="Tahoma"/>
            <family val="2"/>
          </rPr>
          <t xml:space="preserve">
3 Magazines</t>
        </r>
      </text>
    </comment>
    <comment ref="E24" authorId="10" shapeId="0" xr:uid="{00000000-0006-0000-1400-00000C000000}">
      <text>
        <r>
          <rPr>
            <b/>
            <sz val="8"/>
            <color indexed="81"/>
            <rFont val="Tahoma"/>
            <family val="2"/>
          </rPr>
          <t>p32patel:</t>
        </r>
        <r>
          <rPr>
            <sz val="8"/>
            <color indexed="81"/>
            <rFont val="Tahoma"/>
            <family val="2"/>
          </rPr>
          <t xml:space="preserve">
1200 dollars is for special events.</t>
        </r>
      </text>
    </comment>
    <comment ref="G24" authorId="3" shapeId="0" xr:uid="{00000000-0006-0000-1400-00000D000000}">
      <text>
        <r>
          <rPr>
            <b/>
            <sz val="8"/>
            <color indexed="81"/>
            <rFont val="Tahoma"/>
            <family val="2"/>
          </rPr>
          <t>Kumar Patel:</t>
        </r>
        <r>
          <rPr>
            <sz val="8"/>
            <color indexed="81"/>
            <rFont val="Tahoma"/>
            <family val="2"/>
          </rPr>
          <t xml:space="preserve">
Decreased, will find efficiencies</t>
        </r>
      </text>
    </comment>
    <comment ref="K24" authorId="11" shapeId="0" xr:uid="{00000000-0006-0000-1400-00000E000000}">
      <text>
        <r>
          <rPr>
            <b/>
            <sz val="9"/>
            <color indexed="81"/>
            <rFont val="Tahoma"/>
            <family val="2"/>
          </rPr>
          <t>Ben Balfour:</t>
        </r>
        <r>
          <rPr>
            <sz val="9"/>
            <color indexed="81"/>
            <rFont val="Tahoma"/>
            <family val="2"/>
          </rPr>
          <t xml:space="preserve">
Womens Center:
Events such as the SlutWalk are classified under this category which required police services, permits, etc. There will be many future events that will fall under this category and a large sum is needed to plan them accordingly.</t>
        </r>
      </text>
    </comment>
    <comment ref="Y24" authorId="12" shapeId="0" xr:uid="{5701A8B3-60C0-4580-A367-73A80944BD94}">
      <text>
        <r>
          <rPr>
            <b/>
            <sz val="9"/>
            <color indexed="81"/>
            <rFont val="Tahoma"/>
            <family val="2"/>
          </rPr>
          <t>Karl Kliewer:</t>
        </r>
        <r>
          <rPr>
            <sz val="9"/>
            <color indexed="81"/>
            <rFont val="Tahoma"/>
            <family val="2"/>
          </rPr>
          <t xml:space="preserve">
In GL it is not broken down between the diffferent categories</t>
        </r>
      </text>
    </comment>
    <comment ref="Z24" authorId="13" shapeId="0" xr:uid="{F640D783-46D2-4F7C-BB95-25B56B716856}">
      <text>
        <t>[Threaded comment]
Your version of Excel allows you to read this threaded comment; however, any edits to it will get removed if the file is opened in a newer version of Excel. Learn more: https://go.microsoft.com/fwlink/?linkid=870924
Comment:
    Reallocating $150 from special projects to literature as we plan to revamp and update the Women's Centre library</t>
      </text>
    </comment>
    <comment ref="C25" authorId="8" shapeId="0" xr:uid="{00000000-0006-0000-1400-00000F000000}">
      <text>
        <r>
          <rPr>
            <b/>
            <sz val="8"/>
            <color indexed="81"/>
            <rFont val="Tahoma"/>
            <family val="2"/>
          </rPr>
          <t>nbest:</t>
        </r>
        <r>
          <rPr>
            <sz val="8"/>
            <color indexed="81"/>
            <rFont val="Tahoma"/>
            <family val="2"/>
          </rPr>
          <t xml:space="preserve">
Includes Voices publication, books for library
</t>
        </r>
      </text>
    </comment>
    <comment ref="G25" authorId="3" shapeId="0" xr:uid="{00000000-0006-0000-1400-000010000000}">
      <text>
        <r>
          <rPr>
            <b/>
            <sz val="8"/>
            <color indexed="81"/>
            <rFont val="Tahoma"/>
            <family val="2"/>
          </rPr>
          <t>Kumar Patel:</t>
        </r>
        <r>
          <rPr>
            <sz val="8"/>
            <color indexed="81"/>
            <rFont val="Tahoma"/>
            <family val="2"/>
          </rPr>
          <t xml:space="preserve">
Decreased as library is established, funds will only be utilized to purchase new topics and replace old titles. Voices printing eliminated ($50 for printing a few copies for the Centre)</t>
        </r>
      </text>
    </comment>
    <comment ref="I25" authorId="0" shapeId="0" xr:uid="{00000000-0006-0000-1400-000011000000}">
      <text>
        <r>
          <rPr>
            <b/>
            <sz val="8"/>
            <color indexed="81"/>
            <rFont val="Tahoma"/>
            <family val="2"/>
          </rPr>
          <t>Brendan Lowther:</t>
        </r>
        <r>
          <rPr>
            <sz val="8"/>
            <color indexed="81"/>
            <rFont val="Tahoma"/>
            <family val="2"/>
          </rPr>
          <t xml:space="preserve">
reduction reflective of vast library and lack of space and spending</t>
        </r>
      </text>
    </comment>
    <comment ref="K25" authorId="11" shapeId="0" xr:uid="{00000000-0006-0000-1400-000012000000}">
      <text>
        <r>
          <rPr>
            <b/>
            <sz val="9"/>
            <color indexed="81"/>
            <rFont val="Tahoma"/>
            <family val="2"/>
          </rPr>
          <t>Ben Balfour:</t>
        </r>
        <r>
          <rPr>
            <sz val="9"/>
            <color indexed="81"/>
            <rFont val="Tahoma"/>
            <family val="2"/>
          </rPr>
          <t xml:space="preserve">
Womens Center:
One of the key services we proide are the resources that are specific to only the WC. These include pregnancy tests and sexual health products that are often very expensive yet indispensible. This amount will be used to ensure that the centre always has these supplie at hand for the benefit of all students.</t>
        </r>
      </text>
    </comment>
    <comment ref="S25" authorId="4" shapeId="0" xr:uid="{00000000-0006-0000-1400-000013000000}">
      <text>
        <r>
          <rPr>
            <b/>
            <sz val="9"/>
            <color indexed="81"/>
            <rFont val="Tahoma"/>
            <family val="2"/>
          </rPr>
          <t>Kurt MacMillan:</t>
        </r>
        <r>
          <rPr>
            <sz val="9"/>
            <color indexed="81"/>
            <rFont val="Tahoma"/>
            <family val="2"/>
          </rPr>
          <t xml:space="preserve">
Want to stock new books in the library</t>
        </r>
      </text>
    </comment>
    <comment ref="Z25" authorId="14" shapeId="0" xr:uid="{33228446-3178-497E-8D6C-DB47EBAD43A6}">
      <text>
        <t>[Threaded comment]
Your version of Excel allows you to read this threaded comment; however, any edits to it will get removed if the file is opened in a newer version of Excel. Learn more: https://go.microsoft.com/fwlink/?linkid=870924
Comment:
    Increased literature budget for revamping of library and replacing books</t>
      </text>
    </comment>
    <comment ref="G26" authorId="3" shapeId="0" xr:uid="{00000000-0006-0000-1400-000014000000}">
      <text>
        <r>
          <rPr>
            <b/>
            <sz val="8"/>
            <color indexed="81"/>
            <rFont val="Tahoma"/>
            <family val="2"/>
          </rPr>
          <t>Kumar Patel:</t>
        </r>
        <r>
          <rPr>
            <sz val="8"/>
            <color indexed="81"/>
            <rFont val="Tahoma"/>
            <family val="2"/>
          </rPr>
          <t xml:space="preserve">
Increased please see attached proposal</t>
        </r>
      </text>
    </comment>
    <comment ref="I26" authorId="0" shapeId="0" xr:uid="{00000000-0006-0000-1400-000015000000}">
      <text>
        <r>
          <rPr>
            <b/>
            <sz val="8"/>
            <color indexed="81"/>
            <rFont val="Tahoma"/>
            <family val="2"/>
          </rPr>
          <t>Brendan Lowther:</t>
        </r>
        <r>
          <rPr>
            <sz val="8"/>
            <color indexed="81"/>
            <rFont val="Tahoma"/>
            <family val="2"/>
          </rPr>
          <t xml:space="preserve">
reduced due to underspending</t>
        </r>
      </text>
    </comment>
    <comment ref="K26" authorId="11" shapeId="0" xr:uid="{00000000-0006-0000-1400-000016000000}">
      <text>
        <r>
          <rPr>
            <b/>
            <sz val="9"/>
            <color indexed="81"/>
            <rFont val="Tahoma"/>
            <family val="2"/>
          </rPr>
          <t>Ben Balfour:</t>
        </r>
        <r>
          <rPr>
            <sz val="9"/>
            <color indexed="81"/>
            <rFont val="Tahoma"/>
            <family val="2"/>
          </rPr>
          <t xml:space="preserve">
Womens Center:
This is one of the biggest weeks for the centre. It requires a lot of planning and external assistance from other groups. For example, self-defence classes can prove to be very expensive and because it's such an important week, we require the monetary capacity to plan specific events.</t>
        </r>
      </text>
    </comment>
    <comment ref="B28" authorId="15" shapeId="0" xr:uid="{00000000-0006-0000-1400-000017000000}">
      <text>
        <r>
          <rPr>
            <b/>
            <sz val="8"/>
            <color indexed="81"/>
            <rFont val="Tahoma"/>
            <family val="2"/>
          </rPr>
          <t>Natasha Pozega:</t>
        </r>
        <r>
          <rPr>
            <sz val="8"/>
            <color indexed="81"/>
            <rFont val="Tahoma"/>
            <family val="2"/>
          </rPr>
          <t xml:space="preserve">
Nutrition based initiatives. Istening to your body's needs. 
</t>
        </r>
      </text>
    </comment>
    <comment ref="G28" authorId="3" shapeId="0" xr:uid="{00000000-0006-0000-1400-000018000000}">
      <text>
        <r>
          <rPr>
            <b/>
            <sz val="8"/>
            <color indexed="81"/>
            <rFont val="Tahoma"/>
            <family val="2"/>
          </rPr>
          <t>Kumar Patel:</t>
        </r>
        <r>
          <rPr>
            <sz val="8"/>
            <color indexed="81"/>
            <rFont val="Tahoma"/>
            <family val="2"/>
          </rPr>
          <t xml:space="preserve">
Decreased due to underspending</t>
        </r>
      </text>
    </comment>
    <comment ref="B34" authorId="15" shapeId="0" xr:uid="{00000000-0006-0000-1400-000019000000}">
      <text>
        <r>
          <rPr>
            <b/>
            <sz val="8"/>
            <color indexed="81"/>
            <rFont val="Tahoma"/>
            <family val="2"/>
          </rPr>
          <t>Natasha Pozega:</t>
        </r>
        <r>
          <rPr>
            <sz val="8"/>
            <color indexed="81"/>
            <rFont val="Tahoma"/>
            <family val="2"/>
          </rPr>
          <t xml:space="preserve">
Avoiding body "stereotypes"</t>
        </r>
      </text>
    </comment>
    <comment ref="I34" authorId="0" shapeId="0" xr:uid="{00000000-0006-0000-1400-00001A000000}">
      <text>
        <r>
          <rPr>
            <b/>
            <sz val="8"/>
            <color indexed="81"/>
            <rFont val="Tahoma"/>
            <family val="2"/>
          </rPr>
          <t>Brendan Lowther:</t>
        </r>
        <r>
          <rPr>
            <sz val="8"/>
            <color indexed="81"/>
            <rFont val="Tahoma"/>
            <family val="2"/>
          </rPr>
          <t xml:space="preserve">
New Spring Term Initiative</t>
        </r>
      </text>
    </comment>
    <comment ref="I35" authorId="0" shapeId="0" xr:uid="{00000000-0006-0000-1400-00001B000000}">
      <text>
        <r>
          <rPr>
            <b/>
            <sz val="8"/>
            <color indexed="81"/>
            <rFont val="Tahoma"/>
            <family val="2"/>
          </rPr>
          <t>Brendan Lowther:</t>
        </r>
        <r>
          <rPr>
            <sz val="8"/>
            <color indexed="81"/>
            <rFont val="Tahoma"/>
            <family val="2"/>
          </rPr>
          <t xml:space="preserve">
New Line - Training is a full day affair now, so $200 per term for food is required</t>
        </r>
      </text>
    </comment>
    <comment ref="K35" authorId="11" shapeId="0" xr:uid="{00000000-0006-0000-1400-00001C000000}">
      <text>
        <r>
          <rPr>
            <b/>
            <sz val="9"/>
            <color indexed="81"/>
            <rFont val="Tahoma"/>
            <family val="2"/>
          </rPr>
          <t>Ben Balfour:</t>
        </r>
        <r>
          <rPr>
            <sz val="9"/>
            <color indexed="81"/>
            <rFont val="Tahoma"/>
            <family val="2"/>
          </rPr>
          <t xml:space="preserve">
Womens Center:
Volunteer training is done with the assistance of regional organizations who provide training and support. Catering is also required for this event which proves to be expensive. In order to plan a proper training session, a lump sum is required for the volunteer training.</t>
        </r>
      </text>
    </comment>
    <comment ref="Z36" authorId="16" shapeId="0" xr:uid="{F5AED0D9-C15C-4B49-89C5-E1E38BA63430}">
      <text>
        <t>[Threaded comment]
Your version of Excel allows you to read this threaded comment; however, any edits to it will get removed if the file is opened in a newer version of Excel. Learn more: https://go.microsoft.com/fwlink/?linkid=870924
Comment:
    There is no 40th Anniversary next year, funds have been reallocated to Volunteer Appreciation</t>
      </text>
    </comment>
    <comment ref="S37" authorId="4" shapeId="0" xr:uid="{00000000-0006-0000-1400-00001D000000}">
      <text>
        <r>
          <rPr>
            <b/>
            <sz val="9"/>
            <color indexed="81"/>
            <rFont val="Tahoma"/>
            <family val="2"/>
          </rPr>
          <t>Kurt MacMillan:</t>
        </r>
        <r>
          <rPr>
            <sz val="9"/>
            <color indexed="81"/>
            <rFont val="Tahoma"/>
            <family val="2"/>
          </rPr>
          <t xml:space="preserve">
Increased to secure talented headliners</t>
        </r>
      </text>
    </comment>
    <comment ref="T37" authorId="9" shapeId="0" xr:uid="{00000000-0006-0000-1400-00001E000000}">
      <text>
        <r>
          <rPr>
            <b/>
            <sz val="9"/>
            <color indexed="81"/>
            <rFont val="Tahoma"/>
            <family val="2"/>
          </rPr>
          <t>Windows User:</t>
        </r>
        <r>
          <rPr>
            <sz val="9"/>
            <color indexed="81"/>
            <rFont val="Tahoma"/>
            <family val="2"/>
          </rPr>
          <t xml:space="preserve">
While extra mony is needed without the Bomber, the VPOF may provide support under the event venue subsidy line.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Windows User</author>
    <author>Kierra Young</author>
    <author>Brendan Lowther</author>
    <author>Matthew Schwarze</author>
    <author>Maaz Yasin</author>
    <author>Kurt MacMillan</author>
  </authors>
  <commentList>
    <comment ref="L5" authorId="0" shapeId="0" xr:uid="{00000000-0006-0000-1500-000001000000}">
      <text>
        <r>
          <rPr>
            <b/>
            <sz val="9"/>
            <color indexed="81"/>
            <rFont val="Tahoma"/>
            <family val="2"/>
          </rPr>
          <t>Windows User:</t>
        </r>
        <r>
          <rPr>
            <sz val="9"/>
            <color indexed="81"/>
            <rFont val="Tahoma"/>
            <family val="2"/>
          </rPr>
          <t xml:space="preserve">
Major Reductions due to COVID-19 impact on Spring Term</t>
        </r>
      </text>
    </comment>
    <comment ref="L6" authorId="0" shapeId="0" xr:uid="{00000000-0006-0000-1500-000002000000}">
      <text>
        <r>
          <rPr>
            <b/>
            <sz val="9"/>
            <color indexed="81"/>
            <rFont val="Tahoma"/>
            <family val="2"/>
          </rPr>
          <t>Windows User:</t>
        </r>
        <r>
          <rPr>
            <sz val="9"/>
            <color indexed="81"/>
            <rFont val="Tahoma"/>
            <family val="2"/>
          </rPr>
          <t xml:space="preserve">
Major Reductions due to COVID-19 impact on Spring Term</t>
        </r>
      </text>
    </comment>
    <comment ref="P6" authorId="1" shapeId="0" xr:uid="{5DE7F65E-BCE5-495C-881C-FC54BE563D46}">
      <text>
        <r>
          <rPr>
            <sz val="10"/>
            <rFont val="Arial"/>
            <family val="2"/>
          </rPr>
          <t xml:space="preserve">Kierra Young:
We have increased rental fleet which reflects the additional revenue </t>
        </r>
      </text>
    </comment>
    <comment ref="L14" authorId="2" shapeId="0" xr:uid="{00000000-0006-0000-1500-000004000000}">
      <text>
        <r>
          <rPr>
            <b/>
            <sz val="10"/>
            <color rgb="FF000000"/>
            <rFont val="Tahoma"/>
            <family val="2"/>
          </rPr>
          <t>Brendan Lowther:</t>
        </r>
        <r>
          <rPr>
            <sz val="10"/>
            <color rgb="FF000000"/>
            <rFont val="Tahoma"/>
            <family val="2"/>
          </rPr>
          <t xml:space="preserve">
</t>
        </r>
        <r>
          <rPr>
            <sz val="12"/>
            <color rgb="FF000000"/>
            <rFont val="Calibri"/>
            <family val="2"/>
          </rPr>
          <t xml:space="preserve">Winter Term: 15 hrs week x 15 Weeks x $16
</t>
        </r>
        <r>
          <rPr>
            <sz val="12"/>
            <color rgb="FF000000"/>
            <rFont val="Calibri"/>
            <family val="2"/>
          </rPr>
          <t xml:space="preserve">$3600 / Coordinator 
</t>
        </r>
        <r>
          <rPr>
            <sz val="12"/>
            <color rgb="FF000000"/>
            <rFont val="Calibri"/>
            <family val="2"/>
          </rPr>
          <t xml:space="preserve">X 1 Coordinators / 1 term
</t>
        </r>
        <r>
          <rPr>
            <sz val="12"/>
            <color rgb="FF000000"/>
            <rFont val="Calibri"/>
            <family val="2"/>
          </rPr>
          <t xml:space="preserve">Total PT Staff Wages for Winter - $3600
</t>
        </r>
      </text>
    </comment>
    <comment ref="N14" authorId="3" shapeId="0" xr:uid="{B9361011-9DF0-46FC-8826-EC70190D8645}">
      <text>
        <r>
          <rPr>
            <b/>
            <sz val="9"/>
            <color indexed="81"/>
            <rFont val="Tahoma"/>
            <family val="2"/>
          </rPr>
          <t>Matthew Schwarze:</t>
        </r>
        <r>
          <rPr>
            <sz val="9"/>
            <color indexed="81"/>
            <rFont val="Tahoma"/>
            <family val="2"/>
          </rPr>
          <t xml:space="preserve">
5 coords @ 15 hrs/week for 15 weeks @ $(16+4%)/hr</t>
        </r>
      </text>
    </comment>
    <comment ref="P14" authorId="1" shapeId="0" xr:uid="{2145F520-F3B0-42BA-8787-29F641A1D88F}">
      <text>
        <r>
          <rPr>
            <sz val="10"/>
            <rFont val="Arial"/>
            <family val="2"/>
          </rPr>
          <t xml:space="preserve">Kierra Young:
Mechanic – 675 hours a year – (Spring 20 hours/week, Fall 15 hours/week, Winter 10 hours/week) – This should be the same as 15 hours a week throughout the year
11520 + 13 percent =$13017.60
Bike Centre Manager – 20 hours/week for Spring and Fall, 15 hours/week for Winter
10,240 + 3,380 = 13,620
$13,620 + 13 percent =$15390.60
Rental Program Manager – 15 hours week for Spring and Fall, no hours in Winter 
7,680 
$7680 + 13 percent = $8678.40 
$13017.60 + $15390.60 + $8678.40 = $37086.60
</t>
        </r>
      </text>
    </comment>
    <comment ref="L15" authorId="2" shapeId="0" xr:uid="{00000000-0006-0000-1500-000005000000}">
      <text>
        <r>
          <rPr>
            <b/>
            <sz val="10"/>
            <color rgb="FF000000"/>
            <rFont val="Tahoma"/>
            <family val="2"/>
          </rPr>
          <t>Brendan Lowther:</t>
        </r>
        <r>
          <rPr>
            <sz val="10"/>
            <color rgb="FF000000"/>
            <rFont val="Tahoma"/>
            <family val="2"/>
          </rPr>
          <t xml:space="preserve">
</t>
        </r>
        <r>
          <rPr>
            <sz val="10"/>
            <color rgb="FF000000"/>
            <rFont val="Tahoma"/>
            <family val="2"/>
          </rPr>
          <t xml:space="preserve">$500/Coord x 2 Coords x 1 Term (Fall)
</t>
        </r>
        <r>
          <rPr>
            <sz val="10"/>
            <color rgb="FF000000"/>
            <rFont val="Tahoma"/>
            <family val="2"/>
          </rPr>
          <t>$500/Coord x 1 Coord x 1 Term (Spring)</t>
        </r>
      </text>
    </comment>
    <comment ref="J16" authorId="0" shapeId="0" xr:uid="{00000000-0006-0000-1500-000006000000}">
      <text>
        <r>
          <rPr>
            <b/>
            <sz val="9"/>
            <color indexed="81"/>
            <rFont val="Tahoma"/>
            <family val="2"/>
          </rPr>
          <t>Windows User:</t>
        </r>
        <r>
          <rPr>
            <sz val="9"/>
            <color indexed="81"/>
            <rFont val="Tahoma"/>
            <family val="2"/>
          </rPr>
          <t xml:space="preserve">
(20 Volunteers * 10) + (30*6) = 380</t>
        </r>
      </text>
    </comment>
    <comment ref="M16" authorId="3" shapeId="0" xr:uid="{28FB7556-3DC4-41CB-932D-E1057CF3B5A4}">
      <text>
        <r>
          <rPr>
            <b/>
            <sz val="9"/>
            <color indexed="81"/>
            <rFont val="Tahoma"/>
            <family val="2"/>
          </rPr>
          <t>Matthew Schwarze:</t>
        </r>
        <r>
          <rPr>
            <sz val="9"/>
            <color indexed="81"/>
            <rFont val="Tahoma"/>
            <family val="2"/>
          </rPr>
          <t xml:space="preserve">
10/15/20 vols for spring/fall/winter at $10 each, 7/7/5 execs for spring/fall/winter at $30 each</t>
        </r>
      </text>
    </comment>
    <comment ref="N16" authorId="3" shapeId="0" xr:uid="{34DBF99E-3AA7-4380-8926-195E5A43A2FC}">
      <text>
        <r>
          <rPr>
            <b/>
            <sz val="9"/>
            <color indexed="81"/>
            <rFont val="Tahoma"/>
            <family val="2"/>
          </rPr>
          <t>Matthew Schwarze:</t>
        </r>
        <r>
          <rPr>
            <sz val="9"/>
            <color indexed="81"/>
            <rFont val="Tahoma"/>
            <family val="2"/>
          </rPr>
          <t xml:space="preserve">
10/15/20 vols for spring/fall/winter at $10 each, 7/7/5 execs for spring/fall/winter at $30 each</t>
        </r>
      </text>
    </comment>
    <comment ref="P16" authorId="1" shapeId="0" xr:uid="{26083B88-7B7D-4758-9FB8-5531037B9F55}">
      <text>
        <r>
          <rPr>
            <sz val="10"/>
            <rFont val="Arial"/>
            <family val="2"/>
          </rPr>
          <t xml:space="preserve">Kierra Young:
20/15/10 vols for Spring/Fall/Winter at $10 each=$450
2/2/2 execs for spring/fall/winter at $30 each = $180
$450 + $180= $630
</t>
        </r>
      </text>
    </comment>
    <comment ref="P19" authorId="1" shapeId="0" xr:uid="{14FCAE14-F0D0-424F-8940-8EDB0E0DB376}">
      <text>
        <r>
          <rPr>
            <sz val="10"/>
            <rFont val="Arial"/>
            <family val="2"/>
          </rPr>
          <t>Kierra Young:
$100/term for general office maintenance and supplies</t>
        </r>
      </text>
    </comment>
    <comment ref="C20" authorId="4" shapeId="0" xr:uid="{00000000-0006-0000-1500-000007000000}">
      <text>
        <r>
          <rPr>
            <b/>
            <sz val="9"/>
            <color indexed="81"/>
            <rFont val="Tahoma"/>
            <family val="2"/>
          </rPr>
          <t>Maaz Yasin:</t>
        </r>
        <r>
          <rPr>
            <sz val="9"/>
            <color indexed="81"/>
            <rFont val="Tahoma"/>
            <family val="2"/>
          </rPr>
          <t xml:space="preserve">
More effective cost recovery </t>
        </r>
      </text>
    </comment>
    <comment ref="H20" authorId="5" shapeId="0" xr:uid="{00000000-0006-0000-1500-000008000000}">
      <text>
        <r>
          <rPr>
            <b/>
            <sz val="9"/>
            <color indexed="81"/>
            <rFont val="Tahoma"/>
            <family val="2"/>
          </rPr>
          <t>Kurt MacMillan:</t>
        </r>
        <r>
          <rPr>
            <sz val="9"/>
            <color indexed="81"/>
            <rFont val="Tahoma"/>
            <family val="2"/>
          </rPr>
          <t xml:space="preserve">
Bought many supplies </t>
        </r>
      </text>
    </comment>
    <comment ref="M20" authorId="3" shapeId="0" xr:uid="{AEEF3E1D-1AB0-4214-81C1-A7CC2144D498}">
      <text>
        <r>
          <rPr>
            <b/>
            <sz val="9"/>
            <color indexed="81"/>
            <rFont val="Tahoma"/>
            <family val="2"/>
          </rPr>
          <t>Matthew Schwarze:</t>
        </r>
        <r>
          <rPr>
            <sz val="9"/>
            <color indexed="81"/>
            <rFont val="Tahoma"/>
            <family val="2"/>
          </rPr>
          <t xml:space="preserve">
repair aging bike fleet &amp; replace tools</t>
        </r>
      </text>
    </comment>
    <comment ref="N20" authorId="3" shapeId="0" xr:uid="{7D353655-DBB7-48B7-9BEB-F58CD9CDA950}">
      <text>
        <r>
          <rPr>
            <b/>
            <sz val="9"/>
            <color indexed="81"/>
            <rFont val="Tahoma"/>
            <family val="2"/>
          </rPr>
          <t>Matthew Schwarze:</t>
        </r>
        <r>
          <rPr>
            <sz val="9"/>
            <color indexed="81"/>
            <rFont val="Tahoma"/>
            <family val="2"/>
          </rPr>
          <t xml:space="preserve">
repair aging bike fleet &amp; replace tools</t>
        </r>
      </text>
    </comment>
    <comment ref="I23" authorId="5" shapeId="0" xr:uid="{00000000-0006-0000-1500-000009000000}">
      <text>
        <r>
          <rPr>
            <b/>
            <sz val="9"/>
            <color indexed="81"/>
            <rFont val="Tahoma"/>
            <family val="2"/>
          </rPr>
          <t>Kurt MacMillan:</t>
        </r>
        <r>
          <rPr>
            <sz val="9"/>
            <color indexed="81"/>
            <rFont val="Tahoma"/>
            <family val="2"/>
          </rPr>
          <t xml:space="preserve">
To maintain parts for new bike rental program</t>
        </r>
      </text>
    </comment>
    <comment ref="C24" authorId="4" shapeId="0" xr:uid="{00000000-0006-0000-1500-00000A000000}">
      <text>
        <r>
          <rPr>
            <b/>
            <sz val="9"/>
            <color indexed="81"/>
            <rFont val="Tahoma"/>
            <family val="2"/>
          </rPr>
          <t>Maaz Yasin:</t>
        </r>
        <r>
          <rPr>
            <sz val="9"/>
            <color indexed="81"/>
            <rFont val="Tahoma"/>
            <family val="2"/>
          </rPr>
          <t xml:space="preserve">
EPM of $200 should be sufficient for Winter term</t>
        </r>
      </text>
    </comment>
    <comment ref="C25" authorId="4" shapeId="0" xr:uid="{00000000-0006-0000-1500-00000B000000}">
      <text>
        <r>
          <rPr>
            <b/>
            <sz val="9"/>
            <color indexed="81"/>
            <rFont val="Tahoma"/>
            <family val="2"/>
          </rPr>
          <t>Maaz Yasin:</t>
        </r>
        <r>
          <rPr>
            <sz val="9"/>
            <color indexed="81"/>
            <rFont val="Tahoma"/>
            <family val="2"/>
          </rPr>
          <t xml:space="preserve">
Have Bike Auction and other events be break-even</t>
        </r>
      </text>
    </comment>
    <comment ref="J27" authorId="0" shapeId="0" xr:uid="{00000000-0006-0000-1500-00000C000000}">
      <text>
        <r>
          <rPr>
            <b/>
            <sz val="9"/>
            <color indexed="81"/>
            <rFont val="Tahoma"/>
            <family val="2"/>
          </rPr>
          <t>Windows User:</t>
        </r>
        <r>
          <rPr>
            <sz val="9"/>
            <color indexed="81"/>
            <rFont val="Tahoma"/>
            <family val="2"/>
          </rPr>
          <t xml:space="preserve">
 Rows 20-23 adjusted for Fall and Winter only</t>
        </r>
      </text>
    </comment>
    <comment ref="J31" authorId="0" shapeId="0" xr:uid="{00000000-0006-0000-1500-00000D000000}">
      <text>
        <r>
          <rPr>
            <b/>
            <sz val="9"/>
            <color indexed="81"/>
            <rFont val="Tahoma"/>
            <family val="2"/>
          </rPr>
          <t>Windows User:</t>
        </r>
        <r>
          <rPr>
            <sz val="9"/>
            <color indexed="81"/>
            <rFont val="Tahoma"/>
            <family val="2"/>
          </rPr>
          <t xml:space="preserve">
Adjusted for Fall only</t>
        </r>
      </text>
    </comment>
    <comment ref="C32" authorId="4" shapeId="0" xr:uid="{00000000-0006-0000-1500-00000E000000}">
      <text>
        <r>
          <rPr>
            <b/>
            <sz val="9"/>
            <color indexed="81"/>
            <rFont val="Tahoma"/>
            <family val="2"/>
          </rPr>
          <t>Maaz Yasin:</t>
        </r>
        <r>
          <rPr>
            <sz val="9"/>
            <color indexed="81"/>
            <rFont val="Tahoma"/>
            <family val="2"/>
          </rPr>
          <t xml:space="preserve">
Acquire external sponsorships or put Bike rental program on hold for this year until Bike Centre is well established</t>
        </r>
      </text>
    </comment>
    <comment ref="J33" authorId="0" shapeId="0" xr:uid="{00000000-0006-0000-1500-00000F000000}">
      <text>
        <r>
          <rPr>
            <b/>
            <sz val="9"/>
            <color indexed="81"/>
            <rFont val="Tahoma"/>
            <family val="2"/>
          </rPr>
          <t>Windows User:</t>
        </r>
        <r>
          <rPr>
            <sz val="9"/>
            <color indexed="81"/>
            <rFont val="Tahoma"/>
            <family val="2"/>
          </rPr>
          <t xml:space="preserve">
Included in budget report, but not in budget spread sheet.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Natasha Pozega</author>
  </authors>
  <commentList>
    <comment ref="J8" authorId="0" shapeId="0" xr:uid="{00000000-0006-0000-0300-000001000000}">
      <text>
        <r>
          <rPr>
            <b/>
            <sz val="9"/>
            <color indexed="81"/>
            <rFont val="Tahoma"/>
            <family val="2"/>
          </rPr>
          <t>Natasha Pozega:</t>
        </r>
        <r>
          <rPr>
            <sz val="9"/>
            <color indexed="81"/>
            <rFont val="Tahoma"/>
            <family val="2"/>
          </rPr>
          <t xml:space="preserve">
RPO moved to VPED
</t>
        </r>
      </text>
    </comment>
    <comment ref="J16" authorId="0" shapeId="0" xr:uid="{00000000-0006-0000-0300-000002000000}">
      <text>
        <r>
          <rPr>
            <b/>
            <sz val="9"/>
            <color indexed="81"/>
            <rFont val="Tahoma"/>
            <family val="2"/>
          </rPr>
          <t>Natasha Pozega:</t>
        </r>
        <r>
          <rPr>
            <sz val="9"/>
            <color indexed="81"/>
            <rFont val="Tahoma"/>
            <family val="2"/>
          </rPr>
          <t xml:space="preserve">
RPO moved to VPED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Suzanne Burdett</author>
    <author>Carly McCready</author>
    <author>Windows User</author>
    <author>Brendan Lowther</author>
    <author>tc={6846E0CA-D19A-4360-8CD5-62640AA1DF39}</author>
    <author>tc={955A2DC8-CBC4-4EAF-869A-C503DE39E8F9}</author>
    <author>tc={55334B51-761B-489D-80EE-5B07E1C7DA44}</author>
    <author>tc={795A2DA0-42F0-4E56-A9AD-2A738FB9FCBD}</author>
    <author>tc={BD58D3E7-1B3C-44D4-BC81-3C133715560E}</author>
    <author>Kurt MacMillan</author>
    <author>tc={CEEC6905-00FA-46AA-A127-26032D715BA4}</author>
  </authors>
  <commentList>
    <comment ref="N5" authorId="0" shapeId="0" xr:uid="{6853026A-B630-45DD-86FF-24740DB05A4E}">
      <text>
        <r>
          <rPr>
            <b/>
            <sz val="9"/>
            <color indexed="81"/>
            <rFont val="Tahoma"/>
            <family val="2"/>
          </rPr>
          <t>Suzanne Burdett:</t>
        </r>
        <r>
          <rPr>
            <sz val="9"/>
            <color indexed="81"/>
            <rFont val="Tahoma"/>
            <family val="2"/>
          </rPr>
          <t xml:space="preserve">
are we stilll receiving this?</t>
        </r>
      </text>
    </comment>
    <comment ref="G8" authorId="1" shapeId="0" xr:uid="{00000000-0006-0000-1600-000001000000}">
      <text>
        <r>
          <rPr>
            <b/>
            <sz val="9"/>
            <color indexed="81"/>
            <rFont val="Tahoma"/>
            <family val="2"/>
          </rPr>
          <t>Carly McCready:</t>
        </r>
        <r>
          <rPr>
            <sz val="9"/>
            <color indexed="81"/>
            <rFont val="Tahoma"/>
            <family val="2"/>
          </rPr>
          <t xml:space="preserve">
From where?</t>
        </r>
      </text>
    </comment>
    <comment ref="N9" authorId="2" shapeId="0" xr:uid="{00000000-0006-0000-1600-000002000000}">
      <text>
        <r>
          <rPr>
            <b/>
            <sz val="9"/>
            <color indexed="81"/>
            <rFont val="Tahoma"/>
            <family val="2"/>
          </rPr>
          <t>Windows User:</t>
        </r>
        <r>
          <rPr>
            <sz val="9"/>
            <color indexed="81"/>
            <rFont val="Tahoma"/>
            <family val="2"/>
          </rPr>
          <t xml:space="preserve">
Removed due to closure of on-campus classes and operations/programming for Spring from COVID-19 pandemic.</t>
        </r>
      </text>
    </comment>
    <comment ref="N24" authorId="3" shapeId="0" xr:uid="{00000000-0006-0000-1600-000003000000}">
      <text>
        <r>
          <rPr>
            <b/>
            <sz val="10"/>
            <color rgb="FF000000"/>
            <rFont val="Tahoma"/>
            <family val="2"/>
          </rPr>
          <t>Brendan Lowther:</t>
        </r>
        <r>
          <rPr>
            <sz val="10"/>
            <color rgb="FF000000"/>
            <rFont val="Tahoma"/>
            <family val="2"/>
          </rPr>
          <t xml:space="preserve">
</t>
        </r>
        <r>
          <rPr>
            <sz val="12"/>
            <color rgb="FF000000"/>
            <rFont val="Calibri"/>
            <family val="2"/>
            <scheme val="minor"/>
          </rPr>
          <t>15 hrs week x 15 Weeks x $16</t>
        </r>
        <r>
          <rPr>
            <sz val="12"/>
            <color rgb="FF000000"/>
            <rFont val="Calibri"/>
            <family val="2"/>
            <scheme val="minor"/>
          </rPr>
          <t xml:space="preserve">
</t>
        </r>
        <r>
          <rPr>
            <sz val="12"/>
            <color rgb="FF000000"/>
            <rFont val="Calibri"/>
            <family val="2"/>
            <scheme val="minor"/>
          </rPr>
          <t>$3600 / Coordinator / Per Term</t>
        </r>
        <r>
          <rPr>
            <sz val="12"/>
            <color rgb="FF000000"/>
            <rFont val="Calibri"/>
            <family val="2"/>
            <scheme val="minor"/>
          </rPr>
          <t xml:space="preserve">
</t>
        </r>
        <r>
          <rPr>
            <sz val="12"/>
            <color rgb="FF000000"/>
            <rFont val="Calibri"/>
            <family val="2"/>
            <scheme val="minor"/>
          </rPr>
          <t>X 2 Coordinators / 1</t>
        </r>
        <r>
          <rPr>
            <sz val="12"/>
            <color rgb="FF000000"/>
            <rFont val="Calibri"/>
            <family val="2"/>
            <scheme val="minor"/>
          </rPr>
          <t xml:space="preserve"> Term</t>
        </r>
        <r>
          <rPr>
            <sz val="12"/>
            <color rgb="FF000000"/>
            <rFont val="Calibri"/>
            <family val="2"/>
            <scheme val="minor"/>
          </rPr>
          <t xml:space="preserve">
</t>
        </r>
      </text>
    </comment>
    <comment ref="P24" authorId="4" shapeId="0" xr:uid="{6846E0CA-D19A-4360-8CD5-62640AA1DF39}">
      <text>
        <t>[Threaded comment]
Your version of Excel allows you to read this threaded comment; however, any edits to it will get removed if the file is opened in a newer version of Excel. Learn more: https://go.microsoft.com/fwlink/?linkid=870924
Comment:
    Spring term = 1 Coordinator x 15hrs x 15 weeks x $16/hr + 4% = $3744
Fall term and Winter Term – 2 Coordinators x 15 hrs x 15 weeks x $16/hr + 4% = $14976</t>
      </text>
    </comment>
    <comment ref="R24" authorId="5" shapeId="0" xr:uid="{955A2DC8-CBC4-4EAF-869A-C503DE39E8F9}">
      <text>
        <t>[Threaded comment]
Your version of Excel allows you to read this threaded comment; however, any edits to it will get removed if the file is opened in a newer version of Excel. Learn more: https://go.microsoft.com/fwlink/?linkid=870924
Comment:
    15 hours a week x $16/hour x 14 weeks = $3360 
7.5 (half hours) x $16/hour x 1 week = $120 
3360 + 120 + 4% = $3619.20 (1 coordinators wage per term) 
$3619.20 x 6 coordinators (2 coordinators per term) =  
$21,715.20 - rounded up to $21,720 
Reply:
    Edited to reflect 13%, not 4%</t>
      </text>
    </comment>
    <comment ref="N25" authorId="3" shapeId="0" xr:uid="{00000000-0006-0000-1600-000004000000}">
      <text>
        <r>
          <rPr>
            <b/>
            <sz val="10"/>
            <color rgb="FF000000"/>
            <rFont val="Tahoma"/>
            <family val="2"/>
          </rPr>
          <t>Brendan Lowther:</t>
        </r>
        <r>
          <rPr>
            <sz val="10"/>
            <color rgb="FF000000"/>
            <rFont val="Tahoma"/>
            <family val="2"/>
          </rPr>
          <t xml:space="preserve">
</t>
        </r>
        <r>
          <rPr>
            <sz val="10"/>
            <color rgb="FF000000"/>
            <rFont val="Tahoma"/>
            <family val="2"/>
          </rPr>
          <t xml:space="preserve">$500/Coord x 2 Coords x 1 Term (Fall)
</t>
        </r>
        <r>
          <rPr>
            <sz val="10"/>
            <color rgb="FF000000"/>
            <rFont val="Tahoma"/>
            <family val="2"/>
          </rPr>
          <t>$500/Coord x 1 Coord x 1 Term (Spring)</t>
        </r>
      </text>
    </comment>
    <comment ref="P26" authorId="6" shapeId="0" xr:uid="{55334B51-761B-489D-80EE-5B07E1C7DA44}">
      <text>
        <t>[Threaded comment]
Your version of Excel allows you to read this threaded comment; however, any edits to it will get removed if the file is opened in a newer version of Excel. Learn more: https://go.microsoft.com/fwlink/?linkid=870924
Comment:
    4 execs + 7 volunteers = 11 for Fall 2020 ; 4 execs + 20 volunteers= 24 for Winter 2021
Volunteers receive $10 for appreciation (20 volunteers x $10 = $200), execs receive $30 for appreciation (4 execs x $30 = $120). $200 + $120 = $420; 
Just like the Fall 2020 term, Winter 2021 volunteers receive $10 appreciation (20 volunteers x $10= $200) and execs receive $30 appreciation (4 execs x $30 = $120). $200 + $120 = $420;</t>
      </text>
    </comment>
    <comment ref="R29" authorId="7" shapeId="0" xr:uid="{795A2DA0-42F0-4E56-A9AD-2A738FB9FCBD}">
      <text>
        <t>[Threaded comment]
Your version of Excel allows you to read this threaded comment; however, any edits to it will get removed if the file is opened in a newer version of Excel. Learn more: https://go.microsoft.com/fwlink/?linkid=870924
Comment:
    Just moved spaces; will account for any new items needed</t>
      </text>
    </comment>
    <comment ref="R30" authorId="8" shapeId="0" xr:uid="{BD58D3E7-1B3C-44D4-BC81-3C133715560E}">
      <text>
        <t>[Threaded comment]
Your version of Excel allows you to read this threaded comment; however, any edits to it will get removed if the file is opened in a newer version of Excel. Learn more: https://go.microsoft.com/fwlink/?linkid=870924
Comment:
    Approx $30 a term to account for snacks at traning</t>
      </text>
    </comment>
    <comment ref="K32" authorId="9" shapeId="0" xr:uid="{00000000-0006-0000-1600-000006000000}">
      <text>
        <r>
          <rPr>
            <b/>
            <sz val="9"/>
            <color indexed="81"/>
            <rFont val="Tahoma"/>
            <family val="2"/>
          </rPr>
          <t>Kurt MacMillan:</t>
        </r>
        <r>
          <rPr>
            <sz val="9"/>
            <color indexed="81"/>
            <rFont val="Tahoma"/>
            <family val="2"/>
          </rPr>
          <t xml:space="preserve">
Used at Babble Café and Cultural Connections biweekly</t>
        </r>
      </text>
    </comment>
    <comment ref="L32" authorId="2" shapeId="0" xr:uid="{00000000-0006-0000-1600-000007000000}">
      <text>
        <r>
          <rPr>
            <b/>
            <sz val="9"/>
            <color indexed="81"/>
            <rFont val="Tahoma"/>
            <family val="2"/>
          </rPr>
          <t>Windows User:</t>
        </r>
        <r>
          <rPr>
            <sz val="9"/>
            <color indexed="81"/>
            <rFont val="Tahoma"/>
            <family val="2"/>
          </rPr>
          <t xml:space="preserve">
To go up by $1200 approx. due to late invoices received from GSA.</t>
        </r>
      </text>
    </comment>
    <comment ref="R32" authorId="10" shapeId="0" xr:uid="{CEEC6905-00FA-46AA-A127-26032D715BA4}">
      <text>
        <t>[Threaded comment]
Your version of Excel allows you to read this threaded comment; however, any edits to it will get removed if the file is opened in a newer version of Excel. Learn more: https://go.microsoft.com/fwlink/?linkid=870924
Comment:
    $800/term for on campus events (not trips)</t>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Brendan Lowther</author>
    <author>Brendan Lowther (he/him)</author>
    <author>Matthew Schwarze</author>
    <author>Kurt MacMillan</author>
    <author>Kierra Young</author>
    <author>Maaz Yasin</author>
  </authors>
  <commentList>
    <comment ref="L6" authorId="0" shapeId="0" xr:uid="{00000000-0006-0000-1700-000001000000}">
      <text>
        <r>
          <rPr>
            <b/>
            <sz val="10"/>
            <color rgb="FF000000"/>
            <rFont val="Tahoma"/>
            <family val="2"/>
          </rPr>
          <t>Brendan Lowther:</t>
        </r>
        <r>
          <rPr>
            <sz val="10"/>
            <color rgb="FF000000"/>
            <rFont val="Tahoma"/>
            <family val="2"/>
          </rPr>
          <t xml:space="preserve">
</t>
        </r>
        <r>
          <rPr>
            <sz val="10"/>
            <color rgb="FF000000"/>
            <rFont val="Tahoma"/>
            <family val="2"/>
          </rPr>
          <t xml:space="preserve">CEE - Provides :
</t>
        </r>
        <r>
          <rPr>
            <sz val="10"/>
            <color rgb="FF000000"/>
            <rFont val="Tahoma"/>
            <family val="2"/>
          </rPr>
          <t xml:space="preserve">$6000 Funding for Events (Fall and Winter)
</t>
        </r>
        <r>
          <rPr>
            <sz val="10"/>
            <color rgb="FF000000"/>
            <rFont val="Tahoma"/>
            <family val="2"/>
          </rPr>
          <t xml:space="preserve">$1000 - Spring City Ambassador Honorariums ($250 x 4)
</t>
        </r>
        <r>
          <rPr>
            <sz val="10"/>
            <color rgb="FF000000"/>
            <rFont val="Tahoma"/>
            <family val="2"/>
          </rPr>
          <t>$10,000 - Fall and Winter City Ambassador Honorariums ($250 x 20)</t>
        </r>
      </text>
    </comment>
    <comment ref="M6" authorId="0" shapeId="0" xr:uid="{312D2E35-C580-4642-B742-1218FF7AAC55}">
      <text>
        <r>
          <rPr>
            <b/>
            <sz val="10"/>
            <color rgb="FF000000"/>
            <rFont val="Tahoma"/>
            <family val="2"/>
          </rPr>
          <t>Brendan Lowther:</t>
        </r>
        <r>
          <rPr>
            <sz val="10"/>
            <color rgb="FF000000"/>
            <rFont val="Tahoma"/>
            <family val="2"/>
          </rPr>
          <t xml:space="preserve">
</t>
        </r>
        <r>
          <rPr>
            <sz val="10"/>
            <color rgb="FF000000"/>
            <rFont val="Tahoma"/>
            <family val="2"/>
          </rPr>
          <t xml:space="preserve">CEE - Provides :
</t>
        </r>
        <r>
          <rPr>
            <sz val="10"/>
            <color rgb="FF000000"/>
            <rFont val="Tahoma"/>
            <family val="2"/>
          </rPr>
          <t xml:space="preserve">$6000 Funding for Events (Fall and Winter)
</t>
        </r>
        <r>
          <rPr>
            <sz val="10"/>
            <color rgb="FF000000"/>
            <rFont val="Tahoma"/>
            <family val="2"/>
          </rPr>
          <t xml:space="preserve">$1000 - Spring City Ambassador Honorariums ($250 x 4)
</t>
        </r>
        <r>
          <rPr>
            <sz val="10"/>
            <color rgb="FF000000"/>
            <rFont val="Tahoma"/>
            <family val="2"/>
          </rPr>
          <t>$10,000 - Fall and Winter City Ambassador Honorariums ($250 x 20)</t>
        </r>
      </text>
    </comment>
    <comment ref="P6" authorId="1" shapeId="0" xr:uid="{29813E21-372F-4062-932C-012D70A39969}">
      <text>
        <r>
          <rPr>
            <b/>
            <sz val="10"/>
            <color rgb="FF000000"/>
            <rFont val="Tahoma"/>
            <family val="2"/>
          </rPr>
          <t>Brendan Lowther (he/him):</t>
        </r>
        <r>
          <rPr>
            <sz val="10"/>
            <color rgb="FF000000"/>
            <rFont val="Tahoma"/>
            <family val="2"/>
          </rPr>
          <t xml:space="preserve">
</t>
        </r>
        <r>
          <rPr>
            <sz val="10"/>
            <color rgb="FF000000"/>
            <rFont val="Tahoma"/>
            <family val="2"/>
          </rPr>
          <t xml:space="preserve">Brent from CEE has confirmed this amount is acceptable
</t>
        </r>
        <r>
          <rPr>
            <sz val="10"/>
            <color rgb="FF000000"/>
            <rFont val="Tahoma"/>
            <family val="2"/>
          </rPr>
          <t xml:space="preserve">March 2022
</t>
        </r>
      </text>
    </comment>
    <comment ref="L12" authorId="0" shapeId="0" xr:uid="{00000000-0006-0000-1700-000002000000}">
      <text>
        <r>
          <rPr>
            <b/>
            <sz val="10"/>
            <color rgb="FF000000"/>
            <rFont val="Tahoma"/>
            <family val="2"/>
          </rPr>
          <t>Brendan Lowther:</t>
        </r>
        <r>
          <rPr>
            <sz val="10"/>
            <color rgb="FF000000"/>
            <rFont val="Tahoma"/>
            <family val="2"/>
          </rPr>
          <t xml:space="preserve">
</t>
        </r>
        <r>
          <rPr>
            <sz val="12"/>
            <color rgb="FF000000"/>
            <rFont val="Calibri"/>
            <family val="2"/>
            <scheme val="minor"/>
          </rPr>
          <t>10 hrs week x 15 Weeks x $16</t>
        </r>
        <r>
          <rPr>
            <sz val="12"/>
            <color rgb="FF000000"/>
            <rFont val="Calibri"/>
            <family val="2"/>
            <scheme val="minor"/>
          </rPr>
          <t xml:space="preserve">
</t>
        </r>
        <r>
          <rPr>
            <sz val="12"/>
            <color rgb="FF000000"/>
            <rFont val="Calibri"/>
            <family val="2"/>
            <scheme val="minor"/>
          </rPr>
          <t>$2400 / Coordinator / Per Term</t>
        </r>
        <r>
          <rPr>
            <sz val="12"/>
            <color rgb="FF000000"/>
            <rFont val="Calibri"/>
            <family val="2"/>
            <scheme val="minor"/>
          </rPr>
          <t xml:space="preserve">
</t>
        </r>
        <r>
          <rPr>
            <sz val="12"/>
            <color rgb="FF000000"/>
            <rFont val="Calibri"/>
            <family val="2"/>
            <scheme val="minor"/>
          </rPr>
          <t>X 1 Coordinators / 1 Term</t>
        </r>
        <r>
          <rPr>
            <sz val="12"/>
            <color rgb="FF000000"/>
            <rFont val="Calibri"/>
            <family val="2"/>
            <scheme val="minor"/>
          </rPr>
          <t xml:space="preserve">
</t>
        </r>
      </text>
    </comment>
    <comment ref="N12" authorId="2" shapeId="0" xr:uid="{4D173563-EBEE-4A22-A6BF-B6D73FF6785B}">
      <text>
        <r>
          <rPr>
            <b/>
            <sz val="9"/>
            <color indexed="81"/>
            <rFont val="Tahoma"/>
            <family val="2"/>
          </rPr>
          <t>Matthew Schwarze:</t>
        </r>
        <r>
          <rPr>
            <sz val="9"/>
            <color indexed="81"/>
            <rFont val="Tahoma"/>
            <family val="2"/>
          </rPr>
          <t xml:space="preserve">
(10 hrs week x 15 Weeks x $16) + 4% = 
$2496 / Coordinator / Per Term
X 1 Coordinator each 3 terms</t>
        </r>
      </text>
    </comment>
    <comment ref="P12" authorId="2" shapeId="0" xr:uid="{CBFFD50A-3695-4A2F-8F4F-18835FEAAC9C}">
      <text>
        <r>
          <rPr>
            <sz val="10"/>
            <rFont val="Arial"/>
            <family val="2"/>
          </rPr>
          <t>Breakdown for Wages – Co-op Connection:
10 hours a week x $16/hour x 14 weeks= $2240
5 hours (reduced hours) a week x $16/hour x 1 week= $80
$2240 + $80 + 4 percent = $2412.80 (amount 1 coordinator is paid per term)
$2412.80 x 3 (1 coordinator for 3 terms) = $7238.40 (rounded up to $7300)
Edited to reflect 13% - Alana</t>
        </r>
      </text>
    </comment>
    <comment ref="L13" authorId="0" shapeId="0" xr:uid="{00000000-0006-0000-1700-000003000000}">
      <text>
        <r>
          <rPr>
            <b/>
            <sz val="10"/>
            <color rgb="FF000000"/>
            <rFont val="Tahoma"/>
            <family val="2"/>
          </rPr>
          <t>Brendan Lowther:</t>
        </r>
        <r>
          <rPr>
            <sz val="10"/>
            <color rgb="FF000000"/>
            <rFont val="Tahoma"/>
            <family val="2"/>
          </rPr>
          <t xml:space="preserve">
1 Coordinator x $500 x 2 terms
 + Ambassador honorariums</t>
        </r>
      </text>
    </comment>
    <comment ref="N13" authorId="2" shapeId="0" xr:uid="{B3974A37-2EDA-4298-A9C1-FD9FDCF24D2B}">
      <text>
        <r>
          <rPr>
            <b/>
            <sz val="9"/>
            <color indexed="81"/>
            <rFont val="Tahoma"/>
            <family val="2"/>
          </rPr>
          <t>Matthew Schwarze:</t>
        </r>
        <r>
          <rPr>
            <sz val="9"/>
            <color indexed="81"/>
            <rFont val="Tahoma"/>
            <family val="2"/>
          </rPr>
          <t xml:space="preserve">
Ambassador Honoraria, $250 * 17 (7 Ambassadors for Spring &amp; Fall, 10 for Winter)</t>
        </r>
      </text>
    </comment>
    <comment ref="P13" authorId="2" shapeId="0" xr:uid="{55DAC516-A960-4A7F-A54A-DC36ADC093A5}">
      <text>
        <r>
          <rPr>
            <sz val="10"/>
            <rFont val="Arial"/>
            <family val="2"/>
          </rPr>
          <t>Kierra Young:
Ambassador Honorarium, $250 * 17 (7 Ambassadors for Spring, 12 Fall, 12 for Winter)
31 x $250 =$7750
Funded by CEE</t>
        </r>
      </text>
    </comment>
    <comment ref="I20" authorId="3" shapeId="0" xr:uid="{00000000-0006-0000-1700-000004000000}">
      <text>
        <r>
          <rPr>
            <b/>
            <sz val="9"/>
            <color indexed="81"/>
            <rFont val="Tahoma"/>
            <family val="2"/>
          </rPr>
          <t>Kurt MacMillan:</t>
        </r>
        <r>
          <rPr>
            <sz val="9"/>
            <color indexed="81"/>
            <rFont val="Tahoma"/>
            <family val="2"/>
          </rPr>
          <t xml:space="preserve">
Used for off-campus events in different cities
</t>
        </r>
      </text>
    </comment>
    <comment ref="L20" authorId="0" shapeId="0" xr:uid="{00000000-0006-0000-1700-000005000000}">
      <text>
        <r>
          <rPr>
            <b/>
            <sz val="10"/>
            <color rgb="FF000000"/>
            <rFont val="Tahoma"/>
            <family val="2"/>
          </rPr>
          <t>Brendan Lowther:</t>
        </r>
        <r>
          <rPr>
            <sz val="10"/>
            <color rgb="FF000000"/>
            <rFont val="Tahoma"/>
            <family val="2"/>
          </rPr>
          <t xml:space="preserve">
</t>
        </r>
        <r>
          <rPr>
            <sz val="10"/>
            <color rgb="FF000000"/>
            <rFont val="Tahoma"/>
            <family val="2"/>
          </rPr>
          <t>Funded by CEE $3000/ term</t>
        </r>
      </text>
    </comment>
    <comment ref="P20" authorId="4" shapeId="0" xr:uid="{4F205783-EDE3-46CD-9A38-985B1C4DEB84}">
      <text>
        <r>
          <rPr>
            <sz val="10"/>
            <rFont val="Arial"/>
            <family val="2"/>
          </rPr>
          <t>Kierra Young:
Funded by CEE</t>
        </r>
      </text>
    </comment>
    <comment ref="C21" authorId="5" shapeId="0" xr:uid="{00000000-0006-0000-1700-000006000000}">
      <text>
        <r>
          <rPr>
            <b/>
            <sz val="9"/>
            <color indexed="81"/>
            <rFont val="Tahoma"/>
            <family val="2"/>
          </rPr>
          <t>Maaz Yasin:</t>
        </r>
        <r>
          <rPr>
            <sz val="9"/>
            <color indexed="81"/>
            <rFont val="Tahoma"/>
            <family val="2"/>
          </rPr>
          <t xml:space="preserve">
Travel only to GTA. Apply for points if additional travel is essential</t>
        </r>
      </text>
    </comment>
    <comment ref="P22" authorId="4" shapeId="0" xr:uid="{A07DB605-26F3-412A-A360-32B7F0F5E859}">
      <text>
        <r>
          <rPr>
            <sz val="10"/>
            <rFont val="Arial"/>
            <family val="2"/>
          </rPr>
          <t>Kierra Young:
Only around 2 volunteers per term
6 volunteers x $30=$180 (rounded to $200)</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Kurt MacMillan</author>
    <author>Carly McCready</author>
    <author>Maaz Yasin</author>
    <author>Windows User</author>
  </authors>
  <commentList>
    <comment ref="I10" authorId="0" shapeId="0" xr:uid="{00000000-0006-0000-1800-000001000000}">
      <text>
        <r>
          <rPr>
            <b/>
            <sz val="9"/>
            <color indexed="81"/>
            <rFont val="Tahoma"/>
            <family val="2"/>
          </rPr>
          <t>Kurt MacMillan:</t>
        </r>
        <r>
          <rPr>
            <sz val="9"/>
            <color indexed="81"/>
            <rFont val="Tahoma"/>
            <family val="2"/>
          </rPr>
          <t xml:space="preserve">
3 execs x 3 terms x $30 = $270
9 general volunteers x 3 terms x $10 = $270 
</t>
        </r>
      </text>
    </comment>
    <comment ref="C15" authorId="1" shapeId="0" xr:uid="{00000000-0006-0000-1800-000002000000}">
      <text>
        <r>
          <rPr>
            <b/>
            <sz val="9"/>
            <color indexed="81"/>
            <rFont val="Tahoma"/>
            <family val="2"/>
          </rPr>
          <t>Carly McCready:</t>
        </r>
        <r>
          <rPr>
            <sz val="9"/>
            <color indexed="81"/>
            <rFont val="Tahoma"/>
            <family val="2"/>
          </rPr>
          <t xml:space="preserve">
software costs</t>
        </r>
      </text>
    </comment>
    <comment ref="I17" authorId="0" shapeId="0" xr:uid="{00000000-0006-0000-1800-000003000000}">
      <text>
        <r>
          <rPr>
            <b/>
            <sz val="9"/>
            <color indexed="81"/>
            <rFont val="Tahoma"/>
            <family val="2"/>
          </rPr>
          <t>Kurt MacMillan:</t>
        </r>
        <r>
          <rPr>
            <sz val="9"/>
            <color indexed="81"/>
            <rFont val="Tahoma"/>
            <family val="2"/>
          </rPr>
          <t xml:space="preserve">
$600 billed from prev year will go here as there was a late payment, with $600 from this year and then $300 for Volunteer Action Centre</t>
        </r>
      </text>
    </comment>
    <comment ref="C18" authorId="2" shapeId="0" xr:uid="{00000000-0006-0000-1800-000004000000}">
      <text>
        <r>
          <rPr>
            <b/>
            <sz val="9"/>
            <color indexed="81"/>
            <rFont val="Tahoma"/>
            <family val="2"/>
          </rPr>
          <t>Maaz Yasin:</t>
        </r>
        <r>
          <rPr>
            <sz val="9"/>
            <color indexed="81"/>
            <rFont val="Tahoma"/>
            <family val="2"/>
          </rPr>
          <t xml:space="preserve">
Acquire sponsorships from community partners. </t>
        </r>
      </text>
    </comment>
    <comment ref="J19" authorId="3" shapeId="0" xr:uid="{00000000-0006-0000-1800-000005000000}">
      <text>
        <r>
          <rPr>
            <b/>
            <sz val="9"/>
            <color indexed="81"/>
            <rFont val="Tahoma"/>
            <family val="2"/>
          </rPr>
          <t>Windows User:</t>
        </r>
        <r>
          <rPr>
            <sz val="9"/>
            <color indexed="81"/>
            <rFont val="Tahoma"/>
            <family val="2"/>
          </rPr>
          <t xml:space="preserve">
Costs of wind-up. Last effective term of operation was Spring. Website will be managed until LEADS replacement is up. Website will start redirecting to wusa.ca/opportunities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Kurt MacMillan</author>
  </authors>
  <commentList>
    <comment ref="G10" authorId="0" shapeId="0" xr:uid="{00000000-0006-0000-1900-000001000000}">
      <text>
        <r>
          <rPr>
            <b/>
            <sz val="9"/>
            <color indexed="81"/>
            <rFont val="Tahoma"/>
            <family val="2"/>
          </rPr>
          <t>Kurt MacMillan:</t>
        </r>
        <r>
          <rPr>
            <sz val="9"/>
            <color indexed="81"/>
            <rFont val="Tahoma"/>
            <family val="2"/>
          </rPr>
          <t xml:space="preserve">
Spring 2018
 Executives:  5 x 30 = 150
 Volunteers: 10 x 10 = 100
 Total Spring 2018: 150 + 100 = 250 
Fall 2018
 Executives:  7 x 30 = 210
 Volunteers: 15 x 10 = 150
 Orientation Leaders: 10 x 10 = 100
 Total Fall 2018: 210 + 150 + 100 = 460 
Winter 2019
 Executives:  7 x 30 = 210
 Volunteers: 15 x 10 = 150
 Total Winter 2019: 210 + 150 = 360 
Total Volunteer Appreciation Budget: 250 + 460 + 360 = 1,070
</t>
        </r>
      </text>
    </comment>
    <comment ref="G15" authorId="0" shapeId="0" xr:uid="{00000000-0006-0000-1900-000002000000}">
      <text>
        <r>
          <rPr>
            <b/>
            <sz val="9"/>
            <color indexed="81"/>
            <rFont val="Tahoma"/>
            <family val="2"/>
          </rPr>
          <t>Kurt MacMillan:</t>
        </r>
        <r>
          <rPr>
            <sz val="9"/>
            <color indexed="81"/>
            <rFont val="Tahoma"/>
            <family val="2"/>
          </rPr>
          <t xml:space="preserve">
Used for varsity games, warrior week, summerfest and relay for life</t>
        </r>
      </text>
    </comment>
    <comment ref="G16" authorId="0" shapeId="0" xr:uid="{00000000-0006-0000-1900-000003000000}">
      <text>
        <r>
          <rPr>
            <b/>
            <sz val="9"/>
            <color indexed="81"/>
            <rFont val="Tahoma"/>
            <family val="2"/>
          </rPr>
          <t xml:space="preserve">Kurt MacMillan:
</t>
        </r>
        <r>
          <rPr>
            <sz val="9"/>
            <color indexed="81"/>
            <rFont val="Tahoma"/>
            <family val="2"/>
          </rPr>
          <t>Tshirts, refreshments, paint etc for orientation involvement</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Brendan Lowther</author>
    <author>tc={031FD4BE-3C88-4C64-B1C7-4EC0DFAD8C0A}</author>
    <author>Kierra Young</author>
    <author>Kurt MacMillan</author>
    <author>tc={E962139F-BF0D-48E5-8635-1F20A768AA70}</author>
  </authors>
  <commentList>
    <comment ref="J10" authorId="0" shapeId="0" xr:uid="{00000000-0006-0000-1A00-000001000000}">
      <text>
        <r>
          <rPr>
            <b/>
            <sz val="10"/>
            <color rgb="FF000000"/>
            <rFont val="Tahoma"/>
            <family val="2"/>
          </rPr>
          <t>Brendan Lowther:</t>
        </r>
        <r>
          <rPr>
            <sz val="10"/>
            <color rgb="FF000000"/>
            <rFont val="Tahoma"/>
            <family val="2"/>
          </rPr>
          <t xml:space="preserve">
</t>
        </r>
        <r>
          <rPr>
            <sz val="14"/>
            <color rgb="FF000000"/>
            <rFont val="Calibri"/>
            <family val="2"/>
          </rPr>
          <t xml:space="preserve">25 hrs week x 15 Weeks x $16
</t>
        </r>
        <r>
          <rPr>
            <sz val="14"/>
            <color rgb="FF000000"/>
            <rFont val="Calibri"/>
            <family val="2"/>
          </rPr>
          <t xml:space="preserve">$6000/ Coordinator / per term
</t>
        </r>
        <r>
          <rPr>
            <sz val="14"/>
            <color rgb="FF000000"/>
            <rFont val="Calibri"/>
            <family val="2"/>
          </rPr>
          <t xml:space="preserve">x 2 Coordinators / 1 Term
</t>
        </r>
      </text>
    </comment>
    <comment ref="L10" authorId="1" shapeId="0" xr:uid="{031FD4BE-3C88-4C64-B1C7-4EC0DFAD8C0A}">
      <text>
        <t>[Threaded comment]
Your version of Excel allows you to read this threaded comment; however, any edits to it will get removed if the file is opened in a newer version of Excel. Learn more: https://go.microsoft.com/fwlink/?linkid=870924
Comment:
    Formula for calculation: 25 hours x 15 weeks x $16 + 4% = $6240 (for each coordinator for each term)
Total for the year: $6240 x 2 people x 3 terms = $37,440</t>
      </text>
    </comment>
    <comment ref="N10" authorId="2" shapeId="0" xr:uid="{7C18149F-CDC3-47C0-8F8F-89C1B3852D79}">
      <text>
        <r>
          <rPr>
            <sz val="10"/>
            <rFont val="Arial"/>
            <family val="2"/>
          </rPr>
          <t>Kierra Young:
Breakdown for wages:  
25 hours a week x $16/hour x 14 weeks =$5600 
12.5 hours a week x $16/hour x 1 week = $200 
$5600 + $200 + 4 percent = $6032 (amount 1 coordinator is paid per term) 
$6032 x 6 (2 coordinators per term) = $36,192 – rounded to $36,200
Edited to reflect 13% - Alana</t>
        </r>
      </text>
    </comment>
    <comment ref="J11" authorId="0" shapeId="0" xr:uid="{00000000-0006-0000-1A00-000002000000}">
      <text>
        <r>
          <rPr>
            <b/>
            <sz val="10"/>
            <color rgb="FF000000"/>
            <rFont val="Tahoma"/>
            <family val="2"/>
          </rPr>
          <t>Brendan Lowther:</t>
        </r>
        <r>
          <rPr>
            <sz val="10"/>
            <color rgb="FF000000"/>
            <rFont val="Tahoma"/>
            <family val="2"/>
          </rPr>
          <t xml:space="preserve">
</t>
        </r>
        <r>
          <rPr>
            <sz val="10"/>
            <color rgb="FF000000"/>
            <rFont val="Tahoma"/>
            <family val="2"/>
          </rPr>
          <t>2 x $500 x 2 terms</t>
        </r>
      </text>
    </comment>
    <comment ref="G13" authorId="3" shapeId="0" xr:uid="{00000000-0006-0000-1A00-000003000000}">
      <text>
        <r>
          <rPr>
            <b/>
            <sz val="9"/>
            <color indexed="81"/>
            <rFont val="Tahoma"/>
            <family val="2"/>
          </rPr>
          <t>Kurt MacMillan:</t>
        </r>
        <r>
          <rPr>
            <sz val="9"/>
            <color indexed="81"/>
            <rFont val="Tahoma"/>
            <family val="2"/>
          </rPr>
          <t xml:space="preserve">
• Volunteer Appreciation: 2930.00
o Spring 2018
 35 Volunteers X 20
 7 Exec X 30
 $910.00 Total
o Fall 2018
 40 Volunteers X 20
 7 Exec X30
 10 Ambassadors X 10
 $1110.00
o Winter 2018
 40 Volunteers X 20
 7 Exec X30
 10 Ambassadors X 10
 $1110.00
o Total: $3130.00
</t>
        </r>
      </text>
    </comment>
    <comment ref="J13" authorId="0" shapeId="0" xr:uid="{00000000-0006-0000-1A00-000004000000}">
      <text>
        <r>
          <rPr>
            <b/>
            <sz val="10"/>
            <color rgb="FF000000"/>
            <rFont val="Tahoma"/>
            <family val="2"/>
          </rPr>
          <t>Brendan Lowther:</t>
        </r>
        <r>
          <rPr>
            <sz val="10"/>
            <color rgb="FF000000"/>
            <rFont val="Tahoma"/>
            <family val="2"/>
          </rPr>
          <t xml:space="preserve">
Vols - $20/each x 40 x 2 terms = $1600
Execs - $30/each x 15 x 2 terms = $900
+$500 buffer</t>
        </r>
      </text>
    </comment>
    <comment ref="L13" authorId="4" shapeId="0" xr:uid="{E962139F-BF0D-48E5-8635-1F20A768AA70}">
      <text>
        <t>[Threaded comment]
Your version of Excel allows you to read this threaded comment; however, any edits to it will get removed if the file is opened in a newer version of Excel. Learn more: https://go.microsoft.com/fwlink/?linkid=870924
Comment:
    Formula: $30/term per exec (15 execs), $20/term per PSV (40 PSV). Multiplied by 3 terms. Adding in a $500 buffer as well.</t>
      </text>
    </comment>
    <comment ref="G17" authorId="3" shapeId="0" xr:uid="{00000000-0006-0000-1A00-000005000000}">
      <text>
        <r>
          <rPr>
            <b/>
            <sz val="9"/>
            <color indexed="81"/>
            <rFont val="Tahoma"/>
            <family val="2"/>
          </rPr>
          <t>Kurt MacMillan:</t>
        </r>
        <r>
          <rPr>
            <sz val="9"/>
            <color indexed="81"/>
            <rFont val="Tahoma"/>
            <family val="2"/>
          </rPr>
          <t xml:space="preserve">
Covers food and supplies for 3 training sessions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Windows User</author>
    <author>Brendan Lowther</author>
    <author/>
    <author>Kierra Young</author>
    <author>Matthew Schwarze</author>
  </authors>
  <commentList>
    <comment ref="E6" authorId="0" shapeId="0" xr:uid="{00000000-0006-0000-1B00-000001000000}">
      <text>
        <r>
          <rPr>
            <b/>
            <sz val="9"/>
            <color indexed="81"/>
            <rFont val="Tahoma"/>
            <family val="2"/>
          </rPr>
          <t>Windows User:</t>
        </r>
        <r>
          <rPr>
            <sz val="9"/>
            <color indexed="81"/>
            <rFont val="Tahoma"/>
            <family val="2"/>
          </rPr>
          <t xml:space="preserve">
Endowment Fund support for Xchanges conference. Estimated based on prior year and based on increased number of applications to Edowments across campus.</t>
        </r>
      </text>
    </comment>
    <comment ref="G10" authorId="1" shapeId="0" xr:uid="{00000000-0006-0000-1B00-000002000000}">
      <text>
        <r>
          <rPr>
            <b/>
            <sz val="10"/>
            <color rgb="FF000000"/>
            <rFont val="Tahoma"/>
            <family val="2"/>
          </rPr>
          <t>Brendan Lowther:</t>
        </r>
        <r>
          <rPr>
            <sz val="10"/>
            <color rgb="FF000000"/>
            <rFont val="Tahoma"/>
            <family val="2"/>
          </rPr>
          <t xml:space="preserve">
</t>
        </r>
        <r>
          <rPr>
            <sz val="18"/>
            <color rgb="FF000000"/>
            <rFont val="Calibri"/>
            <family val="2"/>
          </rPr>
          <t xml:space="preserve">25 hrs week x 15 Weeks x $16
</t>
        </r>
        <r>
          <rPr>
            <sz val="18"/>
            <color rgb="FF000000"/>
            <rFont val="Calibri"/>
            <family val="2"/>
          </rPr>
          <t xml:space="preserve">$6000/ Coordinator / per term
</t>
        </r>
        <r>
          <rPr>
            <sz val="18"/>
            <color rgb="FF000000"/>
            <rFont val="Calibri"/>
            <family val="2"/>
          </rPr>
          <t xml:space="preserve">x 2 Coordinators / 1 Term
</t>
        </r>
      </text>
    </comment>
    <comment ref="I10" authorId="2" shapeId="0" xr:uid="{A723F4EB-1F7D-47AA-929D-A5E5CDC6199B}">
      <text>
        <r>
          <rPr>
            <sz val="10"/>
            <color rgb="FF000000"/>
            <rFont val="Arial"/>
            <family val="2"/>
          </rPr>
          <t xml:space="preserve">Brendan Lowther:
25 hrs week x 15 Weeks x $16 + 4%
$6240/ Coordinator / per term
x 2 Coordinators / 3 Terms
</t>
        </r>
      </text>
    </comment>
    <comment ref="K10" authorId="3" shapeId="0" xr:uid="{F94A1FE4-6B78-4910-9C05-629CA4FD53B9}">
      <text>
        <r>
          <rPr>
            <sz val="10"/>
            <rFont val="Arial"/>
            <family val="2"/>
          </rPr>
          <t>Kierra Young:
$6032 x 2 coordinators a term = $12,064 
3 terms = $36192
See supporting document for full wage breakdown</t>
        </r>
      </text>
    </comment>
    <comment ref="G11" authorId="1" shapeId="0" xr:uid="{00000000-0006-0000-1B00-000003000000}">
      <text>
        <r>
          <rPr>
            <b/>
            <sz val="10"/>
            <color rgb="FF000000"/>
            <rFont val="Tahoma"/>
            <family val="2"/>
          </rPr>
          <t>Brendan Lowther:</t>
        </r>
        <r>
          <rPr>
            <sz val="10"/>
            <color rgb="FF000000"/>
            <rFont val="Tahoma"/>
            <family val="2"/>
          </rPr>
          <t xml:space="preserve">
$500 x 2 Coord x 1 Term (Fall)
$500 x 2 Coord x 1 Terms (Spring)</t>
        </r>
      </text>
    </comment>
    <comment ref="I11" authorId="2" shapeId="0" xr:uid="{8D070448-BEDC-4556-9863-72C3AE20BAA7}">
      <text>
        <r>
          <rPr>
            <sz val="10"/>
            <color rgb="FF000000"/>
            <rFont val="Arial"/>
            <family val="2"/>
          </rPr>
          <t xml:space="preserve">Brendan Lowther:
No long applicable
</t>
        </r>
      </text>
    </comment>
    <comment ref="K11" authorId="2" shapeId="0" xr:uid="{54D630FC-49C3-418F-BB57-860908FC5327}">
      <text>
        <r>
          <rPr>
            <sz val="10"/>
            <color rgb="FF000000"/>
            <rFont val="Arial"/>
            <family val="2"/>
          </rPr>
          <t xml:space="preserve">Brendan Lowther:
No long applicable
</t>
        </r>
      </text>
    </comment>
    <comment ref="E13" authorId="0" shapeId="0" xr:uid="{00000000-0006-0000-1B00-000004000000}">
      <text>
        <r>
          <rPr>
            <b/>
            <sz val="9"/>
            <color indexed="81"/>
            <rFont val="Tahoma"/>
            <family val="2"/>
          </rPr>
          <t>Windows User:</t>
        </r>
        <r>
          <rPr>
            <sz val="9"/>
            <color indexed="81"/>
            <rFont val="Tahoma"/>
            <family val="2"/>
          </rPr>
          <t xml:space="preserve">
Given the increased interest in RAISE, and increased office hours for Fall, the service requires additional volunteers. To accommodate this,  increased # of peer support volunteers to 20, from 15, and #s of non-peer support volunteers to 20, from 10</t>
        </r>
      </text>
    </comment>
    <comment ref="G13" authorId="1" shapeId="0" xr:uid="{00000000-0006-0000-1B00-000005000000}">
      <text>
        <r>
          <rPr>
            <b/>
            <sz val="10"/>
            <color rgb="FF000000"/>
            <rFont val="Tahoma"/>
            <family val="2"/>
          </rPr>
          <t>Brendan Lowther:</t>
        </r>
        <r>
          <rPr>
            <sz val="10"/>
            <color rgb="FF000000"/>
            <rFont val="Tahoma"/>
            <family val="2"/>
          </rPr>
          <t xml:space="preserve">
</t>
        </r>
        <r>
          <rPr>
            <sz val="18"/>
            <color rgb="FF000000"/>
            <rFont val="Calibri"/>
            <family val="2"/>
          </rPr>
          <t xml:space="preserve">For Fall and Winter, we need 20 peer support (20x20 = 400) and 20 non-peer support (20x10=200) volunteers for a total of $600 for each term. We add to this the $240 for exec appreciation (30x8=240).
</t>
        </r>
        <r>
          <rPr>
            <sz val="18"/>
            <color rgb="FF000000"/>
            <rFont val="Calibri"/>
            <family val="2"/>
          </rPr>
          <t xml:space="preserve">The total for Fall and Winter for exec and volunteer appreciation is 600+240 = 840, multiplied by 2 = 1680. 
</t>
        </r>
        <r>
          <rPr>
            <sz val="18"/>
            <color rgb="FF000000"/>
            <rFont val="Calibri"/>
            <family val="2"/>
          </rPr>
          <t>+ $280 for Spring</t>
        </r>
      </text>
    </comment>
    <comment ref="I13" authorId="2" shapeId="0" xr:uid="{EC69B84D-0ED2-4112-ABF9-CBC3EE5BEDA3}">
      <text>
        <r>
          <rPr>
            <sz val="10"/>
            <color rgb="FF000000"/>
            <rFont val="Arial"/>
            <family val="2"/>
          </rPr>
          <t xml:space="preserve">Brendan Lowther:
Spring - 20 Vols + 10 Execs
Fall - 25 Vols + 10 Execs
Winter - 30 Vols + 10 Execs
Each term max 20 Peer support vols @ $20 = $1200
Execs @ $30 = $900
Vols @ $10 = $150
Total = $2250
</t>
        </r>
      </text>
    </comment>
    <comment ref="K13" authorId="2" shapeId="0" xr:uid="{76A0CF0B-686D-465D-A69A-39D81B2158A3}">
      <text>
        <r>
          <rPr>
            <sz val="10"/>
            <color rgb="FF000000"/>
            <rFont val="Arial"/>
            <family val="2"/>
          </rPr>
          <t xml:space="preserve">Brendan Lowther:
Spring - 20 Vols + 10 Execs
Fall - 25 Vols + 10 Execs
Winter - 30 Vols + 10 Execs
Each term max 20 Peer support vols @ $20 = $1200
Execs @ $30 = $900
Vols @ $10 = $150
Total = $2250
</t>
        </r>
      </text>
    </comment>
    <comment ref="E16" authorId="0" shapeId="0" xr:uid="{00000000-0006-0000-1B00-000006000000}">
      <text>
        <r>
          <rPr>
            <b/>
            <sz val="9"/>
            <color indexed="81"/>
            <rFont val="Tahoma"/>
            <family val="2"/>
          </rPr>
          <t>Windows User:</t>
        </r>
        <r>
          <rPr>
            <sz val="9"/>
            <color indexed="81"/>
            <rFont val="Tahoma"/>
            <family val="2"/>
          </rPr>
          <t xml:space="preserve">
Added through budget amendment</t>
        </r>
      </text>
    </comment>
    <comment ref="I17" authorId="2" shapeId="0" xr:uid="{9E19248C-E278-4FE2-BC69-634FD750689F}">
      <text>
        <r>
          <rPr>
            <sz val="10"/>
            <color rgb="FF000000"/>
            <rFont val="Arial"/>
            <family val="2"/>
          </rPr>
          <t>Brendan Lowther (he/him):
Spring = $100
Fall = $125
Winter = $200</t>
        </r>
      </text>
    </comment>
    <comment ref="I18" authorId="4" shapeId="0" xr:uid="{A083BD3A-AC58-4731-8C4F-4BFDD3215A4A}">
      <text>
        <r>
          <rPr>
            <b/>
            <sz val="9"/>
            <color indexed="81"/>
            <rFont val="Tahoma"/>
            <family val="2"/>
          </rPr>
          <t>Matthew Schwarze:</t>
        </r>
        <r>
          <rPr>
            <sz val="9"/>
            <color indexed="81"/>
            <rFont val="Tahoma"/>
            <family val="2"/>
          </rPr>
          <t xml:space="preserve">
Xchanges conference, + 7680 to hire additional part time staff:
Paid position for an Xchanges Director. 10 hours / week, $16 an hour, for the Fall term. 16 x 10 = $160 per week; $2,560 for the Fall semester.
20 hours / week, $16 an hour, for the Winter term. 16 x 20 = $320 per week; $5,120 for the Winter semester.
Total: 2560 + 5120 = $7,680. Option 1.</t>
        </r>
      </text>
    </comment>
    <comment ref="I19" authorId="2" shapeId="0" xr:uid="{E17FAC8A-28FF-4303-BDFB-69ABEEE325CA}">
      <text>
        <r>
          <rPr>
            <sz val="10"/>
            <color rgb="FF000000"/>
            <rFont val="Arial"/>
            <family val="2"/>
          </rPr>
          <t>Brendan Lowther (he/him):
Spring = $0
Fall = $100
Winter = $200</t>
        </r>
      </text>
    </comment>
    <comment ref="I20" authorId="2" shapeId="0" xr:uid="{922BA695-55A3-435D-84E8-AA4F2036C1A8}">
      <text>
        <r>
          <rPr>
            <sz val="10"/>
            <color rgb="FF000000"/>
            <rFont val="Arial"/>
            <family val="2"/>
          </rPr>
          <t>Brendan Lowther (he/him):
Spring = $100
Fall = $200
Winter = $500</t>
        </r>
      </text>
    </comment>
    <comment ref="I21" authorId="2" shapeId="0" xr:uid="{94B0173B-3B02-445D-85EA-DD5B079FFF31}">
      <text>
        <r>
          <rPr>
            <sz val="10"/>
            <color rgb="FF000000"/>
            <rFont val="Arial"/>
            <family val="2"/>
          </rPr>
          <t>Brendan Lowther (he/him):
Spring = $150
Fall = $300
Winter = $500</t>
        </r>
      </text>
    </comment>
    <comment ref="I22" authorId="2" shapeId="0" xr:uid="{996388DF-30CF-4E9C-BEF5-7A80F890D66C}">
      <text>
        <r>
          <rPr>
            <sz val="10"/>
            <color rgb="FF000000"/>
            <rFont val="Arial"/>
            <family val="2"/>
          </rPr>
          <t>Brendan Lowther (he/him):
Spring = $0
Fall = $100
Winter = $300</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Brendan Lowther (he/him)</author>
    <author>CAPS</author>
  </authors>
  <commentList>
    <comment ref="C10" authorId="0" shapeId="0" xr:uid="{FB024A8F-E5CB-4D4F-A4FB-899BCAD7130E}">
      <text>
        <r>
          <rPr>
            <b/>
            <sz val="10"/>
            <color rgb="FF000000"/>
            <rFont val="Tahoma"/>
            <family val="2"/>
          </rPr>
          <t>Brendan Lowther (he/him):</t>
        </r>
        <r>
          <rPr>
            <sz val="10"/>
            <color rgb="FF000000"/>
            <rFont val="Tahoma"/>
            <family val="2"/>
          </rPr>
          <t xml:space="preserve">
10 hours x 15 weeks x 2 coords x 3 terms + 4%
Moved from VPEd</t>
        </r>
      </text>
    </comment>
    <comment ref="E10" authorId="1" shapeId="0" xr:uid="{5E8A8686-A4F3-4162-9882-C026B070CE29}">
      <text>
        <r>
          <rPr>
            <sz val="10"/>
            <rFont val="Arial"/>
            <family val="2"/>
          </rPr>
          <t xml:space="preserve">CAPS:
1 Coordinator for all 3 terms
20 hours x $16/hour x 14 weeks =$4480
10 hours (half) x $16/hour x 1 week = $160
4640 + 4% =$4825.60
$4825.60 x 3 terms = $14476.80 - rounded up to $14,500
</t>
        </r>
      </text>
    </comment>
    <comment ref="C11" authorId="0" shapeId="0" xr:uid="{376CD596-F27B-4B35-BECB-39E06493526C}">
      <text>
        <r>
          <rPr>
            <b/>
            <sz val="10"/>
            <color rgb="FF000000"/>
            <rFont val="Tahoma"/>
            <family val="2"/>
          </rPr>
          <t>Brendan Lowther (he/him):</t>
        </r>
        <r>
          <rPr>
            <sz val="10"/>
            <color rgb="FF000000"/>
            <rFont val="Tahoma"/>
            <family val="2"/>
          </rPr>
          <t xml:space="preserve">
</t>
        </r>
        <r>
          <rPr>
            <sz val="10"/>
            <color rgb="FF000000"/>
            <rFont val="Tahoma"/>
            <family val="2"/>
          </rPr>
          <t>1 Exec x 3 terms</t>
        </r>
      </text>
    </comment>
    <comment ref="E11" authorId="0" shapeId="0" xr:uid="{84B9C986-A220-4528-B6F4-B282FD724036}">
      <text>
        <r>
          <rPr>
            <sz val="10"/>
            <rFont val="Arial"/>
            <family val="2"/>
          </rPr>
          <t>CAPS:
1 Exec x 3 terms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p32patel</author>
    <author>Carly McCready</author>
    <author>Kurt MacMillan</author>
    <author>s4cook</author>
    <author>Windows User</author>
    <author>Maaz Yasin</author>
    <author>Matthew Schwarze</author>
    <author>Natasha Pozega</author>
    <author/>
    <author>Brendan Lowther (he/him)</author>
    <author>Kumar Patel</author>
    <author>Alana Christi Guevara</author>
    <author>tc={184B0761-00C7-4A2D-B43C-AC925076CFC0}</author>
    <author>Suzanne Burdett</author>
  </authors>
  <commentList>
    <comment ref="B6" authorId="0" shapeId="0" xr:uid="{00000000-0006-0000-1C00-000001000000}">
      <text>
        <r>
          <rPr>
            <b/>
            <sz val="8"/>
            <color indexed="81"/>
            <rFont val="Tahoma"/>
            <family val="2"/>
          </rPr>
          <t>p32patel:</t>
        </r>
        <r>
          <rPr>
            <sz val="8"/>
            <color indexed="81"/>
            <rFont val="Tahoma"/>
            <family val="2"/>
          </rPr>
          <t xml:space="preserve">
Cash Sponsorships</t>
        </r>
      </text>
    </comment>
    <comment ref="O6" authorId="1" shapeId="0" xr:uid="{00000000-0006-0000-1C00-000002000000}">
      <text>
        <r>
          <rPr>
            <b/>
            <sz val="9"/>
            <color indexed="81"/>
            <rFont val="Tahoma"/>
            <family val="2"/>
          </rPr>
          <t>Carly McCready:</t>
        </r>
        <r>
          <rPr>
            <sz val="9"/>
            <color indexed="81"/>
            <rFont val="Tahoma"/>
            <family val="2"/>
          </rPr>
          <t xml:space="preserve">
I put this under Welcome Week but don't know if this is accurate?</t>
        </r>
      </text>
    </comment>
    <comment ref="S6" authorId="2" shapeId="0" xr:uid="{00000000-0006-0000-1C00-000003000000}">
      <text>
        <r>
          <rPr>
            <b/>
            <sz val="9"/>
            <color indexed="81"/>
            <rFont val="Tahoma"/>
            <family val="2"/>
          </rPr>
          <t>Kurt MacMillan:</t>
        </r>
        <r>
          <rPr>
            <sz val="9"/>
            <color indexed="81"/>
            <rFont val="Tahoma"/>
            <family val="2"/>
          </rPr>
          <t xml:space="preserve">
Reduced due to sponsorship members have gone down however we are taking the year to strategize for further sponsorships in future years</t>
        </r>
      </text>
    </comment>
    <comment ref="C7" authorId="3" shapeId="0" xr:uid="{00000000-0006-0000-1C00-000004000000}">
      <text>
        <r>
          <rPr>
            <b/>
            <sz val="8"/>
            <color indexed="81"/>
            <rFont val="Tahoma"/>
            <family val="2"/>
          </rPr>
          <t>s4cook:</t>
        </r>
        <r>
          <rPr>
            <sz val="8"/>
            <color indexed="81"/>
            <rFont val="Tahoma"/>
            <family val="2"/>
          </rPr>
          <t xml:space="preserve">
- rough numbers, need to check with Cheryl; moved from marketing</t>
        </r>
      </text>
    </comment>
    <comment ref="W13" authorId="4" shapeId="0" xr:uid="{00000000-0006-0000-1C00-000005000000}">
      <text>
        <r>
          <rPr>
            <b/>
            <sz val="9"/>
            <color indexed="81"/>
            <rFont val="Tahoma"/>
            <family val="2"/>
          </rPr>
          <t>Windows User:</t>
        </r>
        <r>
          <rPr>
            <sz val="9"/>
            <color indexed="81"/>
            <rFont val="Tahoma"/>
            <family val="2"/>
          </rPr>
          <t xml:space="preserve">
Changing our program delivery philosophy to a pay-as-you-play system. I.e. events used to be free and now we're going to charge admission</t>
        </r>
      </text>
    </comment>
    <comment ref="M14" authorId="5" shapeId="0" xr:uid="{00000000-0006-0000-1C00-000006000000}">
      <text>
        <r>
          <rPr>
            <b/>
            <sz val="9"/>
            <color indexed="81"/>
            <rFont val="Tahoma"/>
            <family val="2"/>
          </rPr>
          <t>Maaz Yasin:</t>
        </r>
        <r>
          <rPr>
            <sz val="9"/>
            <color indexed="81"/>
            <rFont val="Tahoma"/>
            <family val="2"/>
          </rPr>
          <t xml:space="preserve">
Targeting to acquire additional sponsorship over the year</t>
        </r>
      </text>
    </comment>
    <comment ref="Y14" authorId="6" shapeId="0" xr:uid="{E6E3CF5F-543E-411F-929E-0AAE89A14D97}">
      <text>
        <r>
          <rPr>
            <b/>
            <sz val="9"/>
            <color indexed="81"/>
            <rFont val="Tahoma"/>
            <family val="2"/>
          </rPr>
          <t>Matthew Schwarze:</t>
        </r>
        <r>
          <rPr>
            <sz val="9"/>
            <color indexed="81"/>
            <rFont val="Tahoma"/>
            <family val="2"/>
          </rPr>
          <t xml:space="preserve">
Less sponsorship opportunities with virtual events and smaller in person events when back on campus</t>
        </r>
      </text>
    </comment>
    <comment ref="C21" authorId="3" shapeId="0" xr:uid="{00000000-0006-0000-1C00-000007000000}">
      <text>
        <r>
          <rPr>
            <b/>
            <sz val="8"/>
            <color indexed="81"/>
            <rFont val="Tahoma"/>
            <family val="2"/>
          </rPr>
          <t>s4cook:</t>
        </r>
        <r>
          <rPr>
            <sz val="8"/>
            <color indexed="81"/>
            <rFont val="Tahoma"/>
            <family val="2"/>
          </rPr>
          <t xml:space="preserve">
- rough numbers, need to check with Cheryl; moved from marketing</t>
        </r>
      </text>
    </comment>
    <comment ref="K30" authorId="7" shapeId="0" xr:uid="{00000000-0006-0000-1C00-000008000000}">
      <text>
        <r>
          <rPr>
            <b/>
            <sz val="9"/>
            <color indexed="81"/>
            <rFont val="Tahoma"/>
            <family val="2"/>
          </rPr>
          <t>Natasha Pozega:</t>
        </r>
        <r>
          <rPr>
            <sz val="9"/>
            <color indexed="81"/>
            <rFont val="Tahoma"/>
            <family val="2"/>
          </rPr>
          <t xml:space="preserve">
Budget split into special events, educational programming
</t>
        </r>
      </text>
    </comment>
    <comment ref="Y31" authorId="8" shapeId="0" xr:uid="{1DDEA6E3-9BD7-413D-B1E9-5A0C0AE0425F}">
      <text>
        <r>
          <rPr>
            <sz val="10"/>
            <color rgb="FF000000"/>
            <rFont val="Arial"/>
            <family val="2"/>
          </rPr>
          <t xml:space="preserve">Comment:
    Additional paid student assistant role for both fall and winter
</t>
        </r>
      </text>
    </comment>
    <comment ref="AA31" authorId="9" shapeId="0" xr:uid="{9341E7F7-ABBF-48F4-BB10-19567DCB3B7C}">
      <text>
        <r>
          <rPr>
            <b/>
            <sz val="10"/>
            <color rgb="FF000000"/>
            <rFont val="Tahoma"/>
            <family val="2"/>
          </rPr>
          <t>Brendan Lowther (he/him):</t>
        </r>
        <r>
          <rPr>
            <sz val="10"/>
            <color rgb="FF000000"/>
            <rFont val="Tahoma"/>
            <family val="2"/>
          </rPr>
          <t xml:space="preserve">
</t>
        </r>
        <r>
          <rPr>
            <sz val="10"/>
            <color rgb="FF000000"/>
            <rFont val="Tahoma"/>
            <family val="2"/>
          </rPr>
          <t>$18/hr x 35/hrs/week x 15.5 weeks + 13% x 3 terms</t>
        </r>
      </text>
    </comment>
    <comment ref="C32" authorId="3" shapeId="0" xr:uid="{00000000-0006-0000-1C00-000009000000}">
      <text>
        <r>
          <rPr>
            <b/>
            <sz val="8"/>
            <color indexed="81"/>
            <rFont val="Tahoma"/>
            <family val="2"/>
          </rPr>
          <t>s4cook:</t>
        </r>
        <r>
          <rPr>
            <sz val="8"/>
            <color indexed="81"/>
            <rFont val="Tahoma"/>
            <family val="2"/>
          </rPr>
          <t xml:space="preserve">
- street team
- welcome week team
</t>
        </r>
      </text>
    </comment>
    <comment ref="G32" authorId="10" shapeId="0" xr:uid="{00000000-0006-0000-1C00-00000A000000}">
      <text>
        <r>
          <rPr>
            <b/>
            <sz val="8"/>
            <color indexed="81"/>
            <rFont val="Tahoma"/>
            <family val="2"/>
          </rPr>
          <t>Kumar Patel:</t>
        </r>
        <r>
          <rPr>
            <sz val="8"/>
            <color indexed="81"/>
            <rFont val="Tahoma"/>
            <family val="2"/>
          </rPr>
          <t xml:space="preserve">
Matches the services matrix.</t>
        </r>
      </text>
    </comment>
    <comment ref="M38" authorId="5" shapeId="0" xr:uid="{00000000-0006-0000-1C00-00000B000000}">
      <text>
        <r>
          <rPr>
            <b/>
            <sz val="9"/>
            <color indexed="81"/>
            <rFont val="Tahoma"/>
            <family val="2"/>
          </rPr>
          <t>Maaz Yasin:</t>
        </r>
        <r>
          <rPr>
            <sz val="9"/>
            <color indexed="81"/>
            <rFont val="Tahoma"/>
            <family val="2"/>
          </rPr>
          <t xml:space="preserve">
Based on YTD actuals</t>
        </r>
      </text>
    </comment>
    <comment ref="C39" authorId="3" shapeId="0" xr:uid="{00000000-0006-0000-1C00-00000C000000}">
      <text>
        <r>
          <rPr>
            <b/>
            <sz val="8"/>
            <color indexed="81"/>
            <rFont val="Tahoma"/>
            <family val="2"/>
          </rPr>
          <t>s4cook:</t>
        </r>
        <r>
          <rPr>
            <sz val="8"/>
            <color indexed="81"/>
            <rFont val="Tahoma"/>
            <family val="2"/>
          </rPr>
          <t xml:space="preserve">
COCA
</t>
        </r>
      </text>
    </comment>
    <comment ref="G39" authorId="10" shapeId="0" xr:uid="{00000000-0006-0000-1C00-00000D000000}">
      <text>
        <r>
          <rPr>
            <b/>
            <sz val="8"/>
            <color indexed="81"/>
            <rFont val="Tahoma"/>
            <family val="2"/>
          </rPr>
          <t>Kumar Patel:</t>
        </r>
        <r>
          <rPr>
            <sz val="8"/>
            <color indexed="81"/>
            <rFont val="Tahoma"/>
            <family val="2"/>
          </rPr>
          <t xml:space="preserve">
Cost to attend COCA National (Montreal) and Regional (Barrie) conferences.</t>
        </r>
      </text>
    </comment>
    <comment ref="U40" authorId="4" shapeId="0" xr:uid="{00000000-0006-0000-1C00-00000E000000}">
      <text>
        <r>
          <rPr>
            <b/>
            <sz val="9"/>
            <color indexed="81"/>
            <rFont val="Tahoma"/>
            <family val="2"/>
          </rPr>
          <t>Windows User:</t>
        </r>
        <r>
          <rPr>
            <sz val="9"/>
            <color indexed="81"/>
            <rFont val="Tahoma"/>
            <family val="2"/>
          </rPr>
          <t xml:space="preserve">
Cost of membership increased by $50.00</t>
        </r>
      </text>
    </comment>
    <comment ref="W40" authorId="4" shapeId="0" xr:uid="{00000000-0006-0000-1C00-00000F000000}">
      <text>
        <r>
          <rPr>
            <b/>
            <sz val="9"/>
            <color indexed="81"/>
            <rFont val="Tahoma"/>
            <family val="2"/>
          </rPr>
          <t>Windows User:</t>
        </r>
        <r>
          <rPr>
            <sz val="9"/>
            <color indexed="81"/>
            <rFont val="Tahoma"/>
            <family val="2"/>
          </rPr>
          <t xml:space="preserve">
We don't know whether this fee will be applicable but want to include it in case it is</t>
        </r>
      </text>
    </comment>
    <comment ref="C41" authorId="3" shapeId="0" xr:uid="{00000000-0006-0000-1C00-000010000000}">
      <text>
        <r>
          <rPr>
            <b/>
            <sz val="8"/>
            <color indexed="81"/>
            <rFont val="Tahoma"/>
            <family val="2"/>
          </rPr>
          <t>s4cook:</t>
        </r>
        <r>
          <rPr>
            <sz val="8"/>
            <color indexed="81"/>
            <rFont val="Tahoma"/>
            <family val="2"/>
          </rPr>
          <t xml:space="preserve">
- a lot more larger events this year, currently no budget in marketing
</t>
        </r>
      </text>
    </comment>
    <comment ref="G41" authorId="10" shapeId="0" xr:uid="{00000000-0006-0000-1C00-000011000000}">
      <text>
        <r>
          <rPr>
            <b/>
            <sz val="8"/>
            <color indexed="81"/>
            <rFont val="Tahoma"/>
            <family val="2"/>
          </rPr>
          <t>Kumar Patel:</t>
        </r>
        <r>
          <rPr>
            <sz val="8"/>
            <color indexed="81"/>
            <rFont val="Tahoma"/>
            <family val="2"/>
          </rPr>
          <t xml:space="preserve">
Moved to marketing budget.</t>
        </r>
      </text>
    </comment>
    <comment ref="W43" authorId="4" shapeId="0" xr:uid="{00000000-0006-0000-1C00-000012000000}">
      <text>
        <r>
          <rPr>
            <b/>
            <sz val="9"/>
            <color indexed="81"/>
            <rFont val="Tahoma"/>
            <family val="2"/>
          </rPr>
          <t>Windows User:</t>
        </r>
        <r>
          <rPr>
            <sz val="9"/>
            <color indexed="81"/>
            <rFont val="Tahoma"/>
            <family val="2"/>
          </rPr>
          <t xml:space="preserve">
Reduced due to COVID-19 Pandemic</t>
        </r>
      </text>
    </comment>
    <comment ref="G44" authorId="10" shapeId="0" xr:uid="{00000000-0006-0000-1C00-000013000000}">
      <text>
        <r>
          <rPr>
            <b/>
            <sz val="8"/>
            <color indexed="81"/>
            <rFont val="Tahoma"/>
            <family val="2"/>
          </rPr>
          <t>Kumar Patel:</t>
        </r>
        <r>
          <rPr>
            <sz val="8"/>
            <color indexed="81"/>
            <rFont val="Tahoma"/>
            <family val="2"/>
          </rPr>
          <t xml:space="preserve">
Increased emphasis on low- or no-cost programming.</t>
        </r>
      </text>
    </comment>
    <comment ref="S44" authorId="2" shapeId="0" xr:uid="{00000000-0006-0000-1C00-000014000000}">
      <text>
        <r>
          <rPr>
            <b/>
            <sz val="9"/>
            <color indexed="81"/>
            <rFont val="Tahoma"/>
            <family val="2"/>
          </rPr>
          <t>Kurt MacMillan:</t>
        </r>
        <r>
          <rPr>
            <sz val="9"/>
            <color indexed="81"/>
            <rFont val="Tahoma"/>
            <family val="2"/>
          </rPr>
          <t xml:space="preserve">
Decreased to better reflect last year's actuals</t>
        </r>
      </text>
    </comment>
    <comment ref="M46" authorId="5" shapeId="0" xr:uid="{00000000-0006-0000-1C00-000015000000}">
      <text>
        <r>
          <rPr>
            <b/>
            <sz val="9"/>
            <color indexed="81"/>
            <rFont val="Tahoma"/>
            <family val="2"/>
          </rPr>
          <t>Maaz Yasin:</t>
        </r>
        <r>
          <rPr>
            <sz val="9"/>
            <color indexed="81"/>
            <rFont val="Tahoma"/>
            <family val="2"/>
          </rPr>
          <t xml:space="preserve">
No Wonderland trip this year</t>
        </r>
      </text>
    </comment>
    <comment ref="M54" authorId="5" shapeId="0" xr:uid="{00000000-0006-0000-1C00-000016000000}">
      <text>
        <r>
          <rPr>
            <b/>
            <sz val="9"/>
            <color indexed="81"/>
            <rFont val="Tahoma"/>
            <family val="2"/>
          </rPr>
          <t>Maaz Yasin:</t>
        </r>
        <r>
          <rPr>
            <sz val="9"/>
            <color indexed="81"/>
            <rFont val="Tahoma"/>
            <family val="2"/>
          </rPr>
          <t xml:space="preserve">
Not doing a Talent Comp</t>
        </r>
      </text>
    </comment>
    <comment ref="M57" authorId="5" shapeId="0" xr:uid="{00000000-0006-0000-1C00-000017000000}">
      <text>
        <r>
          <rPr>
            <b/>
            <sz val="9"/>
            <color indexed="81"/>
            <rFont val="Tahoma"/>
            <family val="2"/>
          </rPr>
          <t>Maaz Yasin:</t>
        </r>
        <r>
          <rPr>
            <sz val="9"/>
            <color indexed="81"/>
            <rFont val="Tahoma"/>
            <family val="2"/>
          </rPr>
          <t xml:space="preserve">
Part of Wrap Up Week</t>
        </r>
      </text>
    </comment>
    <comment ref="M59" authorId="5" shapeId="0" xr:uid="{00000000-0006-0000-1C00-000018000000}">
      <text>
        <r>
          <rPr>
            <b/>
            <sz val="9"/>
            <color indexed="81"/>
            <rFont val="Tahoma"/>
            <family val="2"/>
          </rPr>
          <t>Maaz Yasin:</t>
        </r>
        <r>
          <rPr>
            <sz val="9"/>
            <color indexed="81"/>
            <rFont val="Tahoma"/>
            <family val="2"/>
          </rPr>
          <t xml:space="preserve">
Focusing on popular events, cutting down on ones that are not</t>
        </r>
      </text>
    </comment>
    <comment ref="Y62" authorId="6" shapeId="0" xr:uid="{90DF307B-0E91-471A-9823-57E6A780FE2F}">
      <text>
        <r>
          <rPr>
            <b/>
            <sz val="9"/>
            <color indexed="81"/>
            <rFont val="Tahoma"/>
            <family val="2"/>
          </rPr>
          <t>Matthew Schwarze:</t>
        </r>
        <r>
          <rPr>
            <sz val="9"/>
            <color indexed="81"/>
            <rFont val="Tahoma"/>
            <family val="2"/>
          </rPr>
          <t xml:space="preserve">
Would like to put more money into event when back on campus to encourage more attendance</t>
        </r>
      </text>
    </comment>
    <comment ref="M63" authorId="5" shapeId="0" xr:uid="{00000000-0006-0000-1C00-000019000000}">
      <text>
        <r>
          <rPr>
            <b/>
            <sz val="9"/>
            <color indexed="81"/>
            <rFont val="Tahoma"/>
            <family val="2"/>
          </rPr>
          <t>Maaz Yasin:</t>
        </r>
        <r>
          <rPr>
            <sz val="9"/>
            <color indexed="81"/>
            <rFont val="Tahoma"/>
            <family val="2"/>
          </rPr>
          <t xml:space="preserve">
Increased to reflect plans for Fall Welcome Week</t>
        </r>
      </text>
    </comment>
    <comment ref="T63" authorId="4" shapeId="0" xr:uid="{00000000-0006-0000-1C00-00001A000000}">
      <text>
        <r>
          <rPr>
            <b/>
            <sz val="9"/>
            <color indexed="81"/>
            <rFont val="Tahoma"/>
            <family val="2"/>
          </rPr>
          <t>Windows User:</t>
        </r>
        <r>
          <rPr>
            <sz val="9"/>
            <color indexed="81"/>
            <rFont val="Tahoma"/>
            <family val="2"/>
          </rPr>
          <t xml:space="preserve">
Events Actuals per event are estimates, events are processed under one account line so total is $78101.14</t>
        </r>
      </text>
    </comment>
    <comment ref="W63" authorId="11" shapeId="0" xr:uid="{9CFC1059-1BDA-4ABC-9E7B-4DF39B0FE206}">
      <text>
        <r>
          <rPr>
            <b/>
            <sz val="9"/>
            <color indexed="81"/>
            <rFont val="Tahoma"/>
            <family val="2"/>
          </rPr>
          <t>Alana Christi Guevara:</t>
        </r>
        <r>
          <rPr>
            <sz val="9"/>
            <color indexed="81"/>
            <rFont val="Tahoma"/>
            <family val="2"/>
          </rPr>
          <t xml:space="preserve">
Includes $9k for Fall Concert online</t>
        </r>
      </text>
    </comment>
    <comment ref="Y63" authorId="6" shapeId="0" xr:uid="{A87DF89E-5E05-47DA-9BFC-F32CC524E2FB}">
      <text>
        <r>
          <rPr>
            <b/>
            <sz val="9"/>
            <color indexed="81"/>
            <rFont val="Tahoma"/>
            <family val="2"/>
          </rPr>
          <t>Matthew Schwarze:</t>
        </r>
        <r>
          <rPr>
            <sz val="9"/>
            <color indexed="81"/>
            <rFont val="Tahoma"/>
            <family val="2"/>
          </rPr>
          <t xml:space="preserve">
20,000 moved from Winter Welcome Week
</t>
        </r>
      </text>
    </comment>
    <comment ref="AA63" authorId="12" shapeId="0" xr:uid="{184B0761-00C7-4A2D-B43C-AC925076CFC0}">
      <text>
        <t>[Threaded comment]
Your version of Excel allows you to read this threaded comment; however, any edits to it will get removed if the file is opened in a newer version of Excel. Learn more: https://go.microsoft.com/fwlink/?linkid=870924
Comment:
    ~ $50,000 for carnival + other events. Larger budget this year due to the return to campus. Lowered the Winter Welcome Week instead</t>
      </text>
    </comment>
    <comment ref="B65" authorId="13" shapeId="0" xr:uid="{6353B666-2E29-4FF0-9A03-3E8E013601D5}">
      <text>
        <r>
          <rPr>
            <b/>
            <sz val="9"/>
            <color indexed="81"/>
            <rFont val="Tahoma"/>
            <family val="2"/>
          </rPr>
          <t>Suzanne Burdett:</t>
        </r>
        <r>
          <rPr>
            <sz val="9"/>
            <color indexed="81"/>
            <rFont val="Tahoma"/>
            <family val="2"/>
          </rPr>
          <t xml:space="preserve">
I'm optimistic :)</t>
        </r>
      </text>
    </comment>
    <comment ref="M65" authorId="5" shapeId="0" xr:uid="{00000000-0006-0000-1C00-00001B000000}">
      <text>
        <r>
          <rPr>
            <b/>
            <sz val="9"/>
            <color indexed="81"/>
            <rFont val="Tahoma"/>
            <family val="2"/>
          </rPr>
          <t>Maaz Yasin:</t>
        </r>
        <r>
          <rPr>
            <sz val="9"/>
            <color indexed="81"/>
            <rFont val="Tahoma"/>
            <family val="2"/>
          </rPr>
          <t xml:space="preserve">
There won't be P/T staff this year</t>
        </r>
      </text>
    </comment>
    <comment ref="G66" authorId="10" shapeId="0" xr:uid="{00000000-0006-0000-1C00-00001C000000}">
      <text>
        <r>
          <rPr>
            <b/>
            <sz val="8"/>
            <color indexed="81"/>
            <rFont val="Tahoma"/>
            <family val="2"/>
          </rPr>
          <t>Kumar Patel:</t>
        </r>
        <r>
          <rPr>
            <sz val="8"/>
            <color indexed="81"/>
            <rFont val="Tahoma"/>
            <family val="2"/>
          </rPr>
          <t xml:space="preserve">
Sending 4 students to COCA Nationals</t>
        </r>
      </text>
    </comment>
    <comment ref="G67" authorId="10" shapeId="0" xr:uid="{00000000-0006-0000-1C00-00001D000000}">
      <text>
        <r>
          <rPr>
            <b/>
            <sz val="8"/>
            <color indexed="81"/>
            <rFont val="Tahoma"/>
            <family val="2"/>
          </rPr>
          <t>Kumar Patel:</t>
        </r>
        <r>
          <rPr>
            <sz val="8"/>
            <color indexed="81"/>
            <rFont val="Tahoma"/>
            <family val="2"/>
          </rPr>
          <t xml:space="preserve">
One student per term for three terms.</t>
        </r>
      </text>
    </comment>
    <comment ref="M69" authorId="5" shapeId="0" xr:uid="{00000000-0006-0000-1C00-00001E000000}">
      <text>
        <r>
          <rPr>
            <b/>
            <sz val="9"/>
            <color indexed="81"/>
            <rFont val="Tahoma"/>
            <family val="2"/>
          </rPr>
          <t>Maaz Yasin:</t>
        </r>
        <r>
          <rPr>
            <sz val="9"/>
            <color indexed="81"/>
            <rFont val="Tahoma"/>
            <family val="2"/>
          </rPr>
          <t xml:space="preserve">
Focus on low-cost popular events (massages, therapy dogs, etc)</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tc={39928F8A-2C3D-4337-B24E-F31F742C6ACB}</author>
    <author>tc={64B152F0-7C42-4E6B-8B73-FEE1272B2C3F}</author>
    <author>tc={F3E42BD1-B778-4601-8AF6-6AB51ADF9298}</author>
    <author>Brendan Lowther (he/him)</author>
    <author>tc={41480220-8975-4792-988A-E9BE0950957B}</author>
    <author>tc={41AAFE4A-1B35-421E-BAB5-768991A699A8}</author>
  </authors>
  <commentList>
    <comment ref="C13" authorId="0" shapeId="0" xr:uid="{39928F8A-2C3D-4337-B24E-F31F742C6ACB}">
      <text>
        <t>[Threaded comment]
Your version of Excel allows you to read this threaded comment; however, any edits to it will get removed if the file is opened in a newer version of Excel. Learn more: https://go.microsoft.com/fwlink/?linkid=870924
Comment:
    1 Clothing Store Manager = 16 wks x $15 x 25hrs x 3 = 18000 (pt wages)</t>
      </text>
    </comment>
    <comment ref="C14" authorId="1" shapeId="0" xr:uid="{64B152F0-7C42-4E6B-8B73-FEE1272B2C3F}">
      <text>
        <t>[Threaded comment]
Your version of Excel allows you to read this threaded comment; however, any edits to it will get removed if the file is opened in a newer version of Excel. Learn more: https://go.microsoft.com/fwlink/?linkid=870924
Comment:
    3 execs per term x $30 x 3 terms = 270
· 25 volunteers per term x 10 dollars x 3 terms = 750</t>
      </text>
    </comment>
    <comment ref="C16" authorId="2" shapeId="0" xr:uid="{F3E42BD1-B778-4601-8AF6-6AB51ADF9298}">
      <text>
        <t>[Threaded comment]
Your version of Excel allows you to read this threaded comment; however, any edits to it will get removed if the file is opened in a newer version of Excel. Learn more: https://go.microsoft.com/fwlink/?linkid=870924
Comment:
    Storage unit (one more year)</t>
      </text>
    </comment>
    <comment ref="C17" authorId="3" shapeId="0" xr:uid="{C4EB8ED2-8CE3-4F2C-AAAA-6F68C0C68201}">
      <text>
        <r>
          <rPr>
            <b/>
            <sz val="10"/>
            <color rgb="FF000000"/>
            <rFont val="Tahoma"/>
            <family val="2"/>
          </rPr>
          <t>Brendan Lowther (he/him):</t>
        </r>
        <r>
          <rPr>
            <sz val="10"/>
            <color rgb="FF000000"/>
            <rFont val="Tahoma"/>
            <family val="2"/>
          </rPr>
          <t xml:space="preserve">
</t>
        </r>
        <r>
          <rPr>
            <sz val="10"/>
            <color rgb="FF000000"/>
            <rFont val="Tahoma"/>
            <family val="2"/>
          </rPr>
          <t xml:space="preserve">Ongoing maintenance, cleaning costs of clothing, upkeep or shelving and other items. Some money to continue repairs in space
</t>
        </r>
      </text>
    </comment>
    <comment ref="C21" authorId="4" shapeId="0" xr:uid="{41480220-8975-4792-988A-E9BE0950957B}">
      <text>
        <t>[Threaded comment]
Your version of Excel allows you to read this threaded comment; however, any edits to it will get removed if the file is opened in a newer version of Excel. Learn more: https://go.microsoft.com/fwlink/?linkid=870924
Comment:
    new bin to store clothes. This will be amortized as a fixed cost</t>
      </text>
    </comment>
    <comment ref="C29" authorId="5" shapeId="0" xr:uid="{41AAFE4A-1B35-421E-BAB5-768991A699A8}">
      <text>
        <t>[Threaded comment]
Your version of Excel allows you to read this threaded comment; however, any edits to it will get removed if the file is opened in a newer version of Excel. Learn more: https://go.microsoft.com/fwlink/?linkid=870924
Comment:
    Who will operate this? Who is accountable for financial loses?
Does this make sense with a -1530% loss margin? Was this store meant to originally be revenue sustaining?
What does "Operational Costs" mean? This might be too general of term. Are the clothes donated and thus costs should be next to nothing?
Is 1500 realistic revenue for the whole year?</t>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Natasha Pozega</author>
    <author>Kurt MacMillan</author>
  </authors>
  <commentList>
    <comment ref="J6" authorId="0" shapeId="0" xr:uid="{00000000-0006-0000-1D00-000001000000}">
      <text>
        <r>
          <rPr>
            <b/>
            <sz val="9"/>
            <color indexed="81"/>
            <rFont val="Tahoma"/>
            <family val="2"/>
          </rPr>
          <t>Natasha Pozega:</t>
        </r>
        <r>
          <rPr>
            <sz val="9"/>
            <color indexed="81"/>
            <rFont val="Tahoma"/>
            <family val="2"/>
          </rPr>
          <t xml:space="preserve">
Transferred from president's portfolio </t>
        </r>
      </text>
    </comment>
    <comment ref="J15" authorId="0" shapeId="0" xr:uid="{00000000-0006-0000-1D00-000002000000}">
      <text>
        <r>
          <rPr>
            <b/>
            <sz val="9"/>
            <color indexed="81"/>
            <rFont val="Tahoma"/>
            <family val="2"/>
          </rPr>
          <t>Natasha Pozega:</t>
        </r>
        <r>
          <rPr>
            <sz val="9"/>
            <color indexed="81"/>
            <rFont val="Tahoma"/>
            <family val="2"/>
          </rPr>
          <t xml:space="preserve">
Transferred from president's portfolio </t>
        </r>
      </text>
    </comment>
    <comment ref="B22" authorId="1" shapeId="0" xr:uid="{00000000-0006-0000-1D00-000003000000}">
      <text>
        <r>
          <rPr>
            <b/>
            <sz val="9"/>
            <color indexed="81"/>
            <rFont val="Tahoma"/>
            <family val="2"/>
          </rPr>
          <t>Kurt MacMillan:</t>
        </r>
        <r>
          <rPr>
            <sz val="9"/>
            <color indexed="81"/>
            <rFont val="Tahoma"/>
            <family val="2"/>
          </rPr>
          <t xml:space="preserve">
doesn't include all business salaries and Bomber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bdmoggac</author>
    <author>Matt Colphon</author>
    <author>David Collins</author>
    <author>Carly McCready</author>
    <author>Brian Schwan</author>
    <author>Ben Balfour</author>
    <author>Suzanne Burdett</author>
    <author>Windows User</author>
    <author>s4cook</author>
    <author>Kurt MacMillan</author>
    <author>Kumar Patel</author>
    <author>Danielle Burt</author>
    <author>Benjamin Balfour</author>
    <author>Seneca Velling</author>
    <author>p32patel</author>
    <author>Matthew Schwarze</author>
    <author>tc={21F1050A-9E6E-4F49-9403-E644680F24E7}</author>
    <author>Office 2004 Test Drive User</author>
    <author xml:space="preserve"> </author>
  </authors>
  <commentList>
    <comment ref="C9" authorId="0" shapeId="0" xr:uid="{00000000-0006-0000-0400-000001000000}">
      <text>
        <r>
          <rPr>
            <b/>
            <sz val="8"/>
            <color indexed="81"/>
            <rFont val="Tahoma"/>
            <family val="2"/>
          </rPr>
          <t>bdmoggac:</t>
        </r>
        <r>
          <rPr>
            <sz val="8"/>
            <color indexed="81"/>
            <rFont val="Tahoma"/>
            <family val="2"/>
          </rPr>
          <t xml:space="preserve">
-Increase of 1.9%
-Includes health and dental
</t>
        </r>
      </text>
    </comment>
    <comment ref="E9" authorId="1" shapeId="0" xr:uid="{00000000-0006-0000-0400-000002000000}">
      <text>
        <r>
          <rPr>
            <b/>
            <sz val="8"/>
            <color indexed="81"/>
            <rFont val="Tahoma"/>
            <family val="2"/>
          </rPr>
          <t>Matt Colphon:</t>
        </r>
        <r>
          <rPr>
            <sz val="8"/>
            <color indexed="81"/>
            <rFont val="Tahoma"/>
            <family val="2"/>
          </rPr>
          <t xml:space="preserve">
included CPI increase to previous, need number</t>
        </r>
      </text>
    </comment>
    <comment ref="I9" authorId="2" shapeId="0" xr:uid="{00000000-0006-0000-0400-000003000000}">
      <text>
        <r>
          <rPr>
            <b/>
            <sz val="8"/>
            <color indexed="81"/>
            <rFont val="Tahoma"/>
            <family val="2"/>
          </rPr>
          <t>David Collins:</t>
        </r>
        <r>
          <rPr>
            <sz val="8"/>
            <color indexed="81"/>
            <rFont val="Tahoma"/>
            <family val="2"/>
          </rPr>
          <t xml:space="preserve">
Potential of a 13-month term means that this salary would go up</t>
        </r>
      </text>
    </comment>
    <comment ref="M9" authorId="3" shapeId="0" xr:uid="{00000000-0006-0000-0400-000004000000}">
      <text>
        <r>
          <rPr>
            <b/>
            <sz val="9"/>
            <color indexed="81"/>
            <rFont val="Tahoma"/>
            <family val="2"/>
          </rPr>
          <t>Carly McCready:</t>
        </r>
        <r>
          <rPr>
            <sz val="9"/>
            <color indexed="81"/>
            <rFont val="Tahoma"/>
            <family val="2"/>
          </rPr>
          <t xml:space="preserve">
CPI increase
3877.70 salary 
+ 372.23 benefits
monthly </t>
        </r>
      </text>
    </comment>
    <comment ref="O9" authorId="4" shapeId="0" xr:uid="{00000000-0006-0000-0400-000005000000}">
      <text>
        <r>
          <rPr>
            <b/>
            <sz val="9"/>
            <color indexed="81"/>
            <rFont val="Tahoma"/>
            <family val="2"/>
          </rPr>
          <t>Brian Schwan:</t>
        </r>
        <r>
          <rPr>
            <sz val="9"/>
            <color indexed="81"/>
            <rFont val="Tahoma"/>
            <family val="2"/>
          </rPr>
          <t xml:space="preserve">
cpi increase 1.1%</t>
        </r>
      </text>
    </comment>
    <comment ref="I11" authorId="2" shapeId="0" xr:uid="{00000000-0006-0000-0400-000006000000}">
      <text>
        <r>
          <rPr>
            <b/>
            <sz val="8"/>
            <color indexed="81"/>
            <rFont val="Tahoma"/>
            <family val="2"/>
          </rPr>
          <t>David Collins:</t>
        </r>
        <r>
          <rPr>
            <sz val="8"/>
            <color indexed="81"/>
            <rFont val="Tahoma"/>
            <family val="2"/>
          </rPr>
          <t xml:space="preserve">
Work-Study Exec Assistant
</t>
        </r>
      </text>
    </comment>
    <comment ref="J11" authorId="5" shapeId="0" xr:uid="{00000000-0006-0000-0400-000007000000}">
      <text>
        <r>
          <rPr>
            <b/>
            <sz val="9"/>
            <color indexed="81"/>
            <rFont val="Tahoma"/>
            <family val="2"/>
          </rPr>
          <t>Ben Balfour:</t>
        </r>
        <r>
          <rPr>
            <sz val="9"/>
            <color indexed="81"/>
            <rFont val="Tahoma"/>
            <family val="2"/>
          </rPr>
          <t xml:space="preserve">
Went through Services Salaries</t>
        </r>
      </text>
    </comment>
    <comment ref="W11" authorId="6" shapeId="0" xr:uid="{22816452-B10E-4693-9730-1C6AA02FB0DD}">
      <text>
        <r>
          <rPr>
            <b/>
            <sz val="9"/>
            <color indexed="81"/>
            <rFont val="Tahoma"/>
            <family val="2"/>
          </rPr>
          <t>Suzanne Burdett:</t>
        </r>
        <r>
          <rPr>
            <sz val="9"/>
            <color indexed="81"/>
            <rFont val="Tahoma"/>
            <family val="2"/>
          </rPr>
          <t xml:space="preserve">
wages for outgoing President for support/transition
</t>
        </r>
      </text>
    </comment>
    <comment ref="W12" authorId="7" shapeId="0" xr:uid="{00000000-0006-0000-0400-000009000000}">
      <text>
        <r>
          <rPr>
            <b/>
            <sz val="9"/>
            <color indexed="81"/>
            <rFont val="Tahoma"/>
            <family val="2"/>
          </rPr>
          <t>Windows User:</t>
        </r>
        <r>
          <rPr>
            <sz val="9"/>
            <color indexed="81"/>
            <rFont val="Tahoma"/>
            <family val="2"/>
          </rPr>
          <t xml:space="preserve">
$18/hr due to COVID-19, instead of $20/hr.
Intended to be $13,627.06 for full fiscal, but only charging 2/3 year as COVID-19 limited hiring in Spring term</t>
        </r>
      </text>
    </comment>
    <comment ref="C14" authorId="8" shapeId="0" xr:uid="{00000000-0006-0000-0400-00000A000000}">
      <text>
        <r>
          <rPr>
            <b/>
            <sz val="8"/>
            <color indexed="81"/>
            <rFont val="Tahoma"/>
            <family val="2"/>
          </rPr>
          <t>s4cook:</t>
        </r>
        <r>
          <rPr>
            <sz val="8"/>
            <color indexed="81"/>
            <rFont val="Tahoma"/>
            <family val="2"/>
          </rPr>
          <t xml:space="preserve">
- increased long distance</t>
        </r>
      </text>
    </comment>
    <comment ref="C15" authorId="0" shapeId="0" xr:uid="{00000000-0006-0000-0400-00000B000000}">
      <text>
        <r>
          <rPr>
            <b/>
            <sz val="8"/>
            <color indexed="81"/>
            <rFont val="Tahoma"/>
            <family val="2"/>
          </rPr>
          <t>bdmoggac:</t>
        </r>
        <r>
          <rPr>
            <sz val="8"/>
            <color indexed="81"/>
            <rFont val="Tahoma"/>
            <family val="2"/>
          </rPr>
          <t xml:space="preserve">
$65 a month plus long distance while away</t>
        </r>
      </text>
    </comment>
    <comment ref="S15" authorId="9" shapeId="0" xr:uid="{00000000-0006-0000-0400-00000C000000}">
      <text>
        <r>
          <rPr>
            <b/>
            <sz val="9"/>
            <color indexed="81"/>
            <rFont val="Tahoma"/>
            <family val="2"/>
          </rPr>
          <t>Kurt MacMillan:</t>
        </r>
        <r>
          <rPr>
            <sz val="9"/>
            <color indexed="81"/>
            <rFont val="Tahoma"/>
            <family val="2"/>
          </rPr>
          <t xml:space="preserve">
Alotted $73/month x12 months</t>
        </r>
      </text>
    </comment>
    <comment ref="U15" authorId="7" shapeId="0" xr:uid="{00000000-0006-0000-0400-00000D000000}">
      <text>
        <r>
          <rPr>
            <b/>
            <sz val="9"/>
            <color indexed="81"/>
            <rFont val="Tahoma"/>
            <family val="2"/>
          </rPr>
          <t>Windows User:</t>
        </r>
        <r>
          <rPr>
            <sz val="9"/>
            <color indexed="81"/>
            <rFont val="Tahoma"/>
            <family val="2"/>
          </rPr>
          <t xml:space="preserve">
No cell phone reimbursed</t>
        </r>
      </text>
    </comment>
    <comment ref="W15" authorId="7" shapeId="0" xr:uid="{00000000-0006-0000-0400-00000E000000}">
      <text>
        <r>
          <rPr>
            <b/>
            <sz val="9"/>
            <color indexed="81"/>
            <rFont val="Tahoma"/>
            <family val="2"/>
          </rPr>
          <t>Windows User:</t>
        </r>
        <r>
          <rPr>
            <sz val="9"/>
            <color indexed="81"/>
            <rFont val="Tahoma"/>
            <family val="2"/>
          </rPr>
          <t xml:space="preserve">
Requested to be re-added by Committee after reconsideration given the President's role as "on call" by UW 24/7</t>
        </r>
      </text>
    </comment>
    <comment ref="E17" authorId="1" shapeId="0" xr:uid="{00000000-0006-0000-0400-00000F000000}">
      <text>
        <r>
          <rPr>
            <b/>
            <sz val="8"/>
            <color indexed="81"/>
            <rFont val="Tahoma"/>
            <family val="2"/>
          </rPr>
          <t>Matt Colphon:</t>
        </r>
        <r>
          <rPr>
            <sz val="8"/>
            <color indexed="81"/>
            <rFont val="Tahoma"/>
            <family val="2"/>
          </rPr>
          <t xml:space="preserve">
includes $50 for student government photocopying</t>
        </r>
      </text>
    </comment>
    <comment ref="G18" authorId="10" shapeId="0" xr:uid="{00000000-0006-0000-0400-000010000000}">
      <text>
        <r>
          <rPr>
            <b/>
            <sz val="8"/>
            <color indexed="81"/>
            <rFont val="Tahoma"/>
            <family val="2"/>
          </rPr>
          <t>Kumar Patel:</t>
        </r>
        <r>
          <rPr>
            <sz val="8"/>
            <color indexed="81"/>
            <rFont val="Tahoma"/>
            <family val="2"/>
          </rPr>
          <t xml:space="preserve">
Noble: needed for two whiteboards, stapler, and organizing materials.</t>
        </r>
      </text>
    </comment>
    <comment ref="I18" authorId="2" shapeId="0" xr:uid="{00000000-0006-0000-0400-000011000000}">
      <text>
        <r>
          <rPr>
            <b/>
            <sz val="8"/>
            <color indexed="81"/>
            <rFont val="Tahoma"/>
            <family val="2"/>
          </rPr>
          <t>David Collins:</t>
        </r>
        <r>
          <rPr>
            <sz val="8"/>
            <color indexed="81"/>
            <rFont val="Tahoma"/>
            <family val="2"/>
          </rPr>
          <t xml:space="preserve">
50% reduction because no white-board needed</t>
        </r>
      </text>
    </comment>
    <comment ref="M18" authorId="11" shapeId="0" xr:uid="{00000000-0006-0000-0400-000012000000}">
      <text>
        <r>
          <rPr>
            <b/>
            <sz val="9"/>
            <color indexed="81"/>
            <rFont val="Tahoma"/>
            <family val="2"/>
          </rPr>
          <t>Danielle Burt:</t>
        </r>
        <r>
          <rPr>
            <sz val="9"/>
            <color indexed="81"/>
            <rFont val="Tahoma"/>
            <family val="2"/>
          </rPr>
          <t xml:space="preserve">
If you need office supplies, or whiteboards, or computer equipment. </t>
        </r>
      </text>
    </comment>
    <comment ref="I19" authorId="2" shapeId="0" xr:uid="{00000000-0006-0000-0400-000013000000}">
      <text>
        <r>
          <rPr>
            <b/>
            <sz val="8"/>
            <color indexed="81"/>
            <rFont val="Tahoma"/>
            <family val="2"/>
          </rPr>
          <t>David Collins:</t>
        </r>
        <r>
          <rPr>
            <sz val="8"/>
            <color indexed="81"/>
            <rFont val="Tahoma"/>
            <family val="2"/>
          </rPr>
          <t xml:space="preserve">
25% reduction</t>
        </r>
      </text>
    </comment>
    <comment ref="K19" authorId="12" shapeId="0" xr:uid="{00000000-0006-0000-0400-000014000000}">
      <text>
        <r>
          <rPr>
            <b/>
            <sz val="9"/>
            <color indexed="81"/>
            <rFont val="Tahoma"/>
            <family val="2"/>
          </rPr>
          <t>Benjamin Balfour:</t>
        </r>
        <r>
          <rPr>
            <sz val="9"/>
            <color indexed="81"/>
            <rFont val="Tahoma"/>
            <family val="2"/>
          </rPr>
          <t xml:space="preserve">
keep 20% remove the rest</t>
        </r>
      </text>
    </comment>
    <comment ref="M19" authorId="11" shapeId="0" xr:uid="{00000000-0006-0000-0400-000015000000}">
      <text>
        <r>
          <rPr>
            <b/>
            <sz val="9"/>
            <color indexed="81"/>
            <rFont val="Tahoma"/>
            <family val="2"/>
          </rPr>
          <t>Danielle Burt:</t>
        </r>
        <r>
          <rPr>
            <sz val="9"/>
            <color indexed="81"/>
            <rFont val="Tahoma"/>
            <family val="2"/>
          </rPr>
          <t xml:space="preserve">
This number is based on my actuals of approx. $700. I gave a slight increase. </t>
        </r>
      </text>
    </comment>
    <comment ref="W19" authorId="7" shapeId="0" xr:uid="{00000000-0006-0000-0400-000016000000}">
      <text>
        <r>
          <rPr>
            <b/>
            <sz val="9"/>
            <color indexed="81"/>
            <rFont val="Tahoma"/>
            <family val="2"/>
          </rPr>
          <t>Windows User:</t>
        </r>
        <r>
          <rPr>
            <sz val="9"/>
            <color indexed="81"/>
            <rFont val="Tahoma"/>
            <family val="2"/>
          </rPr>
          <t xml:space="preserve">
Requested increase to Committee, based on real useage by President.</t>
        </r>
      </text>
    </comment>
    <comment ref="I20" authorId="2" shapeId="0" xr:uid="{00000000-0006-0000-0400-000017000000}">
      <text>
        <r>
          <rPr>
            <b/>
            <sz val="8"/>
            <color indexed="81"/>
            <rFont val="Tahoma"/>
            <family val="2"/>
          </rPr>
          <t>David Collins:</t>
        </r>
        <r>
          <rPr>
            <sz val="8"/>
            <color indexed="81"/>
            <rFont val="Tahoma"/>
            <family val="2"/>
          </rPr>
          <t xml:space="preserve">
20% raise</t>
        </r>
      </text>
    </comment>
    <comment ref="M20" authorId="11" shapeId="0" xr:uid="{00000000-0006-0000-0400-000018000000}">
      <text>
        <r>
          <rPr>
            <b/>
            <sz val="9"/>
            <color indexed="81"/>
            <rFont val="Tahoma"/>
            <family val="2"/>
          </rPr>
          <t>Danielle Burt:</t>
        </r>
        <r>
          <rPr>
            <sz val="9"/>
            <color indexed="81"/>
            <rFont val="Tahoma"/>
            <family val="2"/>
          </rPr>
          <t xml:space="preserve">
Based on my actuals. </t>
        </r>
      </text>
    </comment>
    <comment ref="O20" authorId="4" shapeId="0" xr:uid="{00000000-0006-0000-0400-000019000000}">
      <text>
        <r>
          <rPr>
            <b/>
            <sz val="9"/>
            <color indexed="81"/>
            <rFont val="Tahoma"/>
            <family val="2"/>
          </rPr>
          <t>Brian Schwan:</t>
        </r>
        <r>
          <rPr>
            <sz val="9"/>
            <color indexed="81"/>
            <rFont val="Tahoma"/>
            <family val="2"/>
          </rPr>
          <t xml:space="preserve">
due too not going to SUDS
</t>
        </r>
      </text>
    </comment>
    <comment ref="C21" authorId="0" shapeId="0" xr:uid="{00000000-0006-0000-0400-00001A000000}">
      <text>
        <r>
          <rPr>
            <b/>
            <sz val="8"/>
            <color indexed="81"/>
            <rFont val="Tahoma"/>
            <family val="2"/>
          </rPr>
          <t>bdmoggac:</t>
        </r>
        <r>
          <rPr>
            <sz val="8"/>
            <color indexed="81"/>
            <rFont val="Tahoma"/>
            <family val="2"/>
          </rPr>
          <t xml:space="preserve">
Accounts for fees paid to external consultant Ron Gourlay, as well as the final development of the LRP</t>
        </r>
      </text>
    </comment>
    <comment ref="I21" authorId="2" shapeId="0" xr:uid="{00000000-0006-0000-0400-00001B000000}">
      <text>
        <r>
          <rPr>
            <b/>
            <sz val="8"/>
            <color indexed="81"/>
            <rFont val="Tahoma"/>
            <family val="2"/>
          </rPr>
          <t>David Collins:</t>
        </r>
        <r>
          <rPr>
            <sz val="8"/>
            <color indexed="81"/>
            <rFont val="Tahoma"/>
            <family val="2"/>
          </rPr>
          <t xml:space="preserve">
Assuming a strategic plan consultant necessary + consultations</t>
        </r>
      </text>
    </comment>
    <comment ref="K21" authorId="12" shapeId="0" xr:uid="{00000000-0006-0000-0400-00001C000000}">
      <text>
        <r>
          <rPr>
            <b/>
            <sz val="9"/>
            <color indexed="81"/>
            <rFont val="Tahoma"/>
            <family val="2"/>
          </rPr>
          <t>Benjamin Balfour:</t>
        </r>
        <r>
          <rPr>
            <sz val="9"/>
            <color indexed="81"/>
            <rFont val="Tahoma"/>
            <family val="2"/>
          </rPr>
          <t xml:space="preserve">
Should have 80% of the 15000 because the LRP is only 20% complete.  20% spent in 13/14</t>
        </r>
      </text>
    </comment>
    <comment ref="U21" authorId="7" shapeId="0" xr:uid="{00000000-0006-0000-0400-00001D000000}">
      <text>
        <r>
          <rPr>
            <b/>
            <sz val="9"/>
            <color indexed="81"/>
            <rFont val="Tahoma"/>
            <family val="2"/>
          </rPr>
          <t>Windows User:</t>
        </r>
        <r>
          <rPr>
            <sz val="9"/>
            <color indexed="81"/>
            <rFont val="Tahoma"/>
            <family val="2"/>
          </rPr>
          <t xml:space="preserve">
LRP costing approved by the Board</t>
        </r>
      </text>
    </comment>
    <comment ref="W21" authorId="13" shapeId="0" xr:uid="{B4761698-E8DC-4CC8-B70F-2EBC63D2A174}">
      <text>
        <r>
          <rPr>
            <b/>
            <sz val="9"/>
            <color indexed="81"/>
            <rFont val="Tahoma"/>
            <family val="2"/>
          </rPr>
          <t>Seneca Velling:</t>
        </r>
        <r>
          <rPr>
            <sz val="9"/>
            <color indexed="81"/>
            <rFont val="Tahoma"/>
            <family val="2"/>
          </rPr>
          <t xml:space="preserve">
Reduced from request to $3k based on year-over-year implementation of LRP and planning process by SLRP Committee</t>
        </r>
      </text>
    </comment>
    <comment ref="C24" authorId="0" shapeId="0" xr:uid="{00000000-0006-0000-0400-00001E000000}">
      <text>
        <r>
          <rPr>
            <sz val="8"/>
            <color indexed="81"/>
            <rFont val="Tahoma"/>
            <family val="2"/>
          </rPr>
          <t xml:space="preserve">- surveys
- arch lunch
</t>
        </r>
      </text>
    </comment>
    <comment ref="E24" authorId="14" shapeId="0" xr:uid="{00000000-0006-0000-0400-00001F000000}">
      <text>
        <r>
          <rPr>
            <b/>
            <sz val="8"/>
            <color indexed="81"/>
            <rFont val="Tahoma"/>
            <family val="2"/>
          </rPr>
          <t>p32patel:</t>
        </r>
        <r>
          <rPr>
            <sz val="8"/>
            <color indexed="81"/>
            <rFont val="Tahoma"/>
            <family val="2"/>
          </rPr>
          <t xml:space="preserve">
3600 orientation food fed hall</t>
        </r>
      </text>
    </comment>
    <comment ref="G24" authorId="10" shapeId="0" xr:uid="{00000000-0006-0000-0400-000020000000}">
      <text>
        <r>
          <rPr>
            <b/>
            <sz val="8"/>
            <color indexed="81"/>
            <rFont val="Tahoma"/>
            <family val="2"/>
          </rPr>
          <t>Kumar Patel:</t>
        </r>
        <r>
          <rPr>
            <sz val="8"/>
            <color indexed="81"/>
            <rFont val="Tahoma"/>
            <family val="2"/>
          </rPr>
          <t xml:space="preserve">
Noble: mostly new student building proposal costs &amp; information sharing for the referendum, plus governance review. </t>
        </r>
      </text>
    </comment>
    <comment ref="I24" authorId="2" shapeId="0" xr:uid="{00000000-0006-0000-0400-000021000000}">
      <text>
        <r>
          <rPr>
            <b/>
            <sz val="8"/>
            <color indexed="81"/>
            <rFont val="Tahoma"/>
            <family val="2"/>
          </rPr>
          <t>David Collins:</t>
        </r>
        <r>
          <rPr>
            <sz val="8"/>
            <color indexed="81"/>
            <rFont val="Tahoma"/>
            <family val="2"/>
          </rPr>
          <t xml:space="preserve">
Reduction owing to massive cost of LRP. Includes ability for me to pay people for research inquiries into various topics (rate tbd: probably a per project rate as opposed to a per hour rate) as well as costs of publications for things and the cost of researching things as well.</t>
        </r>
      </text>
    </comment>
    <comment ref="U24" authorId="7" shapeId="0" xr:uid="{00000000-0006-0000-0400-000022000000}">
      <text>
        <r>
          <rPr>
            <b/>
            <sz val="9"/>
            <color indexed="81"/>
            <rFont val="Tahoma"/>
            <family val="2"/>
          </rPr>
          <t>Windows User:</t>
        </r>
        <r>
          <rPr>
            <sz val="9"/>
            <color indexed="81"/>
            <rFont val="Tahoma"/>
            <family val="2"/>
          </rPr>
          <t xml:space="preserve">
Transferred $2000 to Director of Campus Life for processing Events forms and Society event planning.</t>
        </r>
      </text>
    </comment>
    <comment ref="W24" authorId="7" shapeId="0" xr:uid="{00000000-0006-0000-0400-000023000000}">
      <text>
        <r>
          <rPr>
            <sz val="10"/>
            <rFont val="Arial"/>
            <family val="2"/>
          </rPr>
          <t>Windows User:
Santa Claus Parade ($500) and Int'l Women's Day ($565), anti black racism donation ($2000)
Kanan: 
($400) for President's award
($1100) for O-Team appreciation swag</t>
        </r>
      </text>
    </comment>
    <comment ref="Y29" authorId="15" shapeId="0" xr:uid="{6DD5E857-CB98-4B33-B2AB-C852F0D40276}">
      <text>
        <r>
          <rPr>
            <b/>
            <sz val="9"/>
            <color indexed="81"/>
            <rFont val="Tahoma"/>
            <family val="2"/>
          </rPr>
          <t>Matthew Schwarze:</t>
        </r>
        <r>
          <rPr>
            <sz val="9"/>
            <color indexed="81"/>
            <rFont val="Tahoma"/>
            <family val="2"/>
          </rPr>
          <t xml:space="preserve">
20k Equity Consultant, 50k Governance consultant
</t>
        </r>
      </text>
    </comment>
    <comment ref="AA29" authorId="16" shapeId="0" xr:uid="{21F1050A-9E6E-4F49-9403-E644680F24E7}">
      <text>
        <t>[Threaded comment]
Your version of Excel allows you to read this threaded comment; however, any edits to it will get removed if the file is opened in a newer version of Excel. Learn more: https://go.microsoft.com/fwlink/?linkid=870924
Comment:
    50K for equity + 20K for gov</t>
      </text>
    </comment>
    <comment ref="C30" authorId="17" shapeId="0" xr:uid="{00000000-0006-0000-0400-000024000000}">
      <text>
        <r>
          <rPr>
            <b/>
            <sz val="9"/>
            <color indexed="81"/>
            <rFont val="Arial"/>
            <family val="2"/>
          </rPr>
          <t>Office 2004 Test Drive User:</t>
        </r>
        <r>
          <rPr>
            <sz val="9"/>
            <color indexed="81"/>
            <rFont val="Arial"/>
            <family val="2"/>
          </rPr>
          <t xml:space="preserve">
- long range planning retreat and transition retreat </t>
        </r>
      </text>
    </comment>
    <comment ref="M30" authorId="11" shapeId="0" xr:uid="{00000000-0006-0000-0400-000025000000}">
      <text>
        <r>
          <rPr>
            <b/>
            <sz val="9"/>
            <color indexed="81"/>
            <rFont val="Tahoma"/>
            <family val="2"/>
          </rPr>
          <t>Danielle Burt:</t>
        </r>
        <r>
          <rPr>
            <sz val="9"/>
            <color indexed="81"/>
            <rFont val="Tahoma"/>
            <family val="2"/>
          </rPr>
          <t xml:space="preserve">
$2000 ongoing for university training program and an additional $1000 for MH 
special projects </t>
        </r>
      </text>
    </comment>
    <comment ref="I31" authorId="2" shapeId="0" xr:uid="{00000000-0006-0000-0400-000026000000}">
      <text>
        <r>
          <rPr>
            <b/>
            <sz val="8"/>
            <color indexed="81"/>
            <rFont val="Tahoma"/>
            <family val="2"/>
          </rPr>
          <t>David Collins:</t>
        </r>
        <r>
          <rPr>
            <sz val="8"/>
            <color indexed="81"/>
            <rFont val="Tahoma"/>
            <family val="2"/>
          </rPr>
          <t xml:space="preserve">
25% reduction</t>
        </r>
      </text>
    </comment>
    <comment ref="W32" authorId="13" shapeId="0" xr:uid="{FEC0CB43-B40E-4DF4-903D-FA002A907D4F}">
      <text>
        <r>
          <rPr>
            <b/>
            <sz val="9"/>
            <color indexed="81"/>
            <rFont val="Tahoma"/>
            <family val="2"/>
          </rPr>
          <t>Seneca Velling:</t>
        </r>
        <r>
          <rPr>
            <sz val="9"/>
            <color indexed="81"/>
            <rFont val="Tahoma"/>
            <family val="2"/>
          </rPr>
          <t xml:space="preserve">
Increased funding request denied, additional funding or trainings do not cost what is estimated or can reasonably be achieved with less.</t>
        </r>
      </text>
    </comment>
    <comment ref="O33" authorId="4" shapeId="0" xr:uid="{00000000-0006-0000-0400-000027000000}">
      <text>
        <r>
          <rPr>
            <b/>
            <sz val="9"/>
            <color indexed="81"/>
            <rFont val="Tahoma"/>
            <family val="2"/>
          </rPr>
          <t>Brian Schwan:</t>
        </r>
        <r>
          <rPr>
            <sz val="9"/>
            <color indexed="81"/>
            <rFont val="Tahoma"/>
            <family val="2"/>
          </rPr>
          <t xml:space="preserve">
500 each + tax</t>
        </r>
      </text>
    </comment>
    <comment ref="S33" authorId="9" shapeId="0" xr:uid="{00000000-0006-0000-0400-000028000000}">
      <text>
        <r>
          <rPr>
            <b/>
            <sz val="9"/>
            <color indexed="81"/>
            <rFont val="Tahoma"/>
            <family val="2"/>
          </rPr>
          <t>Kurt MacMillan:</t>
        </r>
        <r>
          <rPr>
            <sz val="9"/>
            <color indexed="81"/>
            <rFont val="Tahoma"/>
            <family val="2"/>
          </rPr>
          <t xml:space="preserve">
$500 each + tax</t>
        </r>
      </text>
    </comment>
    <comment ref="U33" authorId="7" shapeId="0" xr:uid="{00000000-0006-0000-0400-000029000000}">
      <text>
        <r>
          <rPr>
            <b/>
            <sz val="9"/>
            <color indexed="81"/>
            <rFont val="Tahoma"/>
            <family val="2"/>
          </rPr>
          <t>Windows User:</t>
        </r>
        <r>
          <rPr>
            <sz val="9"/>
            <color indexed="81"/>
            <rFont val="Tahoma"/>
            <family val="2"/>
          </rPr>
          <t xml:space="preserve">
Reduced to only cover costs for incoming executive transition, outgoing executives will not receive transition honoraria.</t>
        </r>
      </text>
    </comment>
    <comment ref="I34" authorId="2" shapeId="0" xr:uid="{00000000-0006-0000-0400-00002A000000}">
      <text>
        <r>
          <rPr>
            <b/>
            <sz val="8"/>
            <color indexed="81"/>
            <rFont val="Tahoma"/>
            <family val="2"/>
          </rPr>
          <t>David Collins:</t>
        </r>
        <r>
          <rPr>
            <sz val="8"/>
            <color indexed="81"/>
            <rFont val="Tahoma"/>
            <family val="2"/>
          </rPr>
          <t xml:space="preserve">
25% reduction</t>
        </r>
      </text>
    </comment>
    <comment ref="B35" authorId="18" shapeId="0" xr:uid="{00000000-0006-0000-0400-00002B000000}">
      <text>
        <r>
          <rPr>
            <b/>
            <sz val="8"/>
            <color indexed="81"/>
            <rFont val="Tahoma"/>
            <family val="2"/>
          </rPr>
          <t>clam : honoraira for stage manager</t>
        </r>
        <r>
          <rPr>
            <sz val="8"/>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Kumar Patel</author>
    <author>Ben Balfour</author>
    <author>Carly McCready</author>
    <author>Adam Garcia</author>
    <author>Kurt MacMillan</author>
    <author>Windows User</author>
    <author>Suzanne Burdett</author>
    <author/>
    <author>tc={29B56ED8-8CEE-479F-B225-EEDE47EB2085}</author>
    <author>Office 2004 Test Drive User</author>
    <author>Matthew Gerrits</author>
    <author>Seneca Velling</author>
    <author>s4cook</author>
    <author>Sarah Wiley</author>
    <author>tc={2A2CA471-B4AF-48CE-B234-770E45AC66F6}</author>
    <author>Matthew Schwarze</author>
    <author>Stephanie Ye-Mowe</author>
    <author>Alana Christi Guevara</author>
    <author>tc={140653B1-7365-4603-B3B6-9763BCDA7803}</author>
    <author>Brian Schwan</author>
  </authors>
  <commentList>
    <comment ref="G9" authorId="0" shapeId="0" xr:uid="{00000000-0006-0000-1E00-000001000000}">
      <text>
        <r>
          <rPr>
            <b/>
            <sz val="8"/>
            <color indexed="81"/>
            <rFont val="Tahoma"/>
            <family val="2"/>
          </rPr>
          <t>Kumar Patel:</t>
        </r>
        <r>
          <rPr>
            <sz val="8"/>
            <color indexed="81"/>
            <rFont val="Tahoma"/>
            <family val="2"/>
          </rPr>
          <t xml:space="preserve">
10% is to come from GRT Fund Account.</t>
        </r>
      </text>
    </comment>
    <comment ref="N9" authorId="1" shapeId="0" xr:uid="{00000000-0006-0000-1E00-000002000000}">
      <text>
        <r>
          <rPr>
            <b/>
            <sz val="9"/>
            <color indexed="81"/>
            <rFont val="Tahoma"/>
            <family val="2"/>
          </rPr>
          <t>Ben Balfour:</t>
        </r>
        <r>
          <rPr>
            <sz val="9"/>
            <color indexed="81"/>
            <rFont val="Tahoma"/>
            <family val="2"/>
          </rPr>
          <t xml:space="preserve">
7% for UPASS.  Negotiation year</t>
        </r>
      </text>
    </comment>
    <comment ref="P9" authorId="2" shapeId="0" xr:uid="{00000000-0006-0000-1E00-000003000000}">
      <text>
        <r>
          <rPr>
            <b/>
            <sz val="9"/>
            <color indexed="81"/>
            <rFont val="Tahoma"/>
            <family val="2"/>
          </rPr>
          <t>Carly McCready:</t>
        </r>
        <r>
          <rPr>
            <sz val="9"/>
            <color indexed="81"/>
            <rFont val="Tahoma"/>
            <family val="2"/>
          </rPr>
          <t xml:space="preserve">
Increased at 1.1% CPI</t>
        </r>
      </text>
    </comment>
    <comment ref="G11" authorId="0" shapeId="0" xr:uid="{00000000-0006-0000-1E00-000004000000}">
      <text>
        <r>
          <rPr>
            <b/>
            <sz val="8"/>
            <color indexed="81"/>
            <rFont val="Tahoma"/>
            <family val="2"/>
          </rPr>
          <t>Kumar Patel:</t>
        </r>
        <r>
          <rPr>
            <sz val="8"/>
            <color indexed="81"/>
            <rFont val="Tahoma"/>
            <family val="2"/>
          </rPr>
          <t xml:space="preserve">
Co-op student for Fall and Winter terms. $18/hour.</t>
        </r>
      </text>
    </comment>
    <comment ref="I11" authorId="3" shapeId="0" xr:uid="{00000000-0006-0000-1E00-000005000000}">
      <text>
        <r>
          <rPr>
            <b/>
            <sz val="8"/>
            <color indexed="81"/>
            <rFont val="Tahoma"/>
            <family val="2"/>
          </rPr>
          <t>Adam Garcia:</t>
        </r>
        <r>
          <rPr>
            <sz val="8"/>
            <color indexed="81"/>
            <rFont val="Tahoma"/>
            <family val="2"/>
          </rPr>
          <t xml:space="preserve">
$12/hrx20hrs/weekx52weeksx2 p/t staff</t>
        </r>
      </text>
    </comment>
    <comment ref="T11" authorId="4" shapeId="0" xr:uid="{00000000-0006-0000-1E00-000006000000}">
      <text>
        <r>
          <rPr>
            <b/>
            <sz val="9"/>
            <color indexed="81"/>
            <rFont val="Tahoma"/>
            <family val="2"/>
          </rPr>
          <t>Kurt MacMillan:</t>
        </r>
        <r>
          <rPr>
            <sz val="9"/>
            <color indexed="81"/>
            <rFont val="Tahoma"/>
            <family val="2"/>
          </rPr>
          <t xml:space="preserve">
3 commissioners
</t>
        </r>
      </text>
    </comment>
    <comment ref="V11" authorId="5" shapeId="0" xr:uid="{00000000-0006-0000-1E00-000007000000}">
      <text>
        <r>
          <rPr>
            <b/>
            <sz val="9"/>
            <color indexed="81"/>
            <rFont val="Tahoma"/>
            <family val="2"/>
          </rPr>
          <t>Windows User:</t>
        </r>
        <r>
          <rPr>
            <sz val="9"/>
            <color indexed="81"/>
            <rFont val="Tahoma"/>
            <family val="2"/>
          </rPr>
          <t xml:space="preserve">
Winter 2019 GM approved fee increas, which was motivated to support Edu and Gov't Advocacy. This begins in Sept. 2019
Moved to each unit/dept</t>
        </r>
      </text>
    </comment>
    <comment ref="X11" authorId="6" shapeId="0" xr:uid="{0204E84E-7BAD-4A2B-B8DA-A56D1DAE833F}">
      <text>
        <r>
          <rPr>
            <b/>
            <sz val="9"/>
            <color indexed="81"/>
            <rFont val="Tahoma"/>
            <family val="2"/>
          </rPr>
          <t>Suzanne Burdett:</t>
        </r>
        <r>
          <rPr>
            <sz val="9"/>
            <color indexed="81"/>
            <rFont val="Tahoma"/>
            <family val="2"/>
          </rPr>
          <t xml:space="preserve">
Wages for outgoing VPED support in May
</t>
        </r>
      </text>
    </comment>
    <comment ref="Z11" authorId="7" shapeId="0" xr:uid="{65F38A38-2D67-4B61-8F95-1B66B0746095}">
      <text>
        <r>
          <rPr>
            <sz val="10"/>
            <color rgb="FF000000"/>
            <rFont val="Arial"/>
            <family val="2"/>
          </rPr>
          <t>Stephanie Ye-Mowe:
Part-time wage for outgoing exec, plus wage for exec assistant (role exists in-part to move along the accessibility file and to account for the vacant SRO role in the Spring)
+ funds to hire an avp as a ft co-op for 1 term</t>
        </r>
      </text>
    </comment>
    <comment ref="AB11" authorId="8" shapeId="0" xr:uid="{29B56ED8-8CEE-479F-B225-EEDE47EB2085}">
      <text>
        <t>[Threaded comment]
Your version of Excel allows you to read this threaded comment; however, any edits to it will get removed if the file is opened in a newer version of Excel. Learn more: https://go.microsoft.com/fwlink/?linkid=870924
Comment:
    As stakeholder duties will be split up among Board Members under the new governance model, AVPs in their current form will no longer exist. This budget line includes funds to pay the existing Exec Assistant to the VP, Ed portfolio until their term ends on Aug 31st. The remainder are funds to hire up to 2 co-op students (or part-time staff) for both Fall and Winter (in the scenario that the Manager of Advocacy and Stakeholder Relations determines additional support is needed).</t>
      </text>
    </comment>
    <comment ref="C13" authorId="9" shapeId="0" xr:uid="{00000000-0006-0000-1E00-000008000000}">
      <text>
        <r>
          <rPr>
            <b/>
            <sz val="9"/>
            <color indexed="81"/>
            <rFont val="Arial"/>
            <family val="2"/>
          </rPr>
          <t>Office 2004 Test Drive User:</t>
        </r>
        <r>
          <rPr>
            <sz val="9"/>
            <color indexed="81"/>
            <rFont val="Arial"/>
            <family val="2"/>
          </rPr>
          <t xml:space="preserve">
- new conference phone
</t>
        </r>
      </text>
    </comment>
    <comment ref="X13" authorId="10" shapeId="0" xr:uid="{00000000-0006-0000-1E00-000009000000}">
      <text>
        <r>
          <rPr>
            <b/>
            <sz val="9"/>
            <color indexed="81"/>
            <rFont val="Tahoma"/>
            <family val="2"/>
          </rPr>
          <t>Lowered to reflect actuals -MG</t>
        </r>
      </text>
    </comment>
    <comment ref="P14" authorId="2" shapeId="0" xr:uid="{00000000-0006-0000-1E00-00000A000000}">
      <text>
        <r>
          <rPr>
            <b/>
            <sz val="9"/>
            <color indexed="81"/>
            <rFont val="Tahoma"/>
            <family val="2"/>
          </rPr>
          <t>Carly McCready:</t>
        </r>
        <r>
          <rPr>
            <sz val="9"/>
            <color indexed="81"/>
            <rFont val="Tahoma"/>
            <family val="2"/>
          </rPr>
          <t xml:space="preserve">
This was submitted as $0, but this roleis reimbursed for cellphone</t>
        </r>
      </text>
    </comment>
    <comment ref="T14" authorId="4" shapeId="0" xr:uid="{00000000-0006-0000-1E00-00000B000000}">
      <text>
        <r>
          <rPr>
            <b/>
            <sz val="9"/>
            <color indexed="81"/>
            <rFont val="Tahoma"/>
            <family val="2"/>
          </rPr>
          <t>Kurt MacMillan:</t>
        </r>
        <r>
          <rPr>
            <sz val="9"/>
            <color indexed="81"/>
            <rFont val="Tahoma"/>
            <family val="2"/>
          </rPr>
          <t xml:space="preserve">
Alotted $73/month x12 months </t>
        </r>
      </text>
    </comment>
    <comment ref="X14" authorId="11" shapeId="0" xr:uid="{816BE118-D5ED-4D7D-B6B2-244839EFE1E3}">
      <text>
        <r>
          <rPr>
            <b/>
            <sz val="9"/>
            <color indexed="81"/>
            <rFont val="Tahoma"/>
            <family val="2"/>
          </rPr>
          <t>Seneca Velling:</t>
        </r>
        <r>
          <rPr>
            <sz val="9"/>
            <color indexed="81"/>
            <rFont val="Tahoma"/>
            <family val="2"/>
          </rPr>
          <t xml:space="preserve">
New structure approved by BAC for Cell Phone Reimbursement/Subsidy = $50/month * 12 months = $600 per annum </t>
        </r>
      </text>
    </comment>
    <comment ref="C18" authorId="12" shapeId="0" xr:uid="{00000000-0006-0000-1E00-00000C000000}">
      <text>
        <r>
          <rPr>
            <b/>
            <sz val="8"/>
            <color indexed="81"/>
            <rFont val="Tahoma"/>
            <family val="2"/>
          </rPr>
          <t>s4cook:</t>
        </r>
        <r>
          <rPr>
            <sz val="8"/>
            <color indexed="81"/>
            <rFont val="Tahoma"/>
            <family val="2"/>
          </rPr>
          <t xml:space="preserve">
- multiple elections, colour me educated
</t>
        </r>
      </text>
    </comment>
    <comment ref="I18" authorId="3" shapeId="0" xr:uid="{00000000-0006-0000-1E00-00000D000000}">
      <text>
        <r>
          <rPr>
            <b/>
            <sz val="8"/>
            <color indexed="81"/>
            <rFont val="Tahoma"/>
            <family val="2"/>
          </rPr>
          <t>Adam Garcia:</t>
        </r>
        <r>
          <rPr>
            <sz val="8"/>
            <color indexed="81"/>
            <rFont val="Tahoma"/>
            <family val="2"/>
          </rPr>
          <t xml:space="preserve">
$40x2/month/Lunches with staff/faculty</t>
        </r>
      </text>
    </comment>
    <comment ref="I19" authorId="3" shapeId="0" xr:uid="{00000000-0006-0000-1E00-00000E000000}">
      <text>
        <r>
          <rPr>
            <b/>
            <sz val="8"/>
            <color indexed="81"/>
            <rFont val="Tahoma"/>
            <family val="2"/>
          </rPr>
          <t>Adam Garcia:</t>
        </r>
        <r>
          <rPr>
            <sz val="8"/>
            <color indexed="81"/>
            <rFont val="Tahoma"/>
            <family val="2"/>
          </rPr>
          <t xml:space="preserve">
Incidental travelling ($100/month)</t>
        </r>
      </text>
    </comment>
    <comment ref="P19" authorId="13" shapeId="0" xr:uid="{00000000-0006-0000-1E00-00000F000000}">
      <text>
        <r>
          <rPr>
            <b/>
            <sz val="9"/>
            <color indexed="81"/>
            <rFont val="Tahoma"/>
            <family val="2"/>
          </rPr>
          <t>Sarah Wiley:</t>
        </r>
        <r>
          <rPr>
            <sz val="9"/>
            <color indexed="81"/>
            <rFont val="Tahoma"/>
            <family val="2"/>
          </rPr>
          <t xml:space="preserve">
Travel to Toronto for OUSA, meetings with government, Ottawa, local travel, etc. </t>
        </r>
      </text>
    </comment>
    <comment ref="T19" authorId="4" shapeId="0" xr:uid="{00000000-0006-0000-1E00-000010000000}">
      <text>
        <r>
          <rPr>
            <b/>
            <sz val="9"/>
            <color indexed="81"/>
            <rFont val="Tahoma"/>
            <family val="2"/>
          </rPr>
          <t>Kurt MacMillan:</t>
        </r>
        <r>
          <rPr>
            <sz val="9"/>
            <color indexed="81"/>
            <rFont val="Tahoma"/>
            <family val="2"/>
          </rPr>
          <t xml:space="preserve">
Budget decrease due to Matt not being OUSA pres (less travelling)</t>
        </r>
      </text>
    </comment>
    <comment ref="X19" authorId="10" shapeId="0" xr:uid="{00000000-0006-0000-1E00-000011000000}">
      <text>
        <r>
          <rPr>
            <b/>
            <sz val="9"/>
            <color indexed="81"/>
            <rFont val="Tahoma"/>
            <family val="2"/>
          </rPr>
          <t>Matthew Gerrits:</t>
        </r>
        <r>
          <rPr>
            <sz val="9"/>
            <color indexed="81"/>
            <rFont val="Tahoma"/>
            <family val="2"/>
          </rPr>
          <t xml:space="preserve">
5000 base, 1200 SUDS, 1440 Federal Supplement (remainder 360 federal supplement in future years due to not being assessed in spring)</t>
        </r>
      </text>
    </comment>
    <comment ref="Z19" authorId="14" shapeId="0" xr:uid="{2A2CA471-B4AF-48CE-B234-770E45AC66F6}">
      <text>
        <t xml:space="preserve">[Threaded comment]
Your version of Excel allows you to read this threaded comment; however, any edits to it will get removed if the file is opened in a newer version of Excel. Learn more: https://go.microsoft.com/fwlink/?linkid=870924
Comment:
    $1000 put under Pres budget to support involvement in SUDS
</t>
      </text>
    </comment>
    <comment ref="C20" authorId="12" shapeId="0" xr:uid="{00000000-0006-0000-1E00-000012000000}">
      <text>
        <r>
          <rPr>
            <b/>
            <sz val="8"/>
            <color indexed="81"/>
            <rFont val="Tahoma"/>
            <family val="2"/>
          </rPr>
          <t>s4cook:</t>
        </r>
        <r>
          <rPr>
            <sz val="8"/>
            <color indexed="81"/>
            <rFont val="Tahoma"/>
            <family val="2"/>
          </rPr>
          <t xml:space="preserve">
- money for potential municipal and academic commission events
- arch lunch
- exec gear</t>
        </r>
      </text>
    </comment>
    <comment ref="P20" authorId="13" shapeId="0" xr:uid="{00000000-0006-0000-1E00-000013000000}">
      <text>
        <r>
          <rPr>
            <b/>
            <sz val="9"/>
            <color indexed="81"/>
            <rFont val="Tahoma"/>
            <family val="2"/>
          </rPr>
          <t>Sarah Wiley:</t>
        </r>
        <r>
          <rPr>
            <sz val="9"/>
            <color indexed="81"/>
            <rFont val="Tahoma"/>
            <family val="2"/>
          </rPr>
          <t xml:space="preserve">
Federal Advocacy</t>
        </r>
      </text>
    </comment>
    <comment ref="X20" authorId="10" shapeId="0" xr:uid="{00000000-0006-0000-1E00-000014000000}">
      <text>
        <r>
          <rPr>
            <b/>
            <sz val="9"/>
            <color indexed="81"/>
            <rFont val="Tahoma"/>
            <family val="2"/>
          </rPr>
          <t>Matthew Gerrits:</t>
        </r>
        <r>
          <rPr>
            <sz val="9"/>
            <color indexed="81"/>
            <rFont val="Tahoma"/>
            <family val="2"/>
          </rPr>
          <t xml:space="preserve">
Amalgamated Special Projects and Discretionary Expenses</t>
        </r>
      </text>
    </comment>
    <comment ref="Z20" authorId="15" shapeId="0" xr:uid="{F7C64839-7920-41DE-8628-F0F4B1D464C7}">
      <text>
        <r>
          <rPr>
            <b/>
            <sz val="9"/>
            <color indexed="81"/>
            <rFont val="Tahoma"/>
            <family val="2"/>
          </rPr>
          <t>Matthew Schwarze:</t>
        </r>
        <r>
          <rPr>
            <sz val="9"/>
            <color indexed="81"/>
            <rFont val="Tahoma"/>
            <family val="2"/>
          </rPr>
          <t xml:space="preserve">
Funds to convert a PT AVP (other than gov't affairs) to Co-op for a term</t>
        </r>
      </text>
    </comment>
    <comment ref="AB20" authorId="16" shapeId="0" xr:uid="{66D44009-67B8-4E8C-BC15-F492B48D0F1B}">
      <text>
        <r>
          <rPr>
            <b/>
            <sz val="9"/>
            <color indexed="81"/>
            <rFont val="Tahoma"/>
            <family val="2"/>
          </rPr>
          <t xml:space="preserve">Steph
For Outreach and educational campaigns </t>
        </r>
      </text>
    </comment>
    <comment ref="P21" authorId="13" shapeId="0" xr:uid="{00000000-0006-0000-1E00-000015000000}">
      <text>
        <r>
          <rPr>
            <b/>
            <sz val="9"/>
            <color indexed="81"/>
            <rFont val="Tahoma"/>
            <family val="2"/>
          </rPr>
          <t>Sarah Wiley:</t>
        </r>
        <r>
          <rPr>
            <sz val="9"/>
            <color indexed="81"/>
            <rFont val="Tahoma"/>
            <family val="2"/>
          </rPr>
          <t xml:space="preserve">
For events relating to coop, academics, and other student advocacy initiatives. No events coming out of the academic affairs or local affairs budgets anymore. Have hired an events person and intend to do more events than were held in the past. </t>
        </r>
      </text>
    </comment>
    <comment ref="P22" authorId="2" shapeId="0" xr:uid="{00000000-0006-0000-1E00-000016000000}">
      <text>
        <r>
          <rPr>
            <b/>
            <sz val="9"/>
            <color indexed="81"/>
            <rFont val="Tahoma"/>
            <family val="2"/>
          </rPr>
          <t>Carly McCready:</t>
        </r>
        <r>
          <rPr>
            <sz val="9"/>
            <color indexed="81"/>
            <rFont val="Tahoma"/>
            <family val="2"/>
          </rPr>
          <t xml:space="preserve">
Federal Advocacy,mainly travel to Ottawa. Not actually ancillary fees. </t>
        </r>
      </text>
    </comment>
    <comment ref="X26" authorId="17" shapeId="0" xr:uid="{D9B1C579-A1D3-4CC4-9F28-9AA892CA4F7D}">
      <text>
        <r>
          <rPr>
            <b/>
            <sz val="9"/>
            <color indexed="81"/>
            <rFont val="Tahoma"/>
            <family val="2"/>
          </rPr>
          <t>Alana Christi Guevara:</t>
        </r>
        <r>
          <rPr>
            <sz val="9"/>
            <color indexed="81"/>
            <rFont val="Tahoma"/>
            <family val="2"/>
          </rPr>
          <t xml:space="preserve">
Last governing year, we passed a fee increase to help fund a UCRU executive director position. </t>
        </r>
      </text>
    </comment>
    <comment ref="Z26" authorId="7" shapeId="0" xr:uid="{B8C0053E-067A-4D63-B376-707FBB5E002D}">
      <text>
        <r>
          <rPr>
            <sz val="10"/>
            <color rgb="FF000000"/>
            <rFont val="Arial"/>
            <family val="2"/>
          </rPr>
          <t>Stephanie Ye-Mowe
As it stands, there's no big purchases/expenses planned for UCRU. Presumably McMaster will be footing the cost of website hosting.</t>
        </r>
      </text>
    </comment>
    <comment ref="AB26" authorId="18" shapeId="0" xr:uid="{140653B1-7365-4603-B3B6-9763BCDA7803}">
      <text>
        <t>[Threaded comment]
Your version of Excel allows you to read this threaded comment; however, any edits to it will get removed if the file is opened in a newer version of Excel. Learn more: https://go.microsoft.com/fwlink/?linkid=870924
Comment:
    We're likely going to be asked to pitch in on expenses for UCRU as we've still yet to charge a fee. This also accounts for the cost of Federal Advocacy Week, which will likely take place in-person in Ottawa.</t>
      </text>
    </comment>
    <comment ref="C27" authorId="12" shapeId="0" xr:uid="{00000000-0006-0000-1E00-000017000000}">
      <text>
        <r>
          <rPr>
            <b/>
            <sz val="8"/>
            <color indexed="81"/>
            <rFont val="Tahoma"/>
            <family val="2"/>
          </rPr>
          <t>s4cook:</t>
        </r>
        <r>
          <rPr>
            <sz val="8"/>
            <color indexed="81"/>
            <rFont val="Tahoma"/>
            <family val="2"/>
          </rPr>
          <t xml:space="preserve">
- government affairs, municipal affairs, academic affairs</t>
        </r>
      </text>
    </comment>
    <comment ref="Z27" authorId="7" shapeId="0" xr:uid="{EC75E38E-CB5A-4114-9831-F889F5358E33}">
      <text>
        <r>
          <rPr>
            <sz val="10"/>
            <color rgb="FF000000"/>
            <rFont val="Arial"/>
            <family val="2"/>
          </rPr>
          <t>Stephanie Ye-Mowe:
Honoraria for disabled students supporting accessibility advocacy file</t>
        </r>
      </text>
    </comment>
    <comment ref="P28" authorId="19" shapeId="0" xr:uid="{00000000-0006-0000-1E00-000018000000}">
      <text>
        <r>
          <rPr>
            <b/>
            <sz val="9"/>
            <color indexed="81"/>
            <rFont val="Tahoma"/>
            <family val="2"/>
          </rPr>
          <t>Brian Schwan:</t>
        </r>
        <r>
          <rPr>
            <sz val="9"/>
            <color indexed="81"/>
            <rFont val="Tahoma"/>
            <family val="2"/>
          </rPr>
          <t xml:space="preserve">
500 each +tax
</t>
        </r>
      </text>
    </comment>
    <comment ref="X29" authorId="10" shapeId="0" xr:uid="{00000000-0006-0000-1E00-000019000000}">
      <text>
        <r>
          <rPr>
            <b/>
            <sz val="9"/>
            <color indexed="81"/>
            <rFont val="Tahoma"/>
            <family val="2"/>
          </rPr>
          <t>Matthew Gerrits:</t>
        </r>
        <r>
          <rPr>
            <sz val="9"/>
            <color indexed="81"/>
            <rFont val="Tahoma"/>
            <family val="2"/>
          </rPr>
          <t xml:space="preserve">
Advocacy gear for exec, commissioners, service, societies, SRO, RPO</t>
        </r>
      </text>
    </comment>
    <comment ref="S31" authorId="4" shapeId="0" xr:uid="{00000000-0006-0000-1E00-00001A000000}">
      <text>
        <r>
          <rPr>
            <b/>
            <sz val="9"/>
            <color indexed="81"/>
            <rFont val="Tahoma"/>
            <family val="2"/>
          </rPr>
          <t>Kurt MacMillan:</t>
        </r>
        <r>
          <rPr>
            <sz val="9"/>
            <color indexed="81"/>
            <rFont val="Tahoma"/>
            <family val="2"/>
          </rPr>
          <t xml:space="preserve">
What's this?</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Adam Garcia</author>
    <author>Benjamin Balfour</author>
    <author>Matthew Gerrits</author>
    <author>tc={F7E7DE34-CCCD-4921-B7F9-497738BBAA64}</author>
    <author>tc={7CC51AEA-6A9B-4B81-907F-28C065F114EA}</author>
    <author>Carly McCready</author>
    <author>Windows User</author>
    <author>tc={A8F530E3-4F13-41EC-9A85-718912D5AF01}</author>
    <author>Stephanie Ye-Mowe</author>
    <author>tc={4AB1AE97-D030-496C-9661-A4740B66BE34}</author>
    <author/>
  </authors>
  <commentList>
    <comment ref="C9" authorId="0" shapeId="0" xr:uid="{00000000-0006-0000-1F00-000001000000}">
      <text>
        <r>
          <rPr>
            <b/>
            <sz val="8"/>
            <color indexed="81"/>
            <rFont val="Tahoma"/>
            <family val="2"/>
          </rPr>
          <t>Adam Garcia:</t>
        </r>
        <r>
          <rPr>
            <sz val="8"/>
            <color indexed="81"/>
            <rFont val="Tahoma"/>
            <family val="2"/>
          </rPr>
          <t xml:space="preserve">
Half the cost of a telephone line (shared with Local Affairs)</t>
        </r>
      </text>
    </comment>
    <comment ref="E9" authorId="1" shapeId="0" xr:uid="{00000000-0006-0000-1F00-000002000000}">
      <text>
        <r>
          <rPr>
            <b/>
            <sz val="9"/>
            <color indexed="81"/>
            <rFont val="Tahoma"/>
            <family val="2"/>
          </rPr>
          <t>Benjamin Balfour:</t>
        </r>
        <r>
          <rPr>
            <sz val="9"/>
            <color indexed="81"/>
            <rFont val="Tahoma"/>
            <family val="2"/>
          </rPr>
          <t xml:space="preserve">
ask Billy if he used it</t>
        </r>
      </text>
    </comment>
    <comment ref="Q12" authorId="2" shapeId="0" xr:uid="{00000000-0006-0000-1F00-000003000000}">
      <text>
        <r>
          <rPr>
            <b/>
            <sz val="9"/>
            <color indexed="81"/>
            <rFont val="Tahoma"/>
            <family val="2"/>
          </rPr>
          <t>Matthew Gerrits:</t>
        </r>
        <r>
          <rPr>
            <sz val="9"/>
            <color indexed="81"/>
            <rFont val="Tahoma"/>
            <family val="2"/>
          </rPr>
          <t xml:space="preserve">
708 hours per year, 13% emploer mandatory contributions (WSIB, EHT, etc), $18/hour
NOTE: meant to be budgeted for $20/hr (~16k per) but due to COVID-19 financial situation reduced to $18/hr
</t>
        </r>
      </text>
    </comment>
    <comment ref="U12" authorId="3" shapeId="0" xr:uid="{F7E7DE34-CCCD-4921-B7F9-497738BBAA64}">
      <text>
        <t>[Threaded comment]
Your version of Excel allows you to read this threaded comment; however, any edits to it will get removed if the file is opened in a newer version of Excel. Learn more: https://go.microsoft.com/fwlink/?linkid=870924
Comment:
    Assuming we adopt the new government model, academic and co-op affairs duties will be redistributed to Board members. These numbers reflect the cost of paying the current AVP, Co-op Affairs and a part-time research assistant (the VPED is handling AVP, Academic duties with the support of Advocacy department. The research assistant is meant to supplement that in lieu of a AVP, Academic) over the Spring term. From there, I've set aside enough funds for 2 co-op students (or a co-op student and 2 part-time staff) to help do some of the more adminstrative/operational functions that were previously performed by AVPs.</t>
      </text>
    </comment>
    <comment ref="Q13" authorId="2" shapeId="0" xr:uid="{00000000-0006-0000-1F00-000004000000}">
      <text>
        <r>
          <rPr>
            <b/>
            <sz val="9"/>
            <color indexed="81"/>
            <rFont val="Tahoma"/>
            <family val="2"/>
          </rPr>
          <t>Matthew Gerrits:</t>
        </r>
        <r>
          <rPr>
            <sz val="9"/>
            <color indexed="81"/>
            <rFont val="Tahoma"/>
            <family val="2"/>
          </rPr>
          <t xml:space="preserve">
708 hours per year, 13% benefits expense, $18/hour
NOTE: meant to be budgeted for $20/hr (~16k per) but due to COVID-19 financial situation reduced to $18/hr
</t>
        </r>
      </text>
    </comment>
    <comment ref="Q14" authorId="2" shapeId="0" xr:uid="{00000000-0006-0000-1F00-000005000000}">
      <text>
        <r>
          <rPr>
            <b/>
            <sz val="9"/>
            <color indexed="81"/>
            <rFont val="Tahoma"/>
            <family val="2"/>
          </rPr>
          <t>Matthew Gerrits:</t>
        </r>
        <r>
          <rPr>
            <sz val="9"/>
            <color indexed="81"/>
            <rFont val="Tahoma"/>
            <family val="2"/>
          </rPr>
          <t xml:space="preserve">
708 hours per year, 13% benefits expense, $18/hour
NOTE: meant to be budgeted for $20/hr (~16k per) but due to COVID-19 financial situation reduced to $18/hr
</t>
        </r>
      </text>
    </comment>
    <comment ref="U14" authorId="4" shapeId="0" xr:uid="{7CC51AEA-6A9B-4B81-907F-28C065F114EA}">
      <text>
        <t>[Threaded comment]
Your version of Excel allows you to read this threaded comment; however, any edits to it will get removed if the file is opened in a newer version of Excel. Learn more: https://go.microsoft.com/fwlink/?linkid=870924
Comment:
    Moved under Services</t>
      </text>
    </comment>
    <comment ref="I15" authorId="5" shapeId="0" xr:uid="{00000000-0006-0000-1F00-000006000000}">
      <text>
        <r>
          <rPr>
            <b/>
            <sz val="9"/>
            <color indexed="81"/>
            <rFont val="Tahoma"/>
            <family val="2"/>
          </rPr>
          <t>Carly McCready:</t>
        </r>
        <r>
          <rPr>
            <sz val="9"/>
            <color indexed="81"/>
            <rFont val="Tahoma"/>
            <family val="2"/>
          </rPr>
          <t xml:space="preserve">
Full amount for teaching awards volunteer. Large volunteer position, work in Fall and Winter</t>
        </r>
      </text>
    </comment>
    <comment ref="O16" authorId="6" shapeId="0" xr:uid="{00000000-0006-0000-1F00-000007000000}">
      <text>
        <r>
          <rPr>
            <b/>
            <sz val="9"/>
            <color indexed="81"/>
            <rFont val="Tahoma"/>
            <family val="2"/>
          </rPr>
          <t>Windows User:</t>
        </r>
        <r>
          <rPr>
            <sz val="9"/>
            <color indexed="81"/>
            <rFont val="Tahoma"/>
            <family val="2"/>
          </rPr>
          <t xml:space="preserve">
Winter 2019 GM approved fee increase for advocacy to support Board's adopted plan</t>
        </r>
      </text>
    </comment>
    <comment ref="U16" authorId="7" shapeId="0" xr:uid="{A8F530E3-4F13-41EC-9A85-718912D5AF01}">
      <text>
        <t>[Threaded comment]
Your version of Excel allows you to read this threaded comment; however, any edits to it will get removed if the file is opened in a newer version of Excel. Learn more: https://go.microsoft.com/fwlink/?linkid=870924
Comment:
    Cut this as the existing part-time staff are only around for Spring term</t>
      </text>
    </comment>
    <comment ref="Q19" authorId="2" shapeId="0" xr:uid="{00000000-0006-0000-1F00-000008000000}">
      <text>
        <r>
          <rPr>
            <b/>
            <sz val="9"/>
            <color indexed="81"/>
            <rFont val="Tahoma"/>
            <family val="2"/>
          </rPr>
          <t>Matthew Gerrits:</t>
        </r>
        <r>
          <rPr>
            <sz val="9"/>
            <color indexed="81"/>
            <rFont val="Tahoma"/>
            <family val="2"/>
          </rPr>
          <t xml:space="preserve">
Underutilized</t>
        </r>
      </text>
    </comment>
    <comment ref="U21" authorId="8" shapeId="0" xr:uid="{E5EFAE22-16BF-48B3-A225-7F4F0EB767DD}">
      <text>
        <r>
          <rPr>
            <b/>
            <sz val="9"/>
            <color indexed="81"/>
            <rFont val="Tahoma"/>
            <family val="2"/>
          </rPr>
          <t>Stephanie Ye-Mowe:</t>
        </r>
        <r>
          <rPr>
            <sz val="9"/>
            <color indexed="81"/>
            <rFont val="Tahoma"/>
            <family val="2"/>
          </rPr>
          <t xml:space="preserve">
We haven't run this in ages, and I can't expect it to start back up again</t>
        </r>
      </text>
    </comment>
    <comment ref="O22" authorId="6" shapeId="0" xr:uid="{00000000-0006-0000-1F00-000009000000}">
      <text>
        <r>
          <rPr>
            <b/>
            <sz val="9"/>
            <color indexed="81"/>
            <rFont val="Tahoma"/>
            <family val="2"/>
          </rPr>
          <t>Windows User:</t>
        </r>
        <r>
          <rPr>
            <sz val="9"/>
            <color indexed="81"/>
            <rFont val="Tahoma"/>
            <family val="2"/>
          </rPr>
          <t xml:space="preserve">
Teaching Awards/Faculty appreciation to highlight successes and thanks to faculty that go above and beyond and deserve recognition by the student association.
Needs to be increased for expansion to each term rather than just Winter term. Requested by Academic Affairs Commissioner</t>
        </r>
      </text>
    </comment>
    <comment ref="U22" authorId="9" shapeId="0" xr:uid="{4AB1AE97-D030-496C-9661-A4740B66BE34}">
      <text>
        <t>[Threaded comment]
Your version of Excel allows you to read this threaded comment; however, any edits to it will get removed if the file is opened in a newer version of Excel. Learn more: https://go.microsoft.com/fwlink/?linkid=870924
Comment:
    Purchases for WUSA Teaching Awards were delayed. This is me moving over the unspent funds from last year so we can finish up the Winter 22 awards and have enough funds for the Winter 23 ones.</t>
      </text>
    </comment>
    <comment ref="Q23" authorId="2" shapeId="0" xr:uid="{00000000-0006-0000-1F00-00000A000000}">
      <text>
        <r>
          <rPr>
            <b/>
            <sz val="9"/>
            <color indexed="81"/>
            <rFont val="Tahoma"/>
            <family val="2"/>
          </rPr>
          <t>Matthew Gerrits:</t>
        </r>
        <r>
          <rPr>
            <sz val="9"/>
            <color indexed="81"/>
            <rFont val="Tahoma"/>
            <family val="2"/>
          </rPr>
          <t xml:space="preserve">
Unused</t>
        </r>
      </text>
    </comment>
    <comment ref="E26" authorId="1" shapeId="0" xr:uid="{00000000-0006-0000-1F00-00000B000000}">
      <text>
        <r>
          <rPr>
            <b/>
            <sz val="9"/>
            <color indexed="81"/>
            <rFont val="Tahoma"/>
            <family val="2"/>
          </rPr>
          <t>Benjamin Balfour:</t>
        </r>
        <r>
          <rPr>
            <sz val="9"/>
            <color indexed="81"/>
            <rFont val="Tahoma"/>
            <family val="2"/>
          </rPr>
          <t xml:space="preserve">
take VPEDs to a session, will help with society agreements </t>
        </r>
      </text>
    </comment>
    <comment ref="I26" authorId="5" shapeId="0" xr:uid="{00000000-0006-0000-1F00-00000C000000}">
      <text>
        <r>
          <rPr>
            <b/>
            <sz val="9"/>
            <color indexed="81"/>
            <rFont val="Tahoma"/>
            <family val="2"/>
          </rPr>
          <t>Carly McCready:</t>
        </r>
        <r>
          <rPr>
            <sz val="9"/>
            <color indexed="81"/>
            <rFont val="Tahoma"/>
            <family val="2"/>
          </rPr>
          <t xml:space="preserve">
Specifically working with their vp eds. Issues with their engagement with academic advocacy in the past, using this money for meetings and food for those members</t>
        </r>
      </text>
    </comment>
    <comment ref="S26" authorId="10" shapeId="0" xr:uid="{9AE8E2ED-8B3C-4A4E-A2F1-34D81042463B}">
      <text>
        <r>
          <rPr>
            <sz val="10"/>
            <color rgb="FF000000"/>
            <rFont val="Arial"/>
            <family val="2"/>
          </rPr>
          <t>Stephanie Ye-Mowe:
Funds for AVPAAs work supporting academic advocacy occuring through the programs and Faculty societies</t>
        </r>
      </text>
    </comment>
    <comment ref="Q28" authorId="2" shapeId="0" xr:uid="{00000000-0006-0000-1F00-00000D000000}">
      <text>
        <r>
          <rPr>
            <b/>
            <sz val="9"/>
            <color indexed="81"/>
            <rFont val="Tahoma"/>
            <family val="2"/>
          </rPr>
          <t>Matthew Gerrits:</t>
        </r>
        <r>
          <rPr>
            <sz val="9"/>
            <color indexed="81"/>
            <rFont val="Tahoma"/>
            <family val="2"/>
          </rPr>
          <t xml:space="preserve">
Centralized under VPEd line</t>
        </r>
      </text>
    </comment>
    <comment ref="H31" authorId="5" shapeId="0" xr:uid="{00000000-0006-0000-1F00-00000E000000}">
      <text>
        <r>
          <rPr>
            <b/>
            <sz val="9"/>
            <color indexed="81"/>
            <rFont val="Tahoma"/>
            <family val="2"/>
          </rPr>
          <t>Carly McCready:</t>
        </r>
        <r>
          <rPr>
            <sz val="9"/>
            <color indexed="81"/>
            <rFont val="Tahoma"/>
            <family val="2"/>
          </rPr>
          <t xml:space="preserve">
Updated - no money spent up to March 16</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Matthew Gerrits</author>
    <author>tc={3937AE24-76CA-40C0-99A0-3A9E435EB799}</author>
    <author>s4cook</author>
    <author>Kumar Patel</author>
    <author>Carly McCready</author>
    <author>Adam Garcia</author>
    <author>Benjamin Balfour</author>
    <author>Ben Balfour</author>
  </authors>
  <commentList>
    <comment ref="T11" authorId="0" shapeId="0" xr:uid="{00000000-0006-0000-2000-000001000000}">
      <text>
        <r>
          <rPr>
            <b/>
            <sz val="9"/>
            <color indexed="81"/>
            <rFont val="Tahoma"/>
            <family val="2"/>
          </rPr>
          <t>Matthew Gerrits:</t>
        </r>
        <r>
          <rPr>
            <sz val="9"/>
            <color indexed="81"/>
            <rFont val="Tahoma"/>
            <family val="2"/>
          </rPr>
          <t xml:space="preserve">
708 hours per year, 13% employer contribution, $18/hour
NOTE: meant to be budgeted for $20/hr (~16k per) but due to COVID-19 financial situation reduced to $18/hr
</t>
        </r>
      </text>
    </comment>
    <comment ref="X11" authorId="1" shapeId="0" xr:uid="{3937AE24-76CA-40C0-99A0-3A9E435EB799}">
      <text>
        <t>[Threaded comment]
Your version of Excel allows you to read this threaded comment; however, any edits to it will get removed if the file is opened in a newer version of Excel. Learn more: https://go.microsoft.com/fwlink/?linkid=870924
Comment:
    Assuming we impliment the new governance model, provincial and federal affairs will be done mostly by the VP with support from the SRO. The number here is what's required to pay the current AVP, Provincial and Federal affairs for Spring. If additional support is needed, funds have been set-aside under the VPED budget to hire part-time staff or co-op under the Manager of Advocacy and Stakeholder Relations.</t>
      </text>
    </comment>
    <comment ref="C12" authorId="2" shapeId="0" xr:uid="{00000000-0006-0000-2000-000002000000}">
      <text>
        <r>
          <rPr>
            <b/>
            <sz val="8"/>
            <color indexed="81"/>
            <rFont val="Tahoma"/>
            <family val="2"/>
          </rPr>
          <t>s4cook:</t>
        </r>
        <r>
          <rPr>
            <sz val="8"/>
            <color indexed="81"/>
            <rFont val="Tahoma"/>
            <family val="2"/>
          </rPr>
          <t xml:space="preserve">
- entire committee of students</t>
        </r>
      </text>
    </comment>
    <comment ref="G12" authorId="3" shapeId="0" xr:uid="{00000000-0006-0000-2000-000003000000}">
      <text>
        <r>
          <rPr>
            <b/>
            <sz val="8"/>
            <color indexed="81"/>
            <rFont val="Tahoma"/>
            <family val="2"/>
          </rPr>
          <t>Kumar Patel:</t>
        </r>
        <r>
          <rPr>
            <sz val="8"/>
            <color indexed="81"/>
            <rFont val="Tahoma"/>
            <family val="2"/>
          </rPr>
          <t xml:space="preserve">
$200 honoraria plus end of term dinners.</t>
        </r>
      </text>
    </comment>
    <comment ref="O12" authorId="4" shapeId="0" xr:uid="{00000000-0006-0000-2000-000004000000}">
      <text>
        <r>
          <rPr>
            <b/>
            <sz val="9"/>
            <color indexed="81"/>
            <rFont val="Tahoma"/>
            <family val="2"/>
          </rPr>
          <t>Carly McCready:</t>
        </r>
        <r>
          <rPr>
            <sz val="9"/>
            <color indexed="81"/>
            <rFont val="Tahoma"/>
            <family val="2"/>
          </rPr>
          <t xml:space="preserve">
Not a position. This is part of Sarah's expenses  </t>
        </r>
      </text>
    </comment>
    <comment ref="T13" authorId="0" shapeId="0" xr:uid="{00000000-0006-0000-2000-000005000000}">
      <text>
        <r>
          <rPr>
            <b/>
            <sz val="9"/>
            <color indexed="81"/>
            <rFont val="Tahoma"/>
            <family val="2"/>
          </rPr>
          <t>Matthew Gerrits:</t>
        </r>
        <r>
          <rPr>
            <sz val="9"/>
            <color indexed="81"/>
            <rFont val="Tahoma"/>
            <family val="2"/>
          </rPr>
          <t xml:space="preserve">
requesting increase to 300 for parity with other commissioners</t>
        </r>
      </text>
    </comment>
    <comment ref="C14" authorId="2" shapeId="0" xr:uid="{00000000-0006-0000-2000-000006000000}">
      <text>
        <r>
          <rPr>
            <b/>
            <sz val="8"/>
            <color indexed="81"/>
            <rFont val="Tahoma"/>
            <family val="2"/>
          </rPr>
          <t>s4cook:</t>
        </r>
        <r>
          <rPr>
            <sz val="8"/>
            <color indexed="81"/>
            <rFont val="Tahoma"/>
            <family val="2"/>
          </rPr>
          <t xml:space="preserve">
- election get out to vote campaigns for the various elections occurring this year
</t>
        </r>
      </text>
    </comment>
    <comment ref="I14" authorId="5" shapeId="0" xr:uid="{00000000-0006-0000-2000-000007000000}">
      <text>
        <r>
          <rPr>
            <b/>
            <sz val="8"/>
            <color indexed="81"/>
            <rFont val="Tahoma"/>
            <family val="2"/>
          </rPr>
          <t>Adam Garcia:</t>
        </r>
        <r>
          <rPr>
            <sz val="8"/>
            <color indexed="81"/>
            <rFont val="Tahoma"/>
            <family val="2"/>
          </rPr>
          <t xml:space="preserve">
Advertising and promoting for municipal, provincial and federal elections
-Increased awareness to students
</t>
        </r>
      </text>
    </comment>
    <comment ref="K15" authorId="6" shapeId="0" xr:uid="{00000000-0006-0000-2000-000008000000}">
      <text>
        <r>
          <rPr>
            <b/>
            <sz val="9"/>
            <color indexed="81"/>
            <rFont val="Tahoma"/>
            <family val="2"/>
          </rPr>
          <t>Benjamin Balfour:</t>
        </r>
        <r>
          <rPr>
            <sz val="9"/>
            <color indexed="81"/>
            <rFont val="Tahoma"/>
            <family val="2"/>
          </rPr>
          <t xml:space="preserve">
mkting has money set aside as well</t>
        </r>
      </text>
    </comment>
    <comment ref="K16" authorId="7" shapeId="0" xr:uid="{00000000-0006-0000-2000-000009000000}">
      <text>
        <r>
          <rPr>
            <b/>
            <sz val="9"/>
            <color indexed="81"/>
            <rFont val="Tahoma"/>
            <family val="2"/>
          </rPr>
          <t>Ben Balfour:</t>
        </r>
        <r>
          <rPr>
            <sz val="9"/>
            <color indexed="81"/>
            <rFont val="Tahoma"/>
            <family val="2"/>
          </rPr>
          <t xml:space="preserve">
Pizza for debate/other event related expenses may not have been charged.  May have been charged to marketing</t>
        </r>
      </text>
    </comment>
    <comment ref="O16" authorId="4" shapeId="0" xr:uid="{00000000-0006-0000-2000-00000A000000}">
      <text>
        <r>
          <rPr>
            <b/>
            <sz val="9"/>
            <color indexed="81"/>
            <rFont val="Tahoma"/>
            <family val="2"/>
          </rPr>
          <t>Carly McCready:</t>
        </r>
        <r>
          <rPr>
            <sz val="9"/>
            <color indexed="81"/>
            <rFont val="Tahoma"/>
            <family val="2"/>
          </rPr>
          <t xml:space="preserve">
Poltics at the pub and other education and social events related to government. Can be done in collaboration with the political clubs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Benjamin Balfour</author>
    <author>Matthew Gerrits</author>
    <author>Matthew Schwarze</author>
    <author>tc={A77FD13E-78E0-4FE2-BD4E-5FA812FC6880}</author>
    <author>Carly McCready</author>
    <author>tc={CDCB8337-8E54-4AAE-B5EE-0BB752EDCB92}</author>
    <author>Brian Schwan</author>
    <author>Natasha Pozega</author>
    <author>David Collins</author>
  </authors>
  <commentList>
    <comment ref="E9" authorId="0" shapeId="0" xr:uid="{00000000-0006-0000-2100-000001000000}">
      <text>
        <r>
          <rPr>
            <b/>
            <sz val="9"/>
            <color indexed="81"/>
            <rFont val="Tahoma"/>
            <family val="2"/>
          </rPr>
          <t>Benjamin Balfour:</t>
        </r>
        <r>
          <rPr>
            <sz val="9"/>
            <color indexed="81"/>
            <rFont val="Tahoma"/>
            <family val="2"/>
          </rPr>
          <t xml:space="preserve">
did Billy use the phone?</t>
        </r>
      </text>
    </comment>
    <comment ref="Q12" authorId="1" shapeId="0" xr:uid="{00000000-0006-0000-2100-000002000000}">
      <text>
        <r>
          <rPr>
            <b/>
            <sz val="9"/>
            <color indexed="81"/>
            <rFont val="Tahoma"/>
            <family val="2"/>
          </rPr>
          <t>Matthew Gerrits:</t>
        </r>
        <r>
          <rPr>
            <sz val="9"/>
            <color indexed="81"/>
            <rFont val="Tahoma"/>
            <family val="2"/>
          </rPr>
          <t xml:space="preserve">
708 hours per year, 13% benefits expense, $18/hour
NOTE Supposed to be $13,627.06 but only budgetted for 2/3 year given COVID-19 financial position</t>
        </r>
      </text>
    </comment>
    <comment ref="S12" authorId="2" shapeId="0" xr:uid="{C47AD62A-AC0C-4AB9-963B-348EC3957C37}">
      <text>
        <r>
          <rPr>
            <b/>
            <sz val="9"/>
            <color indexed="81"/>
            <rFont val="Tahoma"/>
            <family val="2"/>
          </rPr>
          <t>Matthew Schwarze:</t>
        </r>
        <r>
          <rPr>
            <sz val="9"/>
            <color indexed="81"/>
            <rFont val="Tahoma"/>
            <family val="2"/>
          </rPr>
          <t xml:space="preserve">
Budgeted for full year
</t>
        </r>
      </text>
    </comment>
    <comment ref="U12" authorId="3" shapeId="0" xr:uid="{A77FD13E-78E0-4FE2-BD4E-5FA812FC6880}">
      <text>
        <t>[Threaded comment]
Your version of Excel allows you to read this threaded comment; however, any edits to it will get removed if the file is opened in a newer version of Excel. Learn more: https://go.microsoft.com/fwlink/?linkid=870924
Comment:
    Under new governance model, municipal affairs will be handled by the VP (or a Board Member). We haven't hired an AVP, Municipal Affairs for the Spring. Those functions are being managed by other members of the Advocacy department, so no budget is required. If we find any additional assistance is needed, the Manager of Advocacy and Stakeholder Relations can pull from the VPED budget.</t>
      </text>
    </comment>
    <comment ref="I13" authorId="4" shapeId="0" xr:uid="{00000000-0006-0000-2100-000003000000}">
      <text>
        <r>
          <rPr>
            <b/>
            <sz val="9"/>
            <color indexed="81"/>
            <rFont val="Tahoma"/>
            <family val="2"/>
          </rPr>
          <t>Carly McCready:</t>
        </r>
        <r>
          <rPr>
            <sz val="9"/>
            <color indexed="81"/>
            <rFont val="Tahoma"/>
            <family val="2"/>
          </rPr>
          <t xml:space="preserve">
No honarium, only for a specific position under academic, see note there</t>
        </r>
      </text>
    </comment>
    <comment ref="U15" authorId="5" shapeId="0" xr:uid="{CDCB8337-8E54-4AAE-B5EE-0BB752EDCB92}">
      <text>
        <t>[Threaded comment]
Your version of Excel allows you to read this threaded comment; however, any edits to it will get removed if the file is opened in a newer version of Excel. Learn more: https://go.microsoft.com/fwlink/?linkid=870924
Comment:
    Left this in because we pulled from it for Town and Gown Association of Ontario conference</t>
      </text>
    </comment>
    <comment ref="K18" authorId="6" shapeId="0" xr:uid="{00000000-0006-0000-2100-000004000000}">
      <text>
        <r>
          <rPr>
            <b/>
            <sz val="9"/>
            <color indexed="81"/>
            <rFont val="Tahoma"/>
            <family val="2"/>
          </rPr>
          <t>Brian Schwan:</t>
        </r>
        <r>
          <rPr>
            <sz val="9"/>
            <color indexed="81"/>
            <rFont val="Tahoma"/>
            <family val="2"/>
          </rPr>
          <t xml:space="preserve">
local advocacy meetings at city hall- bringing in students not apart of dept
</t>
        </r>
      </text>
    </comment>
    <comment ref="C20" authorId="7" shapeId="0" xr:uid="{00000000-0006-0000-2100-000005000000}">
      <text>
        <r>
          <rPr>
            <b/>
            <sz val="8"/>
            <color indexed="81"/>
            <rFont val="Tahoma"/>
            <family val="2"/>
          </rPr>
          <t>Natasha Pozega:</t>
        </r>
        <r>
          <rPr>
            <sz val="8"/>
            <color indexed="81"/>
            <rFont val="Tahoma"/>
            <family val="2"/>
          </rPr>
          <t xml:space="preserve">
2@$200</t>
        </r>
      </text>
    </comment>
    <comment ref="C21" authorId="7" shapeId="0" xr:uid="{00000000-0006-0000-2100-000006000000}">
      <text>
        <r>
          <rPr>
            <b/>
            <sz val="8"/>
            <color indexed="81"/>
            <rFont val="Tahoma"/>
            <family val="2"/>
          </rPr>
          <t>Natasha Pozega:</t>
        </r>
        <r>
          <rPr>
            <sz val="8"/>
            <color indexed="81"/>
            <rFont val="Tahoma"/>
            <family val="2"/>
          </rPr>
          <t xml:space="preserve">
$50x6
</t>
        </r>
      </text>
    </comment>
    <comment ref="C23" authorId="8" shapeId="0" xr:uid="{00000000-0006-0000-2100-000007000000}">
      <text>
        <r>
          <rPr>
            <b/>
            <sz val="8"/>
            <color indexed="81"/>
            <rFont val="Tahoma"/>
            <family val="2"/>
          </rPr>
          <t>David Collins:</t>
        </r>
        <r>
          <rPr>
            <sz val="8"/>
            <color indexed="81"/>
            <rFont val="Tahoma"/>
            <family val="2"/>
          </rPr>
          <t xml:space="preserve">
Special Events Off Campus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s4cook</author>
    <author>Adam Garcia</author>
    <author>Ben Balfour</author>
    <author>Benjamin Balfour</author>
    <author>Carly McCready</author>
    <author>Kurt MacMillan</author>
    <author>Windows User</author>
    <author>tc={46B6A868-D068-4806-8A4A-E3102754762D}</author>
    <author>tc={C2D7D8E8-68F3-4B25-A53C-F9C73FB1457A}</author>
    <author>Brian Schwan</author>
    <author>Matthew Gerrits</author>
    <author>tc={84706C85-8669-4051-B833-A7E7CAA6343D}</author>
  </authors>
  <commentList>
    <comment ref="C11" authorId="0" shapeId="0" xr:uid="{00000000-0006-0000-2200-000001000000}">
      <text>
        <r>
          <rPr>
            <b/>
            <sz val="8"/>
            <color indexed="81"/>
            <rFont val="Tahoma"/>
            <family val="2"/>
          </rPr>
          <t>s4cook:</t>
        </r>
        <r>
          <rPr>
            <sz val="8"/>
            <color indexed="81"/>
            <rFont val="Tahoma"/>
            <family val="2"/>
          </rPr>
          <t xml:space="preserve">
- general assembly voted in favour of .50 increase per enrolled student</t>
        </r>
      </text>
    </comment>
    <comment ref="I11" authorId="1" shapeId="0" xr:uid="{00000000-0006-0000-2200-000002000000}">
      <text>
        <r>
          <rPr>
            <b/>
            <sz val="8"/>
            <color indexed="81"/>
            <rFont val="Tahoma"/>
            <family val="2"/>
          </rPr>
          <t>Adam Garcia:</t>
        </r>
        <r>
          <rPr>
            <sz val="8"/>
            <color indexed="81"/>
            <rFont val="Tahoma"/>
            <family val="2"/>
          </rPr>
          <t xml:space="preserve">
Budgeting with last year's rounded up</t>
        </r>
      </text>
    </comment>
    <comment ref="J11" authorId="2" shapeId="0" xr:uid="{00000000-0006-0000-2200-000003000000}">
      <text>
        <r>
          <rPr>
            <b/>
            <sz val="9"/>
            <color indexed="81"/>
            <rFont val="Tahoma"/>
            <family val="2"/>
          </rPr>
          <t>Ben Balfour:</t>
        </r>
        <r>
          <rPr>
            <sz val="9"/>
            <color indexed="81"/>
            <rFont val="Tahoma"/>
            <family val="2"/>
          </rPr>
          <t xml:space="preserve">
still roughly $15000 in memberships fees outstanding.</t>
        </r>
      </text>
    </comment>
    <comment ref="K11" authorId="3" shapeId="0" xr:uid="{00000000-0006-0000-2200-000004000000}">
      <text>
        <r>
          <rPr>
            <b/>
            <sz val="9"/>
            <color indexed="81"/>
            <rFont val="Tahoma"/>
            <family val="2"/>
          </rPr>
          <t>Benjamin Balfour:</t>
        </r>
        <r>
          <rPr>
            <sz val="9"/>
            <color indexed="81"/>
            <rFont val="Tahoma"/>
            <family val="2"/>
          </rPr>
          <t xml:space="preserve">
due to enrollment increase</t>
        </r>
      </text>
    </comment>
    <comment ref="O11" authorId="4" shapeId="0" xr:uid="{00000000-0006-0000-2200-000005000000}">
      <text>
        <r>
          <rPr>
            <b/>
            <sz val="9"/>
            <color indexed="81"/>
            <rFont val="Tahoma"/>
            <family val="2"/>
          </rPr>
          <t>Carly McCready:</t>
        </r>
        <r>
          <rPr>
            <sz val="9"/>
            <color indexed="81"/>
            <rFont val="Tahoma"/>
            <family val="2"/>
          </rPr>
          <t xml:space="preserve">
$2.99/per student/per year, much cheaper than other provincal advocacy groups </t>
        </r>
      </text>
    </comment>
    <comment ref="S11" authorId="5" shapeId="0" xr:uid="{00000000-0006-0000-2200-000006000000}">
      <text>
        <r>
          <rPr>
            <b/>
            <sz val="9"/>
            <color indexed="81"/>
            <rFont val="Tahoma"/>
            <family val="2"/>
          </rPr>
          <t>Kurt MacMillan:</t>
        </r>
        <r>
          <rPr>
            <sz val="9"/>
            <color indexed="81"/>
            <rFont val="Tahoma"/>
            <family val="2"/>
          </rPr>
          <t xml:space="preserve">
$3.09/student</t>
        </r>
      </text>
    </comment>
    <comment ref="U11" authorId="6" shapeId="0" xr:uid="{00000000-0006-0000-2200-000007000000}">
      <text>
        <r>
          <rPr>
            <b/>
            <sz val="9"/>
            <color indexed="81"/>
            <rFont val="Tahoma"/>
            <family val="2"/>
          </rPr>
          <t>Windows User:</t>
        </r>
        <r>
          <rPr>
            <sz val="9"/>
            <color indexed="81"/>
            <rFont val="Tahoma"/>
            <family val="2"/>
          </rPr>
          <t xml:space="preserve">
Optional Advocacy fees for Gov't advocacy (provincial) means planning around 30% opt-out rate.</t>
        </r>
      </text>
    </comment>
    <comment ref="AA11" authorId="7" shapeId="0" xr:uid="{46B6A868-D068-4806-8A4A-E3102754762D}">
      <text>
        <t>[Threaded comment]
Your version of Excel allows you to read this threaded comment; however, any edits to it will get removed if the file is opened in a newer version of Excel. Learn more: https://go.microsoft.com/fwlink/?linkid=870924
Comment:
    OUSA fee is $3.24 per FTE</t>
      </text>
    </comment>
    <comment ref="AA12" authorId="8" shapeId="0" xr:uid="{C2D7D8E8-68F3-4B25-A53C-F9C73FB1457A}">
      <text>
        <t>[Threaded comment]
Your version of Excel allows you to read this threaded comment; however, any edits to it will get removed if the file is opened in a newer version of Excel. Learn more: https://go.microsoft.com/fwlink/?linkid=870924
Comment:
    Funds to assist with doing OUSA consultations (i.e. survey incentives, booths, etc)</t>
      </text>
    </comment>
    <comment ref="I13" authorId="1" shapeId="0" xr:uid="{00000000-0006-0000-2200-000009000000}">
      <text>
        <r>
          <rPr>
            <b/>
            <sz val="8"/>
            <color indexed="81"/>
            <rFont val="Tahoma"/>
            <family val="2"/>
          </rPr>
          <t>Adam Garcia:</t>
        </r>
        <r>
          <rPr>
            <sz val="8"/>
            <color indexed="81"/>
            <rFont val="Tahoma"/>
            <family val="2"/>
          </rPr>
          <t xml:space="preserve">
Partners in Higher Education Dinner</t>
        </r>
      </text>
    </comment>
    <comment ref="O13" authorId="4" shapeId="0" xr:uid="{00000000-0006-0000-2200-00000A000000}">
      <text>
        <r>
          <rPr>
            <b/>
            <sz val="9"/>
            <color indexed="81"/>
            <rFont val="Tahoma"/>
            <family val="2"/>
          </rPr>
          <t>Carly McCready:</t>
        </r>
        <r>
          <rPr>
            <sz val="9"/>
            <color indexed="81"/>
            <rFont val="Tahoma"/>
            <family val="2"/>
          </rPr>
          <t xml:space="preserve">
Partners in Higher Education Dinner, we attend every year, networking with other schools and politicians and presentation of teaching awardsLike what?</t>
        </r>
      </text>
    </comment>
    <comment ref="S13" authorId="5" shapeId="0" xr:uid="{00000000-0006-0000-2200-00000B000000}">
      <text>
        <r>
          <rPr>
            <b/>
            <sz val="9"/>
            <color indexed="81"/>
            <rFont val="Tahoma"/>
            <family val="2"/>
          </rPr>
          <t>Kurt MacMillan:</t>
        </r>
        <r>
          <rPr>
            <sz val="9"/>
            <color indexed="81"/>
            <rFont val="Tahoma"/>
            <family val="2"/>
          </rPr>
          <t xml:space="preserve">
Networking dinners throughout the year</t>
        </r>
      </text>
    </comment>
    <comment ref="C14" authorId="0" shapeId="0" xr:uid="{00000000-0006-0000-2200-00000C000000}">
      <text>
        <r>
          <rPr>
            <b/>
            <sz val="8"/>
            <color indexed="81"/>
            <rFont val="Tahoma"/>
            <family val="2"/>
          </rPr>
          <t>s4cook:</t>
        </r>
        <r>
          <rPr>
            <sz val="8"/>
            <color indexed="81"/>
            <rFont val="Tahoma"/>
            <family val="2"/>
          </rPr>
          <t xml:space="preserve">
- increase due to hosting the conference last year, travelling to 3 conferences</t>
        </r>
      </text>
    </comment>
    <comment ref="I14" authorId="1" shapeId="0" xr:uid="{00000000-0006-0000-2200-00000D000000}">
      <text>
        <r>
          <rPr>
            <b/>
            <sz val="8"/>
            <color indexed="81"/>
            <rFont val="Tahoma"/>
            <family val="2"/>
          </rPr>
          <t>Adam Garcia:</t>
        </r>
        <r>
          <rPr>
            <sz val="8"/>
            <color indexed="81"/>
            <rFont val="Tahoma"/>
            <family val="2"/>
          </rPr>
          <t xml:space="preserve">
$600/TransCon
$600/StratCon
$6500x2/General Assembly
$50/month/Steering Committee
$500/PiHED &amp; Alumni Night
</t>
        </r>
      </text>
    </comment>
    <comment ref="K14" authorId="3" shapeId="0" xr:uid="{00000000-0006-0000-2200-00000E000000}">
      <text>
        <r>
          <rPr>
            <b/>
            <sz val="9"/>
            <color indexed="81"/>
            <rFont val="Tahoma"/>
            <family val="2"/>
          </rPr>
          <t>Benjamin Balfour:</t>
        </r>
        <r>
          <rPr>
            <sz val="9"/>
            <color indexed="81"/>
            <rFont val="Tahoma"/>
            <family val="2"/>
          </rPr>
          <t xml:space="preserve">
Delegate traveling along</t>
        </r>
      </text>
    </comment>
    <comment ref="O14" authorId="4" shapeId="0" xr:uid="{00000000-0006-0000-2200-00000F000000}">
      <text>
        <r>
          <rPr>
            <b/>
            <sz val="9"/>
            <color indexed="81"/>
            <rFont val="Tahoma"/>
            <family val="2"/>
          </rPr>
          <t>Carly McCready:</t>
        </r>
        <r>
          <rPr>
            <sz val="9"/>
            <color indexed="81"/>
            <rFont val="Tahoma"/>
            <family val="2"/>
          </rPr>
          <t xml:space="preserve">
For OUSA General Assembly for student at-large delegates</t>
        </r>
      </text>
    </comment>
    <comment ref="Q14" authorId="9" shapeId="0" xr:uid="{00000000-0006-0000-2200-000010000000}">
      <text>
        <r>
          <rPr>
            <b/>
            <sz val="9"/>
            <color indexed="81"/>
            <rFont val="Tahoma"/>
            <family val="2"/>
          </rPr>
          <t>Brian Schwan:</t>
        </r>
        <r>
          <rPr>
            <sz val="9"/>
            <color indexed="81"/>
            <rFont val="Tahoma"/>
            <family val="2"/>
          </rPr>
          <t xml:space="preserve">
OUSA General Assembly.  1 laurier 1 @ laurentian</t>
        </r>
      </text>
    </comment>
    <comment ref="S14" authorId="5" shapeId="0" xr:uid="{00000000-0006-0000-2200-000011000000}">
      <text>
        <r>
          <rPr>
            <b/>
            <sz val="9"/>
            <color indexed="81"/>
            <rFont val="Tahoma"/>
            <family val="2"/>
          </rPr>
          <t>Kurt MacMillan:</t>
        </r>
        <r>
          <rPr>
            <sz val="9"/>
            <color indexed="81"/>
            <rFont val="Tahoma"/>
            <family val="2"/>
          </rPr>
          <t xml:space="preserve">
OUSA general assembly 
1 at Waterloo and 1 at McMaster</t>
        </r>
      </text>
    </comment>
    <comment ref="W14" authorId="10" shapeId="0" xr:uid="{00000000-0006-0000-2200-000012000000}">
      <text>
        <r>
          <rPr>
            <b/>
            <sz val="9"/>
            <color indexed="81"/>
            <rFont val="Tahoma"/>
            <family val="2"/>
          </rPr>
          <t>Matthew Gerrits:</t>
        </r>
        <r>
          <rPr>
            <sz val="9"/>
            <color indexed="81"/>
            <rFont val="Tahoma"/>
            <family val="2"/>
          </rPr>
          <t xml:space="preserve">
Requesting inflationary increase</t>
        </r>
      </text>
    </comment>
    <comment ref="AA14" authorId="11" shapeId="0" xr:uid="{84706C85-8669-4051-B833-A7E7CAA6343D}">
      <text>
        <t>[Threaded comment]
Your version of Excel allows you to read this threaded comment; however, any edits to it will get removed if the file is opened in a newer version of Excel. Learn more: https://go.microsoft.com/fwlink/?linkid=870924
Comment:
    Adjusted to account for increased cost of fuel, food, and the liklihood that GA will occur in either Sudbury, Kingston, or both</t>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M21" authorId="0" shapeId="0" xr:uid="{00000000-0006-0000-2300-000001000000}">
      <text>
        <r>
          <rPr>
            <b/>
            <sz val="9"/>
            <color indexed="81"/>
            <rFont val="Tahoma"/>
            <family val="2"/>
          </rPr>
          <t>Windows User:</t>
        </r>
        <r>
          <rPr>
            <sz val="9"/>
            <color indexed="81"/>
            <rFont val="Tahoma"/>
            <family val="2"/>
          </rPr>
          <t xml:space="preserve">
Subsumed under Communications &amp; Stakeholder Relations Budget</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Seneca Velling</author>
    <author>Windows User</author>
  </authors>
  <commentList>
    <comment ref="U8" authorId="0" shapeId="0" xr:uid="{B722FE07-CEBA-4D43-A610-CF0295B09AA4}">
      <text>
        <r>
          <rPr>
            <b/>
            <sz val="9"/>
            <color indexed="81"/>
            <rFont val="Tahoma"/>
            <family val="2"/>
          </rPr>
          <t>Seneca Velling:</t>
        </r>
        <r>
          <rPr>
            <sz val="9"/>
            <color indexed="81"/>
            <rFont val="Tahoma"/>
            <family val="2"/>
          </rPr>
          <t xml:space="preserve">
100% of IT dept revenues netted against fees costs (to reduce fees budget)</t>
        </r>
      </text>
    </comment>
    <comment ref="U14" authorId="0" shapeId="0" xr:uid="{0269C4B7-2C5E-404B-9623-E15689ED8351}">
      <text>
        <r>
          <rPr>
            <b/>
            <sz val="9"/>
            <color indexed="81"/>
            <rFont val="Tahoma"/>
            <family val="2"/>
          </rPr>
          <t>Seneca Velling:</t>
        </r>
        <r>
          <rPr>
            <sz val="9"/>
            <color indexed="81"/>
            <rFont val="Tahoma"/>
            <family val="2"/>
          </rPr>
          <t xml:space="preserve">
Increase driven by COVID-19 support related items</t>
        </r>
      </text>
    </comment>
    <comment ref="U17" authorId="0" shapeId="0" xr:uid="{4BC66C90-A7A6-4604-92BF-4DDE9C33F43A}">
      <text>
        <r>
          <rPr>
            <b/>
            <sz val="9"/>
            <color rgb="FF000000"/>
            <rFont val="Tahoma"/>
            <family val="2"/>
          </rPr>
          <t>Seneca Velling:</t>
        </r>
        <r>
          <rPr>
            <sz val="9"/>
            <color rgb="FF000000"/>
            <rFont val="Tahoma"/>
            <family val="2"/>
          </rPr>
          <t xml:space="preserve">
</t>
        </r>
        <r>
          <rPr>
            <sz val="9"/>
            <color rgb="FF000000"/>
            <rFont val="Tahoma"/>
            <family val="2"/>
          </rPr>
          <t>Only 90% of IT expenses are paid by student fees, remaining 10% is paid by businesses</t>
        </r>
      </text>
    </comment>
    <comment ref="U18" authorId="1" shapeId="0" xr:uid="{00000000-0006-0000-2400-000001000000}">
      <text>
        <r>
          <rPr>
            <b/>
            <sz val="9"/>
            <color indexed="81"/>
            <rFont val="Tahoma"/>
            <family val="2"/>
          </rPr>
          <t>Windows User:</t>
        </r>
        <r>
          <rPr>
            <sz val="9"/>
            <color indexed="81"/>
            <rFont val="Tahoma"/>
            <family val="2"/>
          </rPr>
          <t xml:space="preserve">
Increase driven by new Societies Fluctuation Reserve (concerted staffing reserve for Federation constituency Societies) and the deferred maintenance set-aside of 2.5% of operating budget to the Capital Program Fund</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Seneca Velling</author>
    <author>Carly McCready</author>
    <author>Kumar Patel</author>
    <author>Natasha Pozega</author>
    <author>Kurt MacMillan</author>
    <author>s4cook</author>
    <author>Matt Colphon</author>
    <author>Ben Balfour</author>
    <author>Brian Schwan</author>
    <author>Windows User</author>
    <author>Suzanne Burdett</author>
    <author/>
    <author>p32patel</author>
    <author>Alana Christi Guevara</author>
    <author>Matthew Schwarze</author>
  </authors>
  <commentList>
    <comment ref="W5" authorId="0" shapeId="0" xr:uid="{8A4A28DD-976E-459F-84E4-670D8999602D}">
      <text>
        <r>
          <rPr>
            <b/>
            <sz val="9"/>
            <color indexed="81"/>
            <rFont val="Tahoma"/>
            <family val="2"/>
          </rPr>
          <t>Seneca Velling:</t>
        </r>
        <r>
          <rPr>
            <sz val="9"/>
            <color indexed="81"/>
            <rFont val="Tahoma"/>
            <family val="2"/>
          </rPr>
          <t xml:space="preserve">
Pursuant to SLEF Bylaws (see Council Procedures), Section 8(1) Administrative and Promotional Costs, and standing orders of the Internal Funding Committee (IFC) with respect to SLEF and EOI Fund: the IFC may set aside up to 5% of total funding amounts generated by WUSA-administered Endowment Fund investment each year for administrative and promotional cost recovery.
Council procedures 16 &amp; 17: EOI Fund Bylaws and SLEF Bylaws
Note: Estimates from SLEF income based on ~$65,000 and estimates from EOI Fund ~$25,000, based on FY2020 levels</t>
        </r>
      </text>
    </comment>
    <comment ref="B10" authorId="1" shapeId="0" xr:uid="{00000000-0006-0000-2500-000001000000}">
      <text>
        <r>
          <rPr>
            <b/>
            <sz val="9"/>
            <color indexed="81"/>
            <rFont val="Tahoma"/>
            <family val="2"/>
          </rPr>
          <t>Carly McCready:</t>
        </r>
        <r>
          <rPr>
            <sz val="9"/>
            <color indexed="81"/>
            <rFont val="Tahoma"/>
            <family val="2"/>
          </rPr>
          <t xml:space="preserve">
For events at The Bomber that don't make enough money for Bomber to break even</t>
        </r>
      </text>
    </comment>
    <comment ref="F10" authorId="2" shapeId="0" xr:uid="{00000000-0006-0000-2500-000002000000}">
      <text>
        <r>
          <rPr>
            <b/>
            <sz val="8"/>
            <color indexed="81"/>
            <rFont val="Tahoma"/>
            <family val="2"/>
          </rPr>
          <t>Kumar Patel:</t>
        </r>
        <r>
          <rPr>
            <sz val="8"/>
            <color indexed="81"/>
            <rFont val="Tahoma"/>
            <family val="2"/>
          </rPr>
          <t xml:space="preserve">
Less bookings due to takeover of fed hall.</t>
        </r>
      </text>
    </comment>
    <comment ref="H10" authorId="3" shapeId="0" xr:uid="{00000000-0006-0000-2500-000003000000}">
      <text>
        <r>
          <rPr>
            <b/>
            <sz val="10"/>
            <color indexed="81"/>
            <rFont val="Tahoma"/>
            <family val="2"/>
          </rPr>
          <t>Natasha Pozega:</t>
        </r>
        <r>
          <rPr>
            <sz val="10"/>
            <color indexed="81"/>
            <rFont val="Tahoma"/>
            <family val="2"/>
          </rPr>
          <t xml:space="preserve">
Got charged through General Office last year
</t>
        </r>
      </text>
    </comment>
    <comment ref="S10" authorId="4" shapeId="0" xr:uid="{00000000-0006-0000-2500-000004000000}">
      <text>
        <r>
          <rPr>
            <b/>
            <sz val="9"/>
            <color indexed="81"/>
            <rFont val="Tahoma"/>
            <family val="2"/>
          </rPr>
          <t>Kurt MacMillan:</t>
        </r>
        <r>
          <rPr>
            <sz val="9"/>
            <color indexed="81"/>
            <rFont val="Tahoma"/>
            <family val="2"/>
          </rPr>
          <t xml:space="preserve">
Cover off for internal groups with clubs services and societies</t>
        </r>
      </text>
    </comment>
    <comment ref="U10" authorId="4" shapeId="0" xr:uid="{00000000-0006-0000-2500-000005000000}">
      <text>
        <r>
          <rPr>
            <b/>
            <sz val="9"/>
            <color indexed="81"/>
            <rFont val="Tahoma"/>
            <family val="2"/>
          </rPr>
          <t>Kurt MacMillan:</t>
        </r>
        <r>
          <rPr>
            <sz val="9"/>
            <color indexed="81"/>
            <rFont val="Tahoma"/>
            <family val="2"/>
          </rPr>
          <t xml:space="preserve">
For groups to use other spaces</t>
        </r>
      </text>
    </comment>
    <comment ref="W10" authorId="0" shapeId="0" xr:uid="{BCF1E13D-A7F9-4007-B243-4F01AE670966}">
      <text>
        <r>
          <rPr>
            <b/>
            <sz val="9"/>
            <color indexed="81"/>
            <rFont val="Tahoma"/>
            <family val="2"/>
          </rPr>
          <t>Seneca Velling:</t>
        </r>
        <r>
          <rPr>
            <sz val="9"/>
            <color indexed="81"/>
            <rFont val="Tahoma"/>
            <family val="2"/>
          </rPr>
          <t xml:space="preserve">
Reduced based on limited Spring Term operations due to COVID-19</t>
        </r>
      </text>
    </comment>
    <comment ref="C11" authorId="5" shapeId="0" xr:uid="{00000000-0006-0000-2500-000006000000}">
      <text>
        <r>
          <rPr>
            <b/>
            <sz val="8"/>
            <color indexed="81"/>
            <rFont val="Tahoma"/>
            <family val="2"/>
          </rPr>
          <t>s4cook:</t>
        </r>
        <r>
          <rPr>
            <sz val="8"/>
            <color indexed="81"/>
            <rFont val="Tahoma"/>
            <family val="2"/>
          </rPr>
          <t xml:space="preserve">
-increased by inflation
- portion of salary comes from health, dental and UPASS accounts
</t>
        </r>
      </text>
    </comment>
    <comment ref="F11" authorId="6" shapeId="0" xr:uid="{00000000-0006-0000-2500-000007000000}">
      <text>
        <r>
          <rPr>
            <b/>
            <sz val="8"/>
            <color indexed="81"/>
            <rFont val="Tahoma"/>
            <family val="2"/>
          </rPr>
          <t>Matt Colphon:</t>
        </r>
        <r>
          <rPr>
            <sz val="8"/>
            <color indexed="81"/>
            <rFont val="Tahoma"/>
            <family val="2"/>
          </rPr>
          <t xml:space="preserve">
included CPI increase to previous, need number</t>
        </r>
      </text>
    </comment>
    <comment ref="I11" authorId="3" shapeId="0" xr:uid="{00000000-0006-0000-2500-000008000000}">
      <text>
        <r>
          <rPr>
            <b/>
            <sz val="8"/>
            <color indexed="81"/>
            <rFont val="Tahoma"/>
            <family val="2"/>
          </rPr>
          <t>Natasha Pozega:</t>
        </r>
        <r>
          <rPr>
            <sz val="8"/>
            <color indexed="81"/>
            <rFont val="Tahoma"/>
            <family val="2"/>
          </rPr>
          <t xml:space="preserve">
recalculate, distribute</t>
        </r>
      </text>
    </comment>
    <comment ref="K11" authorId="7" shapeId="0" xr:uid="{00000000-0006-0000-2500-000009000000}">
      <text>
        <r>
          <rPr>
            <b/>
            <sz val="9"/>
            <color indexed="81"/>
            <rFont val="Tahoma"/>
            <family val="2"/>
          </rPr>
          <t>Ben Balfour:</t>
        </r>
        <r>
          <rPr>
            <sz val="9"/>
            <color indexed="81"/>
            <rFont val="Tahoma"/>
            <family val="2"/>
          </rPr>
          <t xml:space="preserve">
5% health, dental, and 7% upass. Negotiation year</t>
        </r>
      </text>
    </comment>
    <comment ref="O11" authorId="8" shapeId="0" xr:uid="{00000000-0006-0000-2500-00000A000000}">
      <text>
        <r>
          <rPr>
            <b/>
            <sz val="9"/>
            <color indexed="81"/>
            <rFont val="Tahoma"/>
            <family val="2"/>
          </rPr>
          <t>Brian Schwan:</t>
        </r>
        <r>
          <rPr>
            <sz val="9"/>
            <color indexed="81"/>
            <rFont val="Tahoma"/>
            <family val="2"/>
          </rPr>
          <t xml:space="preserve">
increased by 1.1% CPI
</t>
        </r>
      </text>
    </comment>
    <comment ref="T11" authorId="9" shapeId="0" xr:uid="{00000000-0006-0000-2500-00000B000000}">
      <text>
        <r>
          <rPr>
            <b/>
            <sz val="9"/>
            <color indexed="81"/>
            <rFont val="Tahoma"/>
            <family val="2"/>
          </rPr>
          <t>Windows User:</t>
        </r>
        <r>
          <rPr>
            <sz val="9"/>
            <color indexed="81"/>
            <rFont val="Tahoma"/>
            <family val="2"/>
          </rPr>
          <t xml:space="preserve">
2018/19 Fiscal had contracts that went two weeks into this year… this number does not seem accurate</t>
        </r>
      </text>
    </comment>
    <comment ref="W13" authorId="10" shapeId="0" xr:uid="{454745C1-C3B2-4D22-B7B4-1937B1CCA5FB}">
      <text>
        <r>
          <rPr>
            <b/>
            <sz val="9"/>
            <color indexed="81"/>
            <rFont val="Tahoma"/>
            <family val="2"/>
          </rPr>
          <t>Suzanne Burdett:</t>
        </r>
        <r>
          <rPr>
            <sz val="9"/>
            <color indexed="81"/>
            <rFont val="Tahoma"/>
            <family val="2"/>
          </rPr>
          <t xml:space="preserve">
wages Seneca for May</t>
        </r>
      </text>
    </comment>
    <comment ref="Y14" authorId="11" shapeId="0" xr:uid="{05FC0E43-C999-49D3-B69E-CF56B4C2A757}">
      <text>
        <r>
          <rPr>
            <sz val="10"/>
            <color rgb="FF000000"/>
            <rFont val="Arial"/>
            <family val="2"/>
          </rPr>
          <t>Matthew Schwarze:
Moved to WSP</t>
        </r>
      </text>
    </comment>
    <comment ref="C15" authorId="5" shapeId="0" xr:uid="{00000000-0006-0000-2500-00000C000000}">
      <text>
        <r>
          <rPr>
            <b/>
            <sz val="8"/>
            <color indexed="81"/>
            <rFont val="Tahoma"/>
            <family val="2"/>
          </rPr>
          <t>s4cook:</t>
        </r>
        <r>
          <rPr>
            <sz val="8"/>
            <color indexed="81"/>
            <rFont val="Tahoma"/>
            <family val="2"/>
          </rPr>
          <t xml:space="preserve">
- cross departmental co-op students</t>
        </r>
      </text>
    </comment>
    <comment ref="S18" authorId="4" shapeId="0" xr:uid="{00000000-0006-0000-2500-00000D000000}">
      <text>
        <r>
          <rPr>
            <b/>
            <sz val="9"/>
            <color indexed="81"/>
            <rFont val="Tahoma"/>
            <family val="2"/>
          </rPr>
          <t>Kurt MacMillan:</t>
        </r>
        <r>
          <rPr>
            <sz val="9"/>
            <color indexed="81"/>
            <rFont val="Tahoma"/>
            <family val="2"/>
          </rPr>
          <t xml:space="preserve">
Alotted $73/month x12 months</t>
        </r>
      </text>
    </comment>
    <comment ref="W18" authorId="9" shapeId="0" xr:uid="{00000000-0006-0000-2500-00000E000000}">
      <text>
        <r>
          <rPr>
            <b/>
            <sz val="9"/>
            <color indexed="81"/>
            <rFont val="Tahoma"/>
            <family val="2"/>
          </rPr>
          <t>Windows User:</t>
        </r>
        <r>
          <rPr>
            <sz val="9"/>
            <color indexed="81"/>
            <rFont val="Tahoma"/>
            <family val="2"/>
          </rPr>
          <t xml:space="preserve">
Reduced to $50/month x 12 months under new standard set by BAC for cell phone reimbursement</t>
        </r>
      </text>
    </comment>
    <comment ref="C20" authorId="5" shapeId="0" xr:uid="{00000000-0006-0000-2500-00000F000000}">
      <text>
        <r>
          <rPr>
            <b/>
            <sz val="8"/>
            <color indexed="81"/>
            <rFont val="Tahoma"/>
            <family val="2"/>
          </rPr>
          <t>s4cook:</t>
        </r>
        <r>
          <rPr>
            <sz val="8"/>
            <color indexed="81"/>
            <rFont val="Tahoma"/>
            <family val="2"/>
          </rPr>
          <t xml:space="preserve">
based on last year's actuals
</t>
        </r>
      </text>
    </comment>
    <comment ref="W20" authorId="0" shapeId="0" xr:uid="{AD06109F-F222-4348-BF44-EF012AFB2625}">
      <text>
        <r>
          <rPr>
            <b/>
            <sz val="9"/>
            <color indexed="81"/>
            <rFont val="Tahoma"/>
            <family val="2"/>
          </rPr>
          <t>Seneca Velling:</t>
        </r>
        <r>
          <rPr>
            <sz val="9"/>
            <color indexed="81"/>
            <rFont val="Tahoma"/>
            <family val="2"/>
          </rPr>
          <t xml:space="preserve">
Increased based on real use (VPOF is an administrative and secretarial role, printing costs routinely higher than budgetted by years end)</t>
        </r>
      </text>
    </comment>
    <comment ref="C23" authorId="5" shapeId="0" xr:uid="{00000000-0006-0000-2500-000010000000}">
      <text>
        <r>
          <rPr>
            <b/>
            <sz val="8"/>
            <color indexed="81"/>
            <rFont val="Tahoma"/>
            <family val="2"/>
          </rPr>
          <t>s4cook:</t>
        </r>
        <r>
          <rPr>
            <sz val="8"/>
            <color indexed="81"/>
            <rFont val="Tahoma"/>
            <family val="2"/>
          </rPr>
          <t xml:space="preserve">
-diversity conference + smart serve training
</t>
        </r>
      </text>
    </comment>
    <comment ref="E23" authorId="12" shapeId="0" xr:uid="{00000000-0006-0000-2500-000011000000}">
      <text>
        <r>
          <rPr>
            <b/>
            <sz val="8"/>
            <color indexed="81"/>
            <rFont val="Tahoma"/>
            <family val="2"/>
          </rPr>
          <t>p32patel:</t>
        </r>
        <r>
          <rPr>
            <sz val="8"/>
            <color indexed="81"/>
            <rFont val="Tahoma"/>
            <family val="2"/>
          </rPr>
          <t xml:space="preserve">
MoneyCon
COCA- Bar Programming
</t>
        </r>
      </text>
    </comment>
    <comment ref="G23" authorId="2" shapeId="0" xr:uid="{00000000-0006-0000-2500-000012000000}">
      <text>
        <r>
          <rPr>
            <b/>
            <sz val="8"/>
            <color indexed="81"/>
            <rFont val="Tahoma"/>
            <family val="2"/>
          </rPr>
          <t>Kumar Patel:</t>
        </r>
        <r>
          <rPr>
            <sz val="8"/>
            <color indexed="81"/>
            <rFont val="Tahoma"/>
            <family val="2"/>
          </rPr>
          <t xml:space="preserve">
AMICCUS-C
MoneyCon</t>
        </r>
      </text>
    </comment>
    <comment ref="K23" authorId="7" shapeId="0" xr:uid="{00000000-0006-0000-2500-000013000000}">
      <text>
        <r>
          <rPr>
            <b/>
            <sz val="9"/>
            <color indexed="81"/>
            <rFont val="Tahoma"/>
            <family val="2"/>
          </rPr>
          <t>Ben Balfour:</t>
        </r>
        <r>
          <rPr>
            <sz val="9"/>
            <color indexed="81"/>
            <rFont val="Tahoma"/>
            <family val="2"/>
          </rPr>
          <t xml:space="preserve">
605+150 for Suds</t>
        </r>
      </text>
    </comment>
    <comment ref="S23" authorId="4" shapeId="0" xr:uid="{00000000-0006-0000-2500-000014000000}">
      <text>
        <r>
          <rPr>
            <b/>
            <sz val="9"/>
            <color indexed="81"/>
            <rFont val="Tahoma"/>
            <family val="2"/>
          </rPr>
          <t>Kurt MacMillan:</t>
        </r>
        <r>
          <rPr>
            <sz val="9"/>
            <color indexed="81"/>
            <rFont val="Tahoma"/>
            <family val="2"/>
          </rPr>
          <t xml:space="preserve">
Increase for RRG and new proj in SLC/PAC expansion</t>
        </r>
      </text>
    </comment>
    <comment ref="W23" authorId="0" shapeId="0" xr:uid="{476710B4-95C6-484A-858E-A9F75C13C0AC}">
      <text>
        <r>
          <rPr>
            <b/>
            <sz val="9"/>
            <color indexed="81"/>
            <rFont val="Tahoma"/>
            <family val="2"/>
          </rPr>
          <t>Seneca Velling:</t>
        </r>
        <r>
          <rPr>
            <sz val="9"/>
            <color indexed="81"/>
            <rFont val="Tahoma"/>
            <family val="2"/>
          </rPr>
          <t xml:space="preserve">
Decreased based on real use. VPOF role doesn't need to spend as much as it did in FY2019</t>
        </r>
      </text>
    </comment>
    <comment ref="C24" authorId="5" shapeId="0" xr:uid="{00000000-0006-0000-2500-000015000000}">
      <text>
        <r>
          <rPr>
            <b/>
            <sz val="8"/>
            <color indexed="81"/>
            <rFont val="Tahoma"/>
            <family val="2"/>
          </rPr>
          <t>s4cook:</t>
        </r>
        <r>
          <rPr>
            <sz val="8"/>
            <color indexed="81"/>
            <rFont val="Tahoma"/>
            <family val="2"/>
          </rPr>
          <t xml:space="preserve">
- for co-op student discounts
</t>
        </r>
      </text>
    </comment>
    <comment ref="I24" authorId="3" shapeId="0" xr:uid="{00000000-0006-0000-2500-000016000000}">
      <text>
        <r>
          <rPr>
            <b/>
            <sz val="8"/>
            <color indexed="81"/>
            <rFont val="Tahoma"/>
            <family val="2"/>
          </rPr>
          <t>Natasha Pozega:</t>
        </r>
        <r>
          <rPr>
            <sz val="8"/>
            <color indexed="81"/>
            <rFont val="Tahoma"/>
            <family val="2"/>
          </rPr>
          <t xml:space="preserve">
Holiday party P/T staff</t>
        </r>
      </text>
    </comment>
    <comment ref="O24" authorId="8" shapeId="0" xr:uid="{00000000-0006-0000-2500-000017000000}">
      <text>
        <r>
          <rPr>
            <b/>
            <sz val="9"/>
            <color indexed="81"/>
            <rFont val="Tahoma"/>
            <family val="2"/>
          </rPr>
          <t>Brian Schwan:</t>
        </r>
        <r>
          <rPr>
            <sz val="9"/>
            <color indexed="81"/>
            <rFont val="Tahoma"/>
            <family val="2"/>
          </rPr>
          <t xml:space="preserve">
This is something we havent been doing/doing well and need to start to increase organizational cohesiveness</t>
        </r>
      </text>
    </comment>
    <comment ref="S24" authorId="4" shapeId="0" xr:uid="{00000000-0006-0000-2500-000018000000}">
      <text>
        <r>
          <rPr>
            <b/>
            <sz val="9"/>
            <color indexed="81"/>
            <rFont val="Tahoma"/>
            <family val="2"/>
          </rPr>
          <t>Kurt MacMillan:</t>
        </r>
        <r>
          <rPr>
            <sz val="9"/>
            <color indexed="81"/>
            <rFont val="Tahoma"/>
            <family val="2"/>
          </rPr>
          <t xml:space="preserve">
All PTS from the year is invited to a Staff Appreciation Event</t>
        </r>
      </text>
    </comment>
    <comment ref="I25" authorId="3" shapeId="0" xr:uid="{00000000-0006-0000-2500-000019000000}">
      <text>
        <r>
          <rPr>
            <b/>
            <sz val="8"/>
            <color indexed="81"/>
            <rFont val="Tahoma"/>
            <family val="2"/>
          </rPr>
          <t>Natasha Pozega:</t>
        </r>
        <r>
          <rPr>
            <sz val="8"/>
            <color indexed="81"/>
            <rFont val="Tahoma"/>
            <family val="2"/>
          </rPr>
          <t xml:space="preserve">
Digital Signage Amortization--&gt; not calculated /yr yet</t>
        </r>
      </text>
    </comment>
    <comment ref="C27" authorId="5" shapeId="0" xr:uid="{00000000-0006-0000-2500-00001A000000}">
      <text>
        <r>
          <rPr>
            <b/>
            <sz val="8"/>
            <color indexed="81"/>
            <rFont val="Tahoma"/>
            <family val="2"/>
          </rPr>
          <t>s4cook:</t>
        </r>
        <r>
          <rPr>
            <sz val="8"/>
            <color indexed="81"/>
            <rFont val="Tahoma"/>
            <family val="2"/>
          </rPr>
          <t xml:space="preserve">
- business survey prizes
- arch lunch
</t>
        </r>
      </text>
    </comment>
    <comment ref="E27" authorId="12" shapeId="0" xr:uid="{00000000-0006-0000-2500-00001B000000}">
      <text>
        <r>
          <rPr>
            <b/>
            <sz val="8"/>
            <color indexed="81"/>
            <rFont val="Tahoma"/>
            <family val="2"/>
          </rPr>
          <t>p32patel:</t>
        </r>
        <r>
          <rPr>
            <sz val="8"/>
            <color indexed="81"/>
            <rFont val="Tahoma"/>
            <family val="2"/>
          </rPr>
          <t xml:space="preserve">
* Breakfasts
* Service Improvements
* Contests/Promotions
* Consultants - Review Business Operations
</t>
        </r>
      </text>
    </comment>
    <comment ref="W27" authorId="10" shapeId="0" xr:uid="{31CD1D8A-7376-4799-A12F-86D30C84C4BF}">
      <text>
        <r>
          <rPr>
            <b/>
            <sz val="9"/>
            <color indexed="81"/>
            <rFont val="Tahoma"/>
            <family val="2"/>
          </rPr>
          <t>Suzanne Burdett:</t>
        </r>
        <r>
          <rPr>
            <sz val="9"/>
            <color indexed="81"/>
            <rFont val="Tahoma"/>
            <family val="2"/>
          </rPr>
          <t xml:space="preserve">
anti black racism project</t>
        </r>
      </text>
    </comment>
    <comment ref="O29" authorId="8" shapeId="0" xr:uid="{00000000-0006-0000-2500-00001C000000}">
      <text>
        <r>
          <rPr>
            <b/>
            <sz val="9"/>
            <color indexed="81"/>
            <rFont val="Tahoma"/>
            <family val="2"/>
          </rPr>
          <t>Brian Schwan:</t>
        </r>
        <r>
          <rPr>
            <sz val="9"/>
            <color indexed="81"/>
            <rFont val="Tahoma"/>
            <family val="2"/>
          </rPr>
          <t xml:space="preserve">
licence increased by 5%</t>
        </r>
      </text>
    </comment>
    <comment ref="S29" authorId="4" shapeId="0" xr:uid="{00000000-0006-0000-2500-00001D000000}">
      <text>
        <r>
          <rPr>
            <b/>
            <sz val="9"/>
            <color indexed="81"/>
            <rFont val="Tahoma"/>
            <family val="2"/>
          </rPr>
          <t>Kurt MacMillan:</t>
        </r>
        <r>
          <rPr>
            <sz val="9"/>
            <color indexed="81"/>
            <rFont val="Tahoma"/>
            <family val="2"/>
          </rPr>
          <t xml:space="preserve">
Covers liability for all Feds members to utilise Tv shows / movies at no licensing fee. Approx $100/movie</t>
        </r>
      </text>
    </comment>
    <comment ref="O30" authorId="1" shapeId="0" xr:uid="{00000000-0006-0000-2500-00001E000000}">
      <text>
        <r>
          <rPr>
            <b/>
            <sz val="9"/>
            <color indexed="81"/>
            <rFont val="Tahoma"/>
            <family val="2"/>
          </rPr>
          <t>Carly McCready:</t>
        </r>
        <r>
          <rPr>
            <sz val="9"/>
            <color indexed="81"/>
            <rFont val="Tahoma"/>
            <family val="2"/>
          </rPr>
          <t xml:space="preserve">
500 each + tax</t>
        </r>
      </text>
    </comment>
    <comment ref="W30" authorId="0" shapeId="0" xr:uid="{F16305F2-9B08-4CD9-845A-4C93D9385890}">
      <text>
        <r>
          <rPr>
            <b/>
            <sz val="9"/>
            <color indexed="81"/>
            <rFont val="Tahoma"/>
            <family val="2"/>
          </rPr>
          <t>Seneca Velling:</t>
        </r>
        <r>
          <rPr>
            <sz val="9"/>
            <color indexed="81"/>
            <rFont val="Tahoma"/>
            <family val="2"/>
          </rPr>
          <t xml:space="preserve">
New formula under Board procedure is flat $500 per incoming Executive</t>
        </r>
      </text>
    </comment>
    <comment ref="W31" authorId="13" shapeId="0" xr:uid="{1B4EDE36-42AF-4DE8-BCD3-D67BA1588E82}">
      <text>
        <r>
          <rPr>
            <b/>
            <sz val="9"/>
            <color indexed="81"/>
            <rFont val="Tahoma"/>
            <family val="2"/>
          </rPr>
          <t>Alana Christi Guevara:</t>
        </r>
        <r>
          <rPr>
            <sz val="9"/>
            <color indexed="81"/>
            <rFont val="Tahoma"/>
            <family val="2"/>
          </rPr>
          <t xml:space="preserve">
Will likely be reimbursed</t>
        </r>
      </text>
    </comment>
    <comment ref="B32" authorId="9" shapeId="0" xr:uid="{00000000-0006-0000-2500-00001F000000}">
      <text>
        <r>
          <rPr>
            <b/>
            <sz val="9"/>
            <color indexed="81"/>
            <rFont val="Tahoma"/>
            <family val="2"/>
          </rPr>
          <t>Windows User:</t>
        </r>
        <r>
          <rPr>
            <sz val="9"/>
            <color indexed="81"/>
            <rFont val="Tahoma"/>
            <family val="2"/>
          </rPr>
          <t xml:space="preserve">
Moved from VPSL Budget by Council in Winter 2019 (2018-2019 governing year)</t>
        </r>
      </text>
    </comment>
    <comment ref="Y34" authorId="14" shapeId="0" xr:uid="{76BFDCE6-AB45-40AC-B655-B806F8343075}">
      <text>
        <r>
          <rPr>
            <b/>
            <sz val="9"/>
            <color indexed="81"/>
            <rFont val="Tahoma"/>
            <family val="2"/>
          </rPr>
          <t>Matthew Schwarze:</t>
        </r>
        <r>
          <rPr>
            <sz val="9"/>
            <color indexed="81"/>
            <rFont val="Tahoma"/>
            <family val="2"/>
          </rPr>
          <t xml:space="preserve">
unsure if all wastage has been covered yet</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Windows User</author>
    <author>Kurt MacMillan</author>
    <author>tc={3AEF6986-032A-4649-9234-57843FD365A2}</author>
    <author>Suzanne Burdett</author>
  </authors>
  <commentList>
    <comment ref="K5" authorId="0" shapeId="0" xr:uid="{00000000-0006-0000-2600-000001000000}">
      <text>
        <r>
          <rPr>
            <b/>
            <sz val="9"/>
            <color indexed="81"/>
            <rFont val="Tahoma"/>
            <family val="2"/>
          </rPr>
          <t>Windows User:</t>
        </r>
        <r>
          <rPr>
            <sz val="9"/>
            <color indexed="81"/>
            <rFont val="Tahoma"/>
            <family val="2"/>
          </rPr>
          <t xml:space="preserve">
Per Council's requirement that Comm Ops must paid for their own expenses, 30% of the Office of the Director of Ops &amp; Dev has been covered by Commercial Operations. Remaining 70% reflects real useage of rule to organization and other non-commercial functions.</t>
        </r>
      </text>
    </comment>
    <comment ref="I14" authorId="1" shapeId="0" xr:uid="{00000000-0006-0000-2600-000002000000}">
      <text>
        <r>
          <rPr>
            <b/>
            <sz val="9"/>
            <color indexed="81"/>
            <rFont val="Tahoma"/>
            <family val="2"/>
          </rPr>
          <t>Kurt MacMillan:</t>
        </r>
        <r>
          <rPr>
            <sz val="9"/>
            <color indexed="81"/>
            <rFont val="Tahoma"/>
            <family val="2"/>
          </rPr>
          <t xml:space="preserve">
Increased for conf with VPOF in RRG</t>
        </r>
      </text>
    </comment>
    <comment ref="Q14" authorId="2" shapeId="0" xr:uid="{3AEF6986-032A-4649-9234-57843FD365A2}">
      <text>
        <t>[Threaded comment]
Your version of Excel allows you to read this threaded comment; however, any edits to it will get removed if the file is opened in a newer version of Excel. Learn more: https://go.microsoft.com/fwlink/?linkid=870924
Comment:
    multiple conferences, LS Retail. Food Show, C-Store Show for development efforts ahead</t>
      </text>
    </comment>
    <comment ref="Q18" authorId="3" shapeId="0" xr:uid="{B66F8A6E-C080-4021-8B2F-EB11D979E516}">
      <text>
        <r>
          <rPr>
            <sz val="10"/>
            <color rgb="FF000000"/>
            <rFont val="Arial"/>
            <family val="2"/>
          </rPr>
          <t xml:space="preserve">Suzanne Burdett:
</t>
        </r>
        <r>
          <rPr>
            <sz val="10"/>
            <color rgb="FF000000"/>
            <rFont val="Arial"/>
            <family val="2"/>
          </rPr>
          <t>added tax to SPC amount</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Windows User</author>
    <author>Kurt MacMillan</author>
  </authors>
  <commentList>
    <comment ref="C18" authorId="0" shapeId="0" xr:uid="{00000000-0006-0000-2700-000001000000}">
      <text>
        <r>
          <rPr>
            <b/>
            <sz val="9"/>
            <color indexed="81"/>
            <rFont val="Tahoma"/>
            <family val="2"/>
          </rPr>
          <t>Windows User:</t>
        </r>
        <r>
          <rPr>
            <sz val="9"/>
            <color indexed="81"/>
            <rFont val="Tahoma"/>
            <family val="2"/>
          </rPr>
          <t xml:space="preserve">
Feds owned used book cost to increase by 15k. Credit note issue.</t>
        </r>
      </text>
    </comment>
    <comment ref="D35" authorId="0" shapeId="0" xr:uid="{00000000-0006-0000-2700-000002000000}">
      <text>
        <r>
          <rPr>
            <b/>
            <sz val="9"/>
            <color indexed="81"/>
            <rFont val="Tahoma"/>
            <family val="2"/>
          </rPr>
          <t>Windows User:</t>
        </r>
        <r>
          <rPr>
            <sz val="9"/>
            <color indexed="81"/>
            <rFont val="Tahoma"/>
            <family val="2"/>
          </rPr>
          <t xml:space="preserve">
Business Salaries allocated to each business unit, rather than to summary line and services.
All business related salaries that were being charged out to services line (Maker's Kitchen being a joint venture with CL and CO departments) are now borne 90%+ by comm ops departments because those units are much less of a joint venture now than they were when they began, particularly with other demands. 
There remains a need therefore to cover off salaries and overheads for kitchen staff and former Wasabi/CampusBubble staff by opening a new offering in the food court. Revenue is needed.</t>
        </r>
      </text>
    </comment>
    <comment ref="A37" authorId="0" shapeId="0" xr:uid="{00000000-0006-0000-2700-000003000000}">
      <text>
        <r>
          <rPr>
            <b/>
            <sz val="9"/>
            <color rgb="FF000000"/>
            <rFont val="Tahoma"/>
            <family val="2"/>
          </rPr>
          <t>Windows User:</t>
        </r>
        <r>
          <rPr>
            <sz val="9"/>
            <color rgb="FF000000"/>
            <rFont val="Tahoma"/>
            <family val="2"/>
          </rPr>
          <t xml:space="preserve">
</t>
        </r>
        <r>
          <rPr>
            <sz val="9"/>
            <color rgb="FF000000"/>
            <rFont val="Tahoma"/>
            <family val="2"/>
          </rPr>
          <t>Reduced to 10% in 2019/2020</t>
        </r>
      </text>
    </comment>
    <comment ref="A38" authorId="0" shapeId="0" xr:uid="{00000000-0006-0000-2700-000004000000}">
      <text>
        <r>
          <rPr>
            <b/>
            <sz val="9"/>
            <color indexed="81"/>
            <rFont val="Tahoma"/>
            <family val="2"/>
          </rPr>
          <t>Windows User:</t>
        </r>
        <r>
          <rPr>
            <sz val="9"/>
            <color indexed="81"/>
            <rFont val="Tahoma"/>
            <family val="2"/>
          </rPr>
          <t xml:space="preserve">
Reduced to 10% in 2019/2020</t>
        </r>
      </text>
    </comment>
    <comment ref="D39" authorId="0" shapeId="0" xr:uid="{00000000-0006-0000-2700-000005000000}">
      <text>
        <r>
          <rPr>
            <b/>
            <sz val="9"/>
            <color indexed="81"/>
            <rFont val="Tahoma"/>
            <family val="2"/>
          </rPr>
          <t>Windows User:</t>
        </r>
        <r>
          <rPr>
            <sz val="9"/>
            <color indexed="81"/>
            <rFont val="Tahoma"/>
            <family val="2"/>
          </rPr>
          <t xml:space="preserve">
Per Council's requiremenet that no member dues, direct or indirect, be used to support Commercial Operations pursuits. 30% of portfolio of Director of Ops &amp; Dev related to Commercial Operations must be paid out of Comm Ops Budget</t>
        </r>
      </text>
    </comment>
    <comment ref="B42" authorId="1" shapeId="0" xr:uid="{00000000-0006-0000-2700-000006000000}">
      <text>
        <r>
          <rPr>
            <b/>
            <sz val="9"/>
            <color indexed="81"/>
            <rFont val="Tahoma"/>
            <family val="2"/>
          </rPr>
          <t>Kurt MacMillan:</t>
        </r>
        <r>
          <rPr>
            <sz val="9"/>
            <color indexed="81"/>
            <rFont val="Tahoma"/>
            <family val="2"/>
          </rPr>
          <t xml:space="preserve">
doesn't include all business salaries and Bomber
</t>
        </r>
      </text>
    </comment>
    <comment ref="C42" authorId="0" shapeId="0" xr:uid="{00000000-0006-0000-2700-000007000000}">
      <text>
        <r>
          <rPr>
            <b/>
            <sz val="9"/>
            <color indexed="81"/>
            <rFont val="Tahoma"/>
            <family val="2"/>
          </rPr>
          <t>Windows User:</t>
        </r>
        <r>
          <rPr>
            <sz val="9"/>
            <color indexed="81"/>
            <rFont val="Tahoma"/>
            <family val="2"/>
          </rPr>
          <t xml:space="preserve">
At the time 50% the costs of Maker's Kitchen salaries covered by Feds Fee… but on agreement to allow student use of the kitchen. That side of ops is now less than 1/10 of the work of the kitchen and costs should be reallocatd appropriately.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Kanan Sharma</author>
    <author>David Collins</author>
    <author>Windows User</author>
    <author>decapper</author>
    <author>s4cook</author>
    <author>Matt Colphon</author>
    <author>Danielle Burt</author>
    <author>Kurt MacMillan</author>
    <author/>
    <author>tc={7472B38C-559A-4A5B-802C-8302FA223CBB}</author>
    <author>Seneca Velling</author>
    <author>Chris Neal</author>
    <author>Suzanne Burdett</author>
    <author>bdmoggac</author>
    <author>tc={906C0ADE-2D10-4EDE-A585-F82239E8D7AC}</author>
    <author>Kumar Patel</author>
    <author>Natasha Pozega</author>
  </authors>
  <commentList>
    <comment ref="Y5" authorId="0" shapeId="0" xr:uid="{E3376383-0E15-47EB-80BC-0BC61D154A6C}">
      <text>
        <r>
          <rPr>
            <sz val="10"/>
            <rFont val="Arial"/>
            <family val="2"/>
          </rPr>
          <t>Windows User:
Went unused and was permitted to carry forward.</t>
        </r>
      </text>
    </comment>
    <comment ref="I10" authorId="1" shapeId="0" xr:uid="{00000000-0006-0000-0500-000001000000}">
      <text>
        <r>
          <rPr>
            <b/>
            <sz val="8"/>
            <color indexed="81"/>
            <rFont val="Tahoma"/>
            <family val="2"/>
          </rPr>
          <t>David Collins:</t>
        </r>
        <r>
          <rPr>
            <sz val="8"/>
            <color indexed="81"/>
            <rFont val="Tahoma"/>
            <family val="2"/>
          </rPr>
          <t xml:space="preserve">
Includes Work-Study student at 12.50$hr for 24 weeks at 10 hours a week, 500$ for supplies, a computer, desk, etc. This student would be the 'secretariat'/'council assistant' to ensure that minutes are done properly, things are formated, and that council has a resource to help them with things. Tentatively named 'Council Assistant'</t>
        </r>
      </text>
    </comment>
    <comment ref="U11" authorId="2" shapeId="0" xr:uid="{00000000-0006-0000-0500-000002000000}">
      <text>
        <r>
          <rPr>
            <b/>
            <sz val="9"/>
            <color indexed="81"/>
            <rFont val="Tahoma"/>
            <family val="2"/>
          </rPr>
          <t>Windows User:</t>
        </r>
        <r>
          <rPr>
            <sz val="9"/>
            <color indexed="81"/>
            <rFont val="Tahoma"/>
            <family val="2"/>
          </rPr>
          <t xml:space="preserve">
funding for GEC shared with Elections budget</t>
        </r>
      </text>
    </comment>
    <comment ref="U12" authorId="2" shapeId="0" xr:uid="{00000000-0006-0000-0500-000003000000}">
      <text>
        <r>
          <rPr>
            <b/>
            <sz val="9"/>
            <color indexed="81"/>
            <rFont val="Tahoma"/>
            <family val="2"/>
          </rPr>
          <t>Windows User:</t>
        </r>
        <r>
          <rPr>
            <sz val="9"/>
            <color indexed="81"/>
            <rFont val="Tahoma"/>
            <family val="2"/>
          </rPr>
          <t xml:space="preserve">
2x recording Secretaries</t>
        </r>
      </text>
    </comment>
    <comment ref="B13" authorId="3" shapeId="0" xr:uid="{00000000-0006-0000-0500-000004000000}">
      <text>
        <r>
          <rPr>
            <b/>
            <sz val="8"/>
            <color indexed="81"/>
            <rFont val="Tahoma"/>
            <family val="2"/>
          </rPr>
          <t xml:space="preserve">kumar: for the speaker and secretary </t>
        </r>
      </text>
    </comment>
    <comment ref="C13" authorId="4" shapeId="0" xr:uid="{00000000-0006-0000-0500-000005000000}">
      <text>
        <r>
          <rPr>
            <b/>
            <sz val="8"/>
            <color indexed="81"/>
            <rFont val="Tahoma"/>
            <family val="2"/>
          </rPr>
          <t>s4cook:</t>
        </r>
        <r>
          <rPr>
            <sz val="8"/>
            <color indexed="81"/>
            <rFont val="Tahoma"/>
            <family val="2"/>
          </rPr>
          <t xml:space="preserve">
- 10 hours per month x 10 months
</t>
        </r>
      </text>
    </comment>
    <comment ref="E13" authorId="5" shapeId="0" xr:uid="{00000000-0006-0000-0500-000006000000}">
      <text>
        <r>
          <rPr>
            <b/>
            <sz val="9"/>
            <color indexed="81"/>
            <rFont val="Tahoma"/>
            <family val="2"/>
          </rPr>
          <t>kumar:</t>
        </r>
        <r>
          <rPr>
            <sz val="9"/>
            <color indexed="81"/>
            <rFont val="Tahoma"/>
            <family val="2"/>
          </rPr>
          <t xml:space="preserve">
speaker this year is not paid as he is a staff member. Moving forward, speakers should be paid $25/meeting</t>
        </r>
      </text>
    </comment>
    <comment ref="I13" authorId="1" shapeId="0" xr:uid="{00000000-0006-0000-0500-000007000000}">
      <text>
        <r>
          <rPr>
            <b/>
            <sz val="8"/>
            <color indexed="81"/>
            <rFont val="Tahoma"/>
            <family val="2"/>
          </rPr>
          <t>David Collins:</t>
        </r>
        <r>
          <rPr>
            <sz val="8"/>
            <color indexed="81"/>
            <rFont val="Tahoma"/>
            <family val="2"/>
          </rPr>
          <t xml:space="preserve">
Speaker for three terms. Fall $200, Winter $200, Summer $100
</t>
        </r>
      </text>
    </comment>
    <comment ref="M13" authorId="6" shapeId="0" xr:uid="{00000000-0006-0000-0500-000008000000}">
      <text>
        <r>
          <rPr>
            <b/>
            <sz val="9"/>
            <color indexed="81"/>
            <rFont val="Tahoma"/>
            <family val="2"/>
          </rPr>
          <t>Danielle Burt:</t>
        </r>
        <r>
          <rPr>
            <sz val="9"/>
            <color indexed="81"/>
            <rFont val="Tahoma"/>
            <family val="2"/>
          </rPr>
          <t xml:space="preserve">
Speaker for three terms. Fall $200, Winter $200, Summer $100
Board Chair for three terms. Fall $200, Winter $200, Summer $100
</t>
        </r>
        <r>
          <rPr>
            <b/>
            <sz val="9"/>
            <color indexed="81"/>
            <rFont val="Tahoma"/>
            <family val="2"/>
          </rPr>
          <t>Carly:</t>
        </r>
        <r>
          <rPr>
            <sz val="9"/>
            <color indexed="81"/>
            <rFont val="Tahoma"/>
            <family val="2"/>
          </rPr>
          <t xml:space="preserve"> added secretary honorarium</t>
        </r>
      </text>
    </comment>
    <comment ref="S13" authorId="7" shapeId="0" xr:uid="{00000000-0006-0000-0500-000009000000}">
      <text>
        <r>
          <rPr>
            <b/>
            <sz val="9"/>
            <color indexed="81"/>
            <rFont val="Tahoma"/>
            <family val="2"/>
          </rPr>
          <t>Kurt MacMillan:</t>
        </r>
        <r>
          <rPr>
            <sz val="9"/>
            <color indexed="81"/>
            <rFont val="Tahoma"/>
            <family val="2"/>
          </rPr>
          <t xml:space="preserve">
Secretaries - $250/year
Chair - $500/year
Speaker $500/year
Had to add an extra $500 as previous year's speaker did not get paid.</t>
        </r>
      </text>
    </comment>
    <comment ref="W14" authorId="2" shapeId="0" xr:uid="{00000000-0006-0000-0500-00000A000000}">
      <text>
        <r>
          <rPr>
            <b/>
            <sz val="9"/>
            <color indexed="81"/>
            <rFont val="Tahoma"/>
            <family val="2"/>
          </rPr>
          <t>Windows User:</t>
        </r>
        <r>
          <rPr>
            <sz val="9"/>
            <color indexed="81"/>
            <rFont val="Tahoma"/>
            <family val="2"/>
          </rPr>
          <t xml:space="preserve">
$500 termly honoraria for Directors, commensurate with Service Coordinators (under prior budget model of honoraria not wage) = (4+2)*500*3; amount is regulated by Council and may not be awarded (pending their decision) but must be budgetted for.
Chair of the Board honoraria = 500*3
Secretary of the Corporation Honoraria = 250*3
</t>
        </r>
      </text>
    </comment>
    <comment ref="Y14" authorId="8" shapeId="0" xr:uid="{4B0F6F3C-E0A6-4BB5-B29A-038908AC2525}">
      <text>
        <r>
          <rPr>
            <sz val="10"/>
            <color rgb="FF000000"/>
            <rFont val="Arial"/>
            <family val="2"/>
          </rPr>
          <t xml:space="preserve">Windows User:
$500 termly honoraria for Directors, commensurate with Service Coordinators (under prior budget model of honoraria not wage) = (4+2)*500*3; amount is regulated by Council and may not be awarded (pending their decision) but must be budgetted for.
Chair of the Board honoraria = 500*3
Secretary of the Corporation Honoraria = 250*3
</t>
        </r>
      </text>
    </comment>
    <comment ref="Z14" authorId="9" shapeId="0" xr:uid="{7472B38C-559A-4A5B-802C-8302FA223CBB}">
      <text>
        <t>[Threaded comment]
Your version of Excel allows you to read this threaded comment; however, any edits to it will get removed if the file is opened in a newer version of Excel. Learn more: https://go.microsoft.com/fwlink/?linkid=870924
Comment:
    Total volunteer recognition was July/21 PT salary $5,958.54 &amp; Mar/22 PT salary $12,063.50. There is no breakdown in GL Description</t>
      </text>
    </comment>
    <comment ref="W15" authorId="2" shapeId="0" xr:uid="{00000000-0006-0000-0500-00000B000000}">
      <text>
        <r>
          <rPr>
            <b/>
            <sz val="9"/>
            <color indexed="81"/>
            <rFont val="Tahoma"/>
            <family val="2"/>
          </rPr>
          <t>Windows User:</t>
        </r>
        <r>
          <rPr>
            <sz val="9"/>
            <color indexed="81"/>
            <rFont val="Tahoma"/>
            <family val="2"/>
          </rPr>
          <t xml:space="preserve">
In prior years the Secretary was neglected. Adding $250 termly for Secretary.
Total = Speaker ($500/term) + Deputy Speaker ($500/term) + Secretary ($250/term)</t>
        </r>
      </text>
    </comment>
    <comment ref="Y15" authorId="8" shapeId="0" xr:uid="{5AAE97EC-1F21-47C8-8F49-9A753D33BB5A}">
      <text>
        <r>
          <rPr>
            <sz val="10"/>
            <color rgb="FF000000"/>
            <rFont val="Arial"/>
            <family val="2"/>
          </rPr>
          <t>Windows User:
In prior years the Secretary was neglected. Adding $250 termly for Secretary.
Total = Speaker ($500/term) + Deputy Speaker ($500/term) + Secretary ($250/term)</t>
        </r>
      </text>
    </comment>
    <comment ref="W16" authorId="10" shapeId="0" xr:uid="{1A41A005-12B2-4D0B-B99E-AF41CA06A21A}">
      <text>
        <r>
          <rPr>
            <b/>
            <sz val="9"/>
            <color indexed="81"/>
            <rFont val="Tahoma"/>
            <family val="2"/>
          </rPr>
          <t>Seneca Velling:</t>
        </r>
        <r>
          <rPr>
            <sz val="9"/>
            <color indexed="81"/>
            <rFont val="Tahoma"/>
            <family val="2"/>
          </rPr>
          <t xml:space="preserve">
Committee Chair/Vice Chair roles for Board and Council at $250 per term for 3 terms (for 5 estimated committees that have involved Chair/Vice Chair roles, on average). Note: If an executive fills the Chair or Vice Chair role, no honorarium is awarded.</t>
        </r>
      </text>
    </comment>
    <comment ref="Y16" authorId="8" shapeId="0" xr:uid="{73107D3E-B993-46BD-A752-33B499F27697}">
      <text>
        <r>
          <rPr>
            <sz val="10"/>
            <color rgb="FF000000"/>
            <rFont val="Arial"/>
            <family val="2"/>
          </rPr>
          <t>Seneca Velling:
Committee Chair/Vice Chair roles for Board and Council at $250 per term for 3 terms (for 5 estimated committees that have involved Chair/Vice Chair roles, on average). Note: If an executive fills the Chair or Vice Chair role, no honorarium is awarded.</t>
        </r>
      </text>
    </comment>
    <comment ref="B17" authorId="11" shapeId="0" xr:uid="{00000000-0006-0000-0500-00000C000000}">
      <text>
        <r>
          <rPr>
            <b/>
            <sz val="8"/>
            <color indexed="81"/>
            <rFont val="Tahoma"/>
            <family val="2"/>
          </rPr>
          <t>DISCOUNTS:
COUNCIL
FOC
SERVICE COORDS
WTFeds
Society Execs</t>
        </r>
      </text>
    </comment>
    <comment ref="I17" authorId="1" shapeId="0" xr:uid="{00000000-0006-0000-0500-00000D000000}">
      <text>
        <r>
          <rPr>
            <b/>
            <sz val="8"/>
            <color indexed="81"/>
            <rFont val="Tahoma"/>
            <family val="2"/>
          </rPr>
          <t>David Collins:</t>
        </r>
        <r>
          <rPr>
            <sz val="8"/>
            <color indexed="81"/>
            <rFont val="Tahoma"/>
            <family val="2"/>
          </rPr>
          <t xml:space="preserve">
- cut by 25%
- did this include discount cards?</t>
        </r>
      </text>
    </comment>
    <comment ref="I19" authorId="1" shapeId="0" xr:uid="{00000000-0006-0000-0500-00000E000000}">
      <text>
        <r>
          <rPr>
            <b/>
            <sz val="8"/>
            <color indexed="81"/>
            <rFont val="Tahoma"/>
            <family val="2"/>
          </rPr>
          <t>David Collins:</t>
        </r>
        <r>
          <rPr>
            <sz val="8"/>
            <color indexed="81"/>
            <rFont val="Tahoma"/>
            <family val="2"/>
          </rPr>
          <t xml:space="preserve">
3 general meetings, unconferences and policy days</t>
        </r>
      </text>
    </comment>
    <comment ref="AA20" authorId="12" shapeId="0" xr:uid="{99AAA5BF-7A5D-4793-B9A4-1EF09FE6F9A4}">
      <text>
        <r>
          <rPr>
            <b/>
            <sz val="9"/>
            <color indexed="81"/>
            <rFont val="Tahoma"/>
            <family val="2"/>
          </rPr>
          <t>Suzanne Burdett:</t>
        </r>
        <r>
          <rPr>
            <sz val="9"/>
            <color indexed="81"/>
            <rFont val="Tahoma"/>
            <family val="2"/>
          </rPr>
          <t xml:space="preserve">
Need to include costs for Board Advisor</t>
        </r>
      </text>
    </comment>
    <comment ref="Y21" authorId="0" shapeId="0" xr:uid="{2205DFE0-C367-48BC-BCC1-992BBEC2E5EB}">
      <text>
        <r>
          <rPr>
            <sz val="10"/>
            <rFont val="Arial"/>
            <family val="2"/>
          </rPr>
          <t>Kanan Sharma:
Also includes budget to support councilor outreach to their constituents</t>
        </r>
      </text>
    </comment>
    <comment ref="W22" authorId="0" shapeId="0" xr:uid="{CF7B7309-A598-4C21-8375-3F8689274CDB}">
      <text>
        <r>
          <rPr>
            <sz val="10"/>
            <rFont val="Arial"/>
            <family val="2"/>
          </rPr>
          <t>Kanan Sharma:
Reduced to from 2000 to 0 after consulting with the President as this was not requested by them and soesn't seem it will be used this year due to everything being online</t>
        </r>
      </text>
    </comment>
    <comment ref="W23" authorId="0" shapeId="0" xr:uid="{2E6780CE-1C44-4015-9BEC-7C8D84C44190}">
      <text>
        <r>
          <rPr>
            <sz val="10"/>
            <rFont val="Arial"/>
            <family val="2"/>
          </rPr>
          <t>Kanan Sharma:
Reduced from 750 to 0 after talking with the President as meetings are online but should be included in future years</t>
        </r>
      </text>
    </comment>
    <comment ref="C24" authorId="4" shapeId="0" xr:uid="{00000000-0006-0000-0500-00000F000000}">
      <text>
        <r>
          <rPr>
            <b/>
            <sz val="8"/>
            <color indexed="81"/>
            <rFont val="Tahoma"/>
            <family val="2"/>
          </rPr>
          <t>s4cook:</t>
        </r>
        <r>
          <rPr>
            <sz val="8"/>
            <color indexed="81"/>
            <rFont val="Tahoma"/>
            <family val="2"/>
          </rPr>
          <t xml:space="preserve">
- counselor travel</t>
        </r>
      </text>
    </comment>
    <comment ref="C25" authorId="13" shapeId="0" xr:uid="{00000000-0006-0000-0500-000010000000}">
      <text>
        <r>
          <rPr>
            <b/>
            <sz val="8"/>
            <color indexed="81"/>
            <rFont val="Tahoma"/>
            <family val="2"/>
          </rPr>
          <t>bdmoggac:</t>
        </r>
        <r>
          <rPr>
            <sz val="8"/>
            <color indexed="81"/>
            <rFont val="Tahoma"/>
            <family val="2"/>
          </rPr>
          <t xml:space="preserve">
No clue what we are amortizing? The projector maybe? Also, would we be amortizing our teleconferencing equipment?</t>
        </r>
      </text>
    </comment>
    <comment ref="C26" authorId="13" shapeId="0" xr:uid="{00000000-0006-0000-0500-000011000000}">
      <text>
        <r>
          <rPr>
            <b/>
            <sz val="8"/>
            <color indexed="81"/>
            <rFont val="Tahoma"/>
            <family val="2"/>
          </rPr>
          <t>bdmoggac:</t>
        </r>
        <r>
          <rPr>
            <sz val="8"/>
            <color indexed="81"/>
            <rFont val="Tahoma"/>
            <family val="2"/>
          </rPr>
          <t xml:space="preserve">
Accounts for 2K for teleconferencing equipment</t>
        </r>
      </text>
    </comment>
    <comment ref="I26" authorId="1" shapeId="0" xr:uid="{00000000-0006-0000-0500-000012000000}">
      <text>
        <r>
          <rPr>
            <b/>
            <sz val="8"/>
            <color indexed="81"/>
            <rFont val="Tahoma"/>
            <family val="2"/>
          </rPr>
          <t>David Collins:</t>
        </r>
        <r>
          <rPr>
            <sz val="8"/>
            <color indexed="81"/>
            <rFont val="Tahoma"/>
            <family val="2"/>
          </rPr>
          <t xml:space="preserve">
Council voted for Board to allot 1000$ at the discretion of the executive vis a vi BoD to spend on advancing the motion passed at the June 9th Council meeting regarding fee increase and the poor communication associated with it</t>
        </r>
      </text>
    </comment>
    <comment ref="M26" authorId="6" shapeId="0" xr:uid="{00000000-0006-0000-0500-000013000000}">
      <text>
        <r>
          <rPr>
            <b/>
            <sz val="9"/>
            <color indexed="81"/>
            <rFont val="Tahoma"/>
            <family val="2"/>
          </rPr>
          <t>Danielle Burt:</t>
        </r>
        <r>
          <rPr>
            <sz val="9"/>
            <color indexed="81"/>
            <rFont val="Tahoma"/>
            <family val="2"/>
          </rPr>
          <t xml:space="preserve">
Can be increased if you feel Council needs this, if yes I recommend additional advertising that this exists </t>
        </r>
      </text>
    </comment>
    <comment ref="W27" authorId="10" shapeId="0" xr:uid="{22ED7395-4C3F-4130-8DC1-93F0E6602C13}">
      <text>
        <r>
          <rPr>
            <b/>
            <sz val="9"/>
            <color indexed="81"/>
            <rFont val="Tahoma"/>
            <family val="2"/>
          </rPr>
          <t>Seneca Velling:</t>
        </r>
        <r>
          <rPr>
            <sz val="9"/>
            <color indexed="81"/>
            <rFont val="Tahoma"/>
            <family val="2"/>
          </rPr>
          <t xml:space="preserve">
Moved under Transfers-out to be merged with special events components of the budget</t>
        </r>
      </text>
    </comment>
    <comment ref="U28" authorId="2" shapeId="0" xr:uid="{00000000-0006-0000-0500-000014000000}">
      <text>
        <r>
          <rPr>
            <b/>
            <sz val="9"/>
            <color indexed="81"/>
            <rFont val="Tahoma"/>
            <family val="2"/>
          </rPr>
          <t>Windows User:</t>
        </r>
        <r>
          <rPr>
            <sz val="9"/>
            <color indexed="81"/>
            <rFont val="Tahoma"/>
            <family val="2"/>
          </rPr>
          <t xml:space="preserve">
Paid out to Marketing - Advocacy Budget at approval of President for use for:
The Student Life Endowment Fund has decided to award a maximum of $2,740 to Students’ Council for the purchase of a few specific items in your proposal:
•         10 small A-frames and 20 H-frames
o   The committee believed that replacing all the broken H-frames with more H-frames wouldn’t necessarily fix the issue faced by using H-frames (pushing it into the ground is bound to lead to deforming of the shape). The committee would like to see small A-frames as an alternative to H-frames.
•         5 zap banners – General Feds awareness
o   The committee would like to see these zap banners be general Feds awareness banners, not event specific banners (e.g. Feds General Meeting, Elections, etc.) as the committee believe if we are to invest in new banners they should be broad enough to use in multiple areas of the organization.
•         11 zap banners – Students’ Council Caucus Banners
</t>
        </r>
      </text>
    </comment>
    <comment ref="W28" authorId="2" shapeId="0" xr:uid="{00000000-0006-0000-0500-000015000000}">
      <text>
        <r>
          <rPr>
            <b/>
            <sz val="9"/>
            <color indexed="81"/>
            <rFont val="Tahoma"/>
            <family val="2"/>
          </rPr>
          <t>Windows User:</t>
        </r>
        <r>
          <rPr>
            <sz val="9"/>
            <color indexed="81"/>
            <rFont val="Tahoma"/>
            <family val="2"/>
          </rPr>
          <t xml:space="preserve">
Went unused and was permitted to carry forward.</t>
        </r>
      </text>
    </comment>
    <comment ref="Y28" authorId="0" shapeId="0" xr:uid="{A5655D8D-691C-4AE8-823F-2AA00342711C}">
      <text>
        <r>
          <rPr>
            <sz val="10"/>
            <rFont val="Arial"/>
            <family val="2"/>
          </rPr>
          <t>Windows User:
Went unused and was permitted to carry forward.</t>
        </r>
      </text>
    </comment>
    <comment ref="AA28" authorId="14" shapeId="0" xr:uid="{906C0ADE-2D10-4EDE-A585-F82239E8D7AC}">
      <text>
        <t>[Threaded comment]
Your version of Excel allows you to read this threaded comment; however, any edits to it will get removed if the file is opened in a newer version of Excel. Learn more: https://go.microsoft.com/fwlink/?linkid=870924
Comment:
    Assess if this is an expense the Board needs in future years</t>
      </text>
    </comment>
    <comment ref="W29" authorId="2" shapeId="0" xr:uid="{00000000-0006-0000-0500-000016000000}">
      <text>
        <r>
          <rPr>
            <sz val="10"/>
            <rFont val="Arial"/>
            <family val="2"/>
          </rPr>
          <t>Windows User:
Board reintroduced swag for Councillors and Directors as a form of a appreciation and for promotions value with new brand.
Kanan:
According to procedure 24: Each councilor, recording secretary, and Director is to be budgeted $100 for Swag per year(44 Councillors, 4 execs, 6 directors)</t>
        </r>
      </text>
    </comment>
    <comment ref="G30" authorId="15" shapeId="0" xr:uid="{00000000-0006-0000-0500-000017000000}">
      <text>
        <r>
          <rPr>
            <b/>
            <sz val="8"/>
            <color indexed="81"/>
            <rFont val="Tahoma"/>
            <family val="2"/>
          </rPr>
          <t>Kumar Patel:</t>
        </r>
        <r>
          <rPr>
            <sz val="8"/>
            <color indexed="81"/>
            <rFont val="Tahoma"/>
            <family val="2"/>
          </rPr>
          <t xml:space="preserve">
Council Transition (May) plus room for another one day training on campus in the Fall term.</t>
        </r>
      </text>
    </comment>
    <comment ref="I30" authorId="16" shapeId="0" xr:uid="{00000000-0006-0000-0500-000018000000}">
      <text>
        <r>
          <rPr>
            <b/>
            <sz val="8"/>
            <color indexed="81"/>
            <rFont val="Tahoma"/>
            <family val="2"/>
          </rPr>
          <t>Natasha Pozega:</t>
        </r>
        <r>
          <rPr>
            <sz val="8"/>
            <color indexed="81"/>
            <rFont val="Tahoma"/>
            <family val="2"/>
          </rPr>
          <t xml:space="preserve">
Actuals of 12/13 are doubled because 13/14 transition happened during 12/13 fiscal year. Budgeted 6000 for 13/14 year to plan for transition in 14/15 year</t>
        </r>
      </text>
    </comment>
    <comment ref="M30" authorId="6" shapeId="0" xr:uid="{00000000-0006-0000-0500-000019000000}">
      <text>
        <r>
          <rPr>
            <b/>
            <sz val="9"/>
            <color indexed="81"/>
            <rFont val="Tahoma"/>
            <family val="2"/>
          </rPr>
          <t>Danielle Burt:</t>
        </r>
        <r>
          <rPr>
            <sz val="9"/>
            <color indexed="81"/>
            <rFont val="Tahoma"/>
            <family val="2"/>
          </rPr>
          <t xml:space="preserve">
Decresed 25% to be put through on points.</t>
        </r>
      </text>
    </comment>
    <comment ref="M34" authorId="6" shapeId="0" xr:uid="{00000000-0006-0000-0500-00001A000000}">
      <text>
        <r>
          <rPr>
            <b/>
            <sz val="9"/>
            <color indexed="81"/>
            <rFont val="Tahoma"/>
            <family val="2"/>
          </rPr>
          <t>Danielle Burt:</t>
        </r>
        <r>
          <rPr>
            <sz val="9"/>
            <color indexed="81"/>
            <rFont val="Tahoma"/>
            <family val="2"/>
          </rPr>
          <t xml:space="preserve">
Introduce a board dedicated transition line</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B5" authorId="0" shapeId="0" xr:uid="{00000000-0006-0000-2F00-000001000000}">
      <text>
        <r>
          <rPr>
            <b/>
            <sz val="9"/>
            <color indexed="81"/>
            <rFont val="Tahoma"/>
            <family val="2"/>
          </rPr>
          <t>Windows User:</t>
        </r>
        <r>
          <rPr>
            <sz val="9"/>
            <color indexed="81"/>
            <rFont val="Tahoma"/>
            <family val="2"/>
          </rPr>
          <t xml:space="preserve">
Commercial Operations 20% moved to Commercial Operations sub-division by the Council/Board</t>
        </r>
      </text>
    </comment>
    <comment ref="C8" authorId="0" shapeId="0" xr:uid="{00000000-0006-0000-2F00-000002000000}">
      <text>
        <r>
          <rPr>
            <b/>
            <sz val="9"/>
            <color indexed="81"/>
            <rFont val="Tahoma"/>
            <family val="2"/>
          </rPr>
          <t>Windows User:</t>
        </r>
        <r>
          <rPr>
            <sz val="9"/>
            <color indexed="81"/>
            <rFont val="Tahoma"/>
            <family val="2"/>
          </rPr>
          <t xml:space="preserve">
Subsumed by Marketing - General, as advocacy is the top priority of the org, it and governance are all that should be funded out of Marketing - General other than basic operations</t>
        </r>
      </text>
    </comment>
    <comment ref="C10" authorId="0" shapeId="0" xr:uid="{00000000-0006-0000-2F00-000003000000}">
      <text>
        <r>
          <rPr>
            <b/>
            <sz val="9"/>
            <color indexed="81"/>
            <rFont val="Tahoma"/>
            <family val="2"/>
          </rPr>
          <t>Windows User:</t>
        </r>
        <r>
          <rPr>
            <sz val="9"/>
            <color indexed="81"/>
            <rFont val="Tahoma"/>
            <family val="2"/>
          </rPr>
          <t xml:space="preserve">
Research moved under Research budget dept, and Clubs &amp; societies moved to Campus Life</t>
        </r>
      </text>
    </comment>
    <comment ref="B24" authorId="0" shapeId="0" xr:uid="{00000000-0006-0000-2F00-000004000000}">
      <text>
        <r>
          <rPr>
            <b/>
            <sz val="9"/>
            <color indexed="81"/>
            <rFont val="Tahoma"/>
            <family val="2"/>
          </rPr>
          <t>Windows User:</t>
        </r>
        <r>
          <rPr>
            <sz val="9"/>
            <color indexed="81"/>
            <rFont val="Tahoma"/>
            <family val="2"/>
          </rPr>
          <t xml:space="preserve">
Reduction largely due to Bomber advertisement costs</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tc={EA144446-F555-4BDC-AA8D-E0355FA878BE}</author>
    <author>tc={8300B474-F848-4D96-BDE3-8FDB8C3B0FC7}</author>
    <author>tc={1356E22F-C399-4785-B701-9A16F9D42D89}</author>
    <author>tc={21BD22B1-80C2-48CD-9E2D-9643F8200D27}</author>
    <author>tc={1315AFCE-EB7C-4FF8-8FB6-7D29FD9D368E}</author>
  </authors>
  <commentList>
    <comment ref="G8" authorId="0" shapeId="0" xr:uid="{EA144446-F555-4BDC-AA8D-E0355FA878BE}">
      <text>
        <t>[Threaded comment]
Your version of Excel allows you to read this threaded comment; however, any edits to it will get removed if the file is opened in a newer version of Excel. Learn more: https://go.microsoft.com/fwlink/?linkid=870924
Comment:
    Add all MCO FT staff here for this year? Suzanne to confirm.\</t>
      </text>
    </comment>
    <comment ref="G9" authorId="1" shapeId="0" xr:uid="{8300B474-F848-4D96-BDE3-8FDB8C3B0FC7}">
      <text>
        <t>[Threaded comment]
Your version of Excel allows you to read this threaded comment; however, any edits to it will get removed if the file is opened in a newer version of Excel. Learn more: https://go.microsoft.com/fwlink/?linkid=870924
Comment:
    Moved to IT</t>
      </text>
    </comment>
    <comment ref="G10" authorId="2" shapeId="0" xr:uid="{1356E22F-C399-4785-B701-9A16F9D42D89}">
      <text>
        <t>[Threaded comment]
Your version of Excel allows you to read this threaded comment; however, any edits to it will get removed if the file is opened in a newer version of Excel. Learn more: https://go.microsoft.com/fwlink/?linkid=870924
Comment:
    WUSA now paying direct</t>
      </text>
    </comment>
    <comment ref="G17" authorId="3" shapeId="0" xr:uid="{21BD22B1-80C2-48CD-9E2D-9643F8200D27}">
      <text>
        <t>[Threaded comment]
Your version of Excel allows you to read this threaded comment; however, any edits to it will get removed if the file is opened in a newer version of Excel. Learn more: https://go.microsoft.com/fwlink/?linkid=870924
Comment:
    AMICCUS - Assuming flight on points</t>
      </text>
    </comment>
    <comment ref="G18" authorId="4" shapeId="0" xr:uid="{1315AFCE-EB7C-4FF8-8FB6-7D29FD9D368E}">
      <text>
        <t>[Threaded comment]
Your version of Excel allows you to read this threaded comment; however, any edits to it will get removed if the file is opened in a newer version of Excel. Learn more: https://go.microsoft.com/fwlink/?linkid=870924
Comment:
    5 staff at 1 year, Alex at 10 years(FTS)</t>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tc={00296572-BEA2-4DEF-994C-5E3064DA6BC6}</author>
    <author>tc={672DB85A-0B4A-4F2C-83D1-AC3D0C2D8E22}</author>
    <author>Kurt MacMillan</author>
    <author>Melissa Thomas</author>
    <author>tc={4A4CB786-C9AB-48A3-A9E7-4E825E1FCC32}</author>
    <author>tc={3F834A79-3E17-4AF7-A04A-797DDA3B4755}</author>
    <author>tc={D7D642EB-AD6D-4F69-A6DB-4210D6A3ACED}</author>
    <author>tc={0212DF2A-F17E-4AB4-B32A-8520BA7CDE9A}</author>
    <author>tc={6F6D004E-90FE-494C-A2A0-A4A98AD22F11}</author>
    <author>tc={6CADB291-39A5-494C-88A3-672126E66FDC}</author>
    <author>tc={179C0773-0ED3-4408-BF0D-974A9ABBB73A}</author>
    <author>tc={EA194675-B7E7-46CB-A004-E0E6BA77BB71}</author>
    <author>Seneca Velling</author>
    <author>tc={8410FF8A-B414-4D6A-A099-3EDF7DE5562C}</author>
    <author>tc={62D619C3-2F86-4AC6-ADF2-9E62D6F192AB}</author>
    <author>tc={3157B1D5-4FC9-4893-B6F8-F2247E95F8CE}</author>
    <author>tc={1521164C-2BBD-45FC-A858-6D9411F05DE3}</author>
    <author>tc={C8E44F4C-FCB1-43C7-86A0-1FF16B01AEF7}</author>
    <author>Windows User</author>
  </authors>
  <commentList>
    <comment ref="U5" authorId="0" shapeId="0" xr:uid="{00296572-BEA2-4DEF-994C-5E3064DA6BC6}">
      <text>
        <t>[Threaded comment]
Your version of Excel allows you to read this threaded comment; however, any edits to it will get removed if the file is opened in a newer version of Excel. Learn more: https://go.microsoft.com/fwlink/?linkid=870924
Comment:
    Digital screens/ Rouge</t>
      </text>
    </comment>
    <comment ref="U8" authorId="1" shapeId="0" xr:uid="{672DB85A-0B4A-4F2C-83D1-AC3D0C2D8E22}">
      <text>
        <t>[Threaded comment]
Your version of Excel allows you to read this threaded comment; however, any edits to it will get removed if the file is opened in a newer version of Excel. Learn more: https://go.microsoft.com/fwlink/?linkid=870924
Comment:
    Revisit cost to run and advertise</t>
      </text>
    </comment>
    <comment ref="M11" authorId="2" shapeId="0" xr:uid="{00000000-0006-0000-3100-000002000000}">
      <text>
        <r>
          <rPr>
            <b/>
            <sz val="9"/>
            <color indexed="81"/>
            <rFont val="Tahoma"/>
            <family val="2"/>
          </rPr>
          <t>Kurt MacMillan:</t>
        </r>
        <r>
          <rPr>
            <sz val="9"/>
            <color indexed="81"/>
            <rFont val="Tahoma"/>
            <family val="2"/>
          </rPr>
          <t xml:space="preserve">
Increase due to min wage increase and more PT staff in marketing pit </t>
        </r>
      </text>
    </comment>
    <comment ref="O11" authorId="3" shapeId="0" xr:uid="{00000000-0006-0000-3100-000003000000}">
      <text>
        <r>
          <rPr>
            <b/>
            <sz val="9"/>
            <color indexed="81"/>
            <rFont val="Tahoma"/>
            <family val="2"/>
          </rPr>
          <t>Melissa Thomas:</t>
        </r>
        <r>
          <rPr>
            <sz val="9"/>
            <color indexed="81"/>
            <rFont val="Tahoma"/>
            <family val="2"/>
          </rPr>
          <t xml:space="preserve">
additional $4000 from President's budget to cover promo team as polling clerks (approx. $34,000 spring)</t>
        </r>
      </text>
    </comment>
    <comment ref="S11" authorId="3" shapeId="0" xr:uid="{5337C9F9-5265-4F47-9F29-CD75E69022F6}">
      <text>
        <r>
          <rPr>
            <b/>
            <sz val="9"/>
            <color indexed="81"/>
            <rFont val="Tahoma"/>
            <family val="2"/>
          </rPr>
          <t>Melissa Thomas:</t>
        </r>
        <r>
          <rPr>
            <sz val="9"/>
            <color indexed="81"/>
            <rFont val="Tahoma"/>
            <family val="2"/>
          </rPr>
          <t xml:space="preserve">
Includes 50% of Mktg Asst co-op and 50% of Designer co-op</t>
        </r>
      </text>
    </comment>
    <comment ref="U11" authorId="4" shapeId="0" xr:uid="{4A4CB786-C9AB-48A3-A9E7-4E825E1FCC32}">
      <text>
        <t>[Threaded comment]
Your version of Excel allows you to read this threaded comment; however, any edits to it will get removed if the file is opened in a newer version of Excel. Learn more: https://go.microsoft.com/fwlink/?linkid=870924
Comment:
    Pulling all marketing PTS salaries here vs. across 3 budgets (incl. co-ops)</t>
      </text>
    </comment>
    <comment ref="M12" authorId="3" shapeId="0" xr:uid="{00000000-0006-0000-3100-000004000000}">
      <text>
        <r>
          <rPr>
            <b/>
            <sz val="9"/>
            <color indexed="81"/>
            <rFont val="Tahoma"/>
            <family val="2"/>
          </rPr>
          <t>Melissa Thomas:</t>
        </r>
        <r>
          <rPr>
            <sz val="9"/>
            <color indexed="81"/>
            <rFont val="Tahoma"/>
            <family val="2"/>
          </rPr>
          <t xml:space="preserve">
Moved 2nd line from CL budget to main w/ phone in Mktg Pit
</t>
        </r>
      </text>
    </comment>
    <comment ref="R12" authorId="5" shapeId="0" xr:uid="{3F834A79-3E17-4AF7-A04A-797DDA3B4755}">
      <text>
        <t>[Threaded comment]
Your version of Excel allows you to read this threaded comment; however, any edits to it will get removed if the file is opened in a newer version of Excel. Learn more: https://go.microsoft.com/fwlink/?linkid=870924
Comment:
    Telephone and cellphone components from mktng-advo</t>
      </text>
    </comment>
    <comment ref="U12" authorId="6" shapeId="0" xr:uid="{D7D642EB-AD6D-4F69-A6DB-4210D6A3ACED}">
      <text>
        <t>[Threaded comment]
Your version of Excel allows you to read this threaded comment; however, any edits to it will get removed if the file is opened in a newer version of Excel. Learn more: https://go.microsoft.com/fwlink/?linkid=870924
Comment:
    Moved to IT</t>
      </text>
    </comment>
    <comment ref="U13" authorId="7" shapeId="0" xr:uid="{0212DF2A-F17E-4AB4-B32A-8520BA7CDE9A}">
      <text>
        <t>[Threaded comment]
Your version of Excel allows you to read this threaded comment; however, any edits to it will get removed if the file is opened in a newer version of Excel. Learn more: https://go.microsoft.com/fwlink/?linkid=870924
Comment:
    WUSA paying direct now</t>
      </text>
    </comment>
    <comment ref="O17" authorId="3" shapeId="0" xr:uid="{00000000-0006-0000-3100-000005000000}">
      <text>
        <r>
          <rPr>
            <b/>
            <sz val="9"/>
            <color indexed="81"/>
            <rFont val="Tahoma"/>
            <family val="2"/>
          </rPr>
          <t>Melissa Thomas:</t>
        </r>
        <r>
          <rPr>
            <sz val="9"/>
            <color indexed="81"/>
            <rFont val="Tahoma"/>
            <family val="2"/>
          </rPr>
          <t xml:space="preserve">
Removed cost for Humanity (IT covering)</t>
        </r>
      </text>
    </comment>
    <comment ref="S17" authorId="8" shapeId="0" xr:uid="{6F6D004E-90FE-494C-A2A0-A4A98AD22F11}">
      <text>
        <t>[Threaded comment]
Your version of Excel allows you to read this threaded comment; however, any edits to it will get removed if the file is opened in a newer version of Excel. Learn more: https://go.microsoft.com/fwlink/?linkid=870924
Comment:
    May require top up on things when back to the office with new staff</t>
      </text>
    </comment>
    <comment ref="U17" authorId="9" shapeId="0" xr:uid="{6CADB291-39A5-494C-88A3-672126E66FDC}">
      <text>
        <t>[Threaded comment]
Your version of Excel allows you to read this threaded comment; however, any edits to it will get removed if the file is opened in a newer version of Excel. Learn more: https://go.microsoft.com/fwlink/?linkid=870924
Comment:
    May require top up on things when back to the office with new staff</t>
      </text>
    </comment>
    <comment ref="M20" authorId="2" shapeId="0" xr:uid="{00000000-0006-0000-3100-000006000000}">
      <text>
        <r>
          <rPr>
            <b/>
            <sz val="9"/>
            <color indexed="81"/>
            <rFont val="Tahoma"/>
            <family val="2"/>
          </rPr>
          <t>Kurt MacMillan:</t>
        </r>
        <r>
          <rPr>
            <sz val="9"/>
            <color indexed="81"/>
            <rFont val="Tahoma"/>
            <family val="2"/>
          </rPr>
          <t xml:space="preserve">
Better reflect prev year. Line is used for gaining student interest with 'giveaways'</t>
        </r>
      </text>
    </comment>
    <comment ref="O20" authorId="3" shapeId="0" xr:uid="{00000000-0006-0000-3100-000007000000}">
      <text>
        <r>
          <rPr>
            <b/>
            <sz val="9"/>
            <color indexed="81"/>
            <rFont val="Tahoma"/>
            <family val="2"/>
          </rPr>
          <t>Melissa Thomas:</t>
        </r>
        <r>
          <rPr>
            <sz val="9"/>
            <color indexed="81"/>
            <rFont val="Tahoma"/>
            <family val="2"/>
          </rPr>
          <t xml:space="preserve">
$7700 rebrand ($6200 spring)</t>
        </r>
      </text>
    </comment>
    <comment ref="U20" authorId="10" shapeId="0" xr:uid="{179C0773-0ED3-4408-BF0D-974A9ABBB73A}">
      <text>
        <t>[Threaded comment]
Your version of Excel allows you to read this threaded comment; however, any edits to it will get removed if the file is opened in a newer version of Excel. Learn more: https://go.microsoft.com/fwlink/?linkid=870924
Comment:
    $100K WUSA Box + more general awareness with upper years
Reply:
    67075 - WUSA Boxes 
66020 - General Promo</t>
      </text>
    </comment>
    <comment ref="O22" authorId="3" shapeId="0" xr:uid="{00000000-0006-0000-3100-000008000000}">
      <text>
        <r>
          <rPr>
            <b/>
            <sz val="9"/>
            <color indexed="81"/>
            <rFont val="Tahoma"/>
            <family val="2"/>
          </rPr>
          <t>Melissa Thomas:</t>
        </r>
        <r>
          <rPr>
            <sz val="9"/>
            <color indexed="81"/>
            <rFont val="Tahoma"/>
            <family val="2"/>
          </rPr>
          <t xml:space="preserve">
$2600 total cost for Amiccus-c national with applying for points</t>
        </r>
      </text>
    </comment>
    <comment ref="U22" authorId="11" shapeId="0" xr:uid="{EA194675-B7E7-46CB-A004-E0E6BA77BB71}">
      <text>
        <t>[Threaded comment]
Your version of Excel allows you to read this threaded comment; however, any edits to it will get removed if the file is opened in a newer version of Excel. Learn more: https://go.microsoft.com/fwlink/?linkid=870924
Comment:
    Increased FTS, very little in person last few years, Conveninece show in Vegas</t>
      </text>
    </comment>
    <comment ref="O24" authorId="3" shapeId="0" xr:uid="{00000000-0006-0000-3100-000009000000}">
      <text>
        <r>
          <rPr>
            <b/>
            <sz val="9"/>
            <color indexed="81"/>
            <rFont val="Tahoma"/>
            <family val="2"/>
          </rPr>
          <t>Melissa Thomas:</t>
        </r>
        <r>
          <rPr>
            <sz val="9"/>
            <color indexed="81"/>
            <rFont val="Tahoma"/>
            <family val="2"/>
          </rPr>
          <t xml:space="preserve">
$10,000 rebrand ($4000 spring)</t>
        </r>
      </text>
    </comment>
    <comment ref="Q24" authorId="12" shapeId="0" xr:uid="{B06F77E9-0437-4AB7-8982-770342FD1495}">
      <text>
        <r>
          <rPr>
            <b/>
            <sz val="9"/>
            <color indexed="81"/>
            <rFont val="Tahoma"/>
            <family val="2"/>
          </rPr>
          <t>Seneca Velling:</t>
        </r>
        <r>
          <rPr>
            <sz val="9"/>
            <color indexed="81"/>
            <rFont val="Tahoma"/>
            <family val="2"/>
          </rPr>
          <t xml:space="preserve">
Advertising broken out below. Due to Merger of all advocacy and governance into the general marketing budget (as these are organizational "must haves" and priorities), it was important to document where these funds flowed</t>
        </r>
      </text>
    </comment>
    <comment ref="U24" authorId="13" shapeId="0" xr:uid="{8410FF8A-B414-4D6A-A099-3EDF7DE5562C}">
      <text>
        <t>[Threaded comment]
Your version of Excel allows you to read this threaded comment; however, any edits to it will get removed if the file is opened in a newer version of Excel. Learn more: https://go.microsoft.com/fwlink/?linkid=870924
Comment:
    3 years of students new to campus, so assuming increased efforts</t>
      </text>
    </comment>
    <comment ref="U25" authorId="14" shapeId="0" xr:uid="{62D619C3-2F86-4AC6-ADF2-9E62D6F192AB}">
      <text>
        <t>[Threaded comment]
Your version of Excel allows you to read this threaded comment; however, any edits to it will get removed if the file is opened in a newer version of Excel. Learn more: https://go.microsoft.com/fwlink/?linkid=870924
Comment:
    TBD w Gov Review (may be to promote governance changes in general)</t>
      </text>
    </comment>
    <comment ref="U27" authorId="15" shapeId="0" xr:uid="{3157B1D5-4FC9-4893-B6F8-F2247E95F8CE}">
      <text>
        <t>[Threaded comment]
Your version of Excel allows you to read this threaded comment; however, any edits to it will get removed if the file is opened in a newer version of Excel. Learn more: https://go.microsoft.com/fwlink/?linkid=870924
Comment:
    2 Election cycles</t>
      </text>
    </comment>
    <comment ref="U32" authorId="16" shapeId="0" xr:uid="{1521164C-2BBD-45FC-A858-6D9411F05DE3}">
      <text>
        <t>[Threaded comment]
Your version of Excel allows you to read this threaded comment; however, any edits to it will get removed if the file is opened in a newer version of Excel. Learn more: https://go.microsoft.com/fwlink/?linkid=870924
Comment:
    for SPC program trial marketing</t>
      </text>
    </comment>
    <comment ref="M33" authorId="2" shapeId="0" xr:uid="{00000000-0006-0000-3100-00000A000000}">
      <text>
        <r>
          <rPr>
            <b/>
            <sz val="9"/>
            <color indexed="81"/>
            <rFont val="Tahoma"/>
            <family val="2"/>
          </rPr>
          <t>Kurt MacMillan:</t>
        </r>
        <r>
          <rPr>
            <sz val="9"/>
            <color indexed="81"/>
            <rFont val="Tahoma"/>
            <family val="2"/>
          </rPr>
          <t xml:space="preserve">
Staff recognition for FT and PT </t>
        </r>
      </text>
    </comment>
    <comment ref="O33" authorId="3" shapeId="0" xr:uid="{00000000-0006-0000-3100-00000B000000}">
      <text>
        <r>
          <rPr>
            <b/>
            <sz val="9"/>
            <color indexed="81"/>
            <rFont val="Tahoma"/>
            <family val="2"/>
          </rPr>
          <t>Melissa Thomas:</t>
        </r>
        <r>
          <rPr>
            <sz val="9"/>
            <color indexed="81"/>
            <rFont val="Tahoma"/>
            <family val="2"/>
          </rPr>
          <t xml:space="preserve">
Approx. $700 Spring
Reduction with SCI by $1k, should be enough to cover off based on last year</t>
        </r>
      </text>
    </comment>
    <comment ref="U33" authorId="17" shapeId="0" xr:uid="{C8E44F4C-FCB1-43C7-86A0-1FF16B01AEF7}">
      <text>
        <t>[Threaded comment]
Your version of Excel allows you to read this threaded comment; however, any edits to it will get removed if the file is opened in a newer version of Excel. Learn more: https://go.microsoft.com/fwlink/?linkid=870924
Comment:
    Look at current # PTS and co-ops</t>
      </text>
    </comment>
    <comment ref="O35" authorId="18" shapeId="0" xr:uid="{00000000-0006-0000-3100-00000C000000}">
      <text>
        <r>
          <rPr>
            <b/>
            <sz val="9"/>
            <color indexed="81"/>
            <rFont val="Tahoma"/>
            <family val="2"/>
          </rPr>
          <t>Windows User:</t>
        </r>
        <r>
          <rPr>
            <sz val="9"/>
            <color indexed="81"/>
            <rFont val="Tahoma"/>
            <family val="2"/>
          </rPr>
          <t xml:space="preserve">
Decreased by 500
</t>
        </r>
      </text>
    </comment>
    <comment ref="M36" authorId="3" shapeId="0" xr:uid="{00000000-0006-0000-3100-00000D000000}">
      <text>
        <r>
          <rPr>
            <b/>
            <sz val="9"/>
            <color indexed="81"/>
            <rFont val="Tahoma"/>
            <family val="2"/>
          </rPr>
          <t>Melissa Thomas:</t>
        </r>
        <r>
          <rPr>
            <sz val="9"/>
            <color indexed="81"/>
            <rFont val="Tahoma"/>
            <family val="2"/>
          </rPr>
          <t xml:space="preserve">
Added cost for design room computers
Kurt - Compare 1 Mac to 1 PC amortized over 3 years, with 8 month cost if bought in Sept</t>
        </r>
      </text>
    </comment>
    <comment ref="O36" authorId="3" shapeId="0" xr:uid="{00000000-0006-0000-3100-00000E000000}">
      <text>
        <r>
          <rPr>
            <b/>
            <sz val="9"/>
            <color indexed="81"/>
            <rFont val="Tahoma"/>
            <family val="2"/>
          </rPr>
          <t>Melissa Thomas:</t>
        </r>
        <r>
          <rPr>
            <sz val="9"/>
            <color indexed="81"/>
            <rFont val="Tahoma"/>
            <family val="2"/>
          </rPr>
          <t xml:space="preserve">
Didn't purchase new computers last year so no need to carry over</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Kurt MacMillan</author>
    <author>Suzanne Burdett</author>
    <author>Melissa Thomas</author>
    <author>tc={F3BFC498-5F94-4798-8CF0-3DF9D2436552}</author>
    <author>Lisa Marlene Umholtz</author>
    <author>tc={E471AA5D-9DBD-43EA-AA5B-C14607B12D61}</author>
    <author>tc={19CAA260-D74D-47CC-8178-3C16783D098E}</author>
    <author>tc={A244F462-2155-4109-807E-ABD0E1A55C11}</author>
    <author>tc={2AE6EEF3-5C6E-4196-A79C-77190556954C}</author>
    <author>tc={9398559F-6FA0-4469-878B-DE9ED0897F96}</author>
    <author>tc={DEF86072-6953-409B-A769-4EDA2AF21CDF}</author>
    <author>tc={EDC3AD17-2093-47B4-B94C-E5A8B6D5F41E}</author>
    <author>tc={96765727-443F-411C-A7BF-C0D50BD3AF17}</author>
    <author>tc={63EB8C09-B2E3-40AF-B2F3-08EE55503050}</author>
  </authors>
  <commentList>
    <comment ref="N9" authorId="0" shapeId="0" xr:uid="{00000000-0006-0000-3200-000002000000}">
      <text>
        <r>
          <rPr>
            <b/>
            <sz val="9"/>
            <color indexed="81"/>
            <rFont val="Tahoma"/>
            <family val="2"/>
          </rPr>
          <t>Kurt MacMillan:</t>
        </r>
        <r>
          <rPr>
            <sz val="9"/>
            <color indexed="81"/>
            <rFont val="Tahoma"/>
            <family val="2"/>
          </rPr>
          <t xml:space="preserve">
Would like to double the efforts. This still leaves room for an extra staff for additional help</t>
        </r>
      </text>
    </comment>
    <comment ref="R9" authorId="1" shapeId="0" xr:uid="{F608173D-8FDC-45A9-9704-01D2EE182326}">
      <text>
        <r>
          <rPr>
            <b/>
            <sz val="9"/>
            <color indexed="81"/>
            <rFont val="Tahoma"/>
            <family val="2"/>
          </rPr>
          <t>Suzanne Burdett:</t>
        </r>
        <r>
          <rPr>
            <sz val="9"/>
            <color indexed="81"/>
            <rFont val="Tahoma"/>
            <family val="2"/>
          </rPr>
          <t xml:space="preserve">
increased to account for higher demand for video/on-line messaging
</t>
        </r>
      </text>
    </comment>
    <comment ref="T9" authorId="2" shapeId="0" xr:uid="{EAB0B98A-527A-4A95-B034-34FDC3C1E346}">
      <text>
        <r>
          <rPr>
            <b/>
            <sz val="9"/>
            <color indexed="81"/>
            <rFont val="Tahoma"/>
            <family val="2"/>
          </rPr>
          <t>Melissa Thomas:</t>
        </r>
        <r>
          <rPr>
            <sz val="9"/>
            <color indexed="81"/>
            <rFont val="Tahoma"/>
            <family val="2"/>
          </rPr>
          <t xml:space="preserve">
Includes Comms Asst co-op for 3 terms</t>
        </r>
      </text>
    </comment>
    <comment ref="V9" authorId="3" shapeId="0" xr:uid="{F3BFC498-5F94-4798-8CF0-3DF9D2436552}">
      <text>
        <t>[Threaded comment]
Your version of Excel allows you to read this threaded comment; however, any edits to it will get removed if the file is opened in a newer version of Excel. Learn more: https://go.microsoft.com/fwlink/?linkid=870924
Comment:
    Includes co-ops</t>
      </text>
    </comment>
    <comment ref="P10" authorId="4" shapeId="0" xr:uid="{00000000-0006-0000-3200-000003000000}">
      <text>
        <r>
          <rPr>
            <b/>
            <sz val="9"/>
            <color indexed="81"/>
            <rFont val="Tahoma"/>
            <family val="2"/>
          </rPr>
          <t>Lisa Marlene Umholtz:</t>
        </r>
        <r>
          <rPr>
            <sz val="9"/>
            <color indexed="81"/>
            <rFont val="Tahoma"/>
            <family val="2"/>
          </rPr>
          <t xml:space="preserve">
Additional FT staff. Need to add in cost of media line
</t>
        </r>
      </text>
    </comment>
    <comment ref="V10" authorId="5" shapeId="0" xr:uid="{E471AA5D-9DBD-43EA-AA5B-C14607B12D61}">
      <text>
        <t>[Threaded comment]
Your version of Excel allows you to read this threaded comment; however, any edits to it will get removed if the file is opened in a newer version of Excel. Learn more: https://go.microsoft.com/fwlink/?linkid=870924
Comment:
    Moved to IT</t>
      </text>
    </comment>
    <comment ref="V11" authorId="6" shapeId="0" xr:uid="{19CAA260-D74D-47CC-8178-3C16783D098E}">
      <text>
        <t>[Threaded comment]
Your version of Excel allows you to read this threaded comment; however, any edits to it will get removed if the file is opened in a newer version of Excel. Learn more: https://go.microsoft.com/fwlink/?linkid=870924
Comment:
    Paid direct now</t>
      </text>
    </comment>
    <comment ref="P17" authorId="2" shapeId="0" xr:uid="{00000000-0006-0000-3200-000004000000}">
      <text>
        <r>
          <rPr>
            <b/>
            <sz val="9"/>
            <color indexed="81"/>
            <rFont val="Tahoma"/>
            <family val="2"/>
          </rPr>
          <t>Melissa Thomas:</t>
        </r>
        <r>
          <rPr>
            <sz val="9"/>
            <color indexed="81"/>
            <rFont val="Tahoma"/>
            <family val="2"/>
          </rPr>
          <t xml:space="preserve">
Please see addition of Digital Ads to this line</t>
        </r>
      </text>
    </comment>
    <comment ref="V17" authorId="7" shapeId="0" xr:uid="{A244F462-2155-4109-807E-ABD0E1A55C11}">
      <text>
        <t>[Threaded comment]
Your version of Excel allows you to read this threaded comment; however, any edits to it will get removed if the file is opened in a newer version of Excel. Learn more: https://go.microsoft.com/fwlink/?linkid=870924
Comment:
    4 major contents $250 x 4. Digital ads $1000. $500 for extra in case. (Governance review)</t>
      </text>
    </comment>
    <comment ref="P18" authorId="2" shapeId="0" xr:uid="{00000000-0006-0000-3200-000005000000}">
      <text>
        <r>
          <rPr>
            <b/>
            <sz val="9"/>
            <color indexed="81"/>
            <rFont val="Tahoma"/>
            <family val="2"/>
          </rPr>
          <t>Melissa Thomas:</t>
        </r>
        <r>
          <rPr>
            <sz val="9"/>
            <color indexed="81"/>
            <rFont val="Tahoma"/>
            <family val="2"/>
          </rPr>
          <t xml:space="preserve">
Doubling this request as there will be a 3rd person in this budget and Lisa has been approved to attend a digital conference in May
</t>
        </r>
      </text>
    </comment>
    <comment ref="V18" authorId="8" shapeId="0" xr:uid="{2AE6EEF3-5C6E-4196-A79C-77190556954C}">
      <text>
        <t>[Threaded comment]
Your version of Excel allows you to read this threaded comment; however, any edits to it will get removed if the file is opened in a newer version of Excel. Learn more: https://go.microsoft.com/fwlink/?linkid=870924
Comment:
    AMICCUS for Stacey + other opps</t>
      </text>
    </comment>
    <comment ref="P19" authorId="2" shapeId="0" xr:uid="{00000000-0006-0000-3200-000006000000}">
      <text>
        <r>
          <rPr>
            <b/>
            <sz val="9"/>
            <color indexed="81"/>
            <rFont val="Tahoma"/>
            <family val="2"/>
          </rPr>
          <t>Melissa Thomas:</t>
        </r>
        <r>
          <rPr>
            <sz val="9"/>
            <color indexed="81"/>
            <rFont val="Tahoma"/>
            <family val="2"/>
          </rPr>
          <t xml:space="preserve">
can be used for software subscriptions</t>
        </r>
      </text>
    </comment>
    <comment ref="V19" authorId="9" shapeId="0" xr:uid="{9398559F-6FA0-4469-878B-DE9ED0897F96}">
      <text>
        <t>[Threaded comment]
Your version of Excel allows you to read this threaded comment; however, any edits to it will get removed if the file is opened in a newer version of Excel. Learn more: https://go.microsoft.com/fwlink/?linkid=870924
Comment:
    Pratik will budget for cost of email problem under IT</t>
      </text>
    </comment>
    <comment ref="V20" authorId="10" shapeId="0" xr:uid="{DEF86072-6953-409B-A769-4EDA2AF21CDF}">
      <text>
        <t>[Threaded comment]
Your version of Excel allows you to read this threaded comment; however, any edits to it will get removed if the file is opened in a newer version of Excel. Learn more: https://go.microsoft.com/fwlink/?linkid=870924
Comment:
    Look at # PTS and co-ops</t>
      </text>
    </comment>
    <comment ref="V22" authorId="11" shapeId="0" xr:uid="{EDC3AD17-2093-47B4-B94C-E5A8B6D5F41E}">
      <text>
        <t>[Threaded comment]
Your version of Excel allows you to read this threaded comment; however, any edits to it will get removed if the file is opened in a newer version of Excel. Learn more: https://go.microsoft.com/fwlink/?linkid=870924
Comment:
    Check with any new equipment needs</t>
      </text>
    </comment>
    <comment ref="N25" authorId="0" shapeId="0" xr:uid="{00000000-0006-0000-3200-000007000000}">
      <text>
        <r>
          <rPr>
            <b/>
            <sz val="9"/>
            <color indexed="81"/>
            <rFont val="Tahoma"/>
            <family val="2"/>
          </rPr>
          <t>Kurt MacMillan:</t>
        </r>
        <r>
          <rPr>
            <sz val="9"/>
            <color indexed="81"/>
            <rFont val="Tahoma"/>
            <family val="2"/>
          </rPr>
          <t xml:space="preserve">
Got a new camera for more video projects so this should be used</t>
        </r>
      </text>
    </comment>
    <comment ref="V25" authorId="12" shapeId="0" xr:uid="{96765727-443F-411C-A7BF-C0D50BD3AF17}">
      <text>
        <t>[Threaded comment]
Your version of Excel allows you to read this threaded comment; however, any edits to it will get removed if the file is opened in a newer version of Excel. Learn more: https://go.microsoft.com/fwlink/?linkid=870924
Comment:
    Increase video presence on IG and Tik Tok</t>
      </text>
    </comment>
    <comment ref="N26" authorId="0" shapeId="0" xr:uid="{00000000-0006-0000-3200-000008000000}">
      <text>
        <r>
          <rPr>
            <b/>
            <sz val="9"/>
            <color indexed="81"/>
            <rFont val="Tahoma"/>
            <family val="2"/>
          </rPr>
          <t>Kurt MacMillan:</t>
        </r>
        <r>
          <rPr>
            <sz val="9"/>
            <color indexed="81"/>
            <rFont val="Tahoma"/>
            <family val="2"/>
          </rPr>
          <t xml:space="preserve">
Budget in case we can add special features on our Web. </t>
        </r>
      </text>
    </comment>
    <comment ref="V26" authorId="13" shapeId="0" xr:uid="{63EB8C09-B2E3-40AF-B2F3-08EE55503050}">
      <text>
        <t>[Threaded comment]
Your version of Excel allows you to read this threaded comment; however, any edits to it will get removed if the file is opened in a newer version of Excel. Learn more: https://go.microsoft.com/fwlink/?linkid=870924
Comment:
    Moved to IT</t>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Carly McCready</author>
    <author>Kurt MacMillan</author>
    <author>Matthew Schwarze</author>
  </authors>
  <commentList>
    <comment ref="F13" authorId="0" shapeId="0" xr:uid="{00000000-0006-0000-3300-000001000000}">
      <text>
        <r>
          <rPr>
            <b/>
            <sz val="9"/>
            <color indexed="81"/>
            <rFont val="Tahoma"/>
            <family val="2"/>
          </rPr>
          <t>Carly McCready:</t>
        </r>
        <r>
          <rPr>
            <sz val="9"/>
            <color indexed="81"/>
            <rFont val="Tahoma"/>
            <family val="2"/>
          </rPr>
          <t xml:space="preserve">
discount received because of large service issues (delivery times not met)</t>
        </r>
      </text>
    </comment>
    <comment ref="M17" authorId="1" shapeId="0" xr:uid="{00000000-0006-0000-3300-000002000000}">
      <text>
        <r>
          <rPr>
            <b/>
            <sz val="9"/>
            <color indexed="81"/>
            <rFont val="Tahoma"/>
            <family val="2"/>
          </rPr>
          <t>Kurt MacMillan:</t>
        </r>
        <r>
          <rPr>
            <sz val="9"/>
            <color indexed="81"/>
            <rFont val="Tahoma"/>
            <family val="2"/>
          </rPr>
          <t xml:space="preserve">
Handbook is profitable from external advertising efforts</t>
        </r>
      </text>
    </comment>
    <comment ref="S17" authorId="2" shapeId="0" xr:uid="{FFC2DE1F-8D4A-4584-97C0-6432E6F5DE46}">
      <text>
        <r>
          <rPr>
            <b/>
            <sz val="9"/>
            <color indexed="81"/>
            <rFont val="Tahoma"/>
            <family val="2"/>
          </rPr>
          <t>Matthew Schwarze:</t>
        </r>
        <r>
          <rPr>
            <sz val="9"/>
            <color indexed="81"/>
            <rFont val="Tahoma"/>
            <family val="2"/>
          </rPr>
          <t xml:space="preserve">
Put on pause for this year to revaluate.</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Windows User</author>
    <author>Melissa Thomas</author>
    <author>Kurt MacMillan</author>
  </authors>
  <commentList>
    <comment ref="K6" authorId="0" shapeId="0" xr:uid="{00000000-0006-0000-3400-000001000000}">
      <text>
        <r>
          <rPr>
            <sz val="9"/>
            <color indexed="81"/>
            <rFont val="Tahoma"/>
            <family val="2"/>
          </rPr>
          <t xml:space="preserve">Transferred in by President's budget.
</t>
        </r>
      </text>
    </comment>
    <comment ref="K15" authorId="1" shapeId="0" xr:uid="{00000000-0006-0000-3400-000002000000}">
      <text>
        <r>
          <rPr>
            <b/>
            <sz val="9"/>
            <color indexed="81"/>
            <rFont val="Tahoma"/>
            <family val="2"/>
          </rPr>
          <t>Melissa Thomas:</t>
        </r>
        <r>
          <rPr>
            <sz val="9"/>
            <color indexed="81"/>
            <rFont val="Tahoma"/>
            <family val="2"/>
          </rPr>
          <t xml:space="preserve">
Previously used for all proofs and other general printing costs, as well as cost of printing advocacy documents. Going to put this into advocacy marketing line instead and move proofs (etc) into their applicable lines as well, to make print log easier.</t>
        </r>
      </text>
    </comment>
    <comment ref="K17" authorId="1" shapeId="0" xr:uid="{00000000-0006-0000-3400-000003000000}">
      <text>
        <r>
          <rPr>
            <b/>
            <sz val="9"/>
            <color indexed="81"/>
            <rFont val="Tahoma"/>
            <family val="2"/>
          </rPr>
          <t>Melissa Thomas:</t>
        </r>
        <r>
          <rPr>
            <sz val="9"/>
            <color indexed="81"/>
            <rFont val="Tahoma"/>
            <family val="2"/>
          </rPr>
          <t xml:space="preserve">
staff meetings/ brainstorms.</t>
        </r>
      </text>
    </comment>
    <comment ref="K18" authorId="1" shapeId="0" xr:uid="{00000000-0006-0000-3400-000004000000}">
      <text>
        <r>
          <rPr>
            <b/>
            <sz val="9"/>
            <color indexed="81"/>
            <rFont val="Tahoma"/>
            <family val="2"/>
          </rPr>
          <t>Melissa Thomas:</t>
        </r>
        <r>
          <rPr>
            <sz val="9"/>
            <color indexed="81"/>
            <rFont val="Tahoma"/>
            <family val="2"/>
          </rPr>
          <t xml:space="preserve">
Removing general amounts from here and moving into their own specific lines</t>
        </r>
      </text>
    </comment>
    <comment ref="K21" authorId="1" shapeId="0" xr:uid="{00000000-0006-0000-3400-000005000000}">
      <text>
        <r>
          <rPr>
            <b/>
            <sz val="9"/>
            <color indexed="81"/>
            <rFont val="Tahoma"/>
            <family val="2"/>
          </rPr>
          <t>Melissa Thomas:</t>
        </r>
        <r>
          <rPr>
            <sz val="9"/>
            <color indexed="81"/>
            <rFont val="Tahoma"/>
            <family val="2"/>
          </rPr>
          <t xml:space="preserve">
Leadership Awards and anything outside of Advocacy/Elections that comes up</t>
        </r>
      </text>
    </comment>
    <comment ref="K22" authorId="1" shapeId="0" xr:uid="{00000000-0006-0000-3400-000006000000}">
      <text>
        <r>
          <rPr>
            <b/>
            <sz val="9"/>
            <color indexed="81"/>
            <rFont val="Tahoma"/>
            <family val="2"/>
          </rPr>
          <t>Melissa Thomas:</t>
        </r>
        <r>
          <rPr>
            <sz val="9"/>
            <color indexed="81"/>
            <rFont val="Tahoma"/>
            <family val="2"/>
          </rPr>
          <t xml:space="preserve">
Federal Election, SCI and Feds rebrand</t>
        </r>
      </text>
    </comment>
    <comment ref="I23" authorId="1" shapeId="0" xr:uid="{00000000-0006-0000-3400-000007000000}">
      <text>
        <r>
          <rPr>
            <b/>
            <sz val="9"/>
            <color indexed="81"/>
            <rFont val="Tahoma"/>
            <family val="2"/>
          </rPr>
          <t>Melissa Thomas:</t>
        </r>
        <r>
          <rPr>
            <sz val="9"/>
            <color indexed="81"/>
            <rFont val="Tahoma"/>
            <family val="2"/>
          </rPr>
          <t xml:space="preserve">
Brought this back under mktg budget from Pres
</t>
        </r>
      </text>
    </comment>
    <comment ref="K23" authorId="1" shapeId="0" xr:uid="{00000000-0006-0000-3400-000008000000}">
      <text>
        <r>
          <rPr>
            <b/>
            <sz val="9"/>
            <color indexed="81"/>
            <rFont val="Tahoma"/>
            <family val="2"/>
          </rPr>
          <t>Melissa Thomas:</t>
        </r>
        <r>
          <rPr>
            <sz val="9"/>
            <color indexed="81"/>
            <rFont val="Tahoma"/>
            <family val="2"/>
          </rPr>
          <t xml:space="preserve">
Rebrand (need to print new signage - $2000 additional dollars for this, this year - unless Seneca secures SLEF money, in which case $3,000), preparing for by-elections and referendums</t>
        </r>
      </text>
    </comment>
    <comment ref="I30" authorId="2" shapeId="0" xr:uid="{00000000-0006-0000-3400-000009000000}">
      <text>
        <r>
          <rPr>
            <b/>
            <sz val="9"/>
            <color indexed="81"/>
            <rFont val="Tahoma"/>
            <family val="2"/>
          </rPr>
          <t>Kurt MacMillan:</t>
        </r>
        <r>
          <rPr>
            <sz val="9"/>
            <color indexed="81"/>
            <rFont val="Tahoma"/>
            <family val="2"/>
          </rPr>
          <t xml:space="preserve">
Increased from last year's budget due to advertising elections line coming back to this portfolio</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Windows User</author>
    <author>Melissa Thomas</author>
    <author>tc={87762047-AF29-4B0D-A7EF-FCC6528D01A0}</author>
    <author>tc={9FC836B9-4189-49BA-B6FB-AFBD04E6639E}</author>
    <author>tc={E98B3608-BC6F-4E63-A912-836795F28C0C}</author>
    <author>tc={9E90E9AE-4FD6-47BA-8498-264D4273A2A1}</author>
    <author>tc={193CEBAC-E616-4500-94B2-1F296B1B970F}</author>
    <author>tc={08007BFC-3F21-483F-8F8F-20178188930D}</author>
    <author>tc={984388AD-98FC-4484-A4C6-753B0555B18C}</author>
    <author>tc={19C6D539-9E93-48A5-9337-2EE56AF8E5C8}</author>
    <author>tc={12CA26B9-0CA7-49DD-AC06-58151B425028}</author>
    <author>tc={0DF5EB86-DDBD-4656-81F2-ECC62DC35BBD}</author>
    <author>tc={2B473E73-C183-49F2-BCEF-6F43CA17A60B}</author>
    <author>tc={EE189D99-A652-4D6C-8864-122BEF1FBA1B}</author>
    <author>tc={3C5B682B-12E4-4DF9-B5C6-AB711707F6C3}</author>
    <author>tc={84E0507D-58A9-42CB-B255-53FD0FAFBD22}</author>
  </authors>
  <commentList>
    <comment ref="N8" authorId="0" shapeId="0" xr:uid="{00000000-0006-0000-3500-000001000000}">
      <text>
        <r>
          <rPr>
            <b/>
            <sz val="9"/>
            <color indexed="81"/>
            <rFont val="Tahoma"/>
            <family val="2"/>
          </rPr>
          <t>Windows User:</t>
        </r>
        <r>
          <rPr>
            <sz val="9"/>
            <color indexed="81"/>
            <rFont val="Tahoma"/>
            <family val="2"/>
          </rPr>
          <t xml:space="preserve">
Clubs included in FY2021</t>
        </r>
      </text>
    </comment>
    <comment ref="P8" authorId="1" shapeId="0" xr:uid="{96460BA1-F4BE-424F-8D51-841D4F3C7DEE}">
      <text>
        <r>
          <rPr>
            <b/>
            <sz val="9"/>
            <color indexed="81"/>
            <rFont val="Tahoma"/>
            <family val="2"/>
          </rPr>
          <t>Melissa Thomas:</t>
        </r>
        <r>
          <rPr>
            <sz val="9"/>
            <color indexed="81"/>
            <rFont val="Tahoma"/>
            <family val="2"/>
          </rPr>
          <t xml:space="preserve">
Includes 25% of Designer co-op</t>
        </r>
      </text>
    </comment>
    <comment ref="R8" authorId="2" shapeId="0" xr:uid="{87762047-AF29-4B0D-A7EF-FCC6528D01A0}">
      <text>
        <t>[Threaded comment]
Your version of Excel allows you to read this threaded comment; however, any edits to it will get removed if the file is opened in a newer version of Excel. Learn more: https://go.microsoft.com/fwlink/?linkid=870924
Comment:
    Moved to 16100</t>
      </text>
    </comment>
    <comment ref="R9" authorId="3" shapeId="0" xr:uid="{9FC836B9-4189-49BA-B6FB-AFBD04E6639E}">
      <text>
        <t>[Threaded comment]
Your version of Excel allows you to read this threaded comment; however, any edits to it will get removed if the file is opened in a newer version of Excel. Learn more: https://go.microsoft.com/fwlink/?linkid=870924
Comment:
    Moved to IT</t>
      </text>
    </comment>
    <comment ref="L19" authorId="1" shapeId="0" xr:uid="{00000000-0006-0000-3500-000002000000}">
      <text>
        <r>
          <rPr>
            <b/>
            <sz val="9"/>
            <color indexed="81"/>
            <rFont val="Tahoma"/>
            <family val="2"/>
          </rPr>
          <t>Melissa Thomas:</t>
        </r>
        <r>
          <rPr>
            <sz val="9"/>
            <color indexed="81"/>
            <rFont val="Tahoma"/>
            <family val="2"/>
          </rPr>
          <t xml:space="preserve">
SP: Campus Life Fair (need new banner), Beach Trip, FA/WI: CLF</t>
        </r>
      </text>
    </comment>
    <comment ref="L23" authorId="1" shapeId="0" xr:uid="{00000000-0006-0000-3500-000003000000}">
      <text>
        <r>
          <rPr>
            <b/>
            <sz val="9"/>
            <color indexed="81"/>
            <rFont val="Tahoma"/>
            <family val="2"/>
          </rPr>
          <t>Melissa Thomas:</t>
        </r>
        <r>
          <rPr>
            <sz val="9"/>
            <color indexed="81"/>
            <rFont val="Tahoma"/>
            <family val="2"/>
          </rPr>
          <t xml:space="preserve">
Every term: Hiring, Spring: BBQ</t>
        </r>
      </text>
    </comment>
    <comment ref="R26" authorId="4" shapeId="0" xr:uid="{E98B3608-BC6F-4E63-A912-836795F28C0C}">
      <text>
        <t>[Threaded comment]
Your version of Excel allows you to read this threaded comment; however, any edits to it will get removed if the file is opened in a newer version of Excel. Learn more: https://go.microsoft.com/fwlink/?linkid=870924
Comment:
    Includes $500 for rebrand costs (unspent last year as initially budgeted for)</t>
      </text>
    </comment>
    <comment ref="R27" authorId="5" shapeId="0" xr:uid="{9E90E9AE-4FD6-47BA-8498-264D4273A2A1}">
      <text>
        <t>[Threaded comment]
Your version of Excel allows you to read this threaded comment; however, any edits to it will get removed if the file is opened in a newer version of Excel. Learn more: https://go.microsoft.com/fwlink/?linkid=870924
Comment:
    Includes $500 for rebrand costs (unspent last year as initially budgeted for)</t>
      </text>
    </comment>
    <comment ref="R29" authorId="6" shapeId="0" xr:uid="{193CEBAC-E616-4500-94B2-1F296B1B970F}">
      <text>
        <t>[Threaded comment]
Your version of Excel allows you to read this threaded comment; however, any edits to it will get removed if the file is opened in a newer version of Excel. Learn more: https://go.microsoft.com/fwlink/?linkid=870924
Comment:
    Includes $500 for rebrand costs (unspent last year as initially budgeted for)</t>
      </text>
    </comment>
    <comment ref="R30" authorId="7" shapeId="0" xr:uid="{08007BFC-3F21-483F-8F8F-20178188930D}">
      <text>
        <t>[Threaded comment]
Your version of Excel allows you to read this threaded comment; however, any edits to it will get removed if the file is opened in a newer version of Excel. Learn more: https://go.microsoft.com/fwlink/?linkid=870924
Comment:
    Includes $500 for rebrand costs (unspent last year as initially budgeted for)</t>
      </text>
    </comment>
    <comment ref="R31" authorId="8" shapeId="0" xr:uid="{984388AD-98FC-4484-A4C6-753B0555B18C}">
      <text>
        <t>[Threaded comment]
Your version of Excel allows you to read this threaded comment; however, any edits to it will get removed if the file is opened in a newer version of Excel. Learn more: https://go.microsoft.com/fwlink/?linkid=870924
Comment:
    Includes $300 for rebrand costs (unspent last year as initially budgeted for)</t>
      </text>
    </comment>
    <comment ref="R32" authorId="9" shapeId="0" xr:uid="{19C6D539-9E93-48A5-9337-2EE56AF8E5C8}">
      <text>
        <t>[Threaded comment]
Your version of Excel allows you to read this threaded comment; however, any edits to it will get removed if the file is opened in a newer version of Excel. Learn more: https://go.microsoft.com/fwlink/?linkid=870924
Comment:
    Includes $300 for rebrand costs (unspent last year as initially budgeted for)</t>
      </text>
    </comment>
    <comment ref="R34" authorId="10" shapeId="0" xr:uid="{12CA26B9-0CA7-49DD-AC06-58151B425028}">
      <text>
        <t>[Threaded comment]
Your version of Excel allows you to read this threaded comment; however, any edits to it will get removed if the file is opened in a newer version of Excel. Learn more: https://go.microsoft.com/fwlink/?linkid=870924
Comment:
    Includes $500 for rebrand costs (unspent last year as initially budgeted for)</t>
      </text>
    </comment>
    <comment ref="R35" authorId="11" shapeId="0" xr:uid="{0DF5EB86-DDBD-4656-81F2-ECC62DC35BBD}">
      <text>
        <t>[Threaded comment]
Your version of Excel allows you to read this threaded comment; however, any edits to it will get removed if the file is opened in a newer version of Excel. Learn more: https://go.microsoft.com/fwlink/?linkid=870924
Comment:
    Includes $500 for rebrand costs (unspent last year as initially budgeted for)</t>
      </text>
    </comment>
    <comment ref="R38" authorId="12" shapeId="0" xr:uid="{2B473E73-C183-49F2-BCEF-6F43CA17A60B}">
      <text>
        <t>[Threaded comment]
Your version of Excel allows you to read this threaded comment; however, any edits to it will get removed if the file is opened in a newer version of Excel. Learn more: https://go.microsoft.com/fwlink/?linkid=870924
Comment:
    Includes $500 for rebrand costs (unspent last year as initially budgeted for)</t>
      </text>
    </comment>
    <comment ref="R39" authorId="13" shapeId="0" xr:uid="{EE189D99-A652-4D6C-8864-122BEF1FBA1B}">
      <text>
        <t>[Threaded comment]
Your version of Excel allows you to read this threaded comment; however, any edits to it will get removed if the file is opened in a newer version of Excel. Learn more: https://go.microsoft.com/fwlink/?linkid=870924
Comment:
    New service - launch plus signage</t>
      </text>
    </comment>
    <comment ref="R40" authorId="14" shapeId="0" xr:uid="{3C5B682B-12E4-4DF9-B5C6-AB711707F6C3}">
      <text>
        <t>[Threaded comment]
Your version of Excel allows you to read this threaded comment; however, any edits to it will get removed if the file is opened in a newer version of Excel. Learn more: https://go.microsoft.com/fwlink/?linkid=870924
Comment:
    Includes additional $ for rebrand needs and increase events for this coming year</t>
      </text>
    </comment>
    <comment ref="R42" authorId="15" shapeId="0" xr:uid="{84E0507D-58A9-42CB-B255-53FD0FAFBD22}">
      <text>
        <t>[Threaded comment]
Your version of Excel allows you to read this threaded comment; however, any edits to it will get removed if the file is opened in a newer version of Excel. Learn more: https://go.microsoft.com/fwlink/?linkid=870924
Comment:
    Includes $500 for rebrand costs (unspent last year as initially budgeted for)</t>
      </text>
    </comment>
    <comment ref="L51" authorId="1" shapeId="0" xr:uid="{00000000-0006-0000-3500-000004000000}">
      <text>
        <r>
          <rPr>
            <b/>
            <sz val="9"/>
            <color indexed="81"/>
            <rFont val="Tahoma"/>
            <family val="2"/>
          </rPr>
          <t>Melissa Thomas:</t>
        </r>
        <r>
          <rPr>
            <sz val="9"/>
            <color indexed="81"/>
            <rFont val="Tahoma"/>
            <family val="2"/>
          </rPr>
          <t xml:space="preserve">
Approx $6000 to be spent in spring. I have breakdown by line if needed</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tc={C4FF5F8C-D429-4DF5-9CD4-191E8401FEC2}</author>
    <author>Kurt MacMillan</author>
    <author>Melissa Thomas</author>
    <author>tc={2044DA0F-FB3C-44F2-A39D-D1DDE5FA66AC}</author>
    <author>tc={FCAD5E3C-3D73-4E38-9891-4F6D7ECF6FA2}</author>
    <author>Windows User</author>
    <author>Brooke Eby</author>
  </authors>
  <commentList>
    <comment ref="R4" authorId="0" shapeId="0" xr:uid="{C4FF5F8C-D429-4DF5-9CD4-191E8401FEC2}">
      <text>
        <t>[Threaded comment]
Your version of Excel allows you to read this threaded comment; however, any edits to it will get removed if the file is opened in a newer version of Excel. Learn more: https://go.microsoft.com/fwlink/?linkid=870924
Comment:
    % TBD</t>
      </text>
    </comment>
    <comment ref="J5" authorId="1" shapeId="0" xr:uid="{00000000-0006-0000-3600-000001000000}">
      <text>
        <r>
          <rPr>
            <b/>
            <sz val="9"/>
            <color indexed="81"/>
            <rFont val="Tahoma"/>
            <family val="2"/>
          </rPr>
          <t>Kurt MacMillan:</t>
        </r>
        <r>
          <rPr>
            <sz val="9"/>
            <color indexed="81"/>
            <rFont val="Tahoma"/>
            <family val="2"/>
          </rPr>
          <t xml:space="preserve">
Represents 1-1.5% of revenues from each Commercial Operation + extra money for office/admin</t>
        </r>
      </text>
    </comment>
    <comment ref="P8" authorId="2" shapeId="0" xr:uid="{C4DA8642-A665-41A3-B8E4-077F2DBDD65F}">
      <text>
        <r>
          <rPr>
            <b/>
            <sz val="9"/>
            <color indexed="81"/>
            <rFont val="Tahoma"/>
            <family val="2"/>
          </rPr>
          <t>Melissa Thomas:</t>
        </r>
        <r>
          <rPr>
            <sz val="9"/>
            <color indexed="81"/>
            <rFont val="Tahoma"/>
            <family val="2"/>
          </rPr>
          <t xml:space="preserve">
Includes 50% of Mktg Coord co-op and 25% of Designer co-op</t>
        </r>
      </text>
    </comment>
    <comment ref="R8" authorId="3" shapeId="0" xr:uid="{2044DA0F-FB3C-44F2-A39D-D1DDE5FA66AC}">
      <text>
        <t>[Threaded comment]
Your version of Excel allows you to read this threaded comment; however, any edits to it will get removed if the file is opened in a newer version of Excel. Learn more: https://go.microsoft.com/fwlink/?linkid=870924
Comment:
    Moved to 16100</t>
      </text>
    </comment>
    <comment ref="R9" authorId="4" shapeId="0" xr:uid="{FCAD5E3C-3D73-4E38-9891-4F6D7ECF6FA2}">
      <text>
        <t>[Threaded comment]
Your version of Excel allows you to read this threaded comment; however, any edits to it will get removed if the file is opened in a newer version of Excel. Learn more: https://go.microsoft.com/fwlink/?linkid=870924
Comment:
    Moved to IT</t>
      </text>
    </comment>
    <comment ref="L18" authorId="5" shapeId="0" xr:uid="{00000000-0006-0000-3600-000002000000}">
      <text>
        <r>
          <rPr>
            <b/>
            <sz val="9"/>
            <color indexed="81"/>
            <rFont val="Tahoma"/>
            <family val="2"/>
          </rPr>
          <t>Windows User:</t>
        </r>
        <r>
          <rPr>
            <sz val="9"/>
            <color indexed="81"/>
            <rFont val="Tahoma"/>
            <family val="2"/>
          </rPr>
          <t xml:space="preserve">
Moved $1000 of Mystery Shop from 16700 all into this budget as primarily benefitting businesses</t>
        </r>
      </text>
    </comment>
    <comment ref="J22" authorId="1" shapeId="0" xr:uid="{00000000-0006-0000-3600-000003000000}">
      <text>
        <r>
          <rPr>
            <b/>
            <sz val="9"/>
            <color indexed="81"/>
            <rFont val="Tahoma"/>
            <family val="2"/>
          </rPr>
          <t>Kurt MacMillan:</t>
        </r>
        <r>
          <rPr>
            <sz val="9"/>
            <color indexed="81"/>
            <rFont val="Tahoma"/>
            <family val="2"/>
          </rPr>
          <t xml:space="preserve">
1% of sales</t>
        </r>
      </text>
    </comment>
    <comment ref="L22" authorId="2" shapeId="0" xr:uid="{00000000-0006-0000-3600-000004000000}">
      <text>
        <r>
          <rPr>
            <b/>
            <sz val="9"/>
            <color indexed="81"/>
            <rFont val="Tahoma"/>
            <family val="2"/>
          </rPr>
          <t>Melissa Thomas:</t>
        </r>
        <r>
          <rPr>
            <sz val="9"/>
            <color indexed="81"/>
            <rFont val="Tahoma"/>
            <family val="2"/>
          </rPr>
          <t xml:space="preserve">
Added additional $1500 to cover MappedIn updates that may be required as University has cancelled their contract with MappedIn, so costs will be charged hourly to us. Any larger work as a result of the SLC/PAC Expansion should be paid for out of that project. Also more materials needed with new DC location.
</t>
        </r>
      </text>
    </comment>
    <comment ref="P22" authorId="2" shapeId="0" xr:uid="{89BF66C7-8D68-472E-811E-9A6682241EF5}">
      <text>
        <r>
          <rPr>
            <b/>
            <sz val="9"/>
            <color indexed="81"/>
            <rFont val="Tahoma"/>
            <family val="2"/>
          </rPr>
          <t>Melissa Thomas:</t>
        </r>
        <r>
          <rPr>
            <sz val="9"/>
            <color indexed="81"/>
            <rFont val="Tahoma"/>
            <family val="2"/>
          </rPr>
          <t xml:space="preserve">
Expansion signage and 2 years of new students coming onto campus.</t>
        </r>
      </text>
    </comment>
    <comment ref="J23" authorId="1" shapeId="0" xr:uid="{00000000-0006-0000-3600-000005000000}">
      <text>
        <r>
          <rPr>
            <b/>
            <sz val="9"/>
            <color indexed="81"/>
            <rFont val="Tahoma"/>
            <family val="2"/>
          </rPr>
          <t>Kurt MacMillan:</t>
        </r>
        <r>
          <rPr>
            <sz val="9"/>
            <color indexed="81"/>
            <rFont val="Tahoma"/>
            <family val="2"/>
          </rPr>
          <t xml:space="preserve">
1% of sales
</t>
        </r>
      </text>
    </comment>
    <comment ref="P23" authorId="2" shapeId="0" xr:uid="{D75A5AF8-0740-4564-AD39-F3FF640B6C9A}">
      <text>
        <r>
          <rPr>
            <b/>
            <sz val="9"/>
            <color indexed="81"/>
            <rFont val="Tahoma"/>
            <family val="2"/>
          </rPr>
          <t>Melissa Thomas:</t>
        </r>
        <r>
          <rPr>
            <sz val="9"/>
            <color indexed="81"/>
            <rFont val="Tahoma"/>
            <family val="2"/>
          </rPr>
          <t xml:space="preserve">
2%</t>
        </r>
      </text>
    </comment>
    <comment ref="J24" authorId="1" shapeId="0" xr:uid="{00000000-0006-0000-3600-000006000000}">
      <text>
        <r>
          <rPr>
            <b/>
            <sz val="9"/>
            <color indexed="81"/>
            <rFont val="Tahoma"/>
            <family val="2"/>
          </rPr>
          <t>Kurt MacMillan:</t>
        </r>
        <r>
          <rPr>
            <sz val="9"/>
            <color indexed="81"/>
            <rFont val="Tahoma"/>
            <family val="2"/>
          </rPr>
          <t xml:space="preserve">
1% of sales
</t>
        </r>
      </text>
    </comment>
    <comment ref="P24" authorId="2" shapeId="0" xr:uid="{7D0930C4-9A5A-4373-89AC-D18F0C54EFDC}">
      <text>
        <r>
          <rPr>
            <b/>
            <sz val="9"/>
            <color indexed="81"/>
            <rFont val="Tahoma"/>
            <family val="2"/>
          </rPr>
          <t>Melissa Thomas:</t>
        </r>
        <r>
          <rPr>
            <sz val="9"/>
            <color indexed="81"/>
            <rFont val="Tahoma"/>
            <family val="2"/>
          </rPr>
          <t xml:space="preserve">
3% sales</t>
        </r>
      </text>
    </comment>
    <comment ref="J26" authorId="6" shapeId="0" xr:uid="{00000000-0006-0000-3600-000007000000}">
      <text>
        <r>
          <rPr>
            <b/>
            <sz val="9"/>
            <color indexed="81"/>
            <rFont val="Tahoma"/>
            <family val="2"/>
          </rPr>
          <t>Brooke Eby:</t>
        </r>
        <r>
          <rPr>
            <sz val="9"/>
            <color indexed="81"/>
            <rFont val="Tahoma"/>
            <family val="2"/>
          </rPr>
          <t xml:space="preserve">
1.5% of sales + Extra $$ added for Bomber Rebrand including soft and hard materials, documents signage etc.
</t>
        </r>
      </text>
    </comment>
    <comment ref="L26" authorId="2" shapeId="0" xr:uid="{00000000-0006-0000-3600-000008000000}">
      <text>
        <r>
          <rPr>
            <b/>
            <sz val="9"/>
            <color indexed="81"/>
            <rFont val="Tahoma"/>
            <family val="2"/>
          </rPr>
          <t>Melissa Thomas:</t>
        </r>
        <r>
          <rPr>
            <sz val="9"/>
            <color indexed="81"/>
            <rFont val="Tahoma"/>
            <family val="2"/>
          </rPr>
          <t xml:space="preserve">
Minimial costs associated with research/ outreach assuming Bomber will not be reopening until Fall 2020. If timeline looks sooner, readjust for new brand launch marketing.
</t>
        </r>
      </text>
    </comment>
    <comment ref="J27" authorId="6" shapeId="0" xr:uid="{00000000-0006-0000-3600-000009000000}">
      <text>
        <r>
          <rPr>
            <b/>
            <sz val="9"/>
            <color indexed="81"/>
            <rFont val="Tahoma"/>
            <family val="2"/>
          </rPr>
          <t>Brooke Eby:</t>
        </r>
        <r>
          <rPr>
            <sz val="9"/>
            <color indexed="81"/>
            <rFont val="Tahoma"/>
            <family val="2"/>
          </rPr>
          <t xml:space="preserve">
Lower because of construction. Will need to continue promoting WS at Inews and pop up bubble tea stands.  Marketing will also have to put $ towards digital menu boards
</t>
        </r>
      </text>
    </comment>
    <comment ref="N27" authorId="1" shapeId="0" xr:uid="{00000000-0006-0000-3600-00000A000000}">
      <text>
        <r>
          <rPr>
            <sz val="9"/>
            <color indexed="81"/>
            <rFont val="Tahoma"/>
            <family val="2"/>
          </rPr>
          <t>Spring term have idea of new commercial units in campus bubble space and will need to advertise a lot for new brand</t>
        </r>
      </text>
    </comment>
    <comment ref="P27" authorId="2" shapeId="0" xr:uid="{D5E4B134-1A62-4C52-8D2D-8F2059760DDF}">
      <text>
        <r>
          <rPr>
            <b/>
            <sz val="9"/>
            <color indexed="81"/>
            <rFont val="Tahoma"/>
            <family val="2"/>
          </rPr>
          <t>Melissa Thomas:</t>
        </r>
        <r>
          <rPr>
            <sz val="9"/>
            <color indexed="81"/>
            <rFont val="Tahoma"/>
            <family val="2"/>
          </rPr>
          <t xml:space="preserve">
Opening marketing costs for Wasabi/Chaska being budgeted to overall project. Not budgeting here as it still awaits approval.</t>
        </r>
      </text>
    </comment>
    <comment ref="J28" authorId="1" shapeId="0" xr:uid="{00000000-0006-0000-3600-00000B000000}">
      <text>
        <r>
          <rPr>
            <b/>
            <sz val="9"/>
            <color indexed="81"/>
            <rFont val="Tahoma"/>
            <family val="2"/>
          </rPr>
          <t>Kurt MacMillan:</t>
        </r>
        <r>
          <rPr>
            <sz val="9"/>
            <color indexed="81"/>
            <rFont val="Tahoma"/>
            <family val="2"/>
          </rPr>
          <t xml:space="preserve">
1% of sales</t>
        </r>
      </text>
    </comment>
    <comment ref="L28" authorId="2" shapeId="0" xr:uid="{00000000-0006-0000-3600-00000C000000}">
      <text>
        <r>
          <rPr>
            <b/>
            <sz val="9"/>
            <color indexed="81"/>
            <rFont val="Tahoma"/>
            <family val="2"/>
          </rPr>
          <t>Melissa Thomas:</t>
        </r>
        <r>
          <rPr>
            <sz val="9"/>
            <color indexed="81"/>
            <rFont val="Tahoma"/>
            <family val="2"/>
          </rPr>
          <t xml:space="preserve">
Regular 1000 with an additional 1500 to support a rebrand</t>
        </r>
      </text>
    </comment>
    <comment ref="P29" authorId="2" shapeId="0" xr:uid="{80134CB0-B682-4620-9C8A-4CF96C584857}">
      <text>
        <r>
          <rPr>
            <b/>
            <sz val="9"/>
            <color indexed="81"/>
            <rFont val="Tahoma"/>
            <family val="2"/>
          </rPr>
          <t>Melissa Thomas:</t>
        </r>
        <r>
          <rPr>
            <sz val="9"/>
            <color indexed="81"/>
            <rFont val="Tahoma"/>
            <family val="2"/>
          </rPr>
          <t xml:space="preserve">
2%</t>
        </r>
      </text>
    </comment>
    <comment ref="L30" authorId="2" shapeId="0" xr:uid="{00000000-0006-0000-3600-00000D000000}">
      <text>
        <r>
          <rPr>
            <b/>
            <sz val="9"/>
            <color indexed="81"/>
            <rFont val="Tahoma"/>
            <family val="2"/>
          </rPr>
          <t>Melissa Thomas:</t>
        </r>
        <r>
          <rPr>
            <sz val="9"/>
            <color indexed="81"/>
            <rFont val="Tahoma"/>
            <family val="2"/>
          </rPr>
          <t xml:space="preserve">
can use it for expenses that will come with new brands and impacts from the feds rebrand</t>
        </r>
      </text>
    </comment>
    <comment ref="J34" authorId="1" shapeId="0" xr:uid="{00000000-0006-0000-3600-00000E000000}">
      <text>
        <r>
          <rPr>
            <b/>
            <sz val="9"/>
            <color indexed="81"/>
            <rFont val="Tahoma"/>
            <family val="2"/>
          </rPr>
          <t>Kurt MacMillan:</t>
        </r>
        <r>
          <rPr>
            <sz val="9"/>
            <color indexed="81"/>
            <rFont val="Tahoma"/>
            <family val="2"/>
          </rPr>
          <t xml:space="preserve">
Commercial Operations pay off this  budget</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tc={A490BBDD-BCA7-44C5-A9C2-FABC1CEF6B94}</author>
  </authors>
  <commentList>
    <comment ref="I13" authorId="0" shapeId="0" xr:uid="{A490BBDD-BCA7-44C5-A9C2-FABC1CEF6B94}">
      <text>
        <t>[Threaded comment]
Your version of Excel allows you to read this threaded comment; however, any edits to it will get removed if the file is opened in a newer version of Excel. Learn more: https://go.microsoft.com/fwlink/?linkid=870924
Comment:
    https://www.kitchener.ca/en/arts-culture-and-events/state-of-the-city.aspx
Region, Kitchener, Waterloo (maybe Cambridge) ~$40/ticket - would like to double for SRO to bring Pres/VP for networking opps
= $320</t>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tc={294D1588-1A50-4DF0-9A16-0D213FDC30EA}</author>
  </authors>
  <commentList>
    <comment ref="I12" authorId="0" shapeId="0" xr:uid="{294D1588-1A50-4DF0-9A16-0D213FDC30EA}">
      <text>
        <t>[Threaded comment]
Your version of Excel allows you to read this threaded comment; however, any edits to it will get removed if the file is opened in a newer version of Excel. Learn more: https://go.microsoft.com/fwlink/?linkid=870924
Comment:
    https://www.kitchener.ca/en/arts-culture-and-events/state-of-the-city.aspx
Region, Kitchener, Waterloo (maybe Cambridge) ~$40/ticket - would like to double for SRO to bring Pres/VP for networking opps
= $320</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Natasha Pozega</author>
    <author>Windows User</author>
    <author>David Collins</author>
    <author>s4cook</author>
  </authors>
  <commentList>
    <comment ref="K9" authorId="0" shapeId="0" xr:uid="{00000000-0006-0000-0600-000001000000}">
      <text>
        <r>
          <rPr>
            <b/>
            <sz val="9"/>
            <color indexed="81"/>
            <rFont val="Tahoma"/>
            <family val="2"/>
          </rPr>
          <t>Natasha Pozega:</t>
        </r>
        <r>
          <rPr>
            <sz val="9"/>
            <color indexed="81"/>
            <rFont val="Tahoma"/>
            <family val="2"/>
          </rPr>
          <t xml:space="preserve">
15 hours a week for 12 weeks per term for a year at the new minnimum wage of $11 and including vacation pay.
</t>
        </r>
      </text>
    </comment>
    <comment ref="U10" authorId="1" shapeId="0" xr:uid="{00000000-0006-0000-0600-000002000000}">
      <text>
        <r>
          <rPr>
            <b/>
            <sz val="9"/>
            <color indexed="81"/>
            <rFont val="Tahoma"/>
            <family val="2"/>
          </rPr>
          <t>Windows User:</t>
        </r>
        <r>
          <rPr>
            <sz val="9"/>
            <color indexed="81"/>
            <rFont val="Tahoma"/>
            <family val="2"/>
          </rPr>
          <t xml:space="preserve">
Part of Board approved plan proposed by VPED in Winter 2019</t>
        </r>
      </text>
    </comment>
    <comment ref="I17" authorId="2" shapeId="0" xr:uid="{00000000-0006-0000-0600-000003000000}">
      <text>
        <r>
          <rPr>
            <b/>
            <sz val="8"/>
            <color indexed="81"/>
            <rFont val="Tahoma"/>
            <family val="2"/>
          </rPr>
          <t>David Collins:</t>
        </r>
        <r>
          <rPr>
            <sz val="8"/>
            <color indexed="81"/>
            <rFont val="Tahoma"/>
            <family val="2"/>
          </rPr>
          <t xml:space="preserve">
??? What is this for?</t>
        </r>
      </text>
    </comment>
    <comment ref="C20" authorId="3" shapeId="0" xr:uid="{00000000-0006-0000-0600-000004000000}">
      <text>
        <r>
          <rPr>
            <b/>
            <sz val="8"/>
            <color indexed="81"/>
            <rFont val="Tahoma"/>
            <family val="2"/>
          </rPr>
          <t>s4cook:</t>
        </r>
        <r>
          <rPr>
            <sz val="8"/>
            <color indexed="81"/>
            <rFont val="Tahoma"/>
            <family val="2"/>
          </rPr>
          <t xml:space="preserve">
- software</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Windows User</author>
    <author>Matthew Schwarze</author>
    <author>Suzanne Burdett</author>
  </authors>
  <commentList>
    <comment ref="J13" authorId="0" shapeId="0" xr:uid="{00000000-0006-0000-0A00-000001000000}">
      <text>
        <r>
          <rPr>
            <b/>
            <sz val="9"/>
            <color indexed="81"/>
            <rFont val="Tahoma"/>
            <family val="2"/>
          </rPr>
          <t>Windows User:</t>
        </r>
        <r>
          <rPr>
            <sz val="9"/>
            <color indexed="81"/>
            <rFont val="Tahoma"/>
            <family val="2"/>
          </rPr>
          <t xml:space="preserve">
support for equity-based events and focus on harm reduction ie. Nalaxone training/kits</t>
        </r>
      </text>
    </comment>
    <comment ref="J14" authorId="0" shapeId="0" xr:uid="{00000000-0006-0000-0A00-000002000000}">
      <text>
        <r>
          <rPr>
            <b/>
            <sz val="9"/>
            <color indexed="81"/>
            <rFont val="Tahoma"/>
            <family val="2"/>
          </rPr>
          <t>Windows User:</t>
        </r>
        <r>
          <rPr>
            <sz val="9"/>
            <color indexed="81"/>
            <rFont val="Tahoma"/>
            <family val="2"/>
          </rPr>
          <t xml:space="preserve">
SRC didn’t meet much this year but with new Equity commissioner we would like to see this continue</t>
        </r>
      </text>
    </comment>
    <comment ref="N14" authorId="1" shapeId="0" xr:uid="{1E86487F-B8D0-4C33-92DF-25300767DED9}">
      <text>
        <r>
          <rPr>
            <b/>
            <sz val="9"/>
            <color indexed="81"/>
            <rFont val="Tahoma"/>
            <family val="2"/>
          </rPr>
          <t>Matthew Schwarze:</t>
        </r>
        <r>
          <rPr>
            <sz val="9"/>
            <color indexed="81"/>
            <rFont val="Tahoma"/>
            <family val="2"/>
          </rPr>
          <t xml:space="preserve">
up to 20 hours per week for 2 people (or up to 15 hours per week for 1 person), for two terms (14 weeks/term), at $17–19/hour</t>
        </r>
      </text>
    </comment>
    <comment ref="P14" authorId="2" shapeId="0" xr:uid="{3BC0B779-879D-4837-8864-124F27C0E6FE}">
      <text>
        <r>
          <rPr>
            <b/>
            <sz val="9"/>
            <color indexed="81"/>
            <rFont val="Tahoma"/>
            <family val="2"/>
          </rPr>
          <t>Suzanne Burdett:</t>
        </r>
        <r>
          <rPr>
            <sz val="9"/>
            <color indexed="81"/>
            <rFont val="Tahoma"/>
            <family val="2"/>
          </rPr>
          <t xml:space="preserve">
15hrs/wk, 14 weeks/term, $19/hr*1.13, 2 terms
</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Matthew Gerrits</author>
    <author>Seneca Velling</author>
    <author>tc={9B94FF81-7634-47D8-8521-B6C0EB8E26EE}</author>
  </authors>
  <commentList>
    <comment ref="C8" authorId="0" shapeId="0" xr:uid="{00000000-0006-0000-3800-000001000000}">
      <text>
        <r>
          <rPr>
            <b/>
            <sz val="9"/>
            <color indexed="81"/>
            <rFont val="Tahoma"/>
            <family val="2"/>
          </rPr>
          <t>Matthew Gerrits:</t>
        </r>
        <r>
          <rPr>
            <sz val="9"/>
            <color indexed="81"/>
            <rFont val="Tahoma"/>
            <family val="2"/>
          </rPr>
          <t xml:space="preserve">
Covers  1 Co-op per term, starting Fall
Escalates to 50400 starting following year</t>
        </r>
      </text>
    </comment>
    <comment ref="C16" authorId="1" shapeId="0" xr:uid="{6C43C139-4ADF-4DB0-8F69-FE9026CDC1BB}">
      <text>
        <r>
          <rPr>
            <b/>
            <sz val="9"/>
            <color indexed="81"/>
            <rFont val="Tahoma"/>
            <family val="2"/>
          </rPr>
          <t>Seneca Velling:</t>
        </r>
        <r>
          <rPr>
            <sz val="9"/>
            <color indexed="81"/>
            <rFont val="Tahoma"/>
            <family val="2"/>
          </rPr>
          <t xml:space="preserve">
Dedicated research panel to support work with student research, under oversight of VPEd (see FY2020 Revenue Proposal, VPEd Gerrits)</t>
        </r>
      </text>
    </comment>
    <comment ref="G16" authorId="2" shapeId="0" xr:uid="{9B94FF81-7634-47D8-8521-B6C0EB8E26EE}">
      <text>
        <t>[Threaded comment]
Your version of Excel allows you to read this threaded comment; however, any edits to it will get removed if the file is opened in a newer version of Excel. Learn more: https://go.microsoft.com/fwlink/?linkid=870924
Comment:
    Slight addition since none used past 2 years and will be launch of program</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Natasha Pozega</author>
    <author>Ben Balfour</author>
    <author>Kurt MacMillan</author>
    <author>Kanan Sharma</author>
    <author>tc={D2624352-8A53-4297-A9FB-D3E47D4275DD}</author>
    <author>Windows User</author>
    <author>Kumar Patel</author>
    <author>Suzanne Burdett</author>
  </authors>
  <commentList>
    <comment ref="I9" authorId="0" shapeId="0" xr:uid="{00000000-0006-0000-0700-000001000000}">
      <text>
        <r>
          <rPr>
            <b/>
            <sz val="8"/>
            <color indexed="81"/>
            <rFont val="Tahoma"/>
            <family val="2"/>
          </rPr>
          <t>Natasha Pozega:</t>
        </r>
        <r>
          <rPr>
            <sz val="8"/>
            <color indexed="81"/>
            <rFont val="Tahoma"/>
            <family val="2"/>
          </rPr>
          <t xml:space="preserve">
Poll Clerks</t>
        </r>
      </text>
    </comment>
    <comment ref="K9" authorId="1" shapeId="0" xr:uid="{00000000-0006-0000-0700-000002000000}">
      <text>
        <r>
          <rPr>
            <b/>
            <sz val="9"/>
            <color indexed="81"/>
            <rFont val="Tahoma"/>
            <family val="2"/>
          </rPr>
          <t>Ben Balfour:</t>
        </r>
        <r>
          <rPr>
            <sz val="9"/>
            <color indexed="81"/>
            <rFont val="Tahoma"/>
            <family val="2"/>
          </rPr>
          <t xml:space="preserve">
450/term based on Anne Marie's estimates
</t>
        </r>
      </text>
    </comment>
    <comment ref="S9" authorId="2" shapeId="0" xr:uid="{00000000-0006-0000-0700-000003000000}">
      <text>
        <r>
          <rPr>
            <b/>
            <sz val="9"/>
            <color indexed="81"/>
            <rFont val="Tahoma"/>
            <family val="2"/>
          </rPr>
          <t>Kurt MacMillan:</t>
        </r>
        <r>
          <rPr>
            <sz val="9"/>
            <color indexed="81"/>
            <rFont val="Tahoma"/>
            <family val="2"/>
          </rPr>
          <t xml:space="preserve">
Excepting more PT roles due to more student engagement</t>
        </r>
      </text>
    </comment>
    <comment ref="U9" authorId="2" shapeId="0" xr:uid="{00000000-0006-0000-0700-000004000000}">
      <text>
        <r>
          <rPr>
            <sz val="9"/>
            <color indexed="81"/>
            <rFont val="Tahoma"/>
            <family val="2"/>
          </rPr>
          <t>Intended to share GEC role and for CRO budget moved back to elections rather than RPO budget.</t>
        </r>
      </text>
    </comment>
    <comment ref="W10" authorId="3" shapeId="0" xr:uid="{E1746D5C-1E9B-40BB-AD4F-D72592162271}">
      <text>
        <r>
          <rPr>
            <sz val="10"/>
            <rFont val="Arial"/>
            <family val="2"/>
          </rPr>
          <t>Kanan Sharma:
Kanan:
Reduced from 1000 to 0 after consulting with President this year as there aren't many inperson evdents to organise due to covid. GSRO will provide support.
Should be added next year again as this role is part of a long term plan to improve elections.</t>
        </r>
      </text>
    </comment>
    <comment ref="AA11" authorId="4" shapeId="0" xr:uid="{D2624352-8A53-4297-A9FB-D3E47D4275DD}">
      <text>
        <t>[Threaded comment]
Your version of Excel allows you to read this threaded comment; however, any edits to it will get removed if the file is opened in a newer version of Excel. Learn more: https://go.microsoft.com/fwlink/?linkid=870924
Comment:
    Note - two election cycles this year</t>
      </text>
    </comment>
    <comment ref="U13" authorId="5" shapeId="0" xr:uid="{00000000-0006-0000-0700-000005000000}">
      <text>
        <r>
          <rPr>
            <b/>
            <sz val="9"/>
            <color indexed="81"/>
            <rFont val="Tahoma"/>
            <family val="2"/>
          </rPr>
          <t>Windows User:</t>
        </r>
        <r>
          <rPr>
            <sz val="9"/>
            <color indexed="81"/>
            <rFont val="Tahoma"/>
            <family val="2"/>
          </rPr>
          <t xml:space="preserve">
Subsumed under Marketing Budget. Polling Clerks will be Promo team members to increase engagement opportunities.</t>
        </r>
      </text>
    </comment>
    <comment ref="W17" authorId="3" shapeId="0" xr:uid="{A7FA7DF3-C0EC-409B-B310-02E920C9524D}">
      <text>
        <r>
          <rPr>
            <sz val="10"/>
            <rFont val="Arial"/>
            <family val="2"/>
          </rPr>
          <t>Kanan Sharma:
reduced from $1000 to 750. because we aren't doing the usual inperson events but still need to purchase some online gift cards, pay for some online programming if necessary, as we will still need to run some kind of events and have “door prizes”. Includes Volunteer Appreciation</t>
        </r>
      </text>
    </comment>
    <comment ref="G20" authorId="6" shapeId="0" xr:uid="{00000000-0006-0000-0700-000006000000}">
      <text>
        <r>
          <rPr>
            <b/>
            <sz val="8"/>
            <color indexed="81"/>
            <rFont val="Tahoma"/>
            <family val="2"/>
          </rPr>
          <t>Kumar Patel:</t>
        </r>
        <r>
          <rPr>
            <sz val="8"/>
            <color indexed="81"/>
            <rFont val="Tahoma"/>
            <family val="2"/>
          </rPr>
          <t xml:space="preserve">
Moving forward all advertising will be absorbed in general marketing budget</t>
        </r>
      </text>
    </comment>
    <comment ref="S20" authorId="2" shapeId="0" xr:uid="{00000000-0006-0000-0700-000007000000}">
      <text>
        <r>
          <rPr>
            <b/>
            <sz val="9"/>
            <color indexed="81"/>
            <rFont val="Tahoma"/>
            <family val="2"/>
          </rPr>
          <t>Kurt MacMillan:</t>
        </r>
        <r>
          <rPr>
            <sz val="9"/>
            <color indexed="81"/>
            <rFont val="Tahoma"/>
            <family val="2"/>
          </rPr>
          <t xml:space="preserve">
Moved to Marketing's budget</t>
        </r>
      </text>
    </comment>
    <comment ref="G21" authorId="6" shapeId="0" xr:uid="{00000000-0006-0000-0700-000008000000}">
      <text>
        <r>
          <rPr>
            <b/>
            <sz val="8"/>
            <color indexed="81"/>
            <rFont val="Tahoma"/>
            <family val="2"/>
          </rPr>
          <t>Kumar Patel:</t>
        </r>
        <r>
          <rPr>
            <sz val="8"/>
            <color indexed="81"/>
            <rFont val="Tahoma"/>
            <family val="2"/>
          </rPr>
          <t xml:space="preserve">
Noble: Very difficult to predict. Could see decreased or increased need following our elections &amp; governance reviews.</t>
        </r>
      </text>
    </comment>
    <comment ref="S21" authorId="2" shapeId="0" xr:uid="{00000000-0006-0000-0700-000009000000}">
      <text>
        <r>
          <rPr>
            <b/>
            <sz val="9"/>
            <color indexed="81"/>
            <rFont val="Tahoma"/>
            <family val="2"/>
          </rPr>
          <t>Kurt MacMillan:</t>
        </r>
        <r>
          <rPr>
            <sz val="9"/>
            <color indexed="81"/>
            <rFont val="Tahoma"/>
            <family val="2"/>
          </rPr>
          <t xml:space="preserve">
Planning for increased student election engagement</t>
        </r>
      </text>
    </comment>
    <comment ref="W21" authorId="5" shapeId="0" xr:uid="{00000000-0006-0000-0700-00000A000000}">
      <text>
        <r>
          <rPr>
            <b/>
            <sz val="9"/>
            <color indexed="81"/>
            <rFont val="Tahoma"/>
            <family val="2"/>
          </rPr>
          <t>Windows User:</t>
        </r>
        <r>
          <rPr>
            <sz val="9"/>
            <color indexed="81"/>
            <rFont val="Tahoma"/>
            <family val="2"/>
          </rPr>
          <t xml:space="preserve">
Expanded to include Senatorial candidates per procedural requirements</t>
        </r>
      </text>
    </comment>
    <comment ref="AA21" authorId="7" shapeId="0" xr:uid="{E8636F19-C3DC-442C-B9B1-74CA4DB19117}">
      <text>
        <r>
          <rPr>
            <b/>
            <sz val="9"/>
            <color indexed="81"/>
            <rFont val="Tahoma"/>
            <family val="2"/>
          </rPr>
          <t>Suzanne Burdett:</t>
        </r>
        <r>
          <rPr>
            <sz val="9"/>
            <color indexed="81"/>
            <rFont val="Tahoma"/>
            <family val="2"/>
          </rPr>
          <t xml:space="preserve">
estimating 3 officers for 2 positions = 2250
4 senators = 600
25 Directors = 3750
Double for 2 election cycles</t>
        </r>
      </text>
    </comment>
    <comment ref="T23" authorId="5" shapeId="0" xr:uid="{00000000-0006-0000-0700-00000B000000}">
      <text>
        <r>
          <rPr>
            <b/>
            <sz val="9"/>
            <color indexed="81"/>
            <rFont val="Tahoma"/>
            <family val="2"/>
          </rPr>
          <t>Windows User:</t>
        </r>
        <r>
          <rPr>
            <sz val="9"/>
            <color indexed="81"/>
            <rFont val="Tahoma"/>
            <family val="2"/>
          </rPr>
          <t xml:space="preserve">
Candidate rebates, elections costs, and referendum costs were very large due to former bylaw requirements on by-elections. Should be fixed now that bylaws have been sorted out.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R7" authorId="0" shapeId="0" xr:uid="{00000000-0006-0000-0800-000001000000}">
      <text>
        <r>
          <rPr>
            <b/>
            <sz val="9"/>
            <color indexed="81"/>
            <rFont val="Tahoma"/>
            <family val="2"/>
          </rPr>
          <t>Windows User:</t>
        </r>
        <r>
          <rPr>
            <sz val="9"/>
            <color indexed="81"/>
            <rFont val="Tahoma"/>
            <family val="2"/>
          </rPr>
          <t xml:space="preserve">
Discontinued. Responsibilities subsumed under the President by Bylaw changes and Council directive.</t>
        </r>
      </text>
    </comment>
    <comment ref="T8" authorId="0" shapeId="0" xr:uid="{00000000-0006-0000-0800-000002000000}">
      <text>
        <r>
          <rPr>
            <b/>
            <sz val="9"/>
            <color indexed="81"/>
            <rFont val="Tahoma"/>
            <family val="2"/>
          </rPr>
          <t>Windows User:</t>
        </r>
        <r>
          <rPr>
            <sz val="9"/>
            <color indexed="81"/>
            <rFont val="Tahoma"/>
            <family val="2"/>
          </rPr>
          <t xml:space="preserve">
Created by VPSL in Winter 2019 (transition), ratified by Council.
</t>
        </r>
      </text>
    </comment>
    <comment ref="R33" authorId="0" shapeId="0" xr:uid="{00000000-0006-0000-0800-000003000000}">
      <text>
        <r>
          <rPr>
            <b/>
            <sz val="9"/>
            <color indexed="81"/>
            <rFont val="Tahoma"/>
            <family val="2"/>
          </rPr>
          <t>Windows User:</t>
        </r>
        <r>
          <rPr>
            <sz val="9"/>
            <color indexed="81"/>
            <rFont val="Tahoma"/>
            <family val="2"/>
          </rPr>
          <t xml:space="preserve">
Discontinued. Responsibilities subsumed under the President by Bylaw changes and Council directive.</t>
        </r>
      </text>
    </comment>
    <comment ref="T34" authorId="0" shapeId="0" xr:uid="{00000000-0006-0000-0800-000004000000}">
      <text>
        <r>
          <rPr>
            <b/>
            <sz val="9"/>
            <color indexed="81"/>
            <rFont val="Tahoma"/>
            <family val="2"/>
          </rPr>
          <t>Windows User:</t>
        </r>
        <r>
          <rPr>
            <sz val="9"/>
            <color indexed="81"/>
            <rFont val="Tahoma"/>
            <family val="2"/>
          </rPr>
          <t xml:space="preserve">
Created by VPSL in Winter 2019 (transition), ratified by Council.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s4cook</author>
    <author>Matt Colphon</author>
    <author>Kumar Patel</author>
    <author>Devin J. Drury</author>
    <author>Natasha Pozega</author>
    <author>Savannah Richardson</author>
    <author>Windows User</author>
    <author>Suzanne Burdett</author>
    <author>nbest</author>
    <author>Benjamin Balfour</author>
    <author>Carly McCready</author>
    <author>Kurt MacMillan</author>
    <author>Seneca Velling</author>
    <author>Brian Schwan</author>
    <author>Clark</author>
    <author>decapper</author>
  </authors>
  <commentList>
    <comment ref="C9" authorId="0" shapeId="0" xr:uid="{00000000-0006-0000-0900-000001000000}">
      <text>
        <r>
          <rPr>
            <b/>
            <sz val="8"/>
            <color indexed="81"/>
            <rFont val="Tahoma"/>
            <family val="2"/>
          </rPr>
          <t>s4cook:</t>
        </r>
        <r>
          <rPr>
            <sz val="8"/>
            <color indexed="81"/>
            <rFont val="Tahoma"/>
            <family val="2"/>
          </rPr>
          <t xml:space="preserve">
-increased by inflation
</t>
        </r>
      </text>
    </comment>
    <comment ref="E9" authorId="1" shapeId="0" xr:uid="{00000000-0006-0000-0900-000002000000}">
      <text>
        <r>
          <rPr>
            <b/>
            <sz val="8"/>
            <color indexed="81"/>
            <rFont val="Tahoma"/>
            <family val="2"/>
          </rPr>
          <t>Matt Colphon:</t>
        </r>
        <r>
          <rPr>
            <sz val="8"/>
            <color indexed="81"/>
            <rFont val="Tahoma"/>
            <family val="2"/>
          </rPr>
          <t xml:space="preserve">
included CPI increase to previous, need number</t>
        </r>
      </text>
    </comment>
    <comment ref="G9" authorId="2" shapeId="0" xr:uid="{00000000-0006-0000-0900-000003000000}">
      <text>
        <r>
          <rPr>
            <b/>
            <sz val="8"/>
            <color indexed="81"/>
            <rFont val="Tahoma"/>
            <family val="2"/>
          </rPr>
          <t>Kumar Patel:</t>
        </r>
        <r>
          <rPr>
            <sz val="8"/>
            <color indexed="81"/>
            <rFont val="Tahoma"/>
            <family val="2"/>
          </rPr>
          <t xml:space="preserve">
2.5% CPI increase</t>
        </r>
      </text>
    </comment>
    <comment ref="I9" authorId="3" shapeId="0" xr:uid="{00000000-0006-0000-0900-000004000000}">
      <text>
        <r>
          <rPr>
            <b/>
            <sz val="8"/>
            <color indexed="81"/>
            <rFont val="Tahoma"/>
            <family val="2"/>
          </rPr>
          <t>Devin J. Drury:</t>
        </r>
        <r>
          <rPr>
            <sz val="8"/>
            <color indexed="81"/>
            <rFont val="Tahoma"/>
            <family val="2"/>
          </rPr>
          <t xml:space="preserve">
Based on last years wage.</t>
        </r>
      </text>
    </comment>
    <comment ref="K11" authorId="4" shapeId="0" xr:uid="{00000000-0006-0000-0900-000005000000}">
      <text>
        <r>
          <rPr>
            <b/>
            <sz val="9"/>
            <color indexed="81"/>
            <rFont val="Tahoma"/>
            <family val="2"/>
          </rPr>
          <t>Natasha Pozega:</t>
        </r>
        <r>
          <rPr>
            <sz val="9"/>
            <color indexed="81"/>
            <rFont val="Tahoma"/>
            <family val="2"/>
          </rPr>
          <t xml:space="preserve">
Society relations Commissioner ($12/hr. 15hrs/wk)
</t>
        </r>
      </text>
    </comment>
    <comment ref="S11" authorId="5" shapeId="0" xr:uid="{00000000-0006-0000-0900-000006000000}">
      <text>
        <r>
          <rPr>
            <b/>
            <sz val="9"/>
            <color indexed="81"/>
            <rFont val="Tahoma"/>
            <family val="2"/>
          </rPr>
          <t>Savannah Richardson:</t>
        </r>
        <r>
          <rPr>
            <sz val="9"/>
            <color indexed="81"/>
            <rFont val="Tahoma"/>
            <family val="2"/>
          </rPr>
          <t xml:space="preserve">
Looking to increase SRC pay to match more closely what VPEd commissioners are being paid. Starting in fall 2018 I would like to increase the pay to $14.50 from $14. </t>
        </r>
      </text>
    </comment>
    <comment ref="U11" authorId="6" shapeId="0" xr:uid="{00000000-0006-0000-0900-000007000000}">
      <text>
        <r>
          <rPr>
            <b/>
            <sz val="9"/>
            <color indexed="81"/>
            <rFont val="Tahoma"/>
            <family val="2"/>
          </rPr>
          <t>Windows User:</t>
        </r>
        <r>
          <rPr>
            <sz val="9"/>
            <color indexed="81"/>
            <rFont val="Tahoma"/>
            <family val="2"/>
          </rPr>
          <t xml:space="preserve">
SRC didn’t meet much this year but with new Equity commissioner we would like to see this continue
PT Wages moved into appropriate cost centres</t>
        </r>
      </text>
    </comment>
    <comment ref="W11" authorId="7" shapeId="0" xr:uid="{15597D5D-CE24-4980-904A-9C1ED839D6C6}">
      <text>
        <r>
          <rPr>
            <b/>
            <sz val="9"/>
            <color indexed="81"/>
            <rFont val="Tahoma"/>
            <family val="2"/>
          </rPr>
          <t>Suzanne Burdett:</t>
        </r>
        <r>
          <rPr>
            <sz val="9"/>
            <color indexed="81"/>
            <rFont val="Tahoma"/>
            <family val="2"/>
          </rPr>
          <t xml:space="preserve">
wages for outgoing VPSL in May for support/transition</t>
        </r>
      </text>
    </comment>
    <comment ref="C12" authorId="8" shapeId="0" xr:uid="{00000000-0006-0000-0900-000008000000}">
      <text>
        <r>
          <rPr>
            <b/>
            <sz val="8"/>
            <color indexed="81"/>
            <rFont val="Tahoma"/>
            <family val="2"/>
          </rPr>
          <t>nbest:</t>
        </r>
        <r>
          <rPr>
            <sz val="8"/>
            <color indexed="81"/>
            <rFont val="Tahoma"/>
            <family val="2"/>
          </rPr>
          <t xml:space="preserve">
Includes the banquet in 3 EOTs for service coords (one bomber bbq, and two fed hall events at 2700 each, 3 service coord dinners (Over 3 terms,8 services, 2 service coords each, $10 gift each, and $25 meal each), Exec appreciation for societies (pending participation with feds),  
</t>
        </r>
      </text>
    </comment>
    <comment ref="G12" authorId="2" shapeId="0" xr:uid="{00000000-0006-0000-0900-000009000000}">
      <text>
        <r>
          <rPr>
            <b/>
            <sz val="8"/>
            <color indexed="81"/>
            <rFont val="Tahoma"/>
            <family val="2"/>
          </rPr>
          <t>Kumar Patel:</t>
        </r>
        <r>
          <rPr>
            <sz val="8"/>
            <color indexed="81"/>
            <rFont val="Tahoma"/>
            <family val="2"/>
          </rPr>
          <t xml:space="preserve">
Increased to make room for higher costs following the loss of Fed Hall</t>
        </r>
      </text>
    </comment>
    <comment ref="I12" authorId="3" shapeId="0" xr:uid="{00000000-0006-0000-0900-00000A000000}">
      <text>
        <r>
          <rPr>
            <b/>
            <sz val="8"/>
            <color indexed="81"/>
            <rFont val="Tahoma"/>
            <family val="2"/>
          </rPr>
          <t>Devin J. Drury:</t>
        </r>
        <r>
          <rPr>
            <sz val="8"/>
            <color indexed="81"/>
            <rFont val="Tahoma"/>
            <family val="2"/>
          </rPr>
          <t xml:space="preserve">
$5000 X 3 - Volunteer extravaganzas
</t>
        </r>
      </text>
    </comment>
    <comment ref="K12" authorId="9" shapeId="0" xr:uid="{00000000-0006-0000-0900-00000B000000}">
      <text>
        <r>
          <rPr>
            <b/>
            <sz val="9"/>
            <color indexed="81"/>
            <rFont val="Tahoma"/>
            <family val="2"/>
          </rPr>
          <t>Benjamin Balfour:</t>
        </r>
        <r>
          <rPr>
            <sz val="9"/>
            <color indexed="81"/>
            <rFont val="Tahoma"/>
            <family val="2"/>
          </rPr>
          <t xml:space="preserve">
went up 2000/term?  There is a tier system in place for VA.  </t>
        </r>
      </text>
    </comment>
    <comment ref="U12" authorId="6" shapeId="0" xr:uid="{00000000-0006-0000-0900-00000C000000}">
      <text>
        <r>
          <rPr>
            <b/>
            <sz val="9"/>
            <color indexed="81"/>
            <rFont val="Tahoma"/>
            <family val="2"/>
          </rPr>
          <t>Windows User:</t>
        </r>
        <r>
          <rPr>
            <sz val="9"/>
            <color indexed="81"/>
            <rFont val="Tahoma"/>
            <family val="2"/>
          </rPr>
          <t xml:space="preserve">
Includes $2000 going to Leadership awards required by Council Procedures.</t>
        </r>
      </text>
    </comment>
    <comment ref="M14" authorId="10" shapeId="0" xr:uid="{00000000-0006-0000-0900-00000D000000}">
      <text>
        <r>
          <rPr>
            <b/>
            <sz val="9"/>
            <color indexed="81"/>
            <rFont val="Tahoma"/>
            <family val="2"/>
          </rPr>
          <t>Carly McCready:</t>
        </r>
        <r>
          <rPr>
            <sz val="9"/>
            <color indexed="81"/>
            <rFont val="Tahoma"/>
            <family val="2"/>
          </rPr>
          <t xml:space="preserve">
67.80/month</t>
        </r>
      </text>
    </comment>
    <comment ref="S14" authorId="11" shapeId="0" xr:uid="{00000000-0006-0000-0900-00000E000000}">
      <text>
        <r>
          <rPr>
            <b/>
            <sz val="9"/>
            <color indexed="81"/>
            <rFont val="Tahoma"/>
            <family val="2"/>
          </rPr>
          <t>Kurt MacMillan:</t>
        </r>
        <r>
          <rPr>
            <sz val="9"/>
            <color indexed="81"/>
            <rFont val="Tahoma"/>
            <family val="2"/>
          </rPr>
          <t xml:space="preserve">
Alotted $73/month x12 months</t>
        </r>
      </text>
    </comment>
    <comment ref="U14" authorId="6" shapeId="0" xr:uid="{00000000-0006-0000-0900-00000F000000}">
      <text>
        <r>
          <rPr>
            <b/>
            <sz val="9"/>
            <color indexed="81"/>
            <rFont val="Tahoma"/>
            <family val="2"/>
          </rPr>
          <t>Windows User:</t>
        </r>
        <r>
          <rPr>
            <sz val="9"/>
            <color indexed="81"/>
            <rFont val="Tahoma"/>
            <family val="2"/>
          </rPr>
          <t xml:space="preserve">
Executive cellphone allowance discontinued at direction of President and VPOF, with some exceptions.</t>
        </r>
      </text>
    </comment>
    <comment ref="W14" authorId="12" shapeId="0" xr:uid="{1FFE5BB4-8BC8-4200-B143-65AFD81B28E9}">
      <text>
        <r>
          <rPr>
            <b/>
            <sz val="9"/>
            <color indexed="81"/>
            <rFont val="Tahoma"/>
            <family val="2"/>
          </rPr>
          <t>Seneca Velling:</t>
        </r>
        <r>
          <rPr>
            <sz val="9"/>
            <color indexed="81"/>
            <rFont val="Tahoma"/>
            <family val="2"/>
          </rPr>
          <t xml:space="preserve">
Based on BAC formula set for Credd Phone Reimbursement to standardize this across Execs with constancy and uniformity: $50/month * 12 months = $600 per annum</t>
        </r>
      </text>
    </comment>
    <comment ref="C16" authorId="8" shapeId="0" xr:uid="{00000000-0006-0000-0900-000010000000}">
      <text>
        <r>
          <rPr>
            <b/>
            <sz val="8"/>
            <color indexed="81"/>
            <rFont val="Tahoma"/>
            <family val="2"/>
          </rPr>
          <t>nbest:</t>
        </r>
        <r>
          <rPr>
            <sz val="8"/>
            <color indexed="81"/>
            <rFont val="Tahoma"/>
            <family val="2"/>
          </rPr>
          <t xml:space="preserve">
For increase of paper from the Societies</t>
        </r>
      </text>
    </comment>
    <comment ref="I16" authorId="3" shapeId="0" xr:uid="{00000000-0006-0000-0900-000011000000}">
      <text>
        <r>
          <rPr>
            <b/>
            <sz val="8"/>
            <color indexed="81"/>
            <rFont val="Tahoma"/>
            <family val="2"/>
          </rPr>
          <t>Devin J. Drury:</t>
        </r>
        <r>
          <rPr>
            <sz val="8"/>
            <color indexed="81"/>
            <rFont val="Tahoma"/>
            <family val="2"/>
          </rPr>
          <t xml:space="preserve">
Increased/decreased to reflect Alex's spending from last year,</t>
        </r>
      </text>
    </comment>
    <comment ref="AA16" authorId="7" shapeId="0" xr:uid="{28332C53-2193-4A8F-91AB-7DBBA29C6ED6}">
      <text>
        <r>
          <rPr>
            <b/>
            <sz val="9"/>
            <color indexed="81"/>
            <rFont val="Tahoma"/>
            <family val="2"/>
          </rPr>
          <t>Suzanne Burdett:</t>
        </r>
        <r>
          <rPr>
            <sz val="9"/>
            <color indexed="81"/>
            <rFont val="Tahoma"/>
            <family val="2"/>
          </rPr>
          <t xml:space="preserve">
All photocopier costs centralized through General Office budget
Very low cost now</t>
        </r>
      </text>
    </comment>
    <comment ref="C18" authorId="8" shapeId="0" xr:uid="{00000000-0006-0000-0900-000012000000}">
      <text>
        <r>
          <rPr>
            <b/>
            <sz val="8"/>
            <color indexed="81"/>
            <rFont val="Tahoma"/>
            <family val="2"/>
          </rPr>
          <t>nbest:</t>
        </r>
        <r>
          <rPr>
            <sz val="8"/>
            <color indexed="81"/>
            <rFont val="Tahoma"/>
            <family val="2"/>
          </rPr>
          <t xml:space="preserve">
Includes a portable binder for use in 10 committees</t>
        </r>
      </text>
    </comment>
    <comment ref="G18" authorId="2" shapeId="0" xr:uid="{00000000-0006-0000-0900-000013000000}">
      <text>
        <r>
          <rPr>
            <b/>
            <sz val="8"/>
            <color indexed="81"/>
            <rFont val="Tahoma"/>
            <family val="2"/>
          </rPr>
          <t>Kumar Patel:</t>
        </r>
        <r>
          <rPr>
            <sz val="8"/>
            <color indexed="81"/>
            <rFont val="Tahoma"/>
            <family val="2"/>
          </rPr>
          <t xml:space="preserve">
$100 for VPIN OFFICE
$1200 for 3 services computers (the three that need them the most, as determined by Services Manager and IT) </t>
        </r>
      </text>
    </comment>
    <comment ref="C19" authorId="8" shapeId="0" xr:uid="{00000000-0006-0000-0900-000014000000}">
      <text>
        <r>
          <rPr>
            <b/>
            <sz val="8"/>
            <color indexed="81"/>
            <rFont val="Tahoma"/>
            <family val="2"/>
          </rPr>
          <t>nbest:</t>
        </r>
        <r>
          <rPr>
            <sz val="8"/>
            <color indexed="81"/>
            <rFont val="Tahoma"/>
            <family val="2"/>
          </rPr>
          <t xml:space="preserve">
Includes societies, COPs with $100 per society, and BOT and EOT food for COPS, IAC, IFC. Also includes business lunches.</t>
        </r>
      </text>
    </comment>
    <comment ref="C20" authorId="8" shapeId="0" xr:uid="{00000000-0006-0000-0900-000015000000}">
      <text>
        <r>
          <rPr>
            <b/>
            <sz val="8"/>
            <color indexed="81"/>
            <rFont val="Tahoma"/>
            <family val="2"/>
          </rPr>
          <t>nbest:</t>
        </r>
        <r>
          <rPr>
            <sz val="8"/>
            <color indexed="81"/>
            <rFont val="Tahoma"/>
            <family val="2"/>
          </rPr>
          <t xml:space="preserve">
For a diversity conference somewhere, and no EDGE or COCA, and already went to one for free. (OCHA)
</t>
        </r>
      </text>
    </comment>
    <comment ref="G20" authorId="2" shapeId="0" xr:uid="{00000000-0006-0000-0900-000016000000}">
      <text>
        <r>
          <rPr>
            <b/>
            <sz val="8"/>
            <color indexed="81"/>
            <rFont val="Tahoma"/>
            <family val="2"/>
          </rPr>
          <t>Kumar Patel:</t>
        </r>
        <r>
          <rPr>
            <sz val="8"/>
            <color indexed="81"/>
            <rFont val="Tahoma"/>
            <family val="2"/>
          </rPr>
          <t xml:space="preserve">
UBC SUDS Conference</t>
        </r>
      </text>
    </comment>
    <comment ref="I20" authorId="4" shapeId="0" xr:uid="{00000000-0006-0000-0900-000017000000}">
      <text>
        <r>
          <rPr>
            <b/>
            <sz val="8"/>
            <color indexed="81"/>
            <rFont val="Tahoma"/>
            <family val="2"/>
          </rPr>
          <t>Natasha Pozega:</t>
        </r>
        <r>
          <rPr>
            <sz val="8"/>
            <color indexed="81"/>
            <rFont val="Tahoma"/>
            <family val="2"/>
          </rPr>
          <t xml:space="preserve">
COCA 500 airfare, 400fee, 1100 5 nights in hotel, 300 5 days of food, 40 shuttle, 200 transportation to and from airport, </t>
        </r>
      </text>
    </comment>
    <comment ref="O20" authorId="13" shapeId="0" xr:uid="{00000000-0006-0000-0900-000018000000}">
      <text>
        <r>
          <rPr>
            <b/>
            <sz val="9"/>
            <color indexed="81"/>
            <rFont val="Tahoma"/>
            <family val="2"/>
          </rPr>
          <t>Brian Schwan:</t>
        </r>
        <r>
          <rPr>
            <sz val="9"/>
            <color indexed="81"/>
            <rFont val="Tahoma"/>
            <family val="2"/>
          </rPr>
          <t xml:space="preserve">
For travel to satelite campus- no conf planned</t>
        </r>
      </text>
    </comment>
    <comment ref="E21" authorId="14" shapeId="0" xr:uid="{00000000-0006-0000-0900-000019000000}">
      <text>
        <r>
          <rPr>
            <b/>
            <sz val="9"/>
            <color indexed="81"/>
            <rFont val="Tahoma"/>
            <family val="2"/>
          </rPr>
          <t>Kumar: Services office renovations $20000/year for 3 years</t>
        </r>
      </text>
    </comment>
    <comment ref="G21" authorId="2" shapeId="0" xr:uid="{00000000-0006-0000-0900-00001A000000}">
      <text>
        <r>
          <rPr>
            <b/>
            <sz val="8"/>
            <color indexed="81"/>
            <rFont val="Tahoma"/>
            <family val="2"/>
          </rPr>
          <t>Kumar Patel:</t>
        </r>
        <r>
          <rPr>
            <sz val="8"/>
            <color indexed="81"/>
            <rFont val="Tahoma"/>
            <family val="2"/>
          </rPr>
          <t xml:space="preserve">
Service Renos ($20000), laptop ($1000)</t>
        </r>
      </text>
    </comment>
    <comment ref="C23" authorId="8" shapeId="0" xr:uid="{00000000-0006-0000-0900-00001B000000}">
      <text>
        <r>
          <rPr>
            <b/>
            <sz val="8"/>
            <color indexed="81"/>
            <rFont val="Tahoma"/>
            <family val="2"/>
          </rPr>
          <t>nbest:</t>
        </r>
        <r>
          <rPr>
            <sz val="8"/>
            <color indexed="81"/>
            <rFont val="Tahoma"/>
            <family val="2"/>
          </rPr>
          <t xml:space="preserve">
May use for new plans after service review goes out or for society bridge building initiatives
- arch lunch
- exec gear</t>
        </r>
      </text>
    </comment>
    <comment ref="G23" authorId="2" shapeId="0" xr:uid="{00000000-0006-0000-0900-00001C000000}">
      <text>
        <r>
          <rPr>
            <b/>
            <sz val="8"/>
            <color indexed="81"/>
            <rFont val="Tahoma"/>
            <family val="2"/>
          </rPr>
          <t>Kumar Patel:</t>
        </r>
        <r>
          <rPr>
            <sz val="8"/>
            <color indexed="81"/>
            <rFont val="Tahoma"/>
            <family val="2"/>
          </rPr>
          <t xml:space="preserve">
Will include some internal Services Department special projects</t>
        </r>
      </text>
    </comment>
    <comment ref="I23" authorId="3" shapeId="0" xr:uid="{00000000-0006-0000-0900-00001D000000}">
      <text>
        <r>
          <rPr>
            <b/>
            <sz val="8"/>
            <color indexed="81"/>
            <rFont val="Tahoma"/>
            <family val="2"/>
          </rPr>
          <t>Devin J. Drury:</t>
        </r>
        <r>
          <rPr>
            <sz val="8"/>
            <color indexed="81"/>
            <rFont val="Tahoma"/>
            <family val="2"/>
          </rPr>
          <t xml:space="preserve">
Projects including: 
New signs for services, clubs area, society relations</t>
        </r>
      </text>
    </comment>
    <comment ref="S23" authorId="5" shapeId="0" xr:uid="{00000000-0006-0000-0900-00001E000000}">
      <text>
        <r>
          <rPr>
            <b/>
            <sz val="9"/>
            <color indexed="81"/>
            <rFont val="Tahoma"/>
            <family val="2"/>
          </rPr>
          <t>Savannah Richardson:</t>
        </r>
        <r>
          <rPr>
            <sz val="9"/>
            <color indexed="81"/>
            <rFont val="Tahoma"/>
            <family val="2"/>
          </rPr>
          <t xml:space="preserve">
this $4250 is broken down into the three categories outlined in the next three rows </t>
        </r>
      </text>
    </comment>
    <comment ref="B24" authorId="11" shapeId="0" xr:uid="{00000000-0006-0000-0900-00001F000000}">
      <text>
        <r>
          <rPr>
            <b/>
            <sz val="9"/>
            <color indexed="81"/>
            <rFont val="Tahoma"/>
            <family val="2"/>
          </rPr>
          <t>Kurt MacMillan:</t>
        </r>
        <r>
          <rPr>
            <sz val="9"/>
            <color indexed="81"/>
            <rFont val="Tahoma"/>
            <family val="2"/>
          </rPr>
          <t xml:space="preserve">
Now Advocacy
</t>
        </r>
      </text>
    </comment>
    <comment ref="U24" authorId="6" shapeId="0" xr:uid="{00000000-0006-0000-0900-000020000000}">
      <text>
        <r>
          <rPr>
            <b/>
            <sz val="9"/>
            <color indexed="81"/>
            <rFont val="Tahoma"/>
            <family val="2"/>
          </rPr>
          <t>Windows User:</t>
        </r>
        <r>
          <rPr>
            <sz val="9"/>
            <color indexed="81"/>
            <rFont val="Tahoma"/>
            <family val="2"/>
          </rPr>
          <t xml:space="preserve">
Moved to President's portfolio</t>
        </r>
      </text>
    </comment>
    <comment ref="I25" authorId="4" shapeId="0" xr:uid="{00000000-0006-0000-0900-000021000000}">
      <text>
        <r>
          <rPr>
            <b/>
            <sz val="8"/>
            <color indexed="81"/>
            <rFont val="Tahoma"/>
            <family val="2"/>
          </rPr>
          <t>Natasha Pozega:</t>
        </r>
        <r>
          <rPr>
            <sz val="8"/>
            <color indexed="81"/>
            <rFont val="Tahoma"/>
            <family val="2"/>
          </rPr>
          <t xml:space="preserve">
$1000/term
</t>
        </r>
      </text>
    </comment>
    <comment ref="B27" authorId="11" shapeId="0" xr:uid="{00000000-0006-0000-0900-000022000000}">
      <text>
        <r>
          <rPr>
            <b/>
            <sz val="9"/>
            <color indexed="81"/>
            <rFont val="Tahoma"/>
            <family val="2"/>
          </rPr>
          <t>Kurt MacMillan:</t>
        </r>
        <r>
          <rPr>
            <sz val="9"/>
            <color indexed="81"/>
            <rFont val="Tahoma"/>
            <family val="2"/>
          </rPr>
          <t xml:space="preserve">
New student transition </t>
        </r>
      </text>
    </comment>
    <comment ref="U27" authorId="6" shapeId="0" xr:uid="{00000000-0006-0000-0900-000023000000}">
      <text>
        <r>
          <rPr>
            <b/>
            <sz val="9"/>
            <color indexed="81"/>
            <rFont val="Tahoma"/>
            <family val="2"/>
          </rPr>
          <t>Windows User:</t>
        </r>
        <r>
          <rPr>
            <sz val="9"/>
            <color indexed="81"/>
            <rFont val="Tahoma"/>
            <family val="2"/>
          </rPr>
          <t xml:space="preserve">
Moved to President's portfolio</t>
        </r>
      </text>
    </comment>
    <comment ref="U28" authorId="6" shapeId="0" xr:uid="{00000000-0006-0000-0900-000024000000}">
      <text>
        <r>
          <rPr>
            <b/>
            <sz val="9"/>
            <color indexed="81"/>
            <rFont val="Tahoma"/>
            <family val="2"/>
          </rPr>
          <t>Windows User:</t>
        </r>
        <r>
          <rPr>
            <sz val="9"/>
            <color indexed="81"/>
            <rFont val="Tahoma"/>
            <family val="2"/>
          </rPr>
          <t xml:space="preserve">
New line, subsumed from transfer of Leadership Awards from Pres to VPSL approved by Council in 2018-2019 governing year</t>
        </r>
      </text>
    </comment>
    <comment ref="B29" authorId="15" shapeId="0" xr:uid="{00000000-0006-0000-0900-000025000000}">
      <text>
        <r>
          <rPr>
            <b/>
            <sz val="8"/>
            <color indexed="81"/>
            <rFont val="Tahoma"/>
            <family val="2"/>
          </rPr>
          <t>rafzaal: Line moved from Student government to VPI</t>
        </r>
        <r>
          <rPr>
            <sz val="8"/>
            <color indexed="81"/>
            <rFont val="Tahoma"/>
            <family val="2"/>
          </rPr>
          <t xml:space="preserve">
</t>
        </r>
      </text>
    </comment>
    <comment ref="G29" authorId="2" shapeId="0" xr:uid="{00000000-0006-0000-0900-000026000000}">
      <text>
        <r>
          <rPr>
            <b/>
            <sz val="8"/>
            <color indexed="81"/>
            <rFont val="Tahoma"/>
            <family val="2"/>
          </rPr>
          <t>Kumar Patel:</t>
        </r>
        <r>
          <rPr>
            <sz val="8"/>
            <color indexed="81"/>
            <rFont val="Tahoma"/>
            <family val="2"/>
          </rPr>
          <t xml:space="preserve">
will be more selective with applications</t>
        </r>
      </text>
    </comment>
    <comment ref="I29" authorId="3" shapeId="0" xr:uid="{00000000-0006-0000-0900-000027000000}">
      <text>
        <r>
          <rPr>
            <b/>
            <sz val="8"/>
            <color indexed="81"/>
            <rFont val="Tahoma"/>
            <family val="2"/>
          </rPr>
          <t>Devin J. Drury:</t>
        </r>
        <r>
          <rPr>
            <sz val="8"/>
            <color indexed="81"/>
            <rFont val="Tahoma"/>
            <family val="2"/>
          </rPr>
          <t xml:space="preserve">
Now part of Internal Administration Committee. Value same as last year. </t>
        </r>
      </text>
    </comment>
    <comment ref="O29" authorId="13" shapeId="0" xr:uid="{00000000-0006-0000-0900-000028000000}">
      <text>
        <r>
          <rPr>
            <b/>
            <sz val="9"/>
            <color indexed="81"/>
            <rFont val="Tahoma"/>
            <family val="2"/>
          </rPr>
          <t>Brian Schwan:</t>
        </r>
        <r>
          <rPr>
            <sz val="9"/>
            <color indexed="81"/>
            <rFont val="Tahoma"/>
            <family val="2"/>
          </rPr>
          <t xml:space="preserve">
special project fund that students can apply to-w/ a focus on student iniatives</t>
        </r>
      </text>
    </comment>
    <comment ref="S29" authorId="11" shapeId="0" xr:uid="{00000000-0006-0000-0900-000029000000}">
      <text>
        <r>
          <rPr>
            <b/>
            <sz val="9"/>
            <color indexed="81"/>
            <rFont val="Tahoma"/>
            <family val="2"/>
          </rPr>
          <t>Kurt MacMillan:</t>
        </r>
        <r>
          <rPr>
            <sz val="9"/>
            <color indexed="81"/>
            <rFont val="Tahoma"/>
            <family val="2"/>
          </rPr>
          <t xml:space="preserve">
special project fund that students can apply to-w/ a focus on student iniatives
VPSL removed this line without permission of Council. Council required funding be brought back in next governing year.</t>
        </r>
      </text>
    </comment>
    <comment ref="U29" authorId="6" shapeId="0" xr:uid="{00000000-0006-0000-0900-00002A000000}">
      <text>
        <r>
          <rPr>
            <b/>
            <sz val="9"/>
            <color indexed="81"/>
            <rFont val="Tahoma"/>
            <family val="2"/>
          </rPr>
          <t>Windows User:</t>
        </r>
        <r>
          <rPr>
            <sz val="9"/>
            <color indexed="81"/>
            <rFont val="Tahoma"/>
            <family val="2"/>
          </rPr>
          <t xml:space="preserve">
Moved to VPOF Budget at direction of Council in Winter 2019</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Kurt MacMillan</author>
    <author>Clark</author>
    <author>Ben Balfour</author>
    <author>Renjie Butalid</author>
    <author>s4cook</author>
    <author>Benjamin Balfour</author>
    <author>Carly McCready</author>
  </authors>
  <commentList>
    <comment ref="S9" authorId="0" shapeId="0" xr:uid="{00000000-0006-0000-0B00-000001000000}">
      <text>
        <r>
          <rPr>
            <b/>
            <sz val="9"/>
            <color indexed="81"/>
            <rFont val="Tahoma"/>
            <family val="2"/>
          </rPr>
          <t>Kurt MacMillan:</t>
        </r>
        <r>
          <rPr>
            <sz val="9"/>
            <color indexed="81"/>
            <rFont val="Tahoma"/>
            <family val="2"/>
          </rPr>
          <t xml:space="preserve">
- $600 for volunteer recognition event (5-6 students)
- $500 for black FOC/leader shirts
- $250 for DriFit leader shirts</t>
        </r>
      </text>
    </comment>
    <comment ref="E18" authorId="1" shapeId="0" xr:uid="{00000000-0006-0000-0B00-000002000000}">
      <text>
        <r>
          <rPr>
            <b/>
            <sz val="9"/>
            <color indexed="81"/>
            <rFont val="Tahoma"/>
            <family val="2"/>
          </rPr>
          <t>Increase in accomodations for Co-chair to stay on campus (St.Pauls $75/night)</t>
        </r>
      </text>
    </comment>
    <comment ref="K18" authorId="2" shapeId="0" xr:uid="{00000000-0006-0000-0B00-000003000000}">
      <text>
        <r>
          <rPr>
            <b/>
            <sz val="9"/>
            <color indexed="81"/>
            <rFont val="Tahoma"/>
            <family val="2"/>
          </rPr>
          <t>Ben Balfour:</t>
        </r>
        <r>
          <rPr>
            <sz val="9"/>
            <color indexed="81"/>
            <rFont val="Tahoma"/>
            <family val="2"/>
          </rPr>
          <t xml:space="preserve">
Becky invoiced St.Pauls expenses from last year into this years budget.  They were $864.45.  This has been added on top of the previous number</t>
        </r>
      </text>
    </comment>
    <comment ref="B20" authorId="3" shapeId="0" xr:uid="{00000000-0006-0000-0B00-000004000000}">
      <text>
        <r>
          <rPr>
            <b/>
            <sz val="8"/>
            <color indexed="81"/>
            <rFont val="Tahoma"/>
            <family val="2"/>
          </rPr>
          <t>Renjie Butalid:</t>
        </r>
        <r>
          <rPr>
            <sz val="8"/>
            <color indexed="81"/>
            <rFont val="Tahoma"/>
            <family val="2"/>
          </rPr>
          <t xml:space="preserve">
Includes frosh kits on top of FOC Jamborees, FOC Wear and FOC Recognition
</t>
        </r>
      </text>
    </comment>
    <comment ref="C20" authorId="4" shapeId="0" xr:uid="{00000000-0006-0000-0B00-000005000000}">
      <text>
        <r>
          <rPr>
            <b/>
            <sz val="8"/>
            <color indexed="81"/>
            <rFont val="Tahoma"/>
            <family val="2"/>
          </rPr>
          <t>s4cook:</t>
        </r>
        <r>
          <rPr>
            <sz val="8"/>
            <color indexed="81"/>
            <rFont val="Tahoma"/>
            <family val="2"/>
          </rPr>
          <t xml:space="preserve">
- food, $800 for jamborees, $200 for teambuilders, gifts for FOC teams, custom cards, FOC  jackets $2500, hats</t>
        </r>
      </text>
    </comment>
    <comment ref="K20" authorId="5" shapeId="0" xr:uid="{00000000-0006-0000-0B00-000006000000}">
      <text>
        <r>
          <rPr>
            <b/>
            <sz val="9"/>
            <color indexed="81"/>
            <rFont val="Tahoma"/>
            <family val="2"/>
          </rPr>
          <t>Benjamin Balfour:</t>
        </r>
        <r>
          <rPr>
            <sz val="9"/>
            <color indexed="81"/>
            <rFont val="Tahoma"/>
            <family val="2"/>
          </rPr>
          <t xml:space="preserve">
may be a little low</t>
        </r>
      </text>
    </comment>
    <comment ref="O25" authorId="6" shapeId="0" xr:uid="{00000000-0006-0000-0B00-000007000000}">
      <text>
        <r>
          <rPr>
            <b/>
            <sz val="9"/>
            <color indexed="81"/>
            <rFont val="Tahoma"/>
            <family val="2"/>
          </rPr>
          <t>Carly McCready:</t>
        </r>
        <r>
          <rPr>
            <sz val="9"/>
            <color indexed="81"/>
            <rFont val="Tahoma"/>
            <family val="2"/>
          </rPr>
          <t xml:space="preserve">
If there are additional questions, Becky has submitted a more detailed budget that can be found in the exec drive</t>
        </r>
      </text>
    </comment>
    <comment ref="S25" authorId="0" shapeId="0" xr:uid="{00000000-0006-0000-0B00-000008000000}">
      <text>
        <r>
          <rPr>
            <b/>
            <sz val="9"/>
            <color indexed="81"/>
            <rFont val="Tahoma"/>
            <family val="2"/>
          </rPr>
          <t>Kurt MacMillan:</t>
        </r>
        <r>
          <rPr>
            <sz val="9"/>
            <color indexed="81"/>
            <rFont val="Tahoma"/>
            <family val="2"/>
          </rPr>
          <t xml:space="preserve">
Orientation budget moved to diff portfolio</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<sst xmlns="http://schemas.openxmlformats.org/spreadsheetml/2006/main" count="3987" uniqueCount="1192">
  <si>
    <t xml:space="preserve"> Federation of Students, University of Waterloo</t>
  </si>
  <si>
    <t>2022-2023 Draft Operating Budget</t>
  </si>
  <si>
    <t>General Operating Budget Summary</t>
  </si>
  <si>
    <t>Waterloo Undergraduate Student Association</t>
  </si>
  <si>
    <t>Revenues (Feds Fee)</t>
  </si>
  <si>
    <t>Budget 13/14</t>
  </si>
  <si>
    <t>Actual 13/14</t>
  </si>
  <si>
    <t>Budget 14/15</t>
  </si>
  <si>
    <t>Actual 14/15</t>
  </si>
  <si>
    <t>Budget 15/16</t>
  </si>
  <si>
    <t>Actual 15/16</t>
  </si>
  <si>
    <t>Budget 16/17</t>
  </si>
  <si>
    <t>Actual 16/17</t>
  </si>
  <si>
    <t>Budget 17/18</t>
  </si>
  <si>
    <t>Actual 17/18</t>
  </si>
  <si>
    <t>Budget 18/19</t>
  </si>
  <si>
    <t>Budget 19/20</t>
  </si>
  <si>
    <t>Budget 20/21</t>
  </si>
  <si>
    <t xml:space="preserve">Student Fees </t>
  </si>
  <si>
    <t>Other</t>
  </si>
  <si>
    <t>Interest</t>
  </si>
  <si>
    <t>Total</t>
  </si>
  <si>
    <t>Expenses</t>
  </si>
  <si>
    <t>Governance Portfolio</t>
  </si>
  <si>
    <t>Operations &amp; Finance Portfolio</t>
  </si>
  <si>
    <t>Student Life Portfolio</t>
  </si>
  <si>
    <t>Education &amp; Advocacy Portfolio</t>
  </si>
  <si>
    <t>SubTotal Income</t>
  </si>
  <si>
    <t>Bomber</t>
  </si>
  <si>
    <t>International News</t>
  </si>
  <si>
    <t>Dispensary</t>
  </si>
  <si>
    <t>Feds Used Books</t>
  </si>
  <si>
    <t>Makers Kitchen</t>
  </si>
  <si>
    <t>Student Life Centre</t>
  </si>
  <si>
    <t>Commercial Salaries</t>
  </si>
  <si>
    <t>General Office (20%)</t>
  </si>
  <si>
    <t>IT Department (20%)</t>
  </si>
  <si>
    <t>Net Organizational Income</t>
  </si>
  <si>
    <t>Gross Profit (Loss) by Portfolio</t>
  </si>
  <si>
    <t>Actual 18/19</t>
  </si>
  <si>
    <t>Actual 20/21</t>
  </si>
  <si>
    <t>Budget 21/22</t>
  </si>
  <si>
    <t>Actual 21/22</t>
  </si>
  <si>
    <t>Budget 22/23</t>
  </si>
  <si>
    <t>% Growth / Decline</t>
  </si>
  <si>
    <t xml:space="preserve"> </t>
  </si>
  <si>
    <t>Expenses by Portfolio</t>
  </si>
  <si>
    <t>Net Surplus (Loss)</t>
  </si>
  <si>
    <t xml:space="preserve">Governance Portfolio Summary </t>
  </si>
  <si>
    <t>Operating Budget, Federation of Students</t>
  </si>
  <si>
    <t>Summary of Revenues/Gross Profit</t>
  </si>
  <si>
    <t>Column1</t>
  </si>
  <si>
    <t>Column2</t>
  </si>
  <si>
    <t>Column3</t>
  </si>
  <si>
    <t>Column4</t>
  </si>
  <si>
    <t>Column5</t>
  </si>
  <si>
    <t>Column6</t>
  </si>
  <si>
    <t>Column7</t>
  </si>
  <si>
    <t>Column8</t>
  </si>
  <si>
    <t>Column9</t>
  </si>
  <si>
    <t>Column10</t>
  </si>
  <si>
    <t>Budget 19/21</t>
  </si>
  <si>
    <t>% Change from last FY</t>
  </si>
  <si>
    <t>President (30100)</t>
  </si>
  <si>
    <t>Orientation (32100)</t>
  </si>
  <si>
    <t>Elections (31300)</t>
  </si>
  <si>
    <t>Research and Policy Officer (31200)</t>
  </si>
  <si>
    <t>Student Government (31100)</t>
  </si>
  <si>
    <t>Summary of Expenses</t>
  </si>
  <si>
    <t>Net Income</t>
  </si>
  <si>
    <t>30100 - President</t>
  </si>
  <si>
    <t>A Part of the Governance Portfolio</t>
  </si>
  <si>
    <t>Revenues</t>
  </si>
  <si>
    <t>Budget 10/11</t>
  </si>
  <si>
    <t>Actual 10/11</t>
  </si>
  <si>
    <t>Budget 11/12</t>
  </si>
  <si>
    <t>Actual 11/12</t>
  </si>
  <si>
    <t>Budget 12/13</t>
  </si>
  <si>
    <t>Actual 12/13</t>
  </si>
  <si>
    <t>Actuals 14/15</t>
  </si>
  <si>
    <t>Actuals 15/16</t>
  </si>
  <si>
    <t>Actual P12 19/20</t>
  </si>
  <si>
    <t>Total Revenues</t>
  </si>
  <si>
    <t xml:space="preserve">Account </t>
  </si>
  <si>
    <t>64010-30100</t>
  </si>
  <si>
    <t>Wages</t>
  </si>
  <si>
    <t xml:space="preserve">     Benefits</t>
  </si>
  <si>
    <t>64040-30100</t>
  </si>
  <si>
    <t>PT Wages</t>
  </si>
  <si>
    <t>AVP Governance &amp; Stakeholder Relations</t>
  </si>
  <si>
    <t>64080-30100</t>
  </si>
  <si>
    <t>Volunteer Recognition</t>
  </si>
  <si>
    <t>65010-30100</t>
  </si>
  <si>
    <t>Telephone</t>
  </si>
  <si>
    <t>65020-30100</t>
  </si>
  <si>
    <t>Cell Phone</t>
  </si>
  <si>
    <t>65030-30100</t>
  </si>
  <si>
    <t>Fax</t>
  </si>
  <si>
    <t xml:space="preserve"> $                              -  </t>
  </si>
  <si>
    <t>65070-30100</t>
  </si>
  <si>
    <t>Photocopying</t>
  </si>
  <si>
    <t>65090-30100</t>
  </si>
  <si>
    <t>General Office/Computer Supplies</t>
  </si>
  <si>
    <t>66010-30100</t>
  </si>
  <si>
    <t>Ent/Promo/Meetings</t>
  </si>
  <si>
    <t>66030-30100</t>
  </si>
  <si>
    <t>Travel/Conf/Prof.Dev't</t>
  </si>
  <si>
    <t>66110-30100</t>
  </si>
  <si>
    <t>Long Range Planning</t>
  </si>
  <si>
    <t>68100-30100</t>
  </si>
  <si>
    <t>Amortization</t>
  </si>
  <si>
    <t>70020-30100</t>
  </si>
  <si>
    <t>Discretionary Allowance</t>
  </si>
  <si>
    <t>70010-30100</t>
  </si>
  <si>
    <t>Special Projects</t>
  </si>
  <si>
    <t xml:space="preserve">     New Space Project</t>
  </si>
  <si>
    <t xml:space="preserve">     Environmental Projects</t>
  </si>
  <si>
    <t xml:space="preserve">     Discretionary Expenses</t>
  </si>
  <si>
    <t xml:space="preserve">     Governance Review</t>
  </si>
  <si>
    <t>Consultant</t>
  </si>
  <si>
    <t xml:space="preserve">     Mental Health</t>
  </si>
  <si>
    <t>Exec Gear</t>
  </si>
  <si>
    <t>Exec Transition Retreat</t>
  </si>
  <si>
    <t>Transition Honorarium</t>
  </si>
  <si>
    <t>Leadership/BoD Banquet</t>
  </si>
  <si>
    <t>Canada Day Honoraria</t>
  </si>
  <si>
    <t>Total Expenses</t>
  </si>
  <si>
    <t>Total Net</t>
  </si>
  <si>
    <t>31100 - Board of Directors</t>
  </si>
  <si>
    <t>SLEF Governance &amp; Advocacy Sponsorship</t>
  </si>
  <si>
    <t>Account</t>
  </si>
  <si>
    <t>Budget 21/23</t>
  </si>
  <si>
    <t>Budget 21/24</t>
  </si>
  <si>
    <t>64040-31100</t>
  </si>
  <si>
    <t>P/T salaries</t>
  </si>
  <si>
    <t>64080-31100</t>
  </si>
  <si>
    <t>Governance Events Coordinator*</t>
  </si>
  <si>
    <t>Recording Secretary &amp; Clerk</t>
  </si>
  <si>
    <t>Honoraria</t>
  </si>
  <si>
    <t xml:space="preserve">     Board</t>
  </si>
  <si>
    <t xml:space="preserve">     Council</t>
  </si>
  <si>
    <t>Committees</t>
  </si>
  <si>
    <t>Volunteer Appreciation</t>
  </si>
  <si>
    <t>65070-31100</t>
  </si>
  <si>
    <t>66010-31100</t>
  </si>
  <si>
    <t>66030-31100</t>
  </si>
  <si>
    <t>68100-31100</t>
  </si>
  <si>
    <t>Council Caucus / Office Hours Funding</t>
  </si>
  <si>
    <t>Committee of Presidents</t>
  </si>
  <si>
    <t>70010-31100</t>
  </si>
  <si>
    <t>Town Hall Events</t>
  </si>
  <si>
    <t>Governance &amp; Advocacy Signage</t>
  </si>
  <si>
    <t>Council/Board Gear</t>
  </si>
  <si>
    <t>Transition</t>
  </si>
  <si>
    <t xml:space="preserve">First Year Council </t>
  </si>
  <si>
    <t>Microphones</t>
  </si>
  <si>
    <t>General Meetings</t>
  </si>
  <si>
    <t>31200 - Research and Policy Officer</t>
  </si>
  <si>
    <t>Actual P12 19/202</t>
  </si>
  <si>
    <t>64040-31200</t>
  </si>
  <si>
    <t>Part-Time Salaries</t>
  </si>
  <si>
    <t>Research &amp; Policy Analyst</t>
  </si>
  <si>
    <t>65070-31200</t>
  </si>
  <si>
    <t>65090-31200</t>
  </si>
  <si>
    <t>66010-31200</t>
  </si>
  <si>
    <t>66030-31200</t>
  </si>
  <si>
    <t>Office Supplies</t>
  </si>
  <si>
    <t>66120-31200</t>
  </si>
  <si>
    <t>Member/Student Research</t>
  </si>
  <si>
    <t>67200-31200</t>
  </si>
  <si>
    <t>Market Research</t>
  </si>
  <si>
    <t>68100-31200</t>
  </si>
  <si>
    <t>70010-31200</t>
  </si>
  <si>
    <t>Note: Department moved under Communications &amp; Stakeholder Relations</t>
  </si>
  <si>
    <t>31300 - Elections</t>
  </si>
  <si>
    <t>64040-31300</t>
  </si>
  <si>
    <t>Part-time Salaries</t>
  </si>
  <si>
    <t>64080-31300</t>
  </si>
  <si>
    <t>Governance Events Coordinator</t>
  </si>
  <si>
    <t>65070-31300</t>
  </si>
  <si>
    <t>Chief Returning Officer</t>
  </si>
  <si>
    <t>65090-31300</t>
  </si>
  <si>
    <t>Elections &amp; Referenda Officer</t>
  </si>
  <si>
    <t>65200-31300</t>
  </si>
  <si>
    <t>Polling Clerks</t>
  </si>
  <si>
    <t>66010-31300</t>
  </si>
  <si>
    <t>Honorarium</t>
  </si>
  <si>
    <t>67080-31300</t>
  </si>
  <si>
    <t>70010-31300</t>
  </si>
  <si>
    <t>General Office/Computer</t>
  </si>
  <si>
    <t>NEW ACCT CODE</t>
  </si>
  <si>
    <t>Elections Events</t>
  </si>
  <si>
    <t>Equipment Rental</t>
  </si>
  <si>
    <t xml:space="preserve">Advertising </t>
  </si>
  <si>
    <t>31300-70010</t>
  </si>
  <si>
    <t>Candidate Elections Rebates</t>
  </si>
  <si>
    <t>Special Project</t>
  </si>
  <si>
    <t xml:space="preserve">y7                                                                                                                                       </t>
  </si>
  <si>
    <t>Student Life Portfolio Summary</t>
  </si>
  <si>
    <t>Operating Budget, Waterloo Undergraduate Student Association</t>
  </si>
  <si>
    <t>Summary of Revenues/Gross Income</t>
  </si>
  <si>
    <t>VPSL (20100)</t>
  </si>
  <si>
    <t>Orientation (32101)</t>
  </si>
  <si>
    <t>Society Relations Commissioner (20200)</t>
  </si>
  <si>
    <t>Equity Commissioner (20200)</t>
  </si>
  <si>
    <t>Director of Campus Life (21100)</t>
  </si>
  <si>
    <t>Services Manager (24100)</t>
  </si>
  <si>
    <t>Clubs (23100)</t>
  </si>
  <si>
    <t>Campus Response Team (24300)</t>
  </si>
  <si>
    <t>Foodbank (24500)</t>
  </si>
  <si>
    <t>Glow (24600)</t>
  </si>
  <si>
    <t xml:space="preserve">SCI (24900) </t>
  </si>
  <si>
    <t>Off-Campus Community (24800)</t>
  </si>
  <si>
    <t>Women's Centre (25100)</t>
  </si>
  <si>
    <t>Bike Centre (24200)</t>
  </si>
  <si>
    <t>ICSN (24700)</t>
  </si>
  <si>
    <t>Co-op Connection (24400)</t>
  </si>
  <si>
    <t>Volunteer Centre (25000)</t>
  </si>
  <si>
    <t>Mates (25300)</t>
  </si>
  <si>
    <t>RAISE (25400)</t>
  </si>
  <si>
    <t>CAPS (TBD)</t>
  </si>
  <si>
    <t>%Growth/Decline</t>
  </si>
  <si>
    <t>Special Events (22000)</t>
  </si>
  <si>
    <t>Thrift Store (25500)</t>
  </si>
  <si>
    <t xml:space="preserve">WSP (24900) </t>
  </si>
  <si>
    <t>20100 - Vice President Student Life</t>
  </si>
  <si>
    <t>A Part of the Student Life Portfolio</t>
  </si>
  <si>
    <t>Grants</t>
  </si>
  <si>
    <t>64010-20100</t>
  </si>
  <si>
    <t>64040-20100</t>
  </si>
  <si>
    <t>P/T Wages</t>
  </si>
  <si>
    <t>64080-20100</t>
  </si>
  <si>
    <t>65010-20100</t>
  </si>
  <si>
    <t>65020-20100</t>
  </si>
  <si>
    <t>65030-20100</t>
  </si>
  <si>
    <t>65070-20100</t>
  </si>
  <si>
    <t>65080-20100</t>
  </si>
  <si>
    <t>Printing/Graphic</t>
  </si>
  <si>
    <t>65090-20100</t>
  </si>
  <si>
    <t>66010-20100</t>
  </si>
  <si>
    <t>66030-20100</t>
  </si>
  <si>
    <t>68100-20100</t>
  </si>
  <si>
    <t>70020-20100</t>
  </si>
  <si>
    <t>Discretionary</t>
  </si>
  <si>
    <t>70010-20100</t>
  </si>
  <si>
    <t xml:space="preserve">     Satellite campus/College relations</t>
  </si>
  <si>
    <t xml:space="preserve">     Community Events</t>
  </si>
  <si>
    <t xml:space="preserve">     New Student Transition</t>
  </si>
  <si>
    <t xml:space="preserve">     Society Relations</t>
  </si>
  <si>
    <t>Leadership Awards</t>
  </si>
  <si>
    <t>Internal Funding Committee</t>
  </si>
  <si>
    <t>EOI Backup Fund</t>
  </si>
  <si>
    <t xml:space="preserve">Diversity Campaign Expenses </t>
  </si>
  <si>
    <t>32100 - Orientation (SHOULD WE RECODE NOW THAT IT'S UNDER VPSL?)</t>
  </si>
  <si>
    <t>64080-32100</t>
  </si>
  <si>
    <t>65010-32100</t>
  </si>
  <si>
    <t>67040-32100</t>
  </si>
  <si>
    <t>Staff relations</t>
  </si>
  <si>
    <t>Printing/Graphics</t>
  </si>
  <si>
    <t>65090-32100</t>
  </si>
  <si>
    <t>General Supplies</t>
  </si>
  <si>
    <t>66030-32100</t>
  </si>
  <si>
    <t>Prof Dvt/Conf/Travel</t>
  </si>
  <si>
    <t>FOC Services</t>
  </si>
  <si>
    <t>Sponsor Recognition</t>
  </si>
  <si>
    <t>Bad Debts</t>
  </si>
  <si>
    <t>TO DO: RECODE ORIENTATION TO A STUDENT LIFE BUDGET</t>
  </si>
  <si>
    <t>21100 - Director of Campus Life</t>
  </si>
  <si>
    <t>Budget 18/20</t>
  </si>
  <si>
    <t>Actuals 20/21</t>
  </si>
  <si>
    <t xml:space="preserve">Clubs Surplus </t>
  </si>
  <si>
    <t>6175-6400</t>
  </si>
  <si>
    <t>Clubs Surplus Expense</t>
  </si>
  <si>
    <t>64040-21100</t>
  </si>
  <si>
    <t>Salaries P/T</t>
  </si>
  <si>
    <t>64080-21100</t>
  </si>
  <si>
    <t>65010-21100</t>
  </si>
  <si>
    <t>65030-21100</t>
  </si>
  <si>
    <t>65070-21100</t>
  </si>
  <si>
    <t>65090-21100</t>
  </si>
  <si>
    <t>General Office Supplies</t>
  </si>
  <si>
    <t>66010-21100</t>
  </si>
  <si>
    <t>Ent/Promo/Meeting</t>
  </si>
  <si>
    <t>66030-21100</t>
  </si>
  <si>
    <t>66050-21100</t>
  </si>
  <si>
    <t>COCA Memebership</t>
  </si>
  <si>
    <t>67040-21100</t>
  </si>
  <si>
    <t>Staff Relations</t>
  </si>
  <si>
    <t>68100-21100</t>
  </si>
  <si>
    <t>Amoritization</t>
  </si>
  <si>
    <t>open house</t>
  </si>
  <si>
    <t>Miscellaneous</t>
  </si>
  <si>
    <t>70010-21100</t>
  </si>
  <si>
    <t>24100 - Services Manager</t>
  </si>
  <si>
    <t>50030-24100</t>
  </si>
  <si>
    <t>Donations</t>
  </si>
  <si>
    <t>70010-24100</t>
  </si>
  <si>
    <t>EOT Service Coord Honoraria</t>
  </si>
  <si>
    <t>64080-24100</t>
  </si>
  <si>
    <t>65090-24100</t>
  </si>
  <si>
    <t>General Office</t>
  </si>
  <si>
    <t>66010-24100</t>
  </si>
  <si>
    <t>Volunteer Training</t>
  </si>
  <si>
    <t>67040-24100</t>
  </si>
  <si>
    <t>65010-24100</t>
  </si>
  <si>
    <t>Campus Life Fair</t>
  </si>
  <si>
    <t>65070-24100</t>
  </si>
  <si>
    <t>Conferences</t>
  </si>
  <si>
    <t>64040-24100</t>
  </si>
  <si>
    <t>Work Study</t>
  </si>
  <si>
    <t>FT Wages</t>
  </si>
  <si>
    <t>23100 - Clubs</t>
  </si>
  <si>
    <t>51100-23100</t>
  </si>
  <si>
    <t>Supplies</t>
  </si>
  <si>
    <t>60040-23100</t>
  </si>
  <si>
    <t>Clubs Surplus Revenue</t>
  </si>
  <si>
    <t>50140-23100</t>
  </si>
  <si>
    <t>64040-23100</t>
  </si>
  <si>
    <t>Salaries F/T</t>
  </si>
  <si>
    <t>64080-23100</t>
  </si>
  <si>
    <t>65010-23100</t>
  </si>
  <si>
    <t>65030-23100</t>
  </si>
  <si>
    <t>65070-23100</t>
  </si>
  <si>
    <t>65090-23100</t>
  </si>
  <si>
    <t>66010-23100</t>
  </si>
  <si>
    <t>66030-23100</t>
  </si>
  <si>
    <t>67040-23100</t>
  </si>
  <si>
    <t>68100-23100</t>
  </si>
  <si>
    <t>70010-23100</t>
  </si>
  <si>
    <t>Clubs Allotment</t>
  </si>
  <si>
    <t>Clubs Awards</t>
  </si>
  <si>
    <t>-</t>
  </si>
  <si>
    <t>EOT Service Coord Reports</t>
  </si>
  <si>
    <t>65100-23100</t>
  </si>
  <si>
    <t>BBQ Supplies</t>
  </si>
  <si>
    <t xml:space="preserve">Cultural Caravan </t>
  </si>
  <si>
    <t>Advertising</t>
  </si>
  <si>
    <t>Clubs Surplus Deficit</t>
  </si>
  <si>
    <t>24300 - Campus Response Team</t>
  </si>
  <si>
    <t>*No longer under WUSA</t>
  </si>
  <si>
    <t>Budget10/11</t>
  </si>
  <si>
    <t>Acutal 17/18</t>
  </si>
  <si>
    <t>51010-24300</t>
  </si>
  <si>
    <t>Sales</t>
  </si>
  <si>
    <t>50030-24300</t>
  </si>
  <si>
    <t>61190-24300</t>
  </si>
  <si>
    <t>Miscellanneous Expense</t>
  </si>
  <si>
    <t>64040-24300</t>
  </si>
  <si>
    <t>PT Salary &amp; Wages</t>
  </si>
  <si>
    <t>Coordinator Honoraria (S20/F20)</t>
  </si>
  <si>
    <t>64080-24300</t>
  </si>
  <si>
    <t>65010-24300</t>
  </si>
  <si>
    <t>65070-24300</t>
  </si>
  <si>
    <t>65090-24300</t>
  </si>
  <si>
    <t>65150-24300</t>
  </si>
  <si>
    <t>Taxi Fund</t>
  </si>
  <si>
    <t>66010-24300</t>
  </si>
  <si>
    <t>66030-24300</t>
  </si>
  <si>
    <t>66060-24300</t>
  </si>
  <si>
    <t>Subscriptions</t>
  </si>
  <si>
    <t>67080-24300</t>
  </si>
  <si>
    <t>68080-24300</t>
  </si>
  <si>
    <t>68100-24300</t>
  </si>
  <si>
    <t>70010-24300</t>
  </si>
  <si>
    <t>Certifications</t>
  </si>
  <si>
    <t>Casualty Simulation</t>
  </si>
  <si>
    <t>First Aid Equipment</t>
  </si>
  <si>
    <t>Discretionary Expenses</t>
  </si>
  <si>
    <t>64090-24300</t>
  </si>
  <si>
    <t xml:space="preserve"> Volunteer Training</t>
  </si>
  <si>
    <t>24500 - Foodbank</t>
  </si>
  <si>
    <t>51010-24500</t>
  </si>
  <si>
    <t>50030-24500</t>
  </si>
  <si>
    <t>64040-24500</t>
  </si>
  <si>
    <t>64080-24500</t>
  </si>
  <si>
    <t>65010-24500</t>
  </si>
  <si>
    <t>65070-24500</t>
  </si>
  <si>
    <t>65090-24500</t>
  </si>
  <si>
    <t>General Office/Supplies</t>
  </si>
  <si>
    <t>65150-24500</t>
  </si>
  <si>
    <t>Auto</t>
  </si>
  <si>
    <t>66010-24500</t>
  </si>
  <si>
    <t>66030-24500</t>
  </si>
  <si>
    <t>Travel/conf/Wkp/Prof Develop</t>
  </si>
  <si>
    <t>66050-24500</t>
  </si>
  <si>
    <t>Memberships</t>
  </si>
  <si>
    <t xml:space="preserve">Hamper Lockers </t>
  </si>
  <si>
    <t>68100-24500</t>
  </si>
  <si>
    <t>70010-24500</t>
  </si>
  <si>
    <t>62040-24500</t>
  </si>
  <si>
    <t>Food Purchases</t>
  </si>
  <si>
    <t>Trick or Eat</t>
  </si>
  <si>
    <t>Custom Hamper Purchases</t>
  </si>
  <si>
    <t>24600 - Glow</t>
  </si>
  <si>
    <t>Budget 19/22</t>
  </si>
  <si>
    <t>Sponsorship</t>
  </si>
  <si>
    <t>51010-24600</t>
  </si>
  <si>
    <t>50030-24600</t>
  </si>
  <si>
    <t>64040-24600</t>
  </si>
  <si>
    <t>PT Salary &amp; Wage</t>
  </si>
  <si>
    <t>64080-24600</t>
  </si>
  <si>
    <t>Volunteer Appreciaton</t>
  </si>
  <si>
    <t>65010-24600</t>
  </si>
  <si>
    <t>65070-24600</t>
  </si>
  <si>
    <t>65090-24600</t>
  </si>
  <si>
    <t>66010-24600</t>
  </si>
  <si>
    <t>66030-24600</t>
  </si>
  <si>
    <t>66060-24600</t>
  </si>
  <si>
    <t>68080-24600</t>
  </si>
  <si>
    <t xml:space="preserve">Miscellaneous </t>
  </si>
  <si>
    <t>70010-24600</t>
  </si>
  <si>
    <t>7095-3300</t>
  </si>
  <si>
    <t>Queer Dances</t>
  </si>
  <si>
    <t>7096-3300</t>
  </si>
  <si>
    <t>Ally Network</t>
  </si>
  <si>
    <t>Pride Festivals</t>
  </si>
  <si>
    <t>Literature</t>
  </si>
  <si>
    <t>Special Events</t>
  </si>
  <si>
    <t>Salaries/Wages</t>
  </si>
  <si>
    <t>64090-24600</t>
  </si>
  <si>
    <t>24900 - Waterloo Sustainability Project (WSP)</t>
  </si>
  <si>
    <t>51010-24900</t>
  </si>
  <si>
    <t>50020-24900</t>
  </si>
  <si>
    <t>50030-24900</t>
  </si>
  <si>
    <t>64040-24900</t>
  </si>
  <si>
    <t>PT Staff wages</t>
  </si>
  <si>
    <t>64080-24900</t>
  </si>
  <si>
    <t>65010-24900</t>
  </si>
  <si>
    <t>65070-24900</t>
  </si>
  <si>
    <t>65090-24900</t>
  </si>
  <si>
    <t>66010-24900</t>
  </si>
  <si>
    <t>6600-2200</t>
  </si>
  <si>
    <t>68080-24900</t>
  </si>
  <si>
    <t>70010-24900</t>
  </si>
  <si>
    <t>7100-2200</t>
  </si>
  <si>
    <t>7110-2200</t>
  </si>
  <si>
    <t>Green Buildings</t>
  </si>
  <si>
    <t>7115-2200</t>
  </si>
  <si>
    <t>STEP</t>
  </si>
  <si>
    <t>7130-2200</t>
  </si>
  <si>
    <t>Waste Management</t>
  </si>
  <si>
    <t>7135-2200</t>
  </si>
  <si>
    <t>Natural Landscaping Team</t>
  </si>
  <si>
    <t>7137-2200</t>
  </si>
  <si>
    <t>Clearing a Path</t>
  </si>
  <si>
    <t>7139-2200</t>
  </si>
  <si>
    <t>CSAF</t>
  </si>
  <si>
    <t>7141-2200</t>
  </si>
  <si>
    <t>GROW</t>
  </si>
  <si>
    <t>Earth Hour</t>
  </si>
  <si>
    <t>7143-2200</t>
  </si>
  <si>
    <t>Footsteps for conservation</t>
  </si>
  <si>
    <t>7146-2200</t>
  </si>
  <si>
    <t>Otesha Project</t>
  </si>
  <si>
    <t>7147-2200</t>
  </si>
  <si>
    <t>Sustainable Foods (Eco Eats)</t>
  </si>
  <si>
    <t>7148-2200</t>
  </si>
  <si>
    <t>Resource  Management</t>
  </si>
  <si>
    <t>7149-2200</t>
  </si>
  <si>
    <t>Work/Study/PT Wages</t>
  </si>
  <si>
    <t>7180-2200</t>
  </si>
  <si>
    <t>Active and Community Transportation</t>
  </si>
  <si>
    <t>7185-2200</t>
  </si>
  <si>
    <t>Better Practices</t>
  </si>
  <si>
    <t>7190-2200</t>
  </si>
  <si>
    <t>Residence Working Group</t>
  </si>
  <si>
    <t>7195-2200</t>
  </si>
  <si>
    <t>Eco-Art Cooperative</t>
  </si>
  <si>
    <t>7200-2200</t>
  </si>
  <si>
    <t>New Working Groups</t>
  </si>
  <si>
    <t>Fall initiatives</t>
  </si>
  <si>
    <t>Winter initiatives</t>
  </si>
  <si>
    <t>Spring initiatives</t>
  </si>
  <si>
    <t>Volunteer training</t>
  </si>
  <si>
    <t>Recycle Week</t>
  </si>
  <si>
    <t>EcoLoo</t>
  </si>
  <si>
    <t>Anti-Idling Campaign</t>
  </si>
  <si>
    <t>Campus Compost</t>
  </si>
  <si>
    <t>61310-24900</t>
  </si>
  <si>
    <t>Clothing Store</t>
  </si>
  <si>
    <t>68100-24900</t>
  </si>
  <si>
    <t>24800 - Off-Campus Community</t>
  </si>
  <si>
    <t>52917-24800</t>
  </si>
  <si>
    <t>51010-24800</t>
  </si>
  <si>
    <t>Event Revenue</t>
  </si>
  <si>
    <t>50020-24800</t>
  </si>
  <si>
    <t>64040-24800</t>
  </si>
  <si>
    <t>62901-24800</t>
  </si>
  <si>
    <t>Leader Expenses</t>
  </si>
  <si>
    <t>64080-24800</t>
  </si>
  <si>
    <t>65010-24800</t>
  </si>
  <si>
    <t>65070-24800</t>
  </si>
  <si>
    <t>65090-24800</t>
  </si>
  <si>
    <t>66010-24800</t>
  </si>
  <si>
    <t>Entertainment/Promotion</t>
  </si>
  <si>
    <t>6600-2800</t>
  </si>
  <si>
    <t>68080-24800</t>
  </si>
  <si>
    <t>68100-24800</t>
  </si>
  <si>
    <t>64090-24800</t>
  </si>
  <si>
    <t>61280-24800</t>
  </si>
  <si>
    <t>Don Events</t>
  </si>
  <si>
    <t>70010-24800</t>
  </si>
  <si>
    <t>Orientation</t>
  </si>
  <si>
    <t>Fall  community events</t>
  </si>
  <si>
    <t>Winter community events</t>
  </si>
  <si>
    <t>Spring community events</t>
  </si>
  <si>
    <t>25100 - Women's Centre</t>
  </si>
  <si>
    <t>61280-25100</t>
  </si>
  <si>
    <t>Vagina Monologue Revenue</t>
  </si>
  <si>
    <t>50030-25100</t>
  </si>
  <si>
    <t>64040-25100</t>
  </si>
  <si>
    <t>64080-25100</t>
  </si>
  <si>
    <t>65010-25100</t>
  </si>
  <si>
    <t>65070-25100</t>
  </si>
  <si>
    <t>65090-25100</t>
  </si>
  <si>
    <t>66010-25100</t>
  </si>
  <si>
    <t>66060-25100</t>
  </si>
  <si>
    <t>67080-25100</t>
  </si>
  <si>
    <t>66030-25100</t>
  </si>
  <si>
    <t>Travel/Conferences/Auto</t>
  </si>
  <si>
    <t>68090-25100</t>
  </si>
  <si>
    <t>Bad Debt</t>
  </si>
  <si>
    <t>68100-25100</t>
  </si>
  <si>
    <t>70010-25100</t>
  </si>
  <si>
    <t>865.73.</t>
  </si>
  <si>
    <t>Women's Week (Winter)</t>
  </si>
  <si>
    <t>7230-4900</t>
  </si>
  <si>
    <t>UW Parents</t>
  </si>
  <si>
    <t>Love Your Body Week (Fall)</t>
  </si>
  <si>
    <t>8409-4900</t>
  </si>
  <si>
    <t>Vagina Monologue Expenses</t>
  </si>
  <si>
    <t>Spring Special Events</t>
  </si>
  <si>
    <t>Fall special events</t>
  </si>
  <si>
    <t>Winter Special Events</t>
  </si>
  <si>
    <t>Body Appreciation Week (Spring)</t>
  </si>
  <si>
    <t>64090-25100</t>
  </si>
  <si>
    <t>40th Anniversary</t>
  </si>
  <si>
    <t>Poetry Slam</t>
  </si>
  <si>
    <t>Slut Walk</t>
  </si>
  <si>
    <t>24200 - Bike Centre</t>
  </si>
  <si>
    <t>51010-24200</t>
  </si>
  <si>
    <t>51100-24200</t>
  </si>
  <si>
    <t>Bike Rental Income</t>
  </si>
  <si>
    <t>51190-24200</t>
  </si>
  <si>
    <t>50030-24200</t>
  </si>
  <si>
    <t>51220-24200</t>
  </si>
  <si>
    <t>Bike Centre - Revenue</t>
  </si>
  <si>
    <t>64040-24200</t>
  </si>
  <si>
    <t>64080-24200</t>
  </si>
  <si>
    <t>65010-24200</t>
  </si>
  <si>
    <t>65070-24200</t>
  </si>
  <si>
    <t>65090-24200</t>
  </si>
  <si>
    <t>61050-24200</t>
  </si>
  <si>
    <t>Equipment Costs</t>
  </si>
  <si>
    <t>61220-24200</t>
  </si>
  <si>
    <t>Bike Centre - Expense</t>
  </si>
  <si>
    <t>65200-24200</t>
  </si>
  <si>
    <t>62390-24200</t>
  </si>
  <si>
    <t>Parts</t>
  </si>
  <si>
    <t>66010-24200</t>
  </si>
  <si>
    <t>70010-24200</t>
  </si>
  <si>
    <t>Events</t>
  </si>
  <si>
    <t>67080-24200</t>
  </si>
  <si>
    <t>Mechanic Honorarium</t>
  </si>
  <si>
    <t>Volunteer Mng. Honorarium</t>
  </si>
  <si>
    <t>Legal Theft Mng. Honorarium</t>
  </si>
  <si>
    <t>Social Media Honorarium</t>
  </si>
  <si>
    <t>Rental Mng. Honorarium</t>
  </si>
  <si>
    <t>Bike Rental Program</t>
  </si>
  <si>
    <t>Bike Lockers</t>
  </si>
  <si>
    <t>68100-24200</t>
  </si>
  <si>
    <t>65150-24200</t>
  </si>
  <si>
    <t>AUTO</t>
  </si>
  <si>
    <t>68010-24200</t>
  </si>
  <si>
    <t>Bank Charges</t>
  </si>
  <si>
    <t>68060-24200</t>
  </si>
  <si>
    <t>Cash Short/Over</t>
  </si>
  <si>
    <t>68040-24200</t>
  </si>
  <si>
    <t>Discounts</t>
  </si>
  <si>
    <t>Cleaning Supplies</t>
  </si>
  <si>
    <t>24700 - International and Canadian Student Network</t>
  </si>
  <si>
    <t>Actuan 16/17</t>
  </si>
  <si>
    <t>Waterloo Int.</t>
  </si>
  <si>
    <t>GSA</t>
  </si>
  <si>
    <t>51010-24700</t>
  </si>
  <si>
    <t>50030-24700</t>
  </si>
  <si>
    <t xml:space="preserve">Spring Term Trips </t>
  </si>
  <si>
    <t>Fall Term Trips</t>
  </si>
  <si>
    <t>Winter Term Trips</t>
  </si>
  <si>
    <t>Cost of Sales</t>
  </si>
  <si>
    <t>Spring Term Trips</t>
  </si>
  <si>
    <t>Gross Profit</t>
  </si>
  <si>
    <t>64040-24700</t>
  </si>
  <si>
    <t>64080-24700</t>
  </si>
  <si>
    <t>65010-24700</t>
  </si>
  <si>
    <t>65070-24700</t>
  </si>
  <si>
    <t>65090-24700</t>
  </si>
  <si>
    <t>66010-24700</t>
  </si>
  <si>
    <t>70010-24700</t>
  </si>
  <si>
    <t>NEW ACCOUNT CODE</t>
  </si>
  <si>
    <t>24400 - Co-op Connection</t>
  </si>
  <si>
    <t>50040-24400</t>
  </si>
  <si>
    <t>Co-op &amp; Exp. Education Dept (CEE)</t>
  </si>
  <si>
    <t>51010-24400</t>
  </si>
  <si>
    <t>50030-24400</t>
  </si>
  <si>
    <t>64040-24400</t>
  </si>
  <si>
    <t>65010-24400</t>
  </si>
  <si>
    <t>65070-24400</t>
  </si>
  <si>
    <t>66010-24400</t>
  </si>
  <si>
    <t>66030-24400</t>
  </si>
  <si>
    <t>Conference</t>
  </si>
  <si>
    <t>65090-24400</t>
  </si>
  <si>
    <t>70010-24400</t>
  </si>
  <si>
    <t>Travel</t>
  </si>
  <si>
    <t>64080-24400</t>
  </si>
  <si>
    <t>25000 - Volunteer Centre</t>
  </si>
  <si>
    <t>*No Longer under WUSA</t>
  </si>
  <si>
    <t>Budge 18/19</t>
  </si>
  <si>
    <t>Budge 19/20</t>
  </si>
  <si>
    <t>51010-25000</t>
  </si>
  <si>
    <t>65090-25000</t>
  </si>
  <si>
    <t>64080-25000</t>
  </si>
  <si>
    <t>65010-25000</t>
  </si>
  <si>
    <t>65070-25000</t>
  </si>
  <si>
    <t>66010-25000</t>
  </si>
  <si>
    <t>67080-25000</t>
  </si>
  <si>
    <t>68100-25000</t>
  </si>
  <si>
    <t>64090-25000</t>
  </si>
  <si>
    <t>Volunter Training</t>
  </si>
  <si>
    <t>Annual Fees</t>
  </si>
  <si>
    <t>70010-25000</t>
  </si>
  <si>
    <t>25200 - Warrior Tribe</t>
  </si>
  <si>
    <t>A Part of the VP Student Life's Budget</t>
  </si>
  <si>
    <t>51010-25200</t>
  </si>
  <si>
    <t>Actual 6/17</t>
  </si>
  <si>
    <t>65090-25200</t>
  </si>
  <si>
    <t>64080-25200</t>
  </si>
  <si>
    <t>65070-25200</t>
  </si>
  <si>
    <t>66010-25200</t>
  </si>
  <si>
    <t>64090-25200</t>
  </si>
  <si>
    <t>Voluneer Training</t>
  </si>
  <si>
    <t>70010-25200</t>
  </si>
  <si>
    <t>25300 - Mates</t>
  </si>
  <si>
    <t>64040-25300</t>
  </si>
  <si>
    <t>65090-25300</t>
  </si>
  <si>
    <t>64080-25300</t>
  </si>
  <si>
    <t>65070-25300</t>
  </si>
  <si>
    <t>65010-25300</t>
  </si>
  <si>
    <t>66010-25300</t>
  </si>
  <si>
    <t>64090-25300</t>
  </si>
  <si>
    <t>70010-25300</t>
  </si>
  <si>
    <t xml:space="preserve">Special Projects / Events </t>
  </si>
  <si>
    <t>Wellness Lounge/PSC</t>
  </si>
  <si>
    <t>50030-25400</t>
  </si>
  <si>
    <t>64040-25400</t>
  </si>
  <si>
    <t>65090-25400</t>
  </si>
  <si>
    <t>64080-25400</t>
  </si>
  <si>
    <t>66030-25400</t>
  </si>
  <si>
    <t>Travel/Professional</t>
  </si>
  <si>
    <t>65010-25400</t>
  </si>
  <si>
    <t>Phone</t>
  </si>
  <si>
    <t>Xchanges Conference</t>
  </si>
  <si>
    <t>64090-25400</t>
  </si>
  <si>
    <t>70010-25400</t>
  </si>
  <si>
    <t>Vibes Nights</t>
  </si>
  <si>
    <t>TBD - CAPS</t>
  </si>
  <si>
    <t>64040-25600</t>
  </si>
  <si>
    <t>Exec Honorariums</t>
  </si>
  <si>
    <t>64080-25600</t>
  </si>
  <si>
    <t>22000 - Special Events/Programming</t>
  </si>
  <si>
    <t>Actual</t>
  </si>
  <si>
    <t>51280-22000</t>
  </si>
  <si>
    <t>Welcome Week</t>
  </si>
  <si>
    <t>Wonderland</t>
  </si>
  <si>
    <t>Oktoberfest</t>
  </si>
  <si>
    <t>Event/Concert Revenue</t>
  </si>
  <si>
    <t xml:space="preserve">Halloween </t>
  </si>
  <si>
    <t>Big Chill</t>
  </si>
  <si>
    <t>Polar Jam</t>
  </si>
  <si>
    <t>50030-22000</t>
  </si>
  <si>
    <t>Frost Week</t>
  </si>
  <si>
    <t>Spring Welcome Week</t>
  </si>
  <si>
    <t>Transfers-in (General Meetings)</t>
  </si>
  <si>
    <t>actual</t>
  </si>
  <si>
    <t>8401-4200</t>
  </si>
  <si>
    <t>8800-4200</t>
  </si>
  <si>
    <t>8824-4200</t>
  </si>
  <si>
    <t>Halloween</t>
  </si>
  <si>
    <t>8828-4200</t>
  </si>
  <si>
    <t>8830-4200</t>
  </si>
  <si>
    <t>Event/Concert Exp</t>
  </si>
  <si>
    <t>64080-22000</t>
  </si>
  <si>
    <t>65010-22000</t>
  </si>
  <si>
    <t>65030-22000</t>
  </si>
  <si>
    <t>65070-22000</t>
  </si>
  <si>
    <t>65080-22000</t>
  </si>
  <si>
    <t>65090-22000</t>
  </si>
  <si>
    <t>66010-22000</t>
  </si>
  <si>
    <t>66030-22000</t>
  </si>
  <si>
    <t>Travel/Conference/Prof.Dev't</t>
  </si>
  <si>
    <t>66050-22000</t>
  </si>
  <si>
    <t>COCA Membership</t>
  </si>
  <si>
    <t>67080-22000</t>
  </si>
  <si>
    <t>68100-22000</t>
  </si>
  <si>
    <t>61280-22000</t>
  </si>
  <si>
    <t>Spring Events</t>
  </si>
  <si>
    <t>70010-22000</t>
  </si>
  <si>
    <t>7310-4200</t>
  </si>
  <si>
    <t>Toronto Pride Parade</t>
  </si>
  <si>
    <t>Beach Trip</t>
  </si>
  <si>
    <t>Halloween Haunt</t>
  </si>
  <si>
    <t>Mental Health Wellness Day</t>
  </si>
  <si>
    <t xml:space="preserve">Oktoberfest </t>
  </si>
  <si>
    <t>Mocktoberfest</t>
  </si>
  <si>
    <t>Talent Competition</t>
  </si>
  <si>
    <t>Mental Health Awareness</t>
  </si>
  <si>
    <t>International Celebrations Week</t>
  </si>
  <si>
    <t>Well Wishing</t>
  </si>
  <si>
    <t>Pet Therapy</t>
  </si>
  <si>
    <t>Themed Bomber</t>
  </si>
  <si>
    <t>New Special Events</t>
  </si>
  <si>
    <t>+</t>
  </si>
  <si>
    <t>New Student Events</t>
  </si>
  <si>
    <t>General Meetings/Town Halls/Governance Events</t>
  </si>
  <si>
    <t>61280-22200</t>
  </si>
  <si>
    <t>Fall Events</t>
  </si>
  <si>
    <t>Winter Events</t>
  </si>
  <si>
    <t>SLC Grand Opening</t>
  </si>
  <si>
    <t>Leadership Opportunities</t>
  </si>
  <si>
    <t>Cultural Caravan</t>
  </si>
  <si>
    <t>Wrap Up Week</t>
  </si>
  <si>
    <t>TBH- WUSA Thrift Store</t>
  </si>
  <si>
    <t>Operational Costs</t>
  </si>
  <si>
    <t>Education &amp; Advocacy Portfolio Summary</t>
  </si>
  <si>
    <t>Summary of Revenues</t>
  </si>
  <si>
    <t>VP Education (40100)</t>
  </si>
  <si>
    <t>SRO (41500)</t>
  </si>
  <si>
    <t>OUSA (41400)</t>
  </si>
  <si>
    <t>Academic Affairs (41100)</t>
  </si>
  <si>
    <t>Government Affairs (41200)</t>
  </si>
  <si>
    <t>Local Affairs (41300)</t>
  </si>
  <si>
    <t>% Growth/Decline</t>
  </si>
  <si>
    <t xml:space="preserve"> $151,288.02 </t>
  </si>
  <si>
    <t>40100 - VP Education</t>
  </si>
  <si>
    <t>A Part of the Education &amp; Advocacy Portfolio</t>
  </si>
  <si>
    <t>Actual 14/16</t>
  </si>
  <si>
    <t>Budget 14/18</t>
  </si>
  <si>
    <t>64010-40100</t>
  </si>
  <si>
    <t>Exec Assistant</t>
  </si>
  <si>
    <t xml:space="preserve">     Benefits/Employer contributions </t>
  </si>
  <si>
    <t>Hourly Wage</t>
  </si>
  <si>
    <t>Hours per Week</t>
  </si>
  <si>
    <t>Number of Weeks</t>
  </si>
  <si>
    <t>Mandatory Employer Contributions</t>
  </si>
  <si>
    <t>64040-40100</t>
  </si>
  <si>
    <t>PT Salaries</t>
  </si>
  <si>
    <t>64080-40100</t>
  </si>
  <si>
    <t>65010-40100</t>
  </si>
  <si>
    <t>65020-40100</t>
  </si>
  <si>
    <t>65030-40100</t>
  </si>
  <si>
    <t>Co-op/Part-Time</t>
  </si>
  <si>
    <t>65070-40100</t>
  </si>
  <si>
    <t xml:space="preserve">Number of Weeks </t>
  </si>
  <si>
    <t>Employees</t>
  </si>
  <si>
    <t>65090-40100</t>
  </si>
  <si>
    <t>66010-40100</t>
  </si>
  <si>
    <t>66030-40100</t>
  </si>
  <si>
    <t>Per Co-op (One Semester)</t>
  </si>
  <si>
    <t>70010-40100</t>
  </si>
  <si>
    <t>70020-40100</t>
  </si>
  <si>
    <t xml:space="preserve">     Ancillary Fee Campaign </t>
  </si>
  <si>
    <t xml:space="preserve">     Quality Education Booklet</t>
  </si>
  <si>
    <t xml:space="preserve">     Quality of Student Life Conference</t>
  </si>
  <si>
    <t xml:space="preserve">     Volunteer Appreciation</t>
  </si>
  <si>
    <t>UCRU</t>
  </si>
  <si>
    <t>Exec / Advocacy Gear</t>
  </si>
  <si>
    <t>68100-40100</t>
  </si>
  <si>
    <t>67040-40100</t>
  </si>
  <si>
    <t>41100 - Academic Affairs</t>
  </si>
  <si>
    <t>65010-41100</t>
  </si>
  <si>
    <t>65070-41100</t>
  </si>
  <si>
    <t xml:space="preserve">Hours </t>
  </si>
  <si>
    <t>64040-41100</t>
  </si>
  <si>
    <t>AVPAA</t>
  </si>
  <si>
    <t>Academic Affairs Commissioner</t>
  </si>
  <si>
    <t>Co-op Affairs Commissioner</t>
  </si>
  <si>
    <t>CAPS Coordinator</t>
  </si>
  <si>
    <t>70010-41100</t>
  </si>
  <si>
    <t>AVPECA</t>
  </si>
  <si>
    <t>66030-41100</t>
  </si>
  <si>
    <t>64080-41100</t>
  </si>
  <si>
    <t>University Advocacy Week</t>
  </si>
  <si>
    <t>WUSA Staff Awards</t>
  </si>
  <si>
    <t>WUSA Teaching Awards</t>
  </si>
  <si>
    <t>Coop Affairs/Fee Review/CSC</t>
  </si>
  <si>
    <t>66010-41100</t>
  </si>
  <si>
    <t>Fix My Lecture Campaign</t>
  </si>
  <si>
    <t>Surveys</t>
  </si>
  <si>
    <t>Society Relations</t>
  </si>
  <si>
    <t>Entertaiment/Promo/ Mtgs</t>
  </si>
  <si>
    <t>41200 - Government Affairs</t>
  </si>
  <si>
    <t>Budget 17/118</t>
  </si>
  <si>
    <t>Budget 16/18</t>
  </si>
  <si>
    <t>64040-41200</t>
  </si>
  <si>
    <t>PT Salary</t>
  </si>
  <si>
    <t>Spring Term Co-Op</t>
  </si>
  <si>
    <t>Prov. &amp; Fed. Affairs Commissioner</t>
  </si>
  <si>
    <t>Special Projects/Events</t>
  </si>
  <si>
    <t xml:space="preserve">     Elections Advertising</t>
  </si>
  <si>
    <t xml:space="preserve">     Events</t>
  </si>
  <si>
    <t>Entertaiment/Promo Mtgs</t>
  </si>
  <si>
    <t>41300 - Local Affairs</t>
  </si>
  <si>
    <t>AVPGA</t>
  </si>
  <si>
    <t>64040-41300</t>
  </si>
  <si>
    <t>Municipal Affairs Commissioner</t>
  </si>
  <si>
    <t>64080-41300</t>
  </si>
  <si>
    <t>66030-41300</t>
  </si>
  <si>
    <t>Local advocacy week</t>
  </si>
  <si>
    <t>Waterloo in Winter</t>
  </si>
  <si>
    <t>Community Info Fairs</t>
  </si>
  <si>
    <t>Roundtables (students and politicians)</t>
  </si>
  <si>
    <t>61280-41300</t>
  </si>
  <si>
    <t>66010-41300</t>
  </si>
  <si>
    <t>41400 - OUSA</t>
  </si>
  <si>
    <t>Budget 11/122</t>
  </si>
  <si>
    <t>6305-3600</t>
  </si>
  <si>
    <t>66050-41400</t>
  </si>
  <si>
    <t>66120-41400</t>
  </si>
  <si>
    <t>MEMBER/STUDENT RSRCH</t>
  </si>
  <si>
    <t>70010-41400</t>
  </si>
  <si>
    <t>66030-41400</t>
  </si>
  <si>
    <t>64040-41400</t>
  </si>
  <si>
    <t>P/T Salary Wage</t>
  </si>
  <si>
    <t>41500 - Stakeholder Relations Officer</t>
  </si>
  <si>
    <t>65010-41500</t>
  </si>
  <si>
    <t>65030-41500</t>
  </si>
  <si>
    <t>65070-41500</t>
  </si>
  <si>
    <t>65090-41500</t>
  </si>
  <si>
    <t>66010-41500</t>
  </si>
  <si>
    <t>66030-41500</t>
  </si>
  <si>
    <t>70010-41500</t>
  </si>
  <si>
    <t>68100-41500</t>
  </si>
  <si>
    <t>67040-41500</t>
  </si>
  <si>
    <t xml:space="preserve">Staff Relations </t>
  </si>
  <si>
    <t>Moved to Marketing</t>
  </si>
  <si>
    <t>Operations &amp; Finance Portolio Summary</t>
  </si>
  <si>
    <t>VPOF (10100)</t>
  </si>
  <si>
    <t xml:space="preserve"> $-   </t>
  </si>
  <si>
    <t>Director of Operations &amp; Development (11100)</t>
  </si>
  <si>
    <t>Operations (11000) &amp; Facilities (15000)</t>
  </si>
  <si>
    <t>Information Technology (14000)</t>
  </si>
  <si>
    <t>General Office (13000)</t>
  </si>
  <si>
    <t>Communications &amp; Stakeholder Relations (16000)</t>
  </si>
  <si>
    <t>Information Technology (14000) - 90% Student Fee</t>
  </si>
  <si>
    <t>General Office (13000) - 90% Student Fee</t>
  </si>
  <si>
    <t>Services Salaries</t>
  </si>
  <si>
    <t>Unit Profit (Loss)</t>
  </si>
  <si>
    <t>FY 2020</t>
  </si>
  <si>
    <t>FY 2021</t>
  </si>
  <si>
    <t>VP Ops &amp; Finance</t>
  </si>
  <si>
    <t>Dir. Ops &amp; Dev</t>
  </si>
  <si>
    <t>Ops &amp; Facilities</t>
  </si>
  <si>
    <t>IT</t>
  </si>
  <si>
    <t>GO less Serv. Slaries</t>
  </si>
  <si>
    <t>Marketing &amp; Comms</t>
  </si>
  <si>
    <t>Net</t>
  </si>
  <si>
    <t>10100 - Vice President Operations &amp; Finance</t>
  </si>
  <si>
    <t>A Part of the Operations &amp; Finance Portfolio</t>
  </si>
  <si>
    <t>Student Life/EOI Endowment Fund Administrative Cost Recovery</t>
  </si>
  <si>
    <t>Bombshelter Architect - Capital Plan</t>
  </si>
  <si>
    <t>60020-10100</t>
  </si>
  <si>
    <t>Student Event Venue Subsidy</t>
  </si>
  <si>
    <t>64010-10100</t>
  </si>
  <si>
    <t>64040-10100</t>
  </si>
  <si>
    <t xml:space="preserve">    AVP Environment Sustainability</t>
  </si>
  <si>
    <t>64080-10100</t>
  </si>
  <si>
    <t>Staff Appreciation</t>
  </si>
  <si>
    <t>65010-10100</t>
  </si>
  <si>
    <t>65020-10100</t>
  </si>
  <si>
    <t>65070-10100</t>
  </si>
  <si>
    <t>65080-10100</t>
  </si>
  <si>
    <t>65090-10100</t>
  </si>
  <si>
    <t>66010-10100</t>
  </si>
  <si>
    <t>66030-10100</t>
  </si>
  <si>
    <t>67040-10100</t>
  </si>
  <si>
    <t>68100-10100</t>
  </si>
  <si>
    <t>70020-10100</t>
  </si>
  <si>
    <t>70010-10100</t>
  </si>
  <si>
    <t>Criterion License</t>
  </si>
  <si>
    <t>Transition Honoraria</t>
  </si>
  <si>
    <t>Wellness Package Funding</t>
  </si>
  <si>
    <t>Internal Funding Committee (Special Projects Fund)</t>
  </si>
  <si>
    <t>65320-10100</t>
  </si>
  <si>
    <t>COVID-19 Response –  Staff and Volunteer Financial Support</t>
  </si>
  <si>
    <t>65330-10100</t>
  </si>
  <si>
    <t>COVID-19 Response – Societies/Business Wastage Recovery</t>
  </si>
  <si>
    <t>11100 - Director Operations &amp; Development</t>
  </si>
  <si>
    <t>Transfers-in (Commerical Operations, 30%)</t>
  </si>
  <si>
    <t>0</t>
  </si>
  <si>
    <t>65010-11100</t>
  </si>
  <si>
    <t>65020-11100</t>
  </si>
  <si>
    <t>65090-11100</t>
  </si>
  <si>
    <t>65150-11100</t>
  </si>
  <si>
    <t>66010-11100</t>
  </si>
  <si>
    <t>Entertainment/Promo/Meeting</t>
  </si>
  <si>
    <t>66030-11100</t>
  </si>
  <si>
    <t>Travel/Conference/Prof Dev</t>
  </si>
  <si>
    <t>67040-11100</t>
  </si>
  <si>
    <t>68080-11100</t>
  </si>
  <si>
    <t>65070-11100</t>
  </si>
  <si>
    <t>70010-11100</t>
  </si>
  <si>
    <t>Operations &amp; Facilities Budget</t>
  </si>
  <si>
    <t xml:space="preserve">Revenues </t>
  </si>
  <si>
    <t>Budget 18/19 (to Mar 24)</t>
  </si>
  <si>
    <t>Actuals 18/19</t>
  </si>
  <si>
    <t>Actuals 19/20</t>
  </si>
  <si>
    <t>INews</t>
  </si>
  <si>
    <t>Chaska &amp; Wasabi</t>
  </si>
  <si>
    <t>Caffeine Dispensary</t>
  </si>
  <si>
    <t>Bombshelter Pub</t>
  </si>
  <si>
    <t>Imprint (NEW)</t>
  </si>
  <si>
    <t>Cost of Goods/Sales</t>
  </si>
  <si>
    <t xml:space="preserve">Chaska &amp; Wasabi </t>
  </si>
  <si>
    <t>Chaska &amp; Wasabi (TBD)</t>
  </si>
  <si>
    <t>F/T Business Unit Salaries</t>
  </si>
  <si>
    <t>10% General Office</t>
  </si>
  <si>
    <t>10% IT</t>
  </si>
  <si>
    <t>Transfers-out (Director of Operations &amp; Development, 30%)</t>
  </si>
  <si>
    <t>w/o Dispensary:</t>
  </si>
  <si>
    <t>***Notes on the Income Statement:</t>
  </si>
  <si>
    <t>Unit Performance without overhead costs</t>
  </si>
  <si>
    <t>Operations &amp; Facilities Profit (Loss)</t>
  </si>
  <si>
    <t>Inews</t>
  </si>
  <si>
    <t>C. Disp.</t>
  </si>
  <si>
    <t>FUB</t>
  </si>
  <si>
    <t>Makers</t>
  </si>
  <si>
    <t>Business Unit Net</t>
  </si>
  <si>
    <t>Includes Salaries, but not overheads!</t>
  </si>
  <si>
    <t>Facilities: Net Profit</t>
  </si>
  <si>
    <t>SSAC Fee Recovery</t>
  </si>
  <si>
    <t>SLC</t>
  </si>
  <si>
    <t>Facilities Net</t>
  </si>
  <si>
    <t>Salaries and Wages P/T</t>
  </si>
  <si>
    <t>Salaries &amp; Wages P/T</t>
  </si>
  <si>
    <t>Postage &amp; Shipping</t>
  </si>
  <si>
    <t xml:space="preserve">  </t>
  </si>
  <si>
    <t>Equity Specialist</t>
  </si>
  <si>
    <t>Actuals 21/22</t>
  </si>
  <si>
    <t>Marketing &amp; Communications Budget</t>
  </si>
  <si>
    <t>Director of Communications &amp; Stakeholder Relations</t>
  </si>
  <si>
    <t>Marketing - General</t>
  </si>
  <si>
    <t>Communications</t>
  </si>
  <si>
    <t>Handbook</t>
  </si>
  <si>
    <t>Marketing - Advocacy</t>
  </si>
  <si>
    <t>Marketing - Campus Life, Services, and Programming</t>
  </si>
  <si>
    <t>Marketing - Research, Clubs &amp; Societies</t>
  </si>
  <si>
    <t>Marketing - Operations &amp; Facilities</t>
  </si>
  <si>
    <t>Stakeholder Relations</t>
  </si>
  <si>
    <t>Research</t>
  </si>
  <si>
    <t>Budget 18/21</t>
  </si>
  <si>
    <t>Advocacy Manager</t>
  </si>
  <si>
    <t>Director of Communications &amp; Stakeholder Relations (NEW DEPT CODE REQUESTED)</t>
  </si>
  <si>
    <t>A part of the Communications &amp; Stakeholder Relations Budget</t>
  </si>
  <si>
    <t>General Office/Computer Supply</t>
  </si>
  <si>
    <t>Promotions</t>
  </si>
  <si>
    <t>Travel/Conf/Wkp/Prof Dev</t>
  </si>
  <si>
    <t>Marketing General</t>
  </si>
  <si>
    <t>Bugdet 19/20</t>
  </si>
  <si>
    <t>Bugdet 20/21</t>
  </si>
  <si>
    <t>Bugdet 21/22</t>
  </si>
  <si>
    <t>16100-50040</t>
  </si>
  <si>
    <t>16100-50090</t>
  </si>
  <si>
    <t>16100-50100</t>
  </si>
  <si>
    <t>Advertising - BUSINESS</t>
  </si>
  <si>
    <t>Work Study Cost Recovery</t>
  </si>
  <si>
    <t>16100-50110</t>
  </si>
  <si>
    <t>Poster Runs</t>
  </si>
  <si>
    <t>16100-64040</t>
  </si>
  <si>
    <t>16100-65010</t>
  </si>
  <si>
    <t>16100-65020</t>
  </si>
  <si>
    <t>16100-65070</t>
  </si>
  <si>
    <t>16100-65080</t>
  </si>
  <si>
    <t>16100-65090</t>
  </si>
  <si>
    <t>16100-65310</t>
  </si>
  <si>
    <t>16100-66010</t>
  </si>
  <si>
    <t>16100-66020</t>
  </si>
  <si>
    <t>Promo Items - Marketing</t>
  </si>
  <si>
    <t>16100-66030</t>
  </si>
  <si>
    <t>16100-67075</t>
  </si>
  <si>
    <t>Promotions - WUSA Boxes</t>
  </si>
  <si>
    <t>16100-67080</t>
  </si>
  <si>
    <t>Advertising Governance changes</t>
  </si>
  <si>
    <t>Advertising OUSA/UCRU Campaigns</t>
  </si>
  <si>
    <t>Advertising Elections &amp; Referenda</t>
  </si>
  <si>
    <t>Advertising General Meetings / Town Halls</t>
  </si>
  <si>
    <t>16100-67110</t>
  </si>
  <si>
    <t>Advertising Events (CL)</t>
  </si>
  <si>
    <t>16100-67370</t>
  </si>
  <si>
    <t>Advertising General Advocacy</t>
  </si>
  <si>
    <t>Advertising Business</t>
  </si>
  <si>
    <t xml:space="preserve">Advertising Services </t>
  </si>
  <si>
    <t>16100-67040</t>
  </si>
  <si>
    <t>16100-70010</t>
  </si>
  <si>
    <t>16100-68100</t>
  </si>
  <si>
    <t>Ticket Sales</t>
  </si>
  <si>
    <t>Actual 19/20</t>
  </si>
  <si>
    <t>16200-64040</t>
  </si>
  <si>
    <t xml:space="preserve"> Salaries &amp; Wages P/T </t>
  </si>
  <si>
    <t>16200-65010</t>
  </si>
  <si>
    <t xml:space="preserve"> Telephone </t>
  </si>
  <si>
    <t>16200-65020</t>
  </si>
  <si>
    <t xml:space="preserve"> Cell Phone </t>
  </si>
  <si>
    <t xml:space="preserve"> Fax </t>
  </si>
  <si>
    <t>16200-65070</t>
  </si>
  <si>
    <t xml:space="preserve"> Photocopying </t>
  </si>
  <si>
    <t xml:space="preserve"> $               -  </t>
  </si>
  <si>
    <t>16200-65080</t>
  </si>
  <si>
    <t xml:space="preserve"> Printing/Graphic </t>
  </si>
  <si>
    <t>16200-65090</t>
  </si>
  <si>
    <t xml:space="preserve"> General Office/Computer Supply </t>
  </si>
  <si>
    <t>16200-66010</t>
  </si>
  <si>
    <t xml:space="preserve"> Entertainment/Promo/Meeting </t>
  </si>
  <si>
    <t>16200-66020</t>
  </si>
  <si>
    <t xml:space="preserve"> Promotions / Digital Ads</t>
  </si>
  <si>
    <t>16200-66030</t>
  </si>
  <si>
    <t xml:space="preserve"> Travel/Conf/Wkp/Prof Developm </t>
  </si>
  <si>
    <t>16200-66050</t>
  </si>
  <si>
    <t xml:space="preserve"> Memberships/Subscriptions</t>
  </si>
  <si>
    <t>16200-67040</t>
  </si>
  <si>
    <t>Staff Relations - NEW 2022-23</t>
  </si>
  <si>
    <t>16200-67075</t>
  </si>
  <si>
    <t>68100-16200</t>
  </si>
  <si>
    <t xml:space="preserve"> Amortization </t>
  </si>
  <si>
    <t>16200-70010</t>
  </si>
  <si>
    <t xml:space="preserve"> Special Projects </t>
  </si>
  <si>
    <t xml:space="preserve"> Print Materials </t>
  </si>
  <si>
    <t xml:space="preserve"> Video Projects </t>
  </si>
  <si>
    <t xml:space="preserve"> Web Projects </t>
  </si>
  <si>
    <t>** Should we create a new line for promo/ incentive costs for email program?</t>
  </si>
  <si>
    <t>Student Handbook</t>
  </si>
  <si>
    <t>Revisit for next year</t>
  </si>
  <si>
    <t>16300-5090</t>
  </si>
  <si>
    <t>Proposed 16/17</t>
  </si>
  <si>
    <t>16300-64040</t>
  </si>
  <si>
    <t>Salaries And P/T Wages</t>
  </si>
  <si>
    <t xml:space="preserve"> $                    -  </t>
  </si>
  <si>
    <t xml:space="preserve"> $                       -  </t>
  </si>
  <si>
    <t>Commission</t>
  </si>
  <si>
    <t>Fax/photocopying</t>
  </si>
  <si>
    <t>16300-65080</t>
  </si>
  <si>
    <t>Mobile Handbook</t>
  </si>
  <si>
    <t>Funding from Endowment Funds Promotion</t>
  </si>
  <si>
    <t>Budget 19-20</t>
  </si>
  <si>
    <t>16400-64040</t>
  </si>
  <si>
    <t>16400-65010</t>
  </si>
  <si>
    <t>16400-65020</t>
  </si>
  <si>
    <t>16400-65070</t>
  </si>
  <si>
    <t>16400-65080</t>
  </si>
  <si>
    <t>16400-65090</t>
  </si>
  <si>
    <t>16400-66010</t>
  </si>
  <si>
    <t>16400-66020</t>
  </si>
  <si>
    <t>16400-67080</t>
  </si>
  <si>
    <t>New- please create code</t>
  </si>
  <si>
    <t>Advertising Special Projects</t>
  </si>
  <si>
    <t>16400-67370</t>
  </si>
  <si>
    <t>Advertising Advocacy</t>
  </si>
  <si>
    <t>16400-67380</t>
  </si>
  <si>
    <t>Advertising Elections</t>
  </si>
  <si>
    <t>NEW - please create code</t>
  </si>
  <si>
    <t>Advertising - General Meetings</t>
  </si>
  <si>
    <t>Note: Subsumed under Marketing General (16100)</t>
  </si>
  <si>
    <t>Marketing - Campus Life, Services, &amp; Programming</t>
  </si>
  <si>
    <t>actual 15/16</t>
  </si>
  <si>
    <t>16500-64040</t>
  </si>
  <si>
    <t>16500-65010</t>
  </si>
  <si>
    <t>16500-65020</t>
  </si>
  <si>
    <t>16500-65070</t>
  </si>
  <si>
    <t>16500-65080</t>
  </si>
  <si>
    <t>16500-65090</t>
  </si>
  <si>
    <t>16500-66010</t>
  </si>
  <si>
    <t>16500-66020</t>
  </si>
  <si>
    <t>16500-67075</t>
  </si>
  <si>
    <t>16500-67080</t>
  </si>
  <si>
    <t>16500-67105</t>
  </si>
  <si>
    <t>Advertising All Clubs</t>
  </si>
  <si>
    <t>16500-67510</t>
  </si>
  <si>
    <t>Advertising Clubs Community Centre</t>
  </si>
  <si>
    <t>Advertising Clubs Special Events</t>
  </si>
  <si>
    <t>16500-67100</t>
  </si>
  <si>
    <t>Advertising All Services</t>
  </si>
  <si>
    <t>16500-67110</t>
  </si>
  <si>
    <t>Advertising - Events</t>
  </si>
  <si>
    <t>16500-67210</t>
  </si>
  <si>
    <t>Advertising CRT</t>
  </si>
  <si>
    <t>16500-67220</t>
  </si>
  <si>
    <t>Advertising Womens Centre</t>
  </si>
  <si>
    <t>16500-67230</t>
  </si>
  <si>
    <t>Advertising Glow</t>
  </si>
  <si>
    <t>16500-67240</t>
  </si>
  <si>
    <t>Advertising SCI</t>
  </si>
  <si>
    <t>16500-67250</t>
  </si>
  <si>
    <t>Advertising Student Food Bank</t>
  </si>
  <si>
    <t>16500-67260</t>
  </si>
  <si>
    <t>Advertising OCC</t>
  </si>
  <si>
    <t>16500-67270</t>
  </si>
  <si>
    <t>Advertising ICSN</t>
  </si>
  <si>
    <t>16500-67280</t>
  </si>
  <si>
    <t>Advertising Coop Connection</t>
  </si>
  <si>
    <t>16500-67290</t>
  </si>
  <si>
    <t>Advertising Volunteer Centre</t>
  </si>
  <si>
    <t>16500-67300</t>
  </si>
  <si>
    <t>Advertising Bike Centre</t>
  </si>
  <si>
    <t>16500-67360</t>
  </si>
  <si>
    <t>Advertising Mates</t>
  </si>
  <si>
    <t>16500-67350</t>
  </si>
  <si>
    <t>Advertising Warrior Tribe</t>
  </si>
  <si>
    <t>16500-67540</t>
  </si>
  <si>
    <t>Advertising RAISE</t>
  </si>
  <si>
    <t>Advertising Thrift Store</t>
  </si>
  <si>
    <t>16500-67310</t>
  </si>
  <si>
    <t>Advertising Welcome Week</t>
  </si>
  <si>
    <t>16500-67320</t>
  </si>
  <si>
    <t>Advertising Wellness Days/Wrap Up Week</t>
  </si>
  <si>
    <t>16500-67550</t>
  </si>
  <si>
    <t>Advertising Centre for Academic Policy Support (CAPS)</t>
  </si>
  <si>
    <t>16500-67340</t>
  </si>
  <si>
    <t>Advertising ICW</t>
  </si>
  <si>
    <t>16500-70010</t>
  </si>
  <si>
    <t>Services Special Projects</t>
  </si>
  <si>
    <t>Budget 2019/20</t>
  </si>
  <si>
    <t>Actual 20/212</t>
  </si>
  <si>
    <t>Transfers-in (Operations &amp; Facilities Advertisement)</t>
  </si>
  <si>
    <t>budget 16/17</t>
  </si>
  <si>
    <t>budget 16/18</t>
  </si>
  <si>
    <t>16600-64040</t>
  </si>
  <si>
    <t>16600-65010</t>
  </si>
  <si>
    <t>16600-65020</t>
  </si>
  <si>
    <t>16600-65070</t>
  </si>
  <si>
    <t>16600-65080</t>
  </si>
  <si>
    <t>16600-65090</t>
  </si>
  <si>
    <t>16600-66010</t>
  </si>
  <si>
    <t>Market Research - Mystery Shop / Survey / Focus Groups</t>
  </si>
  <si>
    <t>Advertising - Cdv Coupons / Discounts / Vouchers</t>
  </si>
  <si>
    <t>Advertising - All Commercial Operations</t>
  </si>
  <si>
    <t>16600-67080</t>
  </si>
  <si>
    <t>16600-67120</t>
  </si>
  <si>
    <t>Advertising - Student Life Centre / Feds Bus</t>
  </si>
  <si>
    <t>16600-67130</t>
  </si>
  <si>
    <t>Advertising - Feds Used Books</t>
  </si>
  <si>
    <t>16600-67140</t>
  </si>
  <si>
    <t>Advertising - International News</t>
  </si>
  <si>
    <t>NEW - create code</t>
  </si>
  <si>
    <t>Advertising - Chaska</t>
  </si>
  <si>
    <t>1.5% not including approx. $5000 for launch marketing</t>
  </si>
  <si>
    <t>16600-67150</t>
  </si>
  <si>
    <t>Advertising - Bombshelter Pub</t>
  </si>
  <si>
    <t>16600-67160</t>
  </si>
  <si>
    <t>Advertising - Campus Bubble/ Wasabi</t>
  </si>
  <si>
    <t>1.5% for stand alone concept or Odd B (TBD), not including launch budget</t>
  </si>
  <si>
    <t>16600-67170</t>
  </si>
  <si>
    <t>Advertising - Dispensary</t>
  </si>
  <si>
    <t>16600-67180</t>
  </si>
  <si>
    <t>Advertising- Service Kitchen</t>
  </si>
  <si>
    <t>16600-70010</t>
  </si>
  <si>
    <t>16600-68100</t>
  </si>
  <si>
    <t>Stakeholder Relations (41500)</t>
  </si>
  <si>
    <t>Photocopying/Printing</t>
  </si>
  <si>
    <t>66050/66060</t>
  </si>
  <si>
    <t>Memberships/Subscriptions</t>
  </si>
  <si>
    <t>IT will budget for CRM platform</t>
  </si>
  <si>
    <t>Queen's Park Observer - Annual Subsciption 
~$900/year</t>
  </si>
  <si>
    <t>Jill to become a member at CACUSS? https://www.cacuss.ca/membership/index.html</t>
  </si>
  <si>
    <t xml:space="preserve">Doubling from the past year (being in person)
This would be for Jill &amp; David </t>
  </si>
  <si>
    <t xml:space="preserve">$500 for Manager 
$500 for Stakeholder </t>
  </si>
  <si>
    <t>Doubled to include manager</t>
  </si>
  <si>
    <t>Stakeholder Appreciation/Recognition</t>
  </si>
  <si>
    <t>Some budget for swag for retired but important external stakeholders and some other things that pop up along the year</t>
  </si>
  <si>
    <t>Questions:</t>
  </si>
  <si>
    <t>Will part time staff fall under the manager moving forward?/ depending on the disemintation of VP Ed portfolio will some events/things move to this budget? IE teaching awards? or the budget of the AVPs?</t>
  </si>
  <si>
    <t>Will Manager Advo next year get own budget line? OR could we collapse the SRO &amp; Research under a manager budget?</t>
  </si>
  <si>
    <t>Equity Specialist budget for the year?</t>
  </si>
  <si>
    <t>65070-20200</t>
  </si>
  <si>
    <t>66010-20200</t>
  </si>
  <si>
    <t>65090-20200</t>
  </si>
  <si>
    <t>70010-20200</t>
  </si>
  <si>
    <t>64040-20200</t>
  </si>
  <si>
    <t>To Communications and Stakeholder Relations Portfolio- Advocacy Manager</t>
  </si>
  <si>
    <t>New Department code needed</t>
  </si>
  <si>
    <t>Research (31200)</t>
  </si>
  <si>
    <t>PT/Co-op Salary &amp; Wages</t>
  </si>
  <si>
    <t>Student/Member Research</t>
  </si>
  <si>
    <t>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</si>
</sst>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6" formatCode="&quot;$&quot;#,##0;[Red]\-&quot;$&quot;#,##0"/>
    <numFmt numFmtId="8" formatCode="&quot;$&quot;#,##0.00;[Red]\-&quot;$&quot;#,##0.00"/>
    <numFmt numFmtId="44" formatCode="_-&quot;$&quot;* #,##0.00_-;\-&quot;$&quot;* #,##0.00_-;_-&quot;$&quot;* &quot;-&quot;??_-;_-@_-"/>
    <numFmt numFmtId="43" formatCode="_-* #,##0.00_-;\-* #,##0.00_-;_-* &quot;-&quot;??_-;_-@_-"/>
    <numFmt numFmtId="164" formatCode="&quot;$&quot;#,##0_);[Red]\(&quot;$&quot;#,##0\)"/>
    <numFmt numFmtId="165" formatCode="&quot;$&quot;#,##0.00_);\(&quot;$&quot;#,##0.00\)"/>
    <numFmt numFmtId="166" formatCode="&quot;$&quot;#,##0.00_);[Red]\(&quot;$&quot;#,##0.00\)"/>
    <numFmt numFmtId="167" formatCode="_(&quot;$&quot;* #,##0.00_);_(&quot;$&quot;* \(#,##0.00\);_(&quot;$&quot;* &quot;-&quot;??_);_(@_)"/>
    <numFmt numFmtId="168" formatCode="_(* #,##0.00_);_(* \(#,##0.00\);_(* &quot;-&quot;??_);_(@_)"/>
    <numFmt numFmtId="169" formatCode="&quot;$&quot;#,##0.00"/>
    <numFmt numFmtId="170" formatCode="_(* #,##0_);_(* \(#,##0\);_(* &quot;-&quot;??_);_(@_)"/>
    <numFmt numFmtId="171" formatCode="[$-F800]dddd\,\ mmmm\ dd\,\ yyyy"/>
    <numFmt numFmtId="172" formatCode="[&gt;=0]#,##0.00;\(#,##0.00\)"/>
    <numFmt numFmtId="173" formatCode="&quot; $&quot;#,##0.00\ ;&quot; $(&quot;#,##0.00\);&quot; $-&quot;#\ ;@\ "/>
    <numFmt numFmtId="174" formatCode="_-[$$-1009]* #,##0.00_-;\-[$$-1009]* #,##0.00_-;_-[$$-1009]* &quot;-&quot;??_-;_-@_-"/>
    <numFmt numFmtId="175" formatCode="0.0%"/>
    <numFmt numFmtId="176" formatCode="&quot;$&quot;#,##0"/>
    <numFmt numFmtId="177" formatCode="_([$$-409]* #,##0.00_);_([$$-409]* \(#,##0.00\);_([$$-409]* &quot;-&quot;??_);_(@_)"/>
    <numFmt numFmtId="178" formatCode="_-&quot;$&quot;* #,##0.00_-;\-&quot;$&quot;* #,##0.00_-;_-&quot;$&quot;* &quot;-&quot;??_-;_-@"/>
    <numFmt numFmtId="179" formatCode="0.00_);[Red]\(0.00\)"/>
  </numFmts>
  <fonts count="13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0"/>
      <name val="Arial"/>
      <family val="2"/>
    </font>
    <font>
      <sz val="8"/>
      <color indexed="81"/>
      <name val="Tahoma"/>
      <family val="2"/>
    </font>
    <font>
      <b/>
      <sz val="8"/>
      <color indexed="81"/>
      <name val="Tahoma"/>
      <family val="2"/>
    </font>
    <font>
      <sz val="9"/>
      <color indexed="81"/>
      <name val="Arial"/>
      <family val="2"/>
    </font>
    <font>
      <b/>
      <sz val="9"/>
      <color indexed="81"/>
      <name val="Arial"/>
      <family val="2"/>
    </font>
    <font>
      <sz val="9"/>
      <color indexed="81"/>
      <name val="Tahoma"/>
      <family val="2"/>
    </font>
    <font>
      <b/>
      <sz val="9"/>
      <color indexed="81"/>
      <name val="Tahoma"/>
      <family val="2"/>
    </font>
    <font>
      <sz val="10"/>
      <name val="MS Sans Serif"/>
      <family val="2"/>
    </font>
    <font>
      <sz val="10"/>
      <name val="Arial"/>
      <family val="2"/>
    </font>
    <font>
      <sz val="10"/>
      <name val="Calibri"/>
      <family val="2"/>
      <scheme val="minor"/>
    </font>
    <font>
      <sz val="20"/>
      <name val="Calibri"/>
      <family val="2"/>
      <scheme val="minor"/>
    </font>
    <font>
      <b/>
      <sz val="22"/>
      <name val="Calibri Light"/>
      <family val="2"/>
    </font>
    <font>
      <i/>
      <sz val="18"/>
      <name val="Calibri"/>
      <family val="2"/>
      <scheme val="minor"/>
    </font>
    <font>
      <i/>
      <sz val="16"/>
      <name val="Calibri"/>
      <family val="2"/>
      <scheme val="minor"/>
    </font>
    <font>
      <b/>
      <sz val="12"/>
      <name val="Calibri"/>
      <family val="2"/>
      <scheme val="minor"/>
    </font>
    <font>
      <b/>
      <sz val="14"/>
      <name val="Calibri"/>
      <family val="2"/>
      <scheme val="minor"/>
    </font>
    <font>
      <sz val="12"/>
      <name val="Calibri"/>
      <family val="2"/>
      <scheme val="minor"/>
    </font>
    <font>
      <b/>
      <sz val="10"/>
      <name val="Calibri"/>
      <family val="2"/>
      <scheme val="minor"/>
    </font>
    <font>
      <sz val="10"/>
      <name val="Calibri"/>
      <family val="2"/>
    </font>
    <font>
      <i/>
      <sz val="10"/>
      <name val="Calibri"/>
      <family val="2"/>
      <scheme val="minor"/>
    </font>
    <font>
      <sz val="10"/>
      <color indexed="8"/>
      <name val="Calibri"/>
      <family val="2"/>
      <scheme val="minor"/>
    </font>
    <font>
      <b/>
      <u/>
      <sz val="18"/>
      <name val="Calibri Light"/>
      <family val="2"/>
    </font>
    <font>
      <sz val="10"/>
      <color indexed="81"/>
      <name val="Tahoma"/>
      <family val="2"/>
    </font>
    <font>
      <b/>
      <sz val="10"/>
      <color indexed="81"/>
      <name val="Tahoma"/>
      <family val="2"/>
    </font>
    <font>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0"/>
      <name val="Arial"/>
      <family val="2"/>
    </font>
    <font>
      <sz val="12"/>
      <name val="Times New Roman"/>
      <family val="1"/>
    </font>
    <font>
      <sz val="12"/>
      <color theme="1"/>
      <name val="Calibri"/>
      <family val="2"/>
      <scheme val="minor"/>
    </font>
    <font>
      <sz val="10"/>
      <color theme="1"/>
      <name val="Calibri"/>
      <family val="2"/>
      <scheme val="minor"/>
    </font>
    <font>
      <b/>
      <sz val="12"/>
      <name val="Humanst521 BT"/>
    </font>
    <font>
      <b/>
      <sz val="10"/>
      <name val="Humanst521 BT"/>
    </font>
    <font>
      <sz val="10"/>
      <name val="Humanst521 BT"/>
    </font>
    <font>
      <b/>
      <sz val="14"/>
      <color theme="0"/>
      <name val="Calibri"/>
      <family val="2"/>
      <scheme val="minor"/>
    </font>
    <font>
      <b/>
      <sz val="14"/>
      <name val="Humnst777 BlkCn BT Black"/>
    </font>
    <font>
      <b/>
      <i/>
      <sz val="10"/>
      <name val="Humanst521 BT"/>
    </font>
    <font>
      <i/>
      <sz val="9"/>
      <name val="Calibri"/>
      <family val="2"/>
      <scheme val="minor"/>
    </font>
    <font>
      <i/>
      <sz val="9"/>
      <name val="Calibri"/>
      <family val="2"/>
    </font>
    <font>
      <u/>
      <sz val="10"/>
      <name val="Calibri"/>
      <family val="2"/>
      <scheme val="minor"/>
    </font>
    <font>
      <b/>
      <sz val="11"/>
      <color theme="0"/>
      <name val="Calibri"/>
      <family val="2"/>
      <scheme val="minor"/>
    </font>
    <font>
      <b/>
      <sz val="11"/>
      <name val="Calibri"/>
      <family val="2"/>
      <scheme val="minor"/>
    </font>
    <font>
      <sz val="11"/>
      <name val="Calibri"/>
      <family val="2"/>
      <scheme val="minor"/>
    </font>
    <font>
      <sz val="10"/>
      <color rgb="FF000000"/>
      <name val="Arial"/>
      <family val="2"/>
    </font>
    <font>
      <sz val="10"/>
      <name val="MS Sans Serif"/>
    </font>
    <font>
      <sz val="10"/>
      <name val="Arial"/>
      <family val="2"/>
    </font>
    <font>
      <b/>
      <sz val="10"/>
      <color theme="0"/>
      <name val="Arial"/>
      <family val="2"/>
    </font>
    <font>
      <b/>
      <sz val="12"/>
      <color theme="0"/>
      <name val="Calibri"/>
      <family val="2"/>
      <scheme val="minor"/>
    </font>
    <font>
      <b/>
      <sz val="10"/>
      <color theme="0"/>
      <name val="Calibri"/>
      <family val="2"/>
      <scheme val="minor"/>
    </font>
    <font>
      <sz val="10"/>
      <color rgb="FFFF0000"/>
      <name val="Calibri"/>
      <family val="2"/>
      <scheme val="minor"/>
    </font>
    <font>
      <sz val="10"/>
      <color rgb="FFFF0000"/>
      <name val="Arial"/>
      <family val="2"/>
    </font>
    <font>
      <sz val="10"/>
      <color theme="0"/>
      <name val="Calibri"/>
      <family val="2"/>
      <scheme val="minor"/>
    </font>
    <font>
      <sz val="8"/>
      <name val="Arial"/>
      <family val="2"/>
    </font>
    <font>
      <sz val="9"/>
      <name val="Calibri"/>
      <family val="2"/>
      <scheme val="minor"/>
    </font>
    <font>
      <sz val="10"/>
      <color rgb="FF000000"/>
      <name val="Arial"/>
      <family val="2"/>
    </font>
    <font>
      <b/>
      <sz val="11"/>
      <color theme="1"/>
      <name val="Calibri"/>
      <family val="2"/>
      <scheme val="minor"/>
    </font>
    <font>
      <sz val="11"/>
      <color theme="0"/>
      <name val="Calibri"/>
      <family val="2"/>
      <scheme val="minor"/>
    </font>
    <font>
      <b/>
      <i/>
      <sz val="11"/>
      <color theme="1"/>
      <name val="Calibri"/>
      <family val="2"/>
      <scheme val="minor"/>
    </font>
    <font>
      <b/>
      <sz val="16"/>
      <color theme="1"/>
      <name val="Calibri"/>
      <family val="2"/>
      <scheme val="minor"/>
    </font>
    <font>
      <b/>
      <sz val="10"/>
      <name val="Arial"/>
      <family val="2"/>
    </font>
    <font>
      <b/>
      <sz val="14"/>
      <name val="Arial"/>
      <family val="2"/>
    </font>
    <font>
      <sz val="10"/>
      <name val="Arial"/>
      <family val="2"/>
    </font>
    <font>
      <sz val="12"/>
      <name val="Times New Roman"/>
      <family val="1"/>
    </font>
    <font>
      <i/>
      <sz val="11"/>
      <color theme="1"/>
      <name val="Calibri"/>
      <family val="2"/>
      <scheme val="minor"/>
    </font>
    <font>
      <sz val="10"/>
      <color rgb="FF000000"/>
      <name val="Calibri"/>
      <family val="2"/>
    </font>
    <font>
      <sz val="15"/>
      <color theme="1"/>
      <name val="Calibri"/>
      <family val="2"/>
      <scheme val="minor"/>
    </font>
    <font>
      <sz val="10"/>
      <color theme="1"/>
      <name val="Arial"/>
      <family val="2"/>
    </font>
    <font>
      <b/>
      <sz val="10"/>
      <color rgb="FF000000"/>
      <name val="Tahoma"/>
      <family val="2"/>
    </font>
    <font>
      <sz val="10"/>
      <color rgb="FF000000"/>
      <name val="Tahoma"/>
      <family val="2"/>
    </font>
    <font>
      <sz val="10"/>
      <color theme="1"/>
      <name val="Calibri"/>
      <family val="2"/>
    </font>
    <font>
      <sz val="18"/>
      <color rgb="FF000000"/>
      <name val="Calibri"/>
      <family val="2"/>
    </font>
    <font>
      <sz val="12"/>
      <color rgb="FF000000"/>
      <name val="Calibri"/>
      <family val="2"/>
    </font>
    <font>
      <sz val="14"/>
      <color rgb="FF000000"/>
      <name val="Calibri"/>
      <family val="2"/>
    </font>
    <font>
      <sz val="12"/>
      <color rgb="FF000000"/>
      <name val="Calibri"/>
      <family val="2"/>
      <scheme val="minor"/>
    </font>
    <font>
      <i/>
      <sz val="10"/>
      <name val="Arial"/>
      <family val="2"/>
    </font>
    <font>
      <sz val="14"/>
      <name val="Arial"/>
      <family val="2"/>
    </font>
    <font>
      <sz val="14"/>
      <color theme="1"/>
      <name val="Calibri"/>
      <family val="2"/>
      <scheme val="minor"/>
    </font>
    <font>
      <sz val="14"/>
      <name val="Calibri"/>
      <family val="2"/>
      <scheme val="minor"/>
    </font>
    <font>
      <sz val="11"/>
      <name val="Calibri"/>
      <family val="2"/>
    </font>
    <font>
      <sz val="8"/>
      <name val="Arial"/>
      <family val="2"/>
    </font>
    <font>
      <b/>
      <sz val="9"/>
      <color rgb="FF000000"/>
      <name val="Tahoma"/>
      <family val="2"/>
    </font>
    <font>
      <sz val="9"/>
      <color rgb="FF000000"/>
      <name val="Tahoma"/>
      <family val="2"/>
    </font>
    <font>
      <sz val="12"/>
      <color theme="0"/>
      <name val="Calibri"/>
      <family val="2"/>
      <scheme val="minor"/>
    </font>
    <font>
      <sz val="10"/>
      <color rgb="FF00B0F0"/>
      <name val="Arial"/>
      <family val="2"/>
    </font>
    <font>
      <b/>
      <sz val="10"/>
      <color theme="0"/>
      <name val="Calibri"/>
      <family val="2"/>
    </font>
    <font>
      <sz val="10"/>
      <color rgb="FF000000"/>
      <name val="Arial"/>
      <family val="2"/>
    </font>
    <font>
      <sz val="11"/>
      <color rgb="FF000000"/>
      <name val="Calibri"/>
      <family val="2"/>
    </font>
    <font>
      <u/>
      <sz val="11"/>
      <color theme="10"/>
      <name val="Calibri"/>
      <family val="2"/>
      <scheme val="minor"/>
    </font>
    <font>
      <sz val="9"/>
      <name val="Segoe UI"/>
      <family val="2"/>
    </font>
    <font>
      <sz val="10"/>
      <color theme="0"/>
      <name val="Arial"/>
      <family val="2"/>
    </font>
    <font>
      <b/>
      <sz val="10"/>
      <name val="Calibri"/>
      <family val="2"/>
    </font>
    <font>
      <b/>
      <sz val="14"/>
      <name val="Calibri"/>
      <family val="2"/>
    </font>
    <font>
      <sz val="10"/>
      <name val="Calibri"/>
      <scheme val="minor"/>
    </font>
  </fonts>
  <fills count="3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rgb="FFE6B121"/>
        <bgColor indexed="64"/>
      </patternFill>
    </fill>
    <fill>
      <patternFill patternType="solid">
        <fgColor theme="1"/>
        <bgColor indexed="64"/>
      </patternFill>
    </fill>
    <fill>
      <patternFill patternType="solid">
        <fgColor theme="5" tint="0.59999389629810485"/>
        <bgColor indexed="64"/>
      </patternFill>
    </fill>
    <fill>
      <patternFill patternType="solid">
        <fgColor theme="2"/>
        <bgColor indexed="64"/>
      </patternFill>
    </fill>
    <fill>
      <patternFill patternType="solid">
        <fgColor theme="5" tint="0.39997558519241921"/>
        <bgColor indexed="64"/>
      </patternFill>
    </fill>
    <fill>
      <patternFill patternType="solid">
        <fgColor rgb="FFFFC000"/>
        <bgColor indexed="64"/>
      </patternFill>
    </fill>
    <fill>
      <patternFill patternType="solid">
        <fgColor theme="4" tint="0.79998168889431442"/>
        <bgColor indexed="64"/>
      </patternFill>
    </fill>
    <fill>
      <patternFill patternType="solid">
        <fgColor rgb="FFFF0000"/>
        <bgColor indexed="64"/>
      </patternFill>
    </fill>
    <fill>
      <patternFill patternType="solid">
        <fgColor rgb="FF92D050"/>
        <bgColor indexed="64"/>
      </patternFill>
    </fill>
    <fill>
      <patternFill patternType="solid">
        <fgColor rgb="FFFFFFFF"/>
        <bgColor indexed="64"/>
      </patternFill>
    </fill>
    <fill>
      <patternFill patternType="solid">
        <fgColor theme="0" tint="-0.14996795556505021"/>
        <bgColor indexed="64"/>
      </patternFill>
    </fill>
    <fill>
      <patternFill patternType="solid">
        <fgColor rgb="FFD9D9D9"/>
        <bgColor indexed="64"/>
      </patternFill>
    </fill>
    <fill>
      <patternFill patternType="solid">
        <fgColor theme="1"/>
        <bgColor theme="1"/>
      </patternFill>
    </fill>
    <fill>
      <patternFill patternType="solid">
        <fgColor rgb="FFD9D9D9"/>
        <bgColor rgb="FF000000"/>
      </patternFill>
    </fill>
    <fill>
      <patternFill patternType="solid">
        <fgColor rgb="FFDBDBDB"/>
        <bgColor indexed="64"/>
      </patternFill>
    </fill>
    <fill>
      <patternFill patternType="solid">
        <fgColor rgb="FF70AD47"/>
        <bgColor indexed="64"/>
      </patternFill>
    </fill>
  </fills>
  <borders count="22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top style="double">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auto="1"/>
      </top>
      <bottom/>
      <diagonal/>
    </border>
    <border>
      <left style="thin">
        <color indexed="64"/>
      </left>
      <right style="thin">
        <color indexed="64"/>
      </right>
      <top/>
      <bottom/>
      <diagonal/>
    </border>
    <border>
      <left style="thin">
        <color indexed="64"/>
      </left>
      <right/>
      <top/>
      <bottom/>
      <diagonal/>
    </border>
    <border>
      <left/>
      <right style="medium">
        <color indexed="64"/>
      </right>
      <top/>
      <bottom style="thin">
        <color auto="1"/>
      </bottom>
      <diagonal/>
    </border>
    <border>
      <left style="thin">
        <color indexed="64"/>
      </left>
      <right style="medium">
        <color indexed="64"/>
      </right>
      <top/>
      <bottom style="medium">
        <color indexed="64"/>
      </bottom>
      <diagonal/>
    </border>
    <border>
      <left/>
      <right/>
      <top style="thin">
        <color theme="0"/>
      </top>
      <bottom/>
      <diagonal/>
    </border>
    <border>
      <left/>
      <right/>
      <top/>
      <bottom style="thin">
        <color theme="0"/>
      </bottom>
      <diagonal/>
    </border>
    <border>
      <left/>
      <right/>
      <top style="thin">
        <color theme="0"/>
      </top>
      <bottom style="thin">
        <color theme="0"/>
      </bottom>
      <diagonal/>
    </border>
    <border>
      <left/>
      <right/>
      <top style="thin">
        <color theme="0" tint="-0.14999847407452621"/>
      </top>
      <bottom style="thin">
        <color theme="0" tint="-0.14999847407452621"/>
      </bottom>
      <diagonal/>
    </border>
    <border>
      <left/>
      <right/>
      <top style="thin">
        <color theme="0" tint="-0.14999847407452621"/>
      </top>
      <bottom/>
      <diagonal/>
    </border>
    <border>
      <left/>
      <right/>
      <top/>
      <bottom style="thin">
        <color theme="0" tint="-0.14999847407452621"/>
      </bottom>
      <diagonal/>
    </border>
    <border>
      <left/>
      <right/>
      <top style="thin">
        <color theme="0" tint="-0.14999847407452621"/>
      </top>
      <bottom style="thin">
        <color indexed="64"/>
      </bottom>
      <diagonal/>
    </border>
    <border>
      <left/>
      <right style="thin">
        <color indexed="64"/>
      </right>
      <top style="medium">
        <color indexed="64"/>
      </top>
      <bottom style="medium">
        <color indexed="64"/>
      </bottom>
      <diagonal/>
    </border>
    <border>
      <left/>
      <right/>
      <top style="medium">
        <color theme="0"/>
      </top>
      <bottom/>
      <diagonal/>
    </border>
    <border>
      <left/>
      <right/>
      <top/>
      <bottom style="medium">
        <color theme="0"/>
      </bottom>
      <diagonal/>
    </border>
    <border>
      <left/>
      <right/>
      <top style="medium">
        <color theme="0" tint="-0.1499984740745262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theme="0" tint="-4.9989318521683403E-2"/>
      </top>
      <bottom/>
      <diagonal/>
    </border>
    <border>
      <left/>
      <right/>
      <top/>
      <bottom style="thin">
        <color theme="0" tint="-4.9989318521683403E-2"/>
      </bottom>
      <diagonal/>
    </border>
    <border>
      <left/>
      <right/>
      <top style="thin">
        <color theme="0" tint="-4.9989318521683403E-2"/>
      </top>
      <bottom style="thin">
        <color theme="0" tint="-4.9989318521683403E-2"/>
      </bottom>
      <diagonal/>
    </border>
    <border>
      <left/>
      <right style="medium">
        <color theme="1"/>
      </right>
      <top style="medium">
        <color indexed="64"/>
      </top>
      <bottom style="medium">
        <color indexed="64"/>
      </bottom>
      <diagonal/>
    </border>
    <border>
      <left/>
      <right/>
      <top style="medium">
        <color theme="0"/>
      </top>
      <bottom style="medium">
        <color theme="0"/>
      </bottom>
      <diagonal/>
    </border>
    <border>
      <left/>
      <right/>
      <top style="medium">
        <color theme="0" tint="-0.14999847407452621"/>
      </top>
      <bottom style="medium">
        <color theme="0" tint="-0.1499984740745262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diagonal/>
    </border>
    <border>
      <left style="thick">
        <color indexed="64"/>
      </left>
      <right style="thick">
        <color indexed="64"/>
      </right>
      <top style="thick">
        <color indexed="64"/>
      </top>
      <bottom style="thick">
        <color indexed="64"/>
      </bottom>
      <diagonal/>
    </border>
    <border>
      <left style="thin">
        <color auto="1"/>
      </left>
      <right style="thin">
        <color auto="1"/>
      </right>
      <top/>
      <bottom style="medium">
        <color indexed="64"/>
      </bottom>
      <diagonal/>
    </border>
    <border>
      <left style="thin">
        <color auto="1"/>
      </left>
      <right style="thin">
        <color indexed="64"/>
      </right>
      <top style="medium">
        <color indexed="64"/>
      </top>
      <bottom style="medium">
        <color indexed="64"/>
      </bottom>
      <diagonal/>
    </border>
    <border>
      <left/>
      <right style="thin">
        <color indexed="64"/>
      </right>
      <top/>
      <bottom/>
      <diagonal/>
    </border>
    <border>
      <left style="medium">
        <color auto="1"/>
      </left>
      <right/>
      <top style="medium">
        <color auto="1"/>
      </top>
      <bottom style="medium">
        <color auto="1"/>
      </bottom>
      <diagonal/>
    </border>
    <border>
      <left style="thin">
        <color indexed="64"/>
      </left>
      <right style="medium">
        <color indexed="64"/>
      </right>
      <top style="medium">
        <color auto="1"/>
      </top>
      <bottom style="medium">
        <color indexed="64"/>
      </bottom>
      <diagonal/>
    </border>
    <border>
      <left style="medium">
        <color indexed="64"/>
      </left>
      <right style="thin">
        <color auto="1"/>
      </right>
      <top style="medium">
        <color indexed="64"/>
      </top>
      <bottom style="medium">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style="medium">
        <color theme="0"/>
      </top>
      <bottom style="thin">
        <color indexed="64"/>
      </bottom>
      <diagonal/>
    </border>
    <border>
      <left/>
      <right/>
      <top/>
      <bottom style="medium">
        <color theme="0" tint="-0.14999847407452621"/>
      </bottom>
      <diagonal/>
    </border>
    <border>
      <left/>
      <right/>
      <top style="thin">
        <color theme="0"/>
      </top>
      <bottom style="medium">
        <color theme="0"/>
      </bottom>
      <diagonal/>
    </border>
    <border>
      <left/>
      <right/>
      <top style="thin">
        <color theme="0" tint="-0.14999847407452621"/>
      </top>
      <bottom style="medium">
        <color theme="0" tint="-0.14999847407452621"/>
      </bottom>
      <diagonal/>
    </border>
    <border>
      <left/>
      <right style="thin">
        <color indexed="64"/>
      </right>
      <top/>
      <bottom style="double">
        <color indexed="64"/>
      </bottom>
      <diagonal/>
    </border>
    <border>
      <left style="medium">
        <color indexed="64"/>
      </left>
      <right style="thin">
        <color indexed="64"/>
      </right>
      <top style="medium">
        <color indexed="64"/>
      </top>
      <bottom style="thin">
        <color indexed="64"/>
      </bottom>
      <diagonal/>
    </border>
    <border>
      <left/>
      <right style="thin">
        <color theme="0" tint="-0.14999847407452621"/>
      </right>
      <top style="thin">
        <color theme="0"/>
      </top>
      <bottom style="thin">
        <color theme="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thin">
        <color rgb="FF000000"/>
      </right>
      <top style="thin">
        <color rgb="FF000000"/>
      </top>
      <bottom/>
      <diagonal/>
    </border>
    <border>
      <left style="medium">
        <color rgb="FFCCCCCC"/>
      </left>
      <right/>
      <top style="medium">
        <color rgb="FFCCCCCC"/>
      </top>
      <bottom style="medium">
        <color rgb="FF000000"/>
      </bottom>
      <diagonal/>
    </border>
    <border>
      <left style="medium">
        <color rgb="FFCCCCCC"/>
      </left>
      <right/>
      <top/>
      <bottom style="medium">
        <color rgb="FF000000"/>
      </bottom>
      <diagonal/>
    </border>
    <border>
      <left style="thin">
        <color rgb="FF000000"/>
      </left>
      <right style="thin">
        <color rgb="FF000000"/>
      </right>
      <top style="thin">
        <color rgb="FF000000"/>
      </top>
      <bottom style="thin">
        <color rgb="FF000000"/>
      </bottom>
      <diagonal/>
    </border>
    <border>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
      <left style="medium">
        <color indexed="64"/>
      </left>
      <right/>
      <top style="thin">
        <color indexed="64"/>
      </top>
      <bottom style="thin">
        <color indexed="64"/>
      </bottom>
      <diagonal/>
    </border>
    <border>
      <left style="thin">
        <color auto="1"/>
      </left>
      <right style="thin">
        <color auto="1"/>
      </right>
      <top style="medium">
        <color indexed="64"/>
      </top>
      <bottom/>
      <diagonal/>
    </border>
    <border>
      <left style="thin">
        <color rgb="FF000000"/>
      </left>
      <right style="thin">
        <color rgb="FF000000"/>
      </right>
      <top style="thin">
        <color rgb="FF000000"/>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s>
  <cellStyleXfs count="54146">
    <xf numFmtId="0" fontId="0" fillId="0" borderId="0"/>
    <xf numFmtId="168" fontId="22" fillId="0" borderId="0" applyFont="0" applyFill="0" applyBorder="0" applyAlignment="0" applyProtection="0"/>
    <xf numFmtId="168" fontId="32" fillId="0" borderId="0" applyFont="0" applyFill="0" applyBorder="0" applyAlignment="0" applyProtection="0"/>
    <xf numFmtId="168" fontId="24" fillId="0" borderId="0" applyFont="0" applyFill="0" applyBorder="0" applyAlignment="0" applyProtection="0"/>
    <xf numFmtId="168" fontId="32" fillId="0" borderId="0" applyFont="0" applyFill="0" applyBorder="0" applyAlignment="0" applyProtection="0"/>
    <xf numFmtId="167" fontId="2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24" fillId="0" borderId="0" applyFont="0" applyFill="0" applyBorder="0" applyAlignment="0" applyProtection="0"/>
    <xf numFmtId="167" fontId="32" fillId="0" borderId="0" applyFont="0" applyFill="0" applyBorder="0" applyAlignment="0" applyProtection="0"/>
    <xf numFmtId="0" fontId="24" fillId="0" borderId="0"/>
    <xf numFmtId="0" fontId="32" fillId="0" borderId="0"/>
    <xf numFmtId="9" fontId="32" fillId="0" borderId="0" applyFont="0" applyFill="0" applyBorder="0" applyAlignment="0" applyProtection="0"/>
    <xf numFmtId="9" fontId="24"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9" fontId="22" fillId="0" borderId="0" applyFont="0" applyFill="0" applyBorder="0" applyAlignment="0" applyProtection="0"/>
    <xf numFmtId="168" fontId="22" fillId="0" borderId="0" applyFont="0" applyFill="0" applyBorder="0" applyAlignment="0" applyProtection="0"/>
    <xf numFmtId="167" fontId="22" fillId="0" borderId="0" applyFont="0" applyFill="0" applyBorder="0" applyAlignment="0" applyProtection="0"/>
    <xf numFmtId="0" fontId="22" fillId="0" borderId="0"/>
    <xf numFmtId="9" fontId="22"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0" fontId="21" fillId="0" borderId="0"/>
    <xf numFmtId="167" fontId="48" fillId="0" borderId="0" applyFont="0" applyFill="0" applyBorder="0" applyAlignment="0" applyProtection="0"/>
    <xf numFmtId="0" fontId="48" fillId="0" borderId="0"/>
    <xf numFmtId="9" fontId="48" fillId="0" borderId="0" applyFont="0" applyFill="0" applyBorder="0" applyAlignment="0" applyProtection="0"/>
    <xf numFmtId="168" fontId="48" fillId="0" borderId="0" applyFont="0" applyFill="0" applyBorder="0" applyAlignment="0" applyProtection="0"/>
    <xf numFmtId="168"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0" fontId="48" fillId="0" borderId="0"/>
    <xf numFmtId="9" fontId="48" fillId="0" borderId="0" applyFont="0" applyFill="0" applyBorder="0" applyAlignment="0" applyProtection="0"/>
    <xf numFmtId="168" fontId="21" fillId="0" borderId="0" applyFont="0" applyFill="0" applyBorder="0" applyAlignment="0" applyProtection="0"/>
    <xf numFmtId="167" fontId="21" fillId="0" borderId="0" applyFont="0" applyFill="0" applyBorder="0" applyAlignment="0" applyProtection="0"/>
    <xf numFmtId="0" fontId="20" fillId="0" borderId="0"/>
    <xf numFmtId="167" fontId="20" fillId="0" borderId="0" applyFont="0" applyFill="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7" borderId="0" applyNumberFormat="0" applyBorder="0" applyAlignment="0" applyProtection="0"/>
    <xf numFmtId="0" fontId="49" fillId="9" borderId="0" applyNumberFormat="0" applyBorder="0" applyAlignment="0" applyProtection="0"/>
    <xf numFmtId="0" fontId="49" fillId="6" borderId="0" applyNumberFormat="0" applyBorder="0" applyAlignment="0" applyProtection="0"/>
    <xf numFmtId="0" fontId="49" fillId="10" borderId="0" applyNumberFormat="0" applyBorder="0" applyAlignment="0" applyProtection="0"/>
    <xf numFmtId="0" fontId="49" fillId="11" borderId="0" applyNumberFormat="0" applyBorder="0" applyAlignment="0" applyProtection="0"/>
    <xf numFmtId="0" fontId="49" fillId="9" borderId="0" applyNumberFormat="0" applyBorder="0" applyAlignment="0" applyProtection="0"/>
    <xf numFmtId="0" fontId="49" fillId="7" borderId="0" applyNumberFormat="0" applyBorder="0" applyAlignment="0" applyProtection="0"/>
    <xf numFmtId="0" fontId="50" fillId="9" borderId="0" applyNumberFormat="0" applyBorder="0" applyAlignment="0" applyProtection="0"/>
    <xf numFmtId="0" fontId="50" fillId="12" borderId="0" applyNumberFormat="0" applyBorder="0" applyAlignment="0" applyProtection="0"/>
    <xf numFmtId="0" fontId="50" fillId="13" borderId="0" applyNumberFormat="0" applyBorder="0" applyAlignment="0" applyProtection="0"/>
    <xf numFmtId="0" fontId="50" fillId="11" borderId="0" applyNumberFormat="0" applyBorder="0" applyAlignment="0" applyProtection="0"/>
    <xf numFmtId="0" fontId="50" fillId="9" borderId="0" applyNumberFormat="0" applyBorder="0" applyAlignment="0" applyProtection="0"/>
    <xf numFmtId="0" fontId="50" fillId="6" borderId="0" applyNumberFormat="0" applyBorder="0" applyAlignment="0" applyProtection="0"/>
    <xf numFmtId="0" fontId="50" fillId="14" borderId="0" applyNumberFormat="0" applyBorder="0" applyAlignment="0" applyProtection="0"/>
    <xf numFmtId="0" fontId="50" fillId="12" borderId="0" applyNumberFormat="0" applyBorder="0" applyAlignment="0" applyProtection="0"/>
    <xf numFmtId="0" fontId="50" fillId="13"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1" fillId="18" borderId="0" applyNumberFormat="0" applyBorder="0" applyAlignment="0" applyProtection="0"/>
    <xf numFmtId="0" fontId="52" fillId="19" borderId="14" applyNumberFormat="0" applyAlignment="0" applyProtection="0"/>
    <xf numFmtId="0" fontId="53" fillId="20" borderId="15" applyNumberFormat="0" applyAlignment="0" applyProtection="0"/>
    <xf numFmtId="0" fontId="54" fillId="0" borderId="0" applyNumberFormat="0" applyFill="0" applyBorder="0" applyAlignment="0" applyProtection="0"/>
    <xf numFmtId="0" fontId="55" fillId="9" borderId="0" applyNumberFormat="0" applyBorder="0" applyAlignment="0" applyProtection="0"/>
    <xf numFmtId="0" fontId="56" fillId="0" borderId="16" applyNumberFormat="0" applyFill="0" applyAlignment="0" applyProtection="0"/>
    <xf numFmtId="0" fontId="57" fillId="0" borderId="17" applyNumberFormat="0" applyFill="0" applyAlignment="0" applyProtection="0"/>
    <xf numFmtId="0" fontId="58" fillId="0" borderId="18" applyNumberFormat="0" applyFill="0" applyAlignment="0" applyProtection="0"/>
    <xf numFmtId="0" fontId="58" fillId="0" borderId="0" applyNumberFormat="0" applyFill="0" applyBorder="0" applyAlignment="0" applyProtection="0"/>
    <xf numFmtId="0" fontId="59" fillId="10" borderId="14" applyNumberFormat="0" applyAlignment="0" applyProtection="0"/>
    <xf numFmtId="0" fontId="60" fillId="0" borderId="19" applyNumberFormat="0" applyFill="0" applyAlignment="0" applyProtection="0"/>
    <xf numFmtId="0" fontId="61" fillId="10" borderId="0" applyNumberFormat="0" applyBorder="0" applyAlignment="0" applyProtection="0"/>
    <xf numFmtId="0" fontId="22" fillId="7" borderId="20" applyNumberFormat="0" applyFont="0" applyAlignment="0" applyProtection="0"/>
    <xf numFmtId="0" fontId="62" fillId="19" borderId="21" applyNumberFormat="0" applyAlignment="0" applyProtection="0"/>
    <xf numFmtId="0" fontId="63" fillId="0" borderId="0" applyNumberFormat="0" applyFill="0" applyBorder="0" applyAlignment="0" applyProtection="0"/>
    <xf numFmtId="0" fontId="64" fillId="0" borderId="22" applyNumberFormat="0" applyFill="0" applyAlignment="0" applyProtection="0"/>
    <xf numFmtId="0" fontId="60" fillId="0" borderId="0" applyNumberFormat="0" applyFill="0" applyBorder="0" applyAlignment="0" applyProtection="0"/>
    <xf numFmtId="173" fontId="22" fillId="0" borderId="0" applyFill="0" applyBorder="0" applyAlignment="0" applyProtection="0"/>
    <xf numFmtId="0" fontId="19" fillId="0" borderId="0"/>
    <xf numFmtId="0" fontId="19" fillId="0" borderId="0"/>
    <xf numFmtId="167" fontId="19" fillId="0" borderId="0" applyFont="0" applyFill="0" applyBorder="0" applyAlignment="0" applyProtection="0"/>
    <xf numFmtId="168" fontId="22" fillId="0" borderId="0" applyFont="0" applyFill="0" applyBorder="0" applyAlignment="0" applyProtection="0"/>
    <xf numFmtId="167" fontId="22" fillId="0" borderId="0" applyFont="0" applyFill="0" applyBorder="0" applyAlignment="0" applyProtection="0"/>
    <xf numFmtId="9" fontId="22" fillId="0" borderId="0" applyFont="0" applyFill="0" applyBorder="0" applyAlignment="0" applyProtection="0"/>
    <xf numFmtId="0" fontId="18" fillId="0" borderId="0"/>
    <xf numFmtId="167" fontId="18" fillId="0" borderId="0" applyFont="0" applyFill="0" applyBorder="0" applyAlignment="0" applyProtection="0"/>
    <xf numFmtId="168" fontId="18" fillId="0" borderId="0" applyFont="0" applyFill="0" applyBorder="0" applyAlignment="0" applyProtection="0"/>
    <xf numFmtId="0" fontId="18" fillId="0" borderId="0"/>
    <xf numFmtId="0" fontId="18" fillId="0" borderId="0"/>
    <xf numFmtId="0" fontId="18" fillId="0" borderId="0"/>
    <xf numFmtId="0" fontId="65" fillId="0" borderId="0"/>
    <xf numFmtId="0" fontId="65" fillId="0" borderId="0"/>
    <xf numFmtId="0" fontId="65" fillId="0" borderId="0"/>
    <xf numFmtId="44" fontId="18" fillId="0" borderId="0" applyFont="0" applyFill="0" applyBorder="0" applyAlignment="0" applyProtection="0"/>
    <xf numFmtId="0" fontId="65" fillId="0" borderId="0"/>
    <xf numFmtId="0" fontId="65" fillId="0" borderId="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18" fillId="0" borderId="0"/>
    <xf numFmtId="167" fontId="22" fillId="0" borderId="0" applyFont="0" applyFill="0" applyBorder="0" applyAlignment="0" applyProtection="0"/>
    <xf numFmtId="0" fontId="22" fillId="0" borderId="0"/>
    <xf numFmtId="9"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9" fontId="22" fillId="0" borderId="0" applyFont="0" applyFill="0" applyBorder="0" applyAlignment="0" applyProtection="0"/>
    <xf numFmtId="168" fontId="18" fillId="0" borderId="0" applyFont="0" applyFill="0" applyBorder="0" applyAlignment="0" applyProtection="0"/>
    <xf numFmtId="167" fontId="18" fillId="0" borderId="0" applyFont="0" applyFill="0" applyBorder="0" applyAlignment="0" applyProtection="0"/>
    <xf numFmtId="0" fontId="18" fillId="0" borderId="0"/>
    <xf numFmtId="167" fontId="18"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18" fillId="0" borderId="0"/>
    <xf numFmtId="167" fontId="22" fillId="0" borderId="0" applyFont="0" applyFill="0" applyBorder="0" applyAlignment="0" applyProtection="0"/>
    <xf numFmtId="0" fontId="22" fillId="0" borderId="0"/>
    <xf numFmtId="9"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9" fontId="22" fillId="0" borderId="0" applyFont="0" applyFill="0" applyBorder="0" applyAlignment="0" applyProtection="0"/>
    <xf numFmtId="168" fontId="18" fillId="0" borderId="0" applyFont="0" applyFill="0" applyBorder="0" applyAlignment="0" applyProtection="0"/>
    <xf numFmtId="167" fontId="18" fillId="0" borderId="0" applyFont="0" applyFill="0" applyBorder="0" applyAlignment="0" applyProtection="0"/>
    <xf numFmtId="0" fontId="18" fillId="0" borderId="0"/>
    <xf numFmtId="167" fontId="18"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18" fillId="0" borderId="0"/>
    <xf numFmtId="167" fontId="22" fillId="0" borderId="0" applyFont="0" applyFill="0" applyBorder="0" applyAlignment="0" applyProtection="0"/>
    <xf numFmtId="0" fontId="22" fillId="0" borderId="0"/>
    <xf numFmtId="9"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9" fontId="22" fillId="0" borderId="0" applyFont="0" applyFill="0" applyBorder="0" applyAlignment="0" applyProtection="0"/>
    <xf numFmtId="168" fontId="18" fillId="0" borderId="0" applyFont="0" applyFill="0" applyBorder="0" applyAlignment="0" applyProtection="0"/>
    <xf numFmtId="167" fontId="18" fillId="0" borderId="0" applyFont="0" applyFill="0" applyBorder="0" applyAlignment="0" applyProtection="0"/>
    <xf numFmtId="0" fontId="18" fillId="0" borderId="0"/>
    <xf numFmtId="167" fontId="18"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18" fillId="0" borderId="0"/>
    <xf numFmtId="167" fontId="22" fillId="0" borderId="0" applyFont="0" applyFill="0" applyBorder="0" applyAlignment="0" applyProtection="0"/>
    <xf numFmtId="0" fontId="22" fillId="0" borderId="0"/>
    <xf numFmtId="9"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9" fontId="22" fillId="0" borderId="0" applyFont="0" applyFill="0" applyBorder="0" applyAlignment="0" applyProtection="0"/>
    <xf numFmtId="168" fontId="18" fillId="0" borderId="0" applyFont="0" applyFill="0" applyBorder="0" applyAlignment="0" applyProtection="0"/>
    <xf numFmtId="167" fontId="18" fillId="0" borderId="0" applyFont="0" applyFill="0" applyBorder="0" applyAlignment="0" applyProtection="0"/>
    <xf numFmtId="0" fontId="18" fillId="0" borderId="0"/>
    <xf numFmtId="167" fontId="18"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18" fillId="0" borderId="0"/>
    <xf numFmtId="167" fontId="22" fillId="0" borderId="0" applyFont="0" applyFill="0" applyBorder="0" applyAlignment="0" applyProtection="0"/>
    <xf numFmtId="0" fontId="22" fillId="0" borderId="0"/>
    <xf numFmtId="9"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0" fontId="22" fillId="0" borderId="0"/>
    <xf numFmtId="9" fontId="22" fillId="0" borderId="0" applyFont="0" applyFill="0" applyBorder="0" applyAlignment="0" applyProtection="0"/>
    <xf numFmtId="168" fontId="18" fillId="0" borderId="0" applyFont="0" applyFill="0" applyBorder="0" applyAlignment="0" applyProtection="0"/>
    <xf numFmtId="167" fontId="18" fillId="0" borderId="0" applyFont="0" applyFill="0" applyBorder="0" applyAlignment="0" applyProtection="0"/>
    <xf numFmtId="0" fontId="18" fillId="0" borderId="0"/>
    <xf numFmtId="167" fontId="18" fillId="0" borderId="0" applyFont="0" applyFill="0" applyBorder="0" applyAlignment="0" applyProtection="0"/>
    <xf numFmtId="0" fontId="22" fillId="0" borderId="0"/>
    <xf numFmtId="0" fontId="22" fillId="0" borderId="0"/>
    <xf numFmtId="0" fontId="22" fillId="0" borderId="0"/>
    <xf numFmtId="0" fontId="22" fillId="0" borderId="0"/>
    <xf numFmtId="0" fontId="17" fillId="0" borderId="0"/>
    <xf numFmtId="0" fontId="16" fillId="0" borderId="0"/>
    <xf numFmtId="168" fontId="16" fillId="0" borderId="0" applyFont="0" applyFill="0" applyBorder="0" applyAlignment="0" applyProtection="0"/>
    <xf numFmtId="167" fontId="16" fillId="0" borderId="0" applyFont="0" applyFill="0" applyBorder="0" applyAlignment="0" applyProtection="0"/>
    <xf numFmtId="0" fontId="15" fillId="0" borderId="0"/>
    <xf numFmtId="167" fontId="15" fillId="0" borderId="0" applyFont="0" applyFill="0" applyBorder="0" applyAlignment="0" applyProtection="0"/>
    <xf numFmtId="9" fontId="15" fillId="0" borderId="0" applyFont="0" applyFill="0" applyBorder="0" applyAlignment="0" applyProtection="0"/>
    <xf numFmtId="166" fontId="31" fillId="0" borderId="0" applyFont="0" applyFill="0" applyBorder="0" applyAlignment="0" applyProtection="0"/>
    <xf numFmtId="0" fontId="66" fillId="0" borderId="0"/>
    <xf numFmtId="0" fontId="67" fillId="0" borderId="0"/>
    <xf numFmtId="167" fontId="67" fillId="0" borderId="0" applyFont="0" applyFill="0" applyBorder="0" applyAlignment="0" applyProtection="0"/>
    <xf numFmtId="9" fontId="67" fillId="0" borderId="0" applyFont="0" applyFill="0" applyBorder="0" applyAlignment="0" applyProtection="0"/>
    <xf numFmtId="0" fontId="13" fillId="0" borderId="0"/>
    <xf numFmtId="0" fontId="22" fillId="0" borderId="0"/>
    <xf numFmtId="0" fontId="14" fillId="0" borderId="0"/>
    <xf numFmtId="44" fontId="22" fillId="0" borderId="0" applyFont="0" applyFill="0" applyBorder="0" applyAlignment="0" applyProtection="0"/>
    <xf numFmtId="0" fontId="81"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52" fillId="19" borderId="39" applyNumberFormat="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59" fillId="10" borderId="39" applyNumberFormat="0" applyAlignment="0" applyProtection="0"/>
    <xf numFmtId="0" fontId="22" fillId="7" borderId="40" applyNumberFormat="0" applyFont="0" applyAlignment="0" applyProtection="0"/>
    <xf numFmtId="0" fontId="62" fillId="19" borderId="41" applyNumberFormat="0" applyAlignment="0" applyProtection="0"/>
    <xf numFmtId="0" fontId="64" fillId="0" borderId="42" applyNumberFormat="0" applyFill="0" applyAlignment="0" applyProtection="0"/>
    <xf numFmtId="0" fontId="13" fillId="0" borderId="0"/>
    <xf numFmtId="0" fontId="13" fillId="0" borderId="0"/>
    <xf numFmtId="44" fontId="13"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22" fillId="0" borderId="0"/>
    <xf numFmtId="0" fontId="22" fillId="0" borderId="0"/>
    <xf numFmtId="0" fontId="22" fillId="0" borderId="0"/>
    <xf numFmtId="44" fontId="1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0" fontId="81" fillId="0" borderId="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0" fontId="14" fillId="0" borderId="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8" fontId="31" fillId="0" borderId="0" applyFont="0" applyFill="0" applyBorder="0" applyAlignment="0" applyProtection="0"/>
    <xf numFmtId="0" fontId="14" fillId="0" borderId="0"/>
    <xf numFmtId="44" fontId="14" fillId="0" borderId="0" applyFont="0" applyFill="0" applyBorder="0" applyAlignment="0" applyProtection="0"/>
    <xf numFmtId="9" fontId="14" fillId="0" borderId="0" applyFont="0" applyFill="0" applyBorder="0" applyAlignment="0" applyProtection="0"/>
    <xf numFmtId="0" fontId="52" fillId="19" borderId="43" applyNumberFormat="0" applyAlignment="0" applyProtection="0"/>
    <xf numFmtId="0" fontId="58" fillId="0" borderId="18" applyNumberFormat="0" applyFill="0" applyAlignment="0" applyProtection="0"/>
    <xf numFmtId="0" fontId="59" fillId="10" borderId="43" applyNumberFormat="0" applyAlignment="0" applyProtection="0"/>
    <xf numFmtId="0" fontId="22" fillId="7" borderId="40" applyNumberFormat="0" applyFont="0" applyAlignment="0" applyProtection="0"/>
    <xf numFmtId="0" fontId="62" fillId="19" borderId="41" applyNumberFormat="0" applyAlignment="0" applyProtection="0"/>
    <xf numFmtId="0" fontId="64" fillId="0" borderId="42" applyNumberFormat="0" applyFill="0" applyAlignment="0" applyProtection="0"/>
    <xf numFmtId="0" fontId="22" fillId="7" borderId="45" applyNumberFormat="0" applyFont="0" applyAlignment="0" applyProtection="0"/>
    <xf numFmtId="0" fontId="52" fillId="19" borderId="48" applyNumberFormat="0" applyAlignment="0" applyProtection="0"/>
    <xf numFmtId="0" fontId="58" fillId="0" borderId="18" applyNumberFormat="0" applyFill="0" applyAlignment="0" applyProtection="0"/>
    <xf numFmtId="0" fontId="62" fillId="19" borderId="46" applyNumberFormat="0" applyAlignment="0" applyProtection="0"/>
    <xf numFmtId="0" fontId="59" fillId="10" borderId="48" applyNumberFormat="0" applyAlignment="0" applyProtection="0"/>
    <xf numFmtId="0" fontId="52" fillId="19" borderId="44" applyNumberFormat="0" applyAlignment="0" applyProtection="0"/>
    <xf numFmtId="0" fontId="52" fillId="19" borderId="44" applyNumberFormat="0" applyAlignment="0" applyProtection="0"/>
    <xf numFmtId="0" fontId="59" fillId="10" borderId="48" applyNumberFormat="0" applyAlignment="0" applyProtection="0"/>
    <xf numFmtId="0" fontId="58" fillId="0" borderId="18" applyNumberFormat="0" applyFill="0" applyAlignment="0" applyProtection="0"/>
    <xf numFmtId="0" fontId="58" fillId="0" borderId="18" applyNumberFormat="0" applyFill="0" applyAlignment="0" applyProtection="0"/>
    <xf numFmtId="0" fontId="59" fillId="10" borderId="44" applyNumberFormat="0" applyAlignment="0" applyProtection="0"/>
    <xf numFmtId="0" fontId="52" fillId="19" borderId="44" applyNumberFormat="0" applyAlignment="0" applyProtection="0"/>
    <xf numFmtId="0" fontId="22" fillId="7" borderId="45" applyNumberFormat="0" applyFont="0" applyAlignment="0" applyProtection="0"/>
    <xf numFmtId="0" fontId="62" fillId="19" borderId="46" applyNumberFormat="0" applyAlignment="0" applyProtection="0"/>
    <xf numFmtId="0" fontId="64" fillId="0" borderId="47" applyNumberFormat="0" applyFill="0" applyAlignment="0" applyProtection="0"/>
    <xf numFmtId="0" fontId="62" fillId="19" borderId="50" applyNumberFormat="0" applyAlignment="0" applyProtection="0"/>
    <xf numFmtId="0" fontId="62" fillId="19" borderId="50" applyNumberFormat="0" applyAlignment="0" applyProtection="0"/>
    <xf numFmtId="0" fontId="59" fillId="10" borderId="44" applyNumberFormat="0" applyAlignment="0" applyProtection="0"/>
    <xf numFmtId="0" fontId="22" fillId="7" borderId="49" applyNumberFormat="0" applyFont="0" applyAlignment="0" applyProtection="0"/>
    <xf numFmtId="0" fontId="62" fillId="19" borderId="50" applyNumberFormat="0" applyAlignment="0" applyProtection="0"/>
    <xf numFmtId="0" fontId="64" fillId="0" borderId="51" applyNumberFormat="0" applyFill="0" applyAlignment="0" applyProtection="0"/>
    <xf numFmtId="0" fontId="64" fillId="0" borderId="51" applyNumberFormat="0" applyFill="0" applyAlignment="0" applyProtection="0"/>
    <xf numFmtId="0" fontId="22" fillId="7" borderId="49" applyNumberFormat="0" applyFont="0" applyAlignment="0" applyProtection="0"/>
    <xf numFmtId="0" fontId="64" fillId="0" borderId="47" applyNumberFormat="0" applyFill="0" applyAlignment="0" applyProtection="0"/>
    <xf numFmtId="0" fontId="22" fillId="7" borderId="49" applyNumberFormat="0" applyFont="0" applyAlignment="0" applyProtection="0"/>
    <xf numFmtId="0" fontId="59" fillId="10" borderId="48" applyNumberFormat="0" applyAlignment="0" applyProtection="0"/>
    <xf numFmtId="0" fontId="62" fillId="19" borderId="46" applyNumberFormat="0" applyAlignment="0" applyProtection="0"/>
    <xf numFmtId="0" fontId="64" fillId="0" borderId="47" applyNumberFormat="0" applyFill="0" applyAlignment="0" applyProtection="0"/>
    <xf numFmtId="0" fontId="62" fillId="19" borderId="46" applyNumberFormat="0" applyAlignment="0" applyProtection="0"/>
    <xf numFmtId="0" fontId="59" fillId="10" borderId="44" applyNumberFormat="0" applyAlignment="0" applyProtection="0"/>
    <xf numFmtId="0" fontId="22" fillId="7" borderId="45" applyNumberFormat="0" applyFont="0" applyAlignment="0" applyProtection="0"/>
    <xf numFmtId="0" fontId="22" fillId="7" borderId="45" applyNumberFormat="0" applyFont="0" applyAlignment="0" applyProtection="0"/>
    <xf numFmtId="0" fontId="64" fillId="0" borderId="47" applyNumberFormat="0" applyFill="0" applyAlignment="0" applyProtection="0"/>
    <xf numFmtId="0" fontId="64" fillId="0" borderId="51" applyNumberFormat="0" applyFill="0" applyAlignment="0" applyProtection="0"/>
    <xf numFmtId="0" fontId="52" fillId="19" borderId="48" applyNumberFormat="0" applyAlignment="0" applyProtection="0"/>
    <xf numFmtId="0" fontId="59" fillId="10" borderId="44" applyNumberFormat="0" applyAlignment="0" applyProtection="0"/>
    <xf numFmtId="0" fontId="52" fillId="19" borderId="48" applyNumberFormat="0" applyAlignment="0" applyProtection="0"/>
    <xf numFmtId="0" fontId="52" fillId="19" borderId="44" applyNumberFormat="0" applyAlignment="0" applyProtection="0"/>
    <xf numFmtId="0" fontId="13" fillId="0" borderId="0"/>
    <xf numFmtId="0" fontId="13" fillId="0" borderId="0"/>
    <xf numFmtId="44" fontId="13"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22" fillId="0" borderId="0"/>
    <xf numFmtId="0" fontId="22" fillId="0" borderId="0"/>
    <xf numFmtId="0" fontId="22" fillId="0" borderId="0"/>
    <xf numFmtId="44" fontId="1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8" fontId="31" fillId="0" borderId="0" applyFont="0" applyFill="0" applyBorder="0" applyAlignment="0" applyProtection="0"/>
    <xf numFmtId="0" fontId="14" fillId="0" borderId="0"/>
    <xf numFmtId="44" fontId="14" fillId="0" borderId="0" applyFont="0" applyFill="0" applyBorder="0" applyAlignment="0" applyProtection="0"/>
    <xf numFmtId="9" fontId="14" fillId="0" borderId="0" applyFont="0" applyFill="0" applyBorder="0" applyAlignment="0" applyProtection="0"/>
    <xf numFmtId="0" fontId="52" fillId="19" borderId="52" applyNumberFormat="0" applyAlignment="0" applyProtection="0"/>
    <xf numFmtId="0" fontId="59" fillId="10" borderId="52" applyNumberFormat="0" applyAlignment="0" applyProtection="0"/>
    <xf numFmtId="0" fontId="22" fillId="7" borderId="53" applyNumberFormat="0" applyFont="0" applyAlignment="0" applyProtection="0"/>
    <xf numFmtId="0" fontId="62" fillId="19" borderId="54" applyNumberFormat="0" applyAlignment="0" applyProtection="0"/>
    <xf numFmtId="0" fontId="64" fillId="0" borderId="55" applyNumberFormat="0" applyFill="0" applyAlignment="0" applyProtection="0"/>
    <xf numFmtId="0" fontId="22" fillId="7" borderId="57" applyNumberFormat="0" applyFont="0" applyAlignment="0" applyProtection="0"/>
    <xf numFmtId="0" fontId="52" fillId="19" borderId="60" applyNumberFormat="0" applyAlignment="0" applyProtection="0"/>
    <xf numFmtId="0" fontId="62" fillId="19" borderId="58" applyNumberFormat="0" applyAlignment="0" applyProtection="0"/>
    <xf numFmtId="0" fontId="59" fillId="10" borderId="60" applyNumberFormat="0" applyAlignment="0" applyProtection="0"/>
    <xf numFmtId="0" fontId="52" fillId="19" borderId="56" applyNumberFormat="0" applyAlignment="0" applyProtection="0"/>
    <xf numFmtId="0" fontId="52" fillId="19" borderId="56" applyNumberFormat="0" applyAlignment="0" applyProtection="0"/>
    <xf numFmtId="0" fontId="59" fillId="10" borderId="60" applyNumberFormat="0" applyAlignment="0" applyProtection="0"/>
    <xf numFmtId="0" fontId="59" fillId="10" borderId="56" applyNumberFormat="0" applyAlignment="0" applyProtection="0"/>
    <xf numFmtId="0" fontId="52" fillId="19" borderId="56" applyNumberFormat="0" applyAlignment="0" applyProtection="0"/>
    <xf numFmtId="0" fontId="22" fillId="7" borderId="57" applyNumberFormat="0" applyFont="0" applyAlignment="0" applyProtection="0"/>
    <xf numFmtId="0" fontId="62" fillId="19" borderId="58" applyNumberFormat="0" applyAlignment="0" applyProtection="0"/>
    <xf numFmtId="0" fontId="64" fillId="0" borderId="59" applyNumberFormat="0" applyFill="0" applyAlignment="0" applyProtection="0"/>
    <xf numFmtId="0" fontId="62" fillId="19" borderId="62" applyNumberFormat="0" applyAlignment="0" applyProtection="0"/>
    <xf numFmtId="0" fontId="62" fillId="19" borderId="62" applyNumberFormat="0" applyAlignment="0" applyProtection="0"/>
    <xf numFmtId="0" fontId="59" fillId="10" borderId="56" applyNumberFormat="0" applyAlignment="0" applyProtection="0"/>
    <xf numFmtId="0" fontId="22" fillId="7" borderId="61" applyNumberFormat="0" applyFont="0" applyAlignment="0" applyProtection="0"/>
    <xf numFmtId="0" fontId="62" fillId="19" borderId="62" applyNumberFormat="0" applyAlignment="0" applyProtection="0"/>
    <xf numFmtId="0" fontId="64" fillId="0" borderId="63" applyNumberFormat="0" applyFill="0" applyAlignment="0" applyProtection="0"/>
    <xf numFmtId="0" fontId="64" fillId="0" borderId="63" applyNumberFormat="0" applyFill="0" applyAlignment="0" applyProtection="0"/>
    <xf numFmtId="0" fontId="22" fillId="7" borderId="61" applyNumberFormat="0" applyFont="0" applyAlignment="0" applyProtection="0"/>
    <xf numFmtId="0" fontId="64" fillId="0" borderId="59" applyNumberFormat="0" applyFill="0" applyAlignment="0" applyProtection="0"/>
    <xf numFmtId="0" fontId="22" fillId="7" borderId="61" applyNumberFormat="0" applyFont="0" applyAlignment="0" applyProtection="0"/>
    <xf numFmtId="0" fontId="59" fillId="10" borderId="60" applyNumberFormat="0" applyAlignment="0" applyProtection="0"/>
    <xf numFmtId="0" fontId="62" fillId="19" borderId="58" applyNumberFormat="0" applyAlignment="0" applyProtection="0"/>
    <xf numFmtId="0" fontId="64" fillId="0" borderId="59" applyNumberFormat="0" applyFill="0" applyAlignment="0" applyProtection="0"/>
    <xf numFmtId="0" fontId="62" fillId="19" borderId="58" applyNumberFormat="0" applyAlignment="0" applyProtection="0"/>
    <xf numFmtId="0" fontId="59" fillId="10" borderId="56" applyNumberFormat="0" applyAlignment="0" applyProtection="0"/>
    <xf numFmtId="0" fontId="22" fillId="7" borderId="57" applyNumberFormat="0" applyFont="0" applyAlignment="0" applyProtection="0"/>
    <xf numFmtId="0" fontId="22" fillId="7" borderId="57" applyNumberFormat="0" applyFont="0" applyAlignment="0" applyProtection="0"/>
    <xf numFmtId="0" fontId="64" fillId="0" borderId="59" applyNumberFormat="0" applyFill="0" applyAlignment="0" applyProtection="0"/>
    <xf numFmtId="0" fontId="64" fillId="0" borderId="63" applyNumberFormat="0" applyFill="0" applyAlignment="0" applyProtection="0"/>
    <xf numFmtId="0" fontId="52" fillId="19" borderId="60" applyNumberFormat="0" applyAlignment="0" applyProtection="0"/>
    <xf numFmtId="0" fontId="59" fillId="10" borderId="56" applyNumberFormat="0" applyAlignment="0" applyProtection="0"/>
    <xf numFmtId="0" fontId="52" fillId="19" borderId="60" applyNumberFormat="0" applyAlignment="0" applyProtection="0"/>
    <xf numFmtId="0" fontId="52" fillId="19" borderId="56" applyNumberFormat="0" applyAlignment="0" applyProtection="0"/>
    <xf numFmtId="44" fontId="22" fillId="0" borderId="0" applyFont="0" applyFill="0" applyBorder="0" applyAlignment="0" applyProtection="0"/>
    <xf numFmtId="0" fontId="22" fillId="0" borderId="0"/>
    <xf numFmtId="0" fontId="14" fillId="0" borderId="0"/>
    <xf numFmtId="44" fontId="22" fillId="0" borderId="0" applyFont="0" applyFill="0" applyBorder="0" applyAlignment="0" applyProtection="0"/>
    <xf numFmtId="0" fontId="81" fillId="0" borderId="0"/>
    <xf numFmtId="0" fontId="22" fillId="0" borderId="0"/>
    <xf numFmtId="44"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4"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22" fillId="0" borderId="0" applyFont="0" applyFill="0" applyBorder="0" applyAlignment="0" applyProtection="0"/>
    <xf numFmtId="44"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2" fillId="19" borderId="97" applyNumberFormat="0" applyAlignment="0" applyProtection="0"/>
    <xf numFmtId="44" fontId="13" fillId="0" borderId="0" applyFont="0" applyFill="0" applyBorder="0" applyAlignment="0" applyProtection="0"/>
    <xf numFmtId="0" fontId="52" fillId="19" borderId="64" applyNumberFormat="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59" fillId="10" borderId="64" applyNumberFormat="0" applyAlignment="0" applyProtection="0"/>
    <xf numFmtId="44" fontId="22" fillId="0" borderId="0" applyFont="0" applyFill="0" applyBorder="0" applyAlignment="0" applyProtection="0"/>
    <xf numFmtId="43" fontId="22" fillId="0" borderId="0" applyFont="0" applyFill="0" applyBorder="0" applyAlignment="0" applyProtection="0"/>
    <xf numFmtId="0" fontId="22" fillId="7" borderId="65" applyNumberFormat="0" applyFont="0" applyAlignment="0" applyProtection="0"/>
    <xf numFmtId="0" fontId="62" fillId="19" borderId="66" applyNumberFormat="0" applyAlignment="0" applyProtection="0"/>
    <xf numFmtId="0" fontId="64" fillId="0" borderId="67" applyNumberFormat="0" applyFill="0" applyAlignment="0" applyProtection="0"/>
    <xf numFmtId="43" fontId="13"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22" fillId="0" borderId="0"/>
    <xf numFmtId="0" fontId="22" fillId="0" borderId="0"/>
    <xf numFmtId="0" fontId="22" fillId="0" borderId="0"/>
    <xf numFmtId="44" fontId="1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22"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81"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xf numFmtId="0" fontId="14"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8" fontId="31" fillId="0" borderId="0" applyFont="0" applyFill="0" applyBorder="0" applyAlignment="0" applyProtection="0"/>
    <xf numFmtId="44" fontId="22" fillId="0" borderId="0" applyFont="0" applyFill="0" applyBorder="0" applyAlignment="0" applyProtection="0"/>
    <xf numFmtId="0" fontId="14" fillId="0" borderId="0"/>
    <xf numFmtId="44" fontId="14" fillId="0" borderId="0" applyFont="0" applyFill="0" applyBorder="0" applyAlignment="0" applyProtection="0"/>
    <xf numFmtId="9" fontId="14" fillId="0" borderId="0" applyFont="0" applyFill="0" applyBorder="0" applyAlignment="0" applyProtection="0"/>
    <xf numFmtId="0" fontId="52" fillId="19" borderId="64" applyNumberFormat="0" applyAlignment="0" applyProtection="0"/>
    <xf numFmtId="43" fontId="22" fillId="0" borderId="0" applyFont="0" applyFill="0" applyBorder="0" applyAlignment="0" applyProtection="0"/>
    <xf numFmtId="0" fontId="59" fillId="10" borderId="64" applyNumberFormat="0" applyAlignment="0" applyProtection="0"/>
    <xf numFmtId="0" fontId="22" fillId="7" borderId="65" applyNumberFormat="0" applyFont="0" applyAlignment="0" applyProtection="0"/>
    <xf numFmtId="0" fontId="62" fillId="19" borderId="66" applyNumberFormat="0" applyAlignment="0" applyProtection="0"/>
    <xf numFmtId="0" fontId="64" fillId="0" borderId="67" applyNumberFormat="0" applyFill="0" applyAlignment="0" applyProtection="0"/>
    <xf numFmtId="0" fontId="22" fillId="7" borderId="69" applyNumberFormat="0" applyFont="0" applyAlignment="0" applyProtection="0"/>
    <xf numFmtId="0" fontId="52" fillId="19" borderId="72" applyNumberFormat="0" applyAlignment="0" applyProtection="0"/>
    <xf numFmtId="0" fontId="58" fillId="0" borderId="76" applyNumberFormat="0" applyFill="0" applyAlignment="0" applyProtection="0"/>
    <xf numFmtId="0" fontId="62" fillId="19" borderId="70" applyNumberFormat="0" applyAlignment="0" applyProtection="0"/>
    <xf numFmtId="0" fontId="59" fillId="10" borderId="72" applyNumberFormat="0" applyAlignment="0" applyProtection="0"/>
    <xf numFmtId="0" fontId="52" fillId="19" borderId="68" applyNumberFormat="0" applyAlignment="0" applyProtection="0"/>
    <xf numFmtId="0" fontId="52" fillId="19" borderId="68" applyNumberFormat="0" applyAlignment="0" applyProtection="0"/>
    <xf numFmtId="0" fontId="59" fillId="10" borderId="72" applyNumberFormat="0" applyAlignment="0" applyProtection="0"/>
    <xf numFmtId="43" fontId="22" fillId="0" borderId="0" applyFont="0" applyFill="0" applyBorder="0" applyAlignment="0" applyProtection="0"/>
    <xf numFmtId="0" fontId="59" fillId="10" borderId="68" applyNumberFormat="0" applyAlignment="0" applyProtection="0"/>
    <xf numFmtId="0" fontId="52" fillId="19" borderId="68" applyNumberFormat="0" applyAlignment="0" applyProtection="0"/>
    <xf numFmtId="0" fontId="22" fillId="7" borderId="69" applyNumberFormat="0" applyFont="0" applyAlignment="0" applyProtection="0"/>
    <xf numFmtId="0" fontId="62" fillId="19" borderId="70" applyNumberFormat="0" applyAlignment="0" applyProtection="0"/>
    <xf numFmtId="0" fontId="64" fillId="0" borderId="71" applyNumberFormat="0" applyFill="0" applyAlignment="0" applyProtection="0"/>
    <xf numFmtId="0" fontId="62" fillId="19" borderId="74" applyNumberFormat="0" applyAlignment="0" applyProtection="0"/>
    <xf numFmtId="0" fontId="62" fillId="19" borderId="74" applyNumberFormat="0" applyAlignment="0" applyProtection="0"/>
    <xf numFmtId="0" fontId="59" fillId="10" borderId="68" applyNumberFormat="0" applyAlignment="0" applyProtection="0"/>
    <xf numFmtId="0" fontId="22" fillId="7" borderId="73" applyNumberFormat="0" applyFont="0" applyAlignment="0" applyProtection="0"/>
    <xf numFmtId="0" fontId="62" fillId="19" borderId="74" applyNumberFormat="0" applyAlignment="0" applyProtection="0"/>
    <xf numFmtId="0" fontId="64" fillId="0" borderId="75" applyNumberFormat="0" applyFill="0" applyAlignment="0" applyProtection="0"/>
    <xf numFmtId="0" fontId="64" fillId="0" borderId="75" applyNumberFormat="0" applyFill="0" applyAlignment="0" applyProtection="0"/>
    <xf numFmtId="0" fontId="22" fillId="7" borderId="73" applyNumberFormat="0" applyFont="0" applyAlignment="0" applyProtection="0"/>
    <xf numFmtId="0" fontId="64" fillId="0" borderId="71" applyNumberFormat="0" applyFill="0" applyAlignment="0" applyProtection="0"/>
    <xf numFmtId="0" fontId="22" fillId="7" borderId="73" applyNumberFormat="0" applyFont="0" applyAlignment="0" applyProtection="0"/>
    <xf numFmtId="0" fontId="59" fillId="10" borderId="72" applyNumberFormat="0" applyAlignment="0" applyProtection="0"/>
    <xf numFmtId="0" fontId="62" fillId="19" borderId="70" applyNumberFormat="0" applyAlignment="0" applyProtection="0"/>
    <xf numFmtId="0" fontId="64" fillId="0" borderId="71" applyNumberFormat="0" applyFill="0" applyAlignment="0" applyProtection="0"/>
    <xf numFmtId="0" fontId="62" fillId="19" borderId="70" applyNumberFormat="0" applyAlignment="0" applyProtection="0"/>
    <xf numFmtId="0" fontId="59" fillId="10" borderId="68" applyNumberFormat="0" applyAlignment="0" applyProtection="0"/>
    <xf numFmtId="0" fontId="22" fillId="7" borderId="69" applyNumberFormat="0" applyFont="0" applyAlignment="0" applyProtection="0"/>
    <xf numFmtId="0" fontId="22" fillId="7" borderId="69" applyNumberFormat="0" applyFont="0" applyAlignment="0" applyProtection="0"/>
    <xf numFmtId="0" fontId="64" fillId="0" borderId="71" applyNumberFormat="0" applyFill="0" applyAlignment="0" applyProtection="0"/>
    <xf numFmtId="0" fontId="64" fillId="0" borderId="75" applyNumberFormat="0" applyFill="0" applyAlignment="0" applyProtection="0"/>
    <xf numFmtId="0" fontId="52" fillId="19" borderId="72" applyNumberFormat="0" applyAlignment="0" applyProtection="0"/>
    <xf numFmtId="0" fontId="59" fillId="10" borderId="68" applyNumberFormat="0" applyAlignment="0" applyProtection="0"/>
    <xf numFmtId="0" fontId="52" fillId="19" borderId="72" applyNumberFormat="0" applyAlignment="0" applyProtection="0"/>
    <xf numFmtId="0" fontId="52" fillId="19" borderId="68" applyNumberFormat="0" applyAlignment="0" applyProtection="0"/>
    <xf numFmtId="44" fontId="22" fillId="0" borderId="0" applyFont="0" applyFill="0" applyBorder="0" applyAlignment="0" applyProtection="0"/>
    <xf numFmtId="0" fontId="52" fillId="19" borderId="72" applyNumberFormat="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58" fillId="0" borderId="76" applyNumberFormat="0" applyFill="0" applyAlignment="0" applyProtection="0"/>
    <xf numFmtId="43" fontId="22" fillId="0" borderId="0" applyFont="0" applyFill="0" applyBorder="0" applyAlignment="0" applyProtection="0"/>
    <xf numFmtId="0" fontId="59" fillId="10" borderId="72" applyNumberFormat="0" applyAlignment="0" applyProtection="0"/>
    <xf numFmtId="43" fontId="22" fillId="0" borderId="0" applyFont="0" applyFill="0" applyBorder="0" applyAlignment="0" applyProtection="0"/>
    <xf numFmtId="44" fontId="22" fillId="0" borderId="0" applyFont="0" applyFill="0" applyBorder="0" applyAlignment="0" applyProtection="0"/>
    <xf numFmtId="0" fontId="22" fillId="7" borderId="73" applyNumberFormat="0" applyFont="0" applyAlignment="0" applyProtection="0"/>
    <xf numFmtId="0" fontId="62" fillId="19" borderId="74" applyNumberFormat="0" applyAlignment="0" applyProtection="0"/>
    <xf numFmtId="0" fontId="64" fillId="0" borderId="75" applyNumberFormat="0" applyFill="0" applyAlignment="0" applyProtection="0"/>
    <xf numFmtId="43" fontId="22"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22" fillId="0" borderId="0"/>
    <xf numFmtId="0" fontId="22" fillId="0" borderId="0"/>
    <xf numFmtId="0" fontId="22" fillId="0" borderId="0"/>
    <xf numFmtId="44" fontId="1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81"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0" fontId="22" fillId="0" borderId="0"/>
    <xf numFmtId="44" fontId="22" fillId="0" borderId="0" applyFont="0" applyFill="0" applyBorder="0" applyAlignment="0" applyProtection="0"/>
    <xf numFmtId="0" fontId="81"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8" fontId="31" fillId="0" borderId="0" applyFont="0" applyFill="0" applyBorder="0" applyAlignment="0" applyProtection="0"/>
    <xf numFmtId="44" fontId="22" fillId="0" borderId="0" applyFont="0" applyFill="0" applyBorder="0" applyAlignment="0" applyProtection="0"/>
    <xf numFmtId="0" fontId="14" fillId="0" borderId="0"/>
    <xf numFmtId="44" fontId="14" fillId="0" borderId="0" applyFont="0" applyFill="0" applyBorder="0" applyAlignment="0" applyProtection="0"/>
    <xf numFmtId="9" fontId="14" fillId="0" borderId="0" applyFont="0" applyFill="0" applyBorder="0" applyAlignment="0" applyProtection="0"/>
    <xf numFmtId="0" fontId="52" fillId="19" borderId="77" applyNumberFormat="0" applyAlignment="0" applyProtection="0"/>
    <xf numFmtId="0" fontId="58" fillId="0" borderId="76" applyNumberFormat="0" applyFill="0" applyAlignment="0" applyProtection="0"/>
    <xf numFmtId="0" fontId="59" fillId="10" borderId="77" applyNumberFormat="0" applyAlignment="0" applyProtection="0"/>
    <xf numFmtId="0" fontId="22" fillId="7" borderId="78" applyNumberFormat="0" applyFont="0" applyAlignment="0" applyProtection="0"/>
    <xf numFmtId="0" fontId="62" fillId="19" borderId="79" applyNumberFormat="0" applyAlignment="0" applyProtection="0"/>
    <xf numFmtId="0" fontId="64" fillId="0" borderId="80" applyNumberFormat="0" applyFill="0" applyAlignment="0" applyProtection="0"/>
    <xf numFmtId="0" fontId="22" fillId="7" borderId="82" applyNumberFormat="0" applyFont="0" applyAlignment="0" applyProtection="0"/>
    <xf numFmtId="0" fontId="52" fillId="19" borderId="85" applyNumberFormat="0" applyAlignment="0" applyProtection="0"/>
    <xf numFmtId="0" fontId="58" fillId="0" borderId="89" applyNumberFormat="0" applyFill="0" applyAlignment="0" applyProtection="0"/>
    <xf numFmtId="0" fontId="62" fillId="19" borderId="83" applyNumberFormat="0" applyAlignment="0" applyProtection="0"/>
    <xf numFmtId="0" fontId="59" fillId="10" borderId="85" applyNumberFormat="0" applyAlignment="0" applyProtection="0"/>
    <xf numFmtId="0" fontId="52" fillId="19" borderId="81" applyNumberFormat="0" applyAlignment="0" applyProtection="0"/>
    <xf numFmtId="0" fontId="52" fillId="19" borderId="81" applyNumberFormat="0" applyAlignment="0" applyProtection="0"/>
    <xf numFmtId="0" fontId="59" fillId="10" borderId="85" applyNumberFormat="0" applyAlignment="0" applyProtection="0"/>
    <xf numFmtId="0" fontId="58" fillId="0" borderId="76" applyNumberFormat="0" applyFill="0" applyAlignment="0" applyProtection="0"/>
    <xf numFmtId="0" fontId="58" fillId="0" borderId="76" applyNumberFormat="0" applyFill="0" applyAlignment="0" applyProtection="0"/>
    <xf numFmtId="0" fontId="59" fillId="10" borderId="81" applyNumberFormat="0" applyAlignment="0" applyProtection="0"/>
    <xf numFmtId="0" fontId="52" fillId="19" borderId="81" applyNumberFormat="0" applyAlignment="0" applyProtection="0"/>
    <xf numFmtId="0" fontId="22" fillId="7" borderId="82" applyNumberFormat="0" applyFont="0" applyAlignment="0" applyProtection="0"/>
    <xf numFmtId="0" fontId="62" fillId="19" borderId="83" applyNumberFormat="0" applyAlignment="0" applyProtection="0"/>
    <xf numFmtId="0" fontId="64" fillId="0" borderId="84" applyNumberFormat="0" applyFill="0" applyAlignment="0" applyProtection="0"/>
    <xf numFmtId="0" fontId="62" fillId="19" borderId="87" applyNumberFormat="0" applyAlignment="0" applyProtection="0"/>
    <xf numFmtId="0" fontId="62" fillId="19" borderId="87" applyNumberFormat="0" applyAlignment="0" applyProtection="0"/>
    <xf numFmtId="0" fontId="59" fillId="10" borderId="81" applyNumberFormat="0" applyAlignment="0" applyProtection="0"/>
    <xf numFmtId="0" fontId="22" fillId="7" borderId="86" applyNumberFormat="0" applyFont="0" applyAlignment="0" applyProtection="0"/>
    <xf numFmtId="0" fontId="62" fillId="19" borderId="87" applyNumberFormat="0" applyAlignment="0" applyProtection="0"/>
    <xf numFmtId="0" fontId="64" fillId="0" borderId="88" applyNumberFormat="0" applyFill="0" applyAlignment="0" applyProtection="0"/>
    <xf numFmtId="0" fontId="64" fillId="0" borderId="88" applyNumberFormat="0" applyFill="0" applyAlignment="0" applyProtection="0"/>
    <xf numFmtId="0" fontId="22" fillId="7" borderId="86" applyNumberFormat="0" applyFont="0" applyAlignment="0" applyProtection="0"/>
    <xf numFmtId="0" fontId="64" fillId="0" borderId="84" applyNumberFormat="0" applyFill="0" applyAlignment="0" applyProtection="0"/>
    <xf numFmtId="0" fontId="22" fillId="7" borderId="86" applyNumberFormat="0" applyFont="0" applyAlignment="0" applyProtection="0"/>
    <xf numFmtId="0" fontId="59" fillId="10" borderId="85" applyNumberFormat="0" applyAlignment="0" applyProtection="0"/>
    <xf numFmtId="0" fontId="62" fillId="19" borderId="83" applyNumberFormat="0" applyAlignment="0" applyProtection="0"/>
    <xf numFmtId="0" fontId="64" fillId="0" borderId="84" applyNumberFormat="0" applyFill="0" applyAlignment="0" applyProtection="0"/>
    <xf numFmtId="0" fontId="62" fillId="19" borderId="83" applyNumberFormat="0" applyAlignment="0" applyProtection="0"/>
    <xf numFmtId="0" fontId="59" fillId="10" borderId="81" applyNumberFormat="0" applyAlignment="0" applyProtection="0"/>
    <xf numFmtId="0" fontId="22" fillId="7" borderId="82" applyNumberFormat="0" applyFont="0" applyAlignment="0" applyProtection="0"/>
    <xf numFmtId="0" fontId="22" fillId="7" borderId="82" applyNumberFormat="0" applyFont="0" applyAlignment="0" applyProtection="0"/>
    <xf numFmtId="0" fontId="64" fillId="0" borderId="84" applyNumberFormat="0" applyFill="0" applyAlignment="0" applyProtection="0"/>
    <xf numFmtId="0" fontId="64" fillId="0" borderId="88" applyNumberFormat="0" applyFill="0" applyAlignment="0" applyProtection="0"/>
    <xf numFmtId="0" fontId="52" fillId="19" borderId="85" applyNumberFormat="0" applyAlignment="0" applyProtection="0"/>
    <xf numFmtId="0" fontId="59" fillId="10" borderId="81" applyNumberFormat="0" applyAlignment="0" applyProtection="0"/>
    <xf numFmtId="0" fontId="52" fillId="19" borderId="85" applyNumberFormat="0" applyAlignment="0" applyProtection="0"/>
    <xf numFmtId="0" fontId="52" fillId="19" borderId="81" applyNumberFormat="0" applyAlignment="0" applyProtection="0"/>
    <xf numFmtId="0" fontId="52" fillId="19" borderId="72"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0" fontId="58" fillId="0" borderId="89" applyNumberFormat="0" applyFill="0" applyAlignment="0" applyProtection="0"/>
    <xf numFmtId="43" fontId="13" fillId="0" borderId="0" applyFont="0" applyFill="0" applyBorder="0" applyAlignment="0" applyProtection="0"/>
    <xf numFmtId="0" fontId="59" fillId="10" borderId="72" applyNumberFormat="0" applyAlignment="0" applyProtection="0"/>
    <xf numFmtId="0" fontId="22" fillId="7" borderId="86" applyNumberFormat="0" applyFont="0" applyAlignment="0" applyProtection="0"/>
    <xf numFmtId="0" fontId="62" fillId="19" borderId="74" applyNumberFormat="0" applyAlignment="0" applyProtection="0"/>
    <xf numFmtId="0" fontId="22" fillId="0" borderId="0"/>
    <xf numFmtId="0" fontId="64" fillId="0" borderId="75" applyNumberFormat="0" applyFill="0" applyAlignment="0" applyProtection="0"/>
    <xf numFmtId="0" fontId="13" fillId="0" borderId="0"/>
    <xf numFmtId="0" fontId="13" fillId="0" borderId="0"/>
    <xf numFmtId="44" fontId="13"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14" fillId="0" borderId="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22" fillId="0" borderId="0"/>
    <xf numFmtId="0" fontId="22" fillId="0" borderId="0"/>
    <xf numFmtId="0" fontId="22" fillId="0" borderId="0"/>
    <xf numFmtId="44" fontId="1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8" fontId="31" fillId="0" borderId="0" applyFont="0" applyFill="0" applyBorder="0" applyAlignment="0" applyProtection="0"/>
    <xf numFmtId="44" fontId="22" fillId="0" borderId="0" applyFont="0" applyFill="0" applyBorder="0" applyAlignment="0" applyProtection="0"/>
    <xf numFmtId="0" fontId="14" fillId="0" borderId="0"/>
    <xf numFmtId="44" fontId="14" fillId="0" borderId="0" applyFont="0" applyFill="0" applyBorder="0" applyAlignment="0" applyProtection="0"/>
    <xf numFmtId="9" fontId="14" fillId="0" borderId="0" applyFont="0" applyFill="0" applyBorder="0" applyAlignment="0" applyProtection="0"/>
    <xf numFmtId="0" fontId="52" fillId="19" borderId="72" applyNumberFormat="0" applyAlignment="0" applyProtection="0"/>
    <xf numFmtId="0" fontId="58" fillId="0" borderId="89" applyNumberFormat="0" applyFill="0" applyAlignment="0" applyProtection="0"/>
    <xf numFmtId="0" fontId="59" fillId="10" borderId="72" applyNumberFormat="0" applyAlignment="0" applyProtection="0"/>
    <xf numFmtId="0" fontId="22" fillId="7" borderId="90" applyNumberFormat="0" applyFont="0" applyAlignment="0" applyProtection="0"/>
    <xf numFmtId="0" fontId="62" fillId="19" borderId="91" applyNumberFormat="0" applyAlignment="0" applyProtection="0"/>
    <xf numFmtId="0" fontId="64" fillId="0" borderId="92" applyNumberFormat="0" applyFill="0" applyAlignment="0" applyProtection="0"/>
    <xf numFmtId="0" fontId="22" fillId="7" borderId="94" applyNumberFormat="0" applyFont="0" applyAlignment="0" applyProtection="0"/>
    <xf numFmtId="0" fontId="52" fillId="19" borderId="97" applyNumberFormat="0" applyAlignment="0" applyProtection="0"/>
    <xf numFmtId="0" fontId="58" fillId="0" borderId="101" applyNumberFormat="0" applyFill="0" applyAlignment="0" applyProtection="0"/>
    <xf numFmtId="0" fontId="62" fillId="19" borderId="95" applyNumberFormat="0" applyAlignment="0" applyProtection="0"/>
    <xf numFmtId="0" fontId="59" fillId="10" borderId="97" applyNumberFormat="0" applyAlignment="0" applyProtection="0"/>
    <xf numFmtId="0" fontId="52" fillId="19" borderId="93" applyNumberFormat="0" applyAlignment="0" applyProtection="0"/>
    <xf numFmtId="0" fontId="52" fillId="19" borderId="93" applyNumberFormat="0" applyAlignment="0" applyProtection="0"/>
    <xf numFmtId="0" fontId="59" fillId="10" borderId="97" applyNumberFormat="0" applyAlignment="0" applyProtection="0"/>
    <xf numFmtId="0" fontId="58" fillId="0" borderId="89" applyNumberFormat="0" applyFill="0" applyAlignment="0" applyProtection="0"/>
    <xf numFmtId="0" fontId="58" fillId="0" borderId="89" applyNumberFormat="0" applyFill="0" applyAlignment="0" applyProtection="0"/>
    <xf numFmtId="0" fontId="59" fillId="10" borderId="93" applyNumberFormat="0" applyAlignment="0" applyProtection="0"/>
    <xf numFmtId="0" fontId="52" fillId="19" borderId="93" applyNumberFormat="0" applyAlignment="0" applyProtection="0"/>
    <xf numFmtId="0" fontId="22" fillId="7" borderId="94" applyNumberFormat="0" applyFont="0" applyAlignment="0" applyProtection="0"/>
    <xf numFmtId="0" fontId="62" fillId="19" borderId="95" applyNumberFormat="0" applyAlignment="0" applyProtection="0"/>
    <xf numFmtId="0" fontId="64" fillId="0" borderId="96" applyNumberFormat="0" applyFill="0" applyAlignment="0" applyProtection="0"/>
    <xf numFmtId="0" fontId="62" fillId="19" borderId="99" applyNumberFormat="0" applyAlignment="0" applyProtection="0"/>
    <xf numFmtId="0" fontId="62" fillId="19" borderId="99" applyNumberFormat="0" applyAlignment="0" applyProtection="0"/>
    <xf numFmtId="0" fontId="59" fillId="10" borderId="93" applyNumberFormat="0" applyAlignment="0" applyProtection="0"/>
    <xf numFmtId="0" fontId="22" fillId="7" borderId="98" applyNumberFormat="0" applyFont="0" applyAlignment="0" applyProtection="0"/>
    <xf numFmtId="0" fontId="62" fillId="19" borderId="99" applyNumberFormat="0" applyAlignment="0" applyProtection="0"/>
    <xf numFmtId="0" fontId="64" fillId="0" borderId="100" applyNumberFormat="0" applyFill="0" applyAlignment="0" applyProtection="0"/>
    <xf numFmtId="0" fontId="64" fillId="0" borderId="100" applyNumberFormat="0" applyFill="0" applyAlignment="0" applyProtection="0"/>
    <xf numFmtId="0" fontId="22" fillId="7" borderId="98" applyNumberFormat="0" applyFont="0" applyAlignment="0" applyProtection="0"/>
    <xf numFmtId="0" fontId="64" fillId="0" borderId="96" applyNumberFormat="0" applyFill="0" applyAlignment="0" applyProtection="0"/>
    <xf numFmtId="0" fontId="22" fillId="7" borderId="98" applyNumberFormat="0" applyFont="0" applyAlignment="0" applyProtection="0"/>
    <xf numFmtId="0" fontId="59" fillId="10" borderId="97" applyNumberFormat="0" applyAlignment="0" applyProtection="0"/>
    <xf numFmtId="0" fontId="62" fillId="19" borderId="95" applyNumberFormat="0" applyAlignment="0" applyProtection="0"/>
    <xf numFmtId="0" fontId="64" fillId="0" borderId="96" applyNumberFormat="0" applyFill="0" applyAlignment="0" applyProtection="0"/>
    <xf numFmtId="0" fontId="62" fillId="19" borderId="95" applyNumberFormat="0" applyAlignment="0" applyProtection="0"/>
    <xf numFmtId="0" fontId="59" fillId="10" borderId="93" applyNumberFormat="0" applyAlignment="0" applyProtection="0"/>
    <xf numFmtId="0" fontId="22" fillId="7" borderId="94" applyNumberFormat="0" applyFont="0" applyAlignment="0" applyProtection="0"/>
    <xf numFmtId="0" fontId="22" fillId="7" borderId="94" applyNumberFormat="0" applyFont="0" applyAlignment="0" applyProtection="0"/>
    <xf numFmtId="0" fontId="64" fillId="0" borderId="96" applyNumberFormat="0" applyFill="0" applyAlignment="0" applyProtection="0"/>
    <xf numFmtId="0" fontId="64" fillId="0" borderId="100" applyNumberFormat="0" applyFill="0" applyAlignment="0" applyProtection="0"/>
    <xf numFmtId="0" fontId="52" fillId="19" borderId="97" applyNumberFormat="0" applyAlignment="0" applyProtection="0"/>
    <xf numFmtId="0" fontId="59" fillId="10" borderId="93" applyNumberFormat="0" applyAlignment="0" applyProtection="0"/>
    <xf numFmtId="0" fontId="52" fillId="19" borderId="97" applyNumberFormat="0" applyAlignment="0" applyProtection="0"/>
    <xf numFmtId="0" fontId="52" fillId="19" borderId="93" applyNumberFormat="0" applyAlignment="0" applyProtection="0"/>
    <xf numFmtId="0" fontId="58" fillId="0" borderId="76" applyNumberFormat="0" applyFill="0" applyAlignment="0" applyProtection="0"/>
    <xf numFmtId="0" fontId="59" fillId="10" borderId="97" applyNumberFormat="0" applyAlignment="0" applyProtection="0"/>
    <xf numFmtId="0" fontId="22" fillId="7" borderId="98" applyNumberFormat="0" applyFont="0" applyAlignment="0" applyProtection="0"/>
    <xf numFmtId="0" fontId="62" fillId="19" borderId="99" applyNumberFormat="0" applyAlignment="0" applyProtection="0"/>
    <xf numFmtId="0" fontId="64" fillId="0" borderId="100" applyNumberFormat="0" applyFill="0" applyAlignment="0" applyProtection="0"/>
    <xf numFmtId="0" fontId="13" fillId="0" borderId="0"/>
    <xf numFmtId="0" fontId="13" fillId="0" borderId="0"/>
    <xf numFmtId="44" fontId="13"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22" fillId="0" borderId="0"/>
    <xf numFmtId="0" fontId="22" fillId="0" borderId="0"/>
    <xf numFmtId="0" fontId="22" fillId="0" borderId="0"/>
    <xf numFmtId="44" fontId="1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8" fontId="31" fillId="0" borderId="0" applyFont="0" applyFill="0" applyBorder="0" applyAlignment="0" applyProtection="0"/>
    <xf numFmtId="0" fontId="14" fillId="0" borderId="0"/>
    <xf numFmtId="44" fontId="14" fillId="0" borderId="0" applyFont="0" applyFill="0" applyBorder="0" applyAlignment="0" applyProtection="0"/>
    <xf numFmtId="9" fontId="14" fillId="0" borderId="0" applyFont="0" applyFill="0" applyBorder="0" applyAlignment="0" applyProtection="0"/>
    <xf numFmtId="0" fontId="52" fillId="19" borderId="97" applyNumberFormat="0" applyAlignment="0" applyProtection="0"/>
    <xf numFmtId="0" fontId="58" fillId="0" borderId="76" applyNumberFormat="0" applyFill="0" applyAlignment="0" applyProtection="0"/>
    <xf numFmtId="0" fontId="59" fillId="10" borderId="97" applyNumberFormat="0" applyAlignment="0" applyProtection="0"/>
    <xf numFmtId="0" fontId="22" fillId="7" borderId="98" applyNumberFormat="0" applyFont="0" applyAlignment="0" applyProtection="0"/>
    <xf numFmtId="0" fontId="62" fillId="19" borderId="99" applyNumberFormat="0" applyAlignment="0" applyProtection="0"/>
    <xf numFmtId="0" fontId="64" fillId="0" borderId="100" applyNumberFormat="0" applyFill="0" applyAlignment="0" applyProtection="0"/>
    <xf numFmtId="0" fontId="22" fillId="7" borderId="103" applyNumberFormat="0" applyFont="0" applyAlignment="0" applyProtection="0"/>
    <xf numFmtId="0" fontId="52" fillId="19" borderId="106" applyNumberFormat="0" applyAlignment="0" applyProtection="0"/>
    <xf numFmtId="0" fontId="58" fillId="0" borderId="89" applyNumberFormat="0" applyFill="0" applyAlignment="0" applyProtection="0"/>
    <xf numFmtId="0" fontId="62" fillId="19" borderId="104" applyNumberFormat="0" applyAlignment="0" applyProtection="0"/>
    <xf numFmtId="0" fontId="59" fillId="10" borderId="106" applyNumberFormat="0" applyAlignment="0" applyProtection="0"/>
    <xf numFmtId="0" fontId="52" fillId="19" borderId="102" applyNumberFormat="0" applyAlignment="0" applyProtection="0"/>
    <xf numFmtId="0" fontId="52" fillId="19" borderId="102" applyNumberFormat="0" applyAlignment="0" applyProtection="0"/>
    <xf numFmtId="0" fontId="59" fillId="10" borderId="106" applyNumberFormat="0" applyAlignment="0" applyProtection="0"/>
    <xf numFmtId="0" fontId="58" fillId="0" borderId="76" applyNumberFormat="0" applyFill="0" applyAlignment="0" applyProtection="0"/>
    <xf numFmtId="0" fontId="58" fillId="0" borderId="76" applyNumberFormat="0" applyFill="0" applyAlignment="0" applyProtection="0"/>
    <xf numFmtId="0" fontId="59" fillId="10" borderId="102" applyNumberFormat="0" applyAlignment="0" applyProtection="0"/>
    <xf numFmtId="0" fontId="52" fillId="19" borderId="102" applyNumberFormat="0" applyAlignment="0" applyProtection="0"/>
    <xf numFmtId="0" fontId="22" fillId="7" borderId="103" applyNumberFormat="0" applyFont="0" applyAlignment="0" applyProtection="0"/>
    <xf numFmtId="0" fontId="62" fillId="19" borderId="104" applyNumberFormat="0" applyAlignment="0" applyProtection="0"/>
    <xf numFmtId="0" fontId="64" fillId="0" borderId="105" applyNumberFormat="0" applyFill="0" applyAlignment="0" applyProtection="0"/>
    <xf numFmtId="0" fontId="62" fillId="19" borderId="108" applyNumberFormat="0" applyAlignment="0" applyProtection="0"/>
    <xf numFmtId="0" fontId="62" fillId="19" borderId="108" applyNumberFormat="0" applyAlignment="0" applyProtection="0"/>
    <xf numFmtId="0" fontId="59" fillId="10" borderId="102" applyNumberFormat="0" applyAlignment="0" applyProtection="0"/>
    <xf numFmtId="0" fontId="22" fillId="7" borderId="107" applyNumberFormat="0" applyFont="0" applyAlignment="0" applyProtection="0"/>
    <xf numFmtId="0" fontId="62" fillId="19" borderId="108" applyNumberFormat="0" applyAlignment="0" applyProtection="0"/>
    <xf numFmtId="0" fontId="64" fillId="0" borderId="109" applyNumberFormat="0" applyFill="0" applyAlignment="0" applyProtection="0"/>
    <xf numFmtId="0" fontId="64" fillId="0" borderId="109" applyNumberFormat="0" applyFill="0" applyAlignment="0" applyProtection="0"/>
    <xf numFmtId="0" fontId="22" fillId="7" borderId="107" applyNumberFormat="0" applyFont="0" applyAlignment="0" applyProtection="0"/>
    <xf numFmtId="0" fontId="64" fillId="0" borderId="105" applyNumberFormat="0" applyFill="0" applyAlignment="0" applyProtection="0"/>
    <xf numFmtId="0" fontId="22" fillId="7" borderId="107" applyNumberFormat="0" applyFont="0" applyAlignment="0" applyProtection="0"/>
    <xf numFmtId="0" fontId="59" fillId="10" borderId="106" applyNumberFormat="0" applyAlignment="0" applyProtection="0"/>
    <xf numFmtId="0" fontId="62" fillId="19" borderId="104" applyNumberFormat="0" applyAlignment="0" applyProtection="0"/>
    <xf numFmtId="0" fontId="64" fillId="0" borderId="105" applyNumberFormat="0" applyFill="0" applyAlignment="0" applyProtection="0"/>
    <xf numFmtId="0" fontId="62" fillId="19" borderId="104" applyNumberFormat="0" applyAlignment="0" applyProtection="0"/>
    <xf numFmtId="0" fontId="59" fillId="10" borderId="102" applyNumberFormat="0" applyAlignment="0" applyProtection="0"/>
    <xf numFmtId="0" fontId="22" fillId="7" borderId="103" applyNumberFormat="0" applyFont="0" applyAlignment="0" applyProtection="0"/>
    <xf numFmtId="0" fontId="22" fillId="7" borderId="103" applyNumberFormat="0" applyFont="0" applyAlignment="0" applyProtection="0"/>
    <xf numFmtId="0" fontId="64" fillId="0" borderId="105" applyNumberFormat="0" applyFill="0" applyAlignment="0" applyProtection="0"/>
    <xf numFmtId="0" fontId="64" fillId="0" borderId="109" applyNumberFormat="0" applyFill="0" applyAlignment="0" applyProtection="0"/>
    <xf numFmtId="0" fontId="52" fillId="19" borderId="106" applyNumberFormat="0" applyAlignment="0" applyProtection="0"/>
    <xf numFmtId="0" fontId="59" fillId="10" borderId="102" applyNumberFormat="0" applyAlignment="0" applyProtection="0"/>
    <xf numFmtId="0" fontId="52" fillId="19" borderId="106" applyNumberFormat="0" applyAlignment="0" applyProtection="0"/>
    <xf numFmtId="0" fontId="52" fillId="19" borderId="102" applyNumberFormat="0" applyAlignment="0" applyProtection="0"/>
    <xf numFmtId="0" fontId="13" fillId="0" borderId="0"/>
    <xf numFmtId="0" fontId="12" fillId="0" borderId="0"/>
    <xf numFmtId="168" fontId="12" fillId="0" borderId="0" applyFont="0" applyFill="0" applyBorder="0" applyAlignment="0" applyProtection="0"/>
    <xf numFmtId="0" fontId="12" fillId="0" borderId="0"/>
    <xf numFmtId="168" fontId="12" fillId="0" borderId="0" applyFont="0" applyFill="0" applyBorder="0" applyAlignment="0" applyProtection="0"/>
    <xf numFmtId="0" fontId="12" fillId="0" borderId="0"/>
    <xf numFmtId="168" fontId="12" fillId="0" borderId="0" applyFont="0" applyFill="0" applyBorder="0" applyAlignment="0" applyProtection="0"/>
    <xf numFmtId="0" fontId="12" fillId="0" borderId="0"/>
    <xf numFmtId="168" fontId="12" fillId="0" borderId="0" applyFont="0" applyFill="0" applyBorder="0" applyAlignment="0" applyProtection="0"/>
    <xf numFmtId="0" fontId="12" fillId="0" borderId="0"/>
    <xf numFmtId="167" fontId="11" fillId="0" borderId="0" applyFont="0" applyFill="0" applyBorder="0" applyAlignment="0" applyProtection="0"/>
    <xf numFmtId="167" fontId="11" fillId="0" borderId="0" applyFont="0" applyFill="0" applyBorder="0" applyAlignment="0" applyProtection="0"/>
    <xf numFmtId="0" fontId="62" fillId="19" borderId="113" applyNumberFormat="0" applyAlignment="0" applyProtection="0"/>
    <xf numFmtId="0" fontId="11" fillId="0" borderId="0"/>
    <xf numFmtId="44" fontId="11" fillId="0" borderId="0" applyFont="0" applyFill="0" applyBorder="0" applyAlignment="0" applyProtection="0"/>
    <xf numFmtId="0" fontId="59" fillId="10" borderId="111" applyNumberFormat="0" applyAlignment="0" applyProtection="0"/>
    <xf numFmtId="9" fontId="11" fillId="0" borderId="0" applyFont="0" applyFill="0" applyBorder="0" applyAlignment="0" applyProtection="0"/>
    <xf numFmtId="0" fontId="11" fillId="0" borderId="0"/>
    <xf numFmtId="0" fontId="22" fillId="7" borderId="112" applyNumberFormat="0" applyFont="0" applyAlignment="0" applyProtection="0"/>
    <xf numFmtId="0" fontId="11" fillId="0" borderId="0"/>
    <xf numFmtId="167" fontId="11" fillId="0" borderId="0" applyFont="0" applyFill="0" applyBorder="0" applyAlignment="0" applyProtection="0"/>
    <xf numFmtId="168" fontId="11" fillId="0" borderId="0" applyFont="0" applyFill="0" applyBorder="0" applyAlignment="0" applyProtection="0"/>
    <xf numFmtId="0" fontId="11" fillId="0" borderId="0"/>
    <xf numFmtId="167" fontId="11" fillId="0" borderId="0" applyFont="0" applyFill="0" applyBorder="0" applyAlignment="0" applyProtection="0"/>
    <xf numFmtId="168" fontId="11" fillId="0" borderId="0" applyFont="0" applyFill="0" applyBorder="0" applyAlignment="0" applyProtection="0"/>
    <xf numFmtId="0" fontId="11" fillId="0" borderId="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9" fontId="83" fillId="0" borderId="0" applyFont="0" applyFill="0" applyBorder="0" applyAlignment="0" applyProtection="0"/>
    <xf numFmtId="168" fontId="11" fillId="0" borderId="0" applyFont="0" applyFill="0" applyBorder="0" applyAlignment="0" applyProtection="0"/>
    <xf numFmtId="167" fontId="11" fillId="0" borderId="0" applyFont="0" applyFill="0" applyBorder="0" applyAlignment="0" applyProtection="0"/>
    <xf numFmtId="0" fontId="11" fillId="0" borderId="0"/>
    <xf numFmtId="0" fontId="11" fillId="0" borderId="0"/>
    <xf numFmtId="0" fontId="11" fillId="0" borderId="0"/>
    <xf numFmtId="167" fontId="11" fillId="0" borderId="0" applyFont="0" applyFill="0" applyBorder="0" applyAlignment="0" applyProtection="0"/>
    <xf numFmtId="0" fontId="11" fillId="0" borderId="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168" fontId="11" fillId="0" borderId="0" applyFont="0" applyFill="0" applyBorder="0" applyAlignment="0" applyProtection="0"/>
    <xf numFmtId="0" fontId="11" fillId="0" borderId="0"/>
    <xf numFmtId="0" fontId="11" fillId="0" borderId="0"/>
    <xf numFmtId="0" fontId="11" fillId="0" borderId="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11" fillId="0" borderId="0"/>
    <xf numFmtId="0" fontId="11" fillId="0" borderId="0"/>
    <xf numFmtId="168" fontId="11" fillId="0" borderId="0" applyFont="0" applyFill="0" applyBorder="0" applyAlignment="0" applyProtection="0"/>
    <xf numFmtId="168" fontId="11" fillId="0" borderId="0" applyFont="0" applyFill="0" applyBorder="0" applyAlignment="0" applyProtection="0"/>
    <xf numFmtId="167" fontId="14" fillId="0" borderId="0" applyFont="0" applyFill="0" applyBorder="0" applyAlignment="0" applyProtection="0"/>
    <xf numFmtId="0" fontId="11" fillId="0" borderId="0"/>
    <xf numFmtId="168" fontId="11" fillId="0" borderId="0" applyFont="0" applyFill="0" applyBorder="0" applyAlignment="0" applyProtection="0"/>
    <xf numFmtId="168"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64" fillId="0" borderId="114" applyNumberFormat="0" applyFill="0" applyAlignment="0" applyProtection="0"/>
    <xf numFmtId="0" fontId="52" fillId="19" borderId="111" applyNumberFormat="0" applyAlignment="0" applyProtection="0"/>
    <xf numFmtId="0" fontId="52" fillId="19" borderId="111" applyNumberFormat="0" applyAlignment="0" applyProtection="0"/>
    <xf numFmtId="0" fontId="59" fillId="10" borderId="111" applyNumberFormat="0" applyAlignment="0" applyProtection="0"/>
    <xf numFmtId="0" fontId="22" fillId="7" borderId="112" applyNumberFormat="0" applyFont="0" applyAlignment="0" applyProtection="0"/>
    <xf numFmtId="0" fontId="64" fillId="0" borderId="114" applyNumberFormat="0" applyFill="0" applyAlignment="0" applyProtection="0"/>
    <xf numFmtId="0" fontId="11" fillId="0" borderId="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8" fontId="11" fillId="0" borderId="0" applyFont="0" applyFill="0" applyBorder="0" applyAlignment="0" applyProtection="0"/>
    <xf numFmtId="0" fontId="11" fillId="0" borderId="0"/>
    <xf numFmtId="0" fontId="11" fillId="0" borderId="0"/>
    <xf numFmtId="0" fontId="11" fillId="0" borderId="0"/>
    <xf numFmtId="44" fontId="11" fillId="0" borderId="0" applyFont="0" applyFill="0" applyBorder="0" applyAlignment="0" applyProtection="0"/>
    <xf numFmtId="0" fontId="11" fillId="0" borderId="0"/>
    <xf numFmtId="168" fontId="11" fillId="0" borderId="0" applyFont="0" applyFill="0" applyBorder="0" applyAlignment="0" applyProtection="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8" fontId="11" fillId="0" borderId="0" applyFont="0" applyFill="0" applyBorder="0" applyAlignment="0" applyProtection="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8" fontId="11" fillId="0" borderId="0" applyFont="0" applyFill="0" applyBorder="0" applyAlignment="0" applyProtection="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8" fontId="11" fillId="0" borderId="0" applyFont="0" applyFill="0" applyBorder="0" applyAlignment="0" applyProtection="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8" fontId="11" fillId="0" borderId="0" applyFont="0" applyFill="0" applyBorder="0" applyAlignment="0" applyProtection="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0" fontId="11" fillId="0" borderId="0"/>
    <xf numFmtId="168" fontId="11" fillId="0" borderId="0" applyFont="0" applyFill="0" applyBorder="0" applyAlignment="0" applyProtection="0"/>
    <xf numFmtId="167" fontId="11" fillId="0" borderId="0" applyFon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167" fontId="14" fillId="0" borderId="0" applyFont="0" applyFill="0" applyBorder="0" applyAlignment="0" applyProtection="0"/>
    <xf numFmtId="9" fontId="83" fillId="0" borderId="0" applyFont="0" applyFill="0" applyBorder="0" applyAlignment="0" applyProtection="0"/>
    <xf numFmtId="0" fontId="83" fillId="0" borderId="0"/>
    <xf numFmtId="0" fontId="83" fillId="0" borderId="0"/>
    <xf numFmtId="168" fontId="22" fillId="0" borderId="0" applyFont="0" applyFill="0" applyBorder="0" applyAlignment="0" applyProtection="0"/>
    <xf numFmtId="167" fontId="22" fillId="0" borderId="0" applyFont="0" applyFill="0" applyBorder="0" applyAlignment="0" applyProtection="0"/>
    <xf numFmtId="0" fontId="10" fillId="0" borderId="0"/>
    <xf numFmtId="168" fontId="10" fillId="0" borderId="0" applyFont="0" applyFill="0" applyBorder="0" applyAlignment="0" applyProtection="0"/>
    <xf numFmtId="167" fontId="10" fillId="0" borderId="0" applyFont="0" applyFill="0" applyBorder="0" applyAlignment="0" applyProtection="0"/>
    <xf numFmtId="0" fontId="10" fillId="0" borderId="0"/>
    <xf numFmtId="167" fontId="10" fillId="0" borderId="0" applyFont="0" applyFill="0" applyBorder="0" applyAlignment="0" applyProtection="0"/>
    <xf numFmtId="0" fontId="52" fillId="19" borderId="121" applyNumberFormat="0" applyAlignment="0" applyProtection="0"/>
    <xf numFmtId="0" fontId="59" fillId="10" borderId="121" applyNumberFormat="0" applyAlignment="0" applyProtection="0"/>
    <xf numFmtId="0" fontId="22" fillId="7" borderId="122" applyNumberFormat="0" applyFont="0" applyAlignment="0" applyProtection="0"/>
    <xf numFmtId="0" fontId="62" fillId="19" borderId="123" applyNumberFormat="0" applyAlignment="0" applyProtection="0"/>
    <xf numFmtId="0" fontId="64" fillId="0" borderId="124" applyNumberFormat="0" applyFill="0" applyAlignment="0" applyProtection="0"/>
    <xf numFmtId="0" fontId="10" fillId="0" borderId="0"/>
    <xf numFmtId="0" fontId="10" fillId="0" borderId="0"/>
    <xf numFmtId="167" fontId="10" fillId="0" borderId="0" applyFont="0" applyFill="0" applyBorder="0" applyAlignment="0" applyProtection="0"/>
    <xf numFmtId="0" fontId="10" fillId="0" borderId="0"/>
    <xf numFmtId="167" fontId="10" fillId="0" borderId="0" applyFont="0" applyFill="0" applyBorder="0" applyAlignment="0" applyProtection="0"/>
    <xf numFmtId="168"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168" fontId="10" fillId="0" borderId="0" applyFont="0" applyFill="0" applyBorder="0" applyAlignment="0" applyProtection="0"/>
    <xf numFmtId="167" fontId="10" fillId="0" borderId="0" applyFont="0" applyFill="0" applyBorder="0" applyAlignment="0" applyProtection="0"/>
    <xf numFmtId="0" fontId="10" fillId="0" borderId="0"/>
    <xf numFmtId="167" fontId="10" fillId="0" borderId="0" applyFont="0" applyFill="0" applyBorder="0" applyAlignment="0" applyProtection="0"/>
    <xf numFmtId="0" fontId="10" fillId="0" borderId="0"/>
    <xf numFmtId="168" fontId="10" fillId="0" borderId="0" applyFont="0" applyFill="0" applyBorder="0" applyAlignment="0" applyProtection="0"/>
    <xf numFmtId="167" fontId="10" fillId="0" borderId="0" applyFont="0" applyFill="0" applyBorder="0" applyAlignment="0" applyProtection="0"/>
    <xf numFmtId="0" fontId="10" fillId="0" borderId="0"/>
    <xf numFmtId="167" fontId="10" fillId="0" borderId="0" applyFont="0" applyFill="0" applyBorder="0" applyAlignment="0" applyProtection="0"/>
    <xf numFmtId="0" fontId="10" fillId="0" borderId="0"/>
    <xf numFmtId="168" fontId="10" fillId="0" borderId="0" applyFont="0" applyFill="0" applyBorder="0" applyAlignment="0" applyProtection="0"/>
    <xf numFmtId="167" fontId="10" fillId="0" borderId="0" applyFont="0" applyFill="0" applyBorder="0" applyAlignment="0" applyProtection="0"/>
    <xf numFmtId="0" fontId="10" fillId="0" borderId="0"/>
    <xf numFmtId="167" fontId="10" fillId="0" borderId="0" applyFont="0" applyFill="0" applyBorder="0" applyAlignment="0" applyProtection="0"/>
    <xf numFmtId="0" fontId="10" fillId="0" borderId="0"/>
    <xf numFmtId="168" fontId="10" fillId="0" borderId="0" applyFont="0" applyFill="0" applyBorder="0" applyAlignment="0" applyProtection="0"/>
    <xf numFmtId="167" fontId="10" fillId="0" borderId="0" applyFont="0" applyFill="0" applyBorder="0" applyAlignment="0" applyProtection="0"/>
    <xf numFmtId="0" fontId="10" fillId="0" borderId="0"/>
    <xf numFmtId="167" fontId="10" fillId="0" borderId="0" applyFont="0" applyFill="0" applyBorder="0" applyAlignment="0" applyProtection="0"/>
    <xf numFmtId="0" fontId="10" fillId="0" borderId="0"/>
    <xf numFmtId="168" fontId="10" fillId="0" borderId="0" applyFont="0" applyFill="0" applyBorder="0" applyAlignment="0" applyProtection="0"/>
    <xf numFmtId="167" fontId="10" fillId="0" borderId="0" applyFont="0" applyFill="0" applyBorder="0" applyAlignment="0" applyProtection="0"/>
    <xf numFmtId="0" fontId="10" fillId="0" borderId="0"/>
    <xf numFmtId="167" fontId="10" fillId="0" borderId="0" applyFont="0" applyFill="0" applyBorder="0" applyAlignment="0" applyProtection="0"/>
    <xf numFmtId="0" fontId="10" fillId="0" borderId="0"/>
    <xf numFmtId="0" fontId="10" fillId="0" borderId="0"/>
    <xf numFmtId="168" fontId="10" fillId="0" borderId="0" applyFont="0" applyFill="0" applyBorder="0" applyAlignment="0" applyProtection="0"/>
    <xf numFmtId="167" fontId="10" fillId="0" borderId="0" applyFont="0" applyFill="0" applyBorder="0" applyAlignment="0" applyProtection="0"/>
    <xf numFmtId="0" fontId="10" fillId="0" borderId="0"/>
    <xf numFmtId="167"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52" fillId="19" borderId="121" applyNumberFormat="0" applyAlignment="0" applyProtection="0"/>
    <xf numFmtId="0" fontId="59" fillId="10" borderId="121" applyNumberFormat="0" applyAlignment="0" applyProtection="0"/>
    <xf numFmtId="0" fontId="22" fillId="7" borderId="122" applyNumberFormat="0" applyFont="0" applyAlignment="0" applyProtection="0"/>
    <xf numFmtId="0" fontId="62" fillId="19" borderId="123" applyNumberFormat="0" applyAlignment="0" applyProtection="0"/>
    <xf numFmtId="0" fontId="64" fillId="0" borderId="124" applyNumberFormat="0" applyFill="0" applyAlignment="0" applyProtection="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52" fillId="19" borderId="121" applyNumberFormat="0" applyAlignment="0" applyProtection="0"/>
    <xf numFmtId="0" fontId="58" fillId="0" borderId="101" applyNumberFormat="0" applyFill="0" applyAlignment="0" applyProtection="0"/>
    <xf numFmtId="0" fontId="59" fillId="10" borderId="121" applyNumberFormat="0" applyAlignment="0" applyProtection="0"/>
    <xf numFmtId="0" fontId="22" fillId="7" borderId="122" applyNumberFormat="0" applyFont="0" applyAlignment="0" applyProtection="0"/>
    <xf numFmtId="0" fontId="62" fillId="19" borderId="123" applyNumberFormat="0" applyAlignment="0" applyProtection="0"/>
    <xf numFmtId="0" fontId="64" fillId="0" borderId="124" applyNumberFormat="0" applyFill="0" applyAlignment="0" applyProtection="0"/>
    <xf numFmtId="0" fontId="22" fillId="7" borderId="122" applyNumberFormat="0" applyFont="0" applyAlignment="0" applyProtection="0"/>
    <xf numFmtId="0" fontId="52" fillId="19" borderId="121" applyNumberFormat="0" applyAlignment="0" applyProtection="0"/>
    <xf numFmtId="0" fontId="62" fillId="19" borderId="123" applyNumberFormat="0" applyAlignment="0" applyProtection="0"/>
    <xf numFmtId="0" fontId="59" fillId="10" borderId="121" applyNumberFormat="0" applyAlignment="0" applyProtection="0"/>
    <xf numFmtId="0" fontId="52" fillId="19" borderId="121" applyNumberFormat="0" applyAlignment="0" applyProtection="0"/>
    <xf numFmtId="0" fontId="52" fillId="19" borderId="121" applyNumberFormat="0" applyAlignment="0" applyProtection="0"/>
    <xf numFmtId="0" fontId="59" fillId="10" borderId="121" applyNumberFormat="0" applyAlignment="0" applyProtection="0"/>
    <xf numFmtId="0" fontId="58" fillId="0" borderId="101" applyNumberFormat="0" applyFill="0" applyAlignment="0" applyProtection="0"/>
    <xf numFmtId="0" fontId="58" fillId="0" borderId="101" applyNumberFormat="0" applyFill="0" applyAlignment="0" applyProtection="0"/>
    <xf numFmtId="0" fontId="59" fillId="10" borderId="121" applyNumberFormat="0" applyAlignment="0" applyProtection="0"/>
    <xf numFmtId="0" fontId="52" fillId="19" borderId="121" applyNumberFormat="0" applyAlignment="0" applyProtection="0"/>
    <xf numFmtId="0" fontId="22" fillId="7" borderId="122" applyNumberFormat="0" applyFont="0" applyAlignment="0" applyProtection="0"/>
    <xf numFmtId="0" fontId="62" fillId="19" borderId="123" applyNumberFormat="0" applyAlignment="0" applyProtection="0"/>
    <xf numFmtId="0" fontId="64" fillId="0" borderId="124" applyNumberFormat="0" applyFill="0" applyAlignment="0" applyProtection="0"/>
    <xf numFmtId="0" fontId="62" fillId="19" borderId="123" applyNumberFormat="0" applyAlignment="0" applyProtection="0"/>
    <xf numFmtId="0" fontId="62" fillId="19" borderId="123" applyNumberFormat="0" applyAlignment="0" applyProtection="0"/>
    <xf numFmtId="0" fontId="59" fillId="10" borderId="121" applyNumberFormat="0" applyAlignment="0" applyProtection="0"/>
    <xf numFmtId="0" fontId="22" fillId="7" borderId="122" applyNumberFormat="0" applyFont="0" applyAlignment="0" applyProtection="0"/>
    <xf numFmtId="0" fontId="62" fillId="19" borderId="123" applyNumberFormat="0" applyAlignment="0" applyProtection="0"/>
    <xf numFmtId="0" fontId="64" fillId="0" borderId="124" applyNumberFormat="0" applyFill="0" applyAlignment="0" applyProtection="0"/>
    <xf numFmtId="0" fontId="64" fillId="0" borderId="124" applyNumberFormat="0" applyFill="0" applyAlignment="0" applyProtection="0"/>
    <xf numFmtId="0" fontId="22" fillId="7" borderId="122" applyNumberFormat="0" applyFont="0" applyAlignment="0" applyProtection="0"/>
    <xf numFmtId="0" fontId="64" fillId="0" borderId="124" applyNumberFormat="0" applyFill="0" applyAlignment="0" applyProtection="0"/>
    <xf numFmtId="0" fontId="22" fillId="7" borderId="122" applyNumberFormat="0" applyFont="0" applyAlignment="0" applyProtection="0"/>
    <xf numFmtId="0" fontId="59" fillId="10" borderId="121" applyNumberFormat="0" applyAlignment="0" applyProtection="0"/>
    <xf numFmtId="0" fontId="62" fillId="19" borderId="123" applyNumberFormat="0" applyAlignment="0" applyProtection="0"/>
    <xf numFmtId="0" fontId="64" fillId="0" borderId="124" applyNumberFormat="0" applyFill="0" applyAlignment="0" applyProtection="0"/>
    <xf numFmtId="0" fontId="62" fillId="19" borderId="123" applyNumberFormat="0" applyAlignment="0" applyProtection="0"/>
    <xf numFmtId="0" fontId="59" fillId="10" borderId="121" applyNumberFormat="0" applyAlignment="0" applyProtection="0"/>
    <xf numFmtId="0" fontId="22" fillId="7" borderId="122" applyNumberFormat="0" applyFont="0" applyAlignment="0" applyProtection="0"/>
    <xf numFmtId="0" fontId="22" fillId="7" borderId="122" applyNumberFormat="0" applyFont="0" applyAlignment="0" applyProtection="0"/>
    <xf numFmtId="0" fontId="64" fillId="0" borderId="124" applyNumberFormat="0" applyFill="0" applyAlignment="0" applyProtection="0"/>
    <xf numFmtId="0" fontId="64" fillId="0" borderId="124" applyNumberFormat="0" applyFill="0" applyAlignment="0" applyProtection="0"/>
    <xf numFmtId="0" fontId="52" fillId="19" borderId="121" applyNumberFormat="0" applyAlignment="0" applyProtection="0"/>
    <xf numFmtId="0" fontId="59" fillId="10" borderId="121" applyNumberFormat="0" applyAlignment="0" applyProtection="0"/>
    <xf numFmtId="0" fontId="52" fillId="19" borderId="121" applyNumberFormat="0" applyAlignment="0" applyProtection="0"/>
    <xf numFmtId="0" fontId="52" fillId="19" borderId="121" applyNumberFormat="0" applyAlignment="0" applyProtection="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52" fillId="19" borderId="121" applyNumberFormat="0" applyAlignment="0" applyProtection="0"/>
    <xf numFmtId="0" fontId="59" fillId="10" borderId="121" applyNumberFormat="0" applyAlignment="0" applyProtection="0"/>
    <xf numFmtId="0" fontId="22" fillId="7" borderId="122" applyNumberFormat="0" applyFont="0" applyAlignment="0" applyProtection="0"/>
    <xf numFmtId="0" fontId="62" fillId="19" borderId="123" applyNumberFormat="0" applyAlignment="0" applyProtection="0"/>
    <xf numFmtId="0" fontId="64" fillId="0" borderId="124" applyNumberFormat="0" applyFill="0" applyAlignment="0" applyProtection="0"/>
    <xf numFmtId="0" fontId="22" fillId="7" borderId="122" applyNumberFormat="0" applyFont="0" applyAlignment="0" applyProtection="0"/>
    <xf numFmtId="0" fontId="52" fillId="19" borderId="121" applyNumberFormat="0" applyAlignment="0" applyProtection="0"/>
    <xf numFmtId="0" fontId="62" fillId="19" borderId="123" applyNumberFormat="0" applyAlignment="0" applyProtection="0"/>
    <xf numFmtId="0" fontId="59" fillId="10" borderId="121" applyNumberFormat="0" applyAlignment="0" applyProtection="0"/>
    <xf numFmtId="0" fontId="52" fillId="19" borderId="121" applyNumberFormat="0" applyAlignment="0" applyProtection="0"/>
    <xf numFmtId="0" fontId="52" fillId="19" borderId="121" applyNumberFormat="0" applyAlignment="0" applyProtection="0"/>
    <xf numFmtId="0" fontId="59" fillId="10" borderId="121" applyNumberFormat="0" applyAlignment="0" applyProtection="0"/>
    <xf numFmtId="0" fontId="59" fillId="10" borderId="121" applyNumberFormat="0" applyAlignment="0" applyProtection="0"/>
    <xf numFmtId="0" fontId="52" fillId="19" borderId="121" applyNumberFormat="0" applyAlignment="0" applyProtection="0"/>
    <xf numFmtId="0" fontId="22" fillId="7" borderId="122" applyNumberFormat="0" applyFont="0" applyAlignment="0" applyProtection="0"/>
    <xf numFmtId="0" fontId="62" fillId="19" borderId="123" applyNumberFormat="0" applyAlignment="0" applyProtection="0"/>
    <xf numFmtId="0" fontId="64" fillId="0" borderId="124" applyNumberFormat="0" applyFill="0" applyAlignment="0" applyProtection="0"/>
    <xf numFmtId="0" fontId="62" fillId="19" borderId="123" applyNumberFormat="0" applyAlignment="0" applyProtection="0"/>
    <xf numFmtId="0" fontId="62" fillId="19" borderId="123" applyNumberFormat="0" applyAlignment="0" applyProtection="0"/>
    <xf numFmtId="0" fontId="59" fillId="10" borderId="121" applyNumberFormat="0" applyAlignment="0" applyProtection="0"/>
    <xf numFmtId="0" fontId="22" fillId="7" borderId="122" applyNumberFormat="0" applyFont="0" applyAlignment="0" applyProtection="0"/>
    <xf numFmtId="0" fontId="62" fillId="19" borderId="123" applyNumberFormat="0" applyAlignment="0" applyProtection="0"/>
    <xf numFmtId="0" fontId="64" fillId="0" borderId="124" applyNumberFormat="0" applyFill="0" applyAlignment="0" applyProtection="0"/>
    <xf numFmtId="0" fontId="64" fillId="0" borderId="124" applyNumberFormat="0" applyFill="0" applyAlignment="0" applyProtection="0"/>
    <xf numFmtId="0" fontId="22" fillId="7" borderId="122" applyNumberFormat="0" applyFont="0" applyAlignment="0" applyProtection="0"/>
    <xf numFmtId="0" fontId="64" fillId="0" borderId="124" applyNumberFormat="0" applyFill="0" applyAlignment="0" applyProtection="0"/>
    <xf numFmtId="0" fontId="22" fillId="7" borderId="122" applyNumberFormat="0" applyFont="0" applyAlignment="0" applyProtection="0"/>
    <xf numFmtId="0" fontId="59" fillId="10" borderId="121" applyNumberFormat="0" applyAlignment="0" applyProtection="0"/>
    <xf numFmtId="0" fontId="62" fillId="19" borderId="123" applyNumberFormat="0" applyAlignment="0" applyProtection="0"/>
    <xf numFmtId="0" fontId="64" fillId="0" borderId="124" applyNumberFormat="0" applyFill="0" applyAlignment="0" applyProtection="0"/>
    <xf numFmtId="0" fontId="62" fillId="19" borderId="123" applyNumberFormat="0" applyAlignment="0" applyProtection="0"/>
    <xf numFmtId="0" fontId="59" fillId="10" borderId="121" applyNumberFormat="0" applyAlignment="0" applyProtection="0"/>
    <xf numFmtId="0" fontId="22" fillId="7" borderId="122" applyNumberFormat="0" applyFont="0" applyAlignment="0" applyProtection="0"/>
    <xf numFmtId="0" fontId="22" fillId="7" borderId="122" applyNumberFormat="0" applyFont="0" applyAlignment="0" applyProtection="0"/>
    <xf numFmtId="0" fontId="64" fillId="0" borderId="124" applyNumberFormat="0" applyFill="0" applyAlignment="0" applyProtection="0"/>
    <xf numFmtId="0" fontId="64" fillId="0" borderId="124" applyNumberFormat="0" applyFill="0" applyAlignment="0" applyProtection="0"/>
    <xf numFmtId="0" fontId="52" fillId="19" borderId="121" applyNumberFormat="0" applyAlignment="0" applyProtection="0"/>
    <xf numFmtId="0" fontId="59" fillId="10" borderId="121" applyNumberFormat="0" applyAlignment="0" applyProtection="0"/>
    <xf numFmtId="0" fontId="52" fillId="19" borderId="121" applyNumberFormat="0" applyAlignment="0" applyProtection="0"/>
    <xf numFmtId="0" fontId="52" fillId="19" borderId="121" applyNumberFormat="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52" fillId="19" borderId="121" applyNumberFormat="0" applyAlignment="0" applyProtection="0"/>
    <xf numFmtId="44" fontId="10" fillId="0" borderId="0" applyFont="0" applyFill="0" applyBorder="0" applyAlignment="0" applyProtection="0"/>
    <xf numFmtId="0" fontId="52" fillId="19" borderId="121" applyNumberFormat="0" applyAlignment="0" applyProtection="0"/>
    <xf numFmtId="0" fontId="59" fillId="10" borderId="121" applyNumberFormat="0" applyAlignment="0" applyProtection="0"/>
    <xf numFmtId="0" fontId="22" fillId="7" borderId="122" applyNumberFormat="0" applyFont="0" applyAlignment="0" applyProtection="0"/>
    <xf numFmtId="0" fontId="62" fillId="19" borderId="123" applyNumberFormat="0" applyAlignment="0" applyProtection="0"/>
    <xf numFmtId="0" fontId="64" fillId="0" borderId="124" applyNumberFormat="0" applyFill="0" applyAlignment="0" applyProtection="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52" fillId="19" borderId="121" applyNumberFormat="0" applyAlignment="0" applyProtection="0"/>
    <xf numFmtId="0" fontId="59" fillId="10" borderId="121" applyNumberFormat="0" applyAlignment="0" applyProtection="0"/>
    <xf numFmtId="0" fontId="22" fillId="7" borderId="122" applyNumberFormat="0" applyFont="0" applyAlignment="0" applyProtection="0"/>
    <xf numFmtId="0" fontId="62" fillId="19" borderId="123" applyNumberFormat="0" applyAlignment="0" applyProtection="0"/>
    <xf numFmtId="0" fontId="64" fillId="0" borderId="124" applyNumberFormat="0" applyFill="0" applyAlignment="0" applyProtection="0"/>
    <xf numFmtId="0" fontId="22" fillId="7" borderId="122" applyNumberFormat="0" applyFont="0" applyAlignment="0" applyProtection="0"/>
    <xf numFmtId="0" fontId="52" fillId="19" borderId="121" applyNumberFormat="0" applyAlignment="0" applyProtection="0"/>
    <xf numFmtId="0" fontId="58" fillId="0" borderId="101" applyNumberFormat="0" applyFill="0" applyAlignment="0" applyProtection="0"/>
    <xf numFmtId="0" fontId="62" fillId="19" borderId="123" applyNumberFormat="0" applyAlignment="0" applyProtection="0"/>
    <xf numFmtId="0" fontId="59" fillId="10" borderId="121" applyNumberFormat="0" applyAlignment="0" applyProtection="0"/>
    <xf numFmtId="0" fontId="52" fillId="19" borderId="121" applyNumberFormat="0" applyAlignment="0" applyProtection="0"/>
    <xf numFmtId="0" fontId="52" fillId="19" borderId="121" applyNumberFormat="0" applyAlignment="0" applyProtection="0"/>
    <xf numFmtId="0" fontId="59" fillId="10" borderId="121" applyNumberFormat="0" applyAlignment="0" applyProtection="0"/>
    <xf numFmtId="0" fontId="59" fillId="10" borderId="121" applyNumberFormat="0" applyAlignment="0" applyProtection="0"/>
    <xf numFmtId="0" fontId="52" fillId="19" borderId="121" applyNumberFormat="0" applyAlignment="0" applyProtection="0"/>
    <xf numFmtId="0" fontId="22" fillId="7" borderId="122" applyNumberFormat="0" applyFont="0" applyAlignment="0" applyProtection="0"/>
    <xf numFmtId="0" fontId="62" fillId="19" borderId="123" applyNumberFormat="0" applyAlignment="0" applyProtection="0"/>
    <xf numFmtId="0" fontId="64" fillId="0" borderId="124" applyNumberFormat="0" applyFill="0" applyAlignment="0" applyProtection="0"/>
    <xf numFmtId="0" fontId="62" fillId="19" borderId="123" applyNumberFormat="0" applyAlignment="0" applyProtection="0"/>
    <xf numFmtId="0" fontId="62" fillId="19" borderId="123" applyNumberFormat="0" applyAlignment="0" applyProtection="0"/>
    <xf numFmtId="0" fontId="59" fillId="10" borderId="121" applyNumberFormat="0" applyAlignment="0" applyProtection="0"/>
    <xf numFmtId="0" fontId="22" fillId="7" borderId="122" applyNumberFormat="0" applyFont="0" applyAlignment="0" applyProtection="0"/>
    <xf numFmtId="0" fontId="62" fillId="19" borderId="123" applyNumberFormat="0" applyAlignment="0" applyProtection="0"/>
    <xf numFmtId="0" fontId="64" fillId="0" borderId="124" applyNumberFormat="0" applyFill="0" applyAlignment="0" applyProtection="0"/>
    <xf numFmtId="0" fontId="64" fillId="0" borderId="124" applyNumberFormat="0" applyFill="0" applyAlignment="0" applyProtection="0"/>
    <xf numFmtId="0" fontId="22" fillId="7" borderId="122" applyNumberFormat="0" applyFont="0" applyAlignment="0" applyProtection="0"/>
    <xf numFmtId="0" fontId="64" fillId="0" borderId="124" applyNumberFormat="0" applyFill="0" applyAlignment="0" applyProtection="0"/>
    <xf numFmtId="0" fontId="22" fillId="7" borderId="122" applyNumberFormat="0" applyFont="0" applyAlignment="0" applyProtection="0"/>
    <xf numFmtId="0" fontId="59" fillId="10" borderId="121" applyNumberFormat="0" applyAlignment="0" applyProtection="0"/>
    <xf numFmtId="0" fontId="62" fillId="19" borderId="123" applyNumberFormat="0" applyAlignment="0" applyProtection="0"/>
    <xf numFmtId="0" fontId="64" fillId="0" borderId="124" applyNumberFormat="0" applyFill="0" applyAlignment="0" applyProtection="0"/>
    <xf numFmtId="0" fontId="62" fillId="19" borderId="123" applyNumberFormat="0" applyAlignment="0" applyProtection="0"/>
    <xf numFmtId="0" fontId="59" fillId="10" borderId="121" applyNumberFormat="0" applyAlignment="0" applyProtection="0"/>
    <xf numFmtId="0" fontId="22" fillId="7" borderId="122" applyNumberFormat="0" applyFont="0" applyAlignment="0" applyProtection="0"/>
    <xf numFmtId="0" fontId="22" fillId="7" borderId="122" applyNumberFormat="0" applyFont="0" applyAlignment="0" applyProtection="0"/>
    <xf numFmtId="0" fontId="64" fillId="0" borderId="124" applyNumberFormat="0" applyFill="0" applyAlignment="0" applyProtection="0"/>
    <xf numFmtId="0" fontId="64" fillId="0" borderId="124" applyNumberFormat="0" applyFill="0" applyAlignment="0" applyProtection="0"/>
    <xf numFmtId="0" fontId="52" fillId="19" borderId="121" applyNumberFormat="0" applyAlignment="0" applyProtection="0"/>
    <xf numFmtId="0" fontId="59" fillId="10" borderId="121" applyNumberFormat="0" applyAlignment="0" applyProtection="0"/>
    <xf numFmtId="0" fontId="52" fillId="19" borderId="121" applyNumberFormat="0" applyAlignment="0" applyProtection="0"/>
    <xf numFmtId="0" fontId="52" fillId="19" borderId="121" applyNumberFormat="0" applyAlignment="0" applyProtection="0"/>
    <xf numFmtId="0" fontId="52" fillId="19" borderId="121" applyNumberFormat="0" applyAlignment="0" applyProtection="0"/>
    <xf numFmtId="0" fontId="58" fillId="0" borderId="101" applyNumberFormat="0" applyFill="0" applyAlignment="0" applyProtection="0"/>
    <xf numFmtId="0" fontId="59" fillId="10" borderId="121" applyNumberFormat="0" applyAlignment="0" applyProtection="0"/>
    <xf numFmtId="0" fontId="22" fillId="7" borderId="122" applyNumberFormat="0" applyFont="0" applyAlignment="0" applyProtection="0"/>
    <xf numFmtId="0" fontId="62" fillId="19" borderId="123" applyNumberFormat="0" applyAlignment="0" applyProtection="0"/>
    <xf numFmtId="0" fontId="64" fillId="0" borderId="124" applyNumberFormat="0" applyFill="0" applyAlignment="0" applyProtection="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52" fillId="19" borderId="121" applyNumberFormat="0" applyAlignment="0" applyProtection="0"/>
    <xf numFmtId="0" fontId="58" fillId="0" borderId="101" applyNumberFormat="0" applyFill="0" applyAlignment="0" applyProtection="0"/>
    <xf numFmtId="0" fontId="59" fillId="10" borderId="121" applyNumberFormat="0" applyAlignment="0" applyProtection="0"/>
    <xf numFmtId="0" fontId="22" fillId="7" borderId="122" applyNumberFormat="0" applyFont="0" applyAlignment="0" applyProtection="0"/>
    <xf numFmtId="0" fontId="62" fillId="19" borderId="123" applyNumberFormat="0" applyAlignment="0" applyProtection="0"/>
    <xf numFmtId="0" fontId="64" fillId="0" borderId="124" applyNumberFormat="0" applyFill="0" applyAlignment="0" applyProtection="0"/>
    <xf numFmtId="0" fontId="22" fillId="7" borderId="122" applyNumberFormat="0" applyFont="0" applyAlignment="0" applyProtection="0"/>
    <xf numFmtId="0" fontId="52" fillId="19" borderId="121" applyNumberFormat="0" applyAlignment="0" applyProtection="0"/>
    <xf numFmtId="0" fontId="58" fillId="0" borderId="101" applyNumberFormat="0" applyFill="0" applyAlignment="0" applyProtection="0"/>
    <xf numFmtId="0" fontId="62" fillId="19" borderId="123" applyNumberFormat="0" applyAlignment="0" applyProtection="0"/>
    <xf numFmtId="0" fontId="59" fillId="10" borderId="121" applyNumberFormat="0" applyAlignment="0" applyProtection="0"/>
    <xf numFmtId="0" fontId="52" fillId="19" borderId="121" applyNumberFormat="0" applyAlignment="0" applyProtection="0"/>
    <xf numFmtId="0" fontId="52" fillId="19" borderId="121" applyNumberFormat="0" applyAlignment="0" applyProtection="0"/>
    <xf numFmtId="0" fontId="59" fillId="10" borderId="121" applyNumberFormat="0" applyAlignment="0" applyProtection="0"/>
    <xf numFmtId="0" fontId="58" fillId="0" borderId="101" applyNumberFormat="0" applyFill="0" applyAlignment="0" applyProtection="0"/>
    <xf numFmtId="0" fontId="58" fillId="0" borderId="101" applyNumberFormat="0" applyFill="0" applyAlignment="0" applyProtection="0"/>
    <xf numFmtId="0" fontId="59" fillId="10" borderId="121" applyNumberFormat="0" applyAlignment="0" applyProtection="0"/>
    <xf numFmtId="0" fontId="52" fillId="19" borderId="121" applyNumberFormat="0" applyAlignment="0" applyProtection="0"/>
    <xf numFmtId="0" fontId="22" fillId="7" borderId="122" applyNumberFormat="0" applyFont="0" applyAlignment="0" applyProtection="0"/>
    <xf numFmtId="0" fontId="62" fillId="19" borderId="123" applyNumberFormat="0" applyAlignment="0" applyProtection="0"/>
    <xf numFmtId="0" fontId="64" fillId="0" borderId="124" applyNumberFormat="0" applyFill="0" applyAlignment="0" applyProtection="0"/>
    <xf numFmtId="0" fontId="62" fillId="19" borderId="123" applyNumberFormat="0" applyAlignment="0" applyProtection="0"/>
    <xf numFmtId="0" fontId="62" fillId="19" borderId="123" applyNumberFormat="0" applyAlignment="0" applyProtection="0"/>
    <xf numFmtId="0" fontId="59" fillId="10" borderId="121" applyNumberFormat="0" applyAlignment="0" applyProtection="0"/>
    <xf numFmtId="0" fontId="22" fillId="7" borderId="122" applyNumberFormat="0" applyFont="0" applyAlignment="0" applyProtection="0"/>
    <xf numFmtId="0" fontId="62" fillId="19" borderId="123" applyNumberFormat="0" applyAlignment="0" applyProtection="0"/>
    <xf numFmtId="0" fontId="64" fillId="0" borderId="124" applyNumberFormat="0" applyFill="0" applyAlignment="0" applyProtection="0"/>
    <xf numFmtId="0" fontId="64" fillId="0" borderId="124" applyNumberFormat="0" applyFill="0" applyAlignment="0" applyProtection="0"/>
    <xf numFmtId="0" fontId="22" fillId="7" borderId="122" applyNumberFormat="0" applyFont="0" applyAlignment="0" applyProtection="0"/>
    <xf numFmtId="0" fontId="64" fillId="0" borderId="124" applyNumberFormat="0" applyFill="0" applyAlignment="0" applyProtection="0"/>
    <xf numFmtId="0" fontId="22" fillId="7" borderId="122" applyNumberFormat="0" applyFont="0" applyAlignment="0" applyProtection="0"/>
    <xf numFmtId="0" fontId="59" fillId="10" borderId="121" applyNumberFormat="0" applyAlignment="0" applyProtection="0"/>
    <xf numFmtId="0" fontId="62" fillId="19" borderId="123" applyNumberFormat="0" applyAlignment="0" applyProtection="0"/>
    <xf numFmtId="0" fontId="64" fillId="0" borderId="124" applyNumberFormat="0" applyFill="0" applyAlignment="0" applyProtection="0"/>
    <xf numFmtId="0" fontId="62" fillId="19" borderId="123" applyNumberFormat="0" applyAlignment="0" applyProtection="0"/>
    <xf numFmtId="0" fontId="59" fillId="10" borderId="121" applyNumberFormat="0" applyAlignment="0" applyProtection="0"/>
    <xf numFmtId="0" fontId="22" fillId="7" borderId="122" applyNumberFormat="0" applyFont="0" applyAlignment="0" applyProtection="0"/>
    <xf numFmtId="0" fontId="22" fillId="7" borderId="122" applyNumberFormat="0" applyFont="0" applyAlignment="0" applyProtection="0"/>
    <xf numFmtId="0" fontId="64" fillId="0" borderId="124" applyNumberFormat="0" applyFill="0" applyAlignment="0" applyProtection="0"/>
    <xf numFmtId="0" fontId="64" fillId="0" borderId="124" applyNumberFormat="0" applyFill="0" applyAlignment="0" applyProtection="0"/>
    <xf numFmtId="0" fontId="52" fillId="19" borderId="121" applyNumberFormat="0" applyAlignment="0" applyProtection="0"/>
    <xf numFmtId="0" fontId="59" fillId="10" borderId="121" applyNumberFormat="0" applyAlignment="0" applyProtection="0"/>
    <xf numFmtId="0" fontId="52" fillId="19" borderId="121" applyNumberFormat="0" applyAlignment="0" applyProtection="0"/>
    <xf numFmtId="0" fontId="52" fillId="19" borderId="121" applyNumberFormat="0" applyAlignment="0" applyProtection="0"/>
    <xf numFmtId="0" fontId="52" fillId="19" borderId="121" applyNumberFormat="0" applyAlignment="0" applyProtection="0"/>
    <xf numFmtId="44" fontId="10" fillId="0" borderId="0" applyFont="0" applyFill="0" applyBorder="0" applyAlignment="0" applyProtection="0"/>
    <xf numFmtId="44" fontId="10" fillId="0" borderId="0" applyFont="0" applyFill="0" applyBorder="0" applyAlignment="0" applyProtection="0"/>
    <xf numFmtId="0" fontId="58" fillId="0" borderId="101" applyNumberFormat="0" applyFill="0" applyAlignment="0" applyProtection="0"/>
    <xf numFmtId="43" fontId="10" fillId="0" borderId="0" applyFont="0" applyFill="0" applyBorder="0" applyAlignment="0" applyProtection="0"/>
    <xf numFmtId="0" fontId="59" fillId="10" borderId="121" applyNumberFormat="0" applyAlignment="0" applyProtection="0"/>
    <xf numFmtId="0" fontId="22" fillId="7" borderId="122" applyNumberFormat="0" applyFont="0" applyAlignment="0" applyProtection="0"/>
    <xf numFmtId="0" fontId="62" fillId="19" borderId="123" applyNumberFormat="0" applyAlignment="0" applyProtection="0"/>
    <xf numFmtId="0" fontId="64" fillId="0" borderId="124" applyNumberFormat="0" applyFill="0" applyAlignment="0" applyProtection="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52" fillId="19" borderId="121" applyNumberFormat="0" applyAlignment="0" applyProtection="0"/>
    <xf numFmtId="0" fontId="58" fillId="0" borderId="101" applyNumberFormat="0" applyFill="0" applyAlignment="0" applyProtection="0"/>
    <xf numFmtId="0" fontId="59" fillId="10" borderId="121" applyNumberFormat="0" applyAlignment="0" applyProtection="0"/>
    <xf numFmtId="0" fontId="22" fillId="7" borderId="122" applyNumberFormat="0" applyFont="0" applyAlignment="0" applyProtection="0"/>
    <xf numFmtId="0" fontId="62" fillId="19" borderId="123" applyNumberFormat="0" applyAlignment="0" applyProtection="0"/>
    <xf numFmtId="0" fontId="64" fillId="0" borderId="124" applyNumberFormat="0" applyFill="0" applyAlignment="0" applyProtection="0"/>
    <xf numFmtId="0" fontId="22" fillId="7" borderId="122" applyNumberFormat="0" applyFont="0" applyAlignment="0" applyProtection="0"/>
    <xf numFmtId="0" fontId="52" fillId="19" borderId="121" applyNumberFormat="0" applyAlignment="0" applyProtection="0"/>
    <xf numFmtId="0" fontId="62" fillId="19" borderId="123" applyNumberFormat="0" applyAlignment="0" applyProtection="0"/>
    <xf numFmtId="0" fontId="59" fillId="10" borderId="121" applyNumberFormat="0" applyAlignment="0" applyProtection="0"/>
    <xf numFmtId="0" fontId="52" fillId="19" borderId="121" applyNumberFormat="0" applyAlignment="0" applyProtection="0"/>
    <xf numFmtId="0" fontId="52" fillId="19" borderId="121" applyNumberFormat="0" applyAlignment="0" applyProtection="0"/>
    <xf numFmtId="0" fontId="59" fillId="10" borderId="121" applyNumberFormat="0" applyAlignment="0" applyProtection="0"/>
    <xf numFmtId="0" fontId="58" fillId="0" borderId="101" applyNumberFormat="0" applyFill="0" applyAlignment="0" applyProtection="0"/>
    <xf numFmtId="0" fontId="58" fillId="0" borderId="101" applyNumberFormat="0" applyFill="0" applyAlignment="0" applyProtection="0"/>
    <xf numFmtId="0" fontId="59" fillId="10" borderId="121" applyNumberFormat="0" applyAlignment="0" applyProtection="0"/>
    <xf numFmtId="0" fontId="52" fillId="19" borderId="121" applyNumberFormat="0" applyAlignment="0" applyProtection="0"/>
    <xf numFmtId="0" fontId="22" fillId="7" borderId="122" applyNumberFormat="0" applyFont="0" applyAlignment="0" applyProtection="0"/>
    <xf numFmtId="0" fontId="62" fillId="19" borderId="123" applyNumberFormat="0" applyAlignment="0" applyProtection="0"/>
    <xf numFmtId="0" fontId="64" fillId="0" borderId="124" applyNumberFormat="0" applyFill="0" applyAlignment="0" applyProtection="0"/>
    <xf numFmtId="0" fontId="62" fillId="19" borderId="123" applyNumberFormat="0" applyAlignment="0" applyProtection="0"/>
    <xf numFmtId="0" fontId="62" fillId="19" borderId="123" applyNumberFormat="0" applyAlignment="0" applyProtection="0"/>
    <xf numFmtId="0" fontId="59" fillId="10" borderId="121" applyNumberFormat="0" applyAlignment="0" applyProtection="0"/>
    <xf numFmtId="0" fontId="22" fillId="7" borderId="122" applyNumberFormat="0" applyFont="0" applyAlignment="0" applyProtection="0"/>
    <xf numFmtId="0" fontId="62" fillId="19" borderId="123" applyNumberFormat="0" applyAlignment="0" applyProtection="0"/>
    <xf numFmtId="0" fontId="64" fillId="0" borderId="124" applyNumberFormat="0" applyFill="0" applyAlignment="0" applyProtection="0"/>
    <xf numFmtId="0" fontId="64" fillId="0" borderId="124" applyNumberFormat="0" applyFill="0" applyAlignment="0" applyProtection="0"/>
    <xf numFmtId="0" fontId="22" fillId="7" borderId="122" applyNumberFormat="0" applyFont="0" applyAlignment="0" applyProtection="0"/>
    <xf numFmtId="0" fontId="64" fillId="0" borderId="124" applyNumberFormat="0" applyFill="0" applyAlignment="0" applyProtection="0"/>
    <xf numFmtId="0" fontId="22" fillId="7" borderId="122" applyNumberFormat="0" applyFont="0" applyAlignment="0" applyProtection="0"/>
    <xf numFmtId="0" fontId="59" fillId="10" borderId="121" applyNumberFormat="0" applyAlignment="0" applyProtection="0"/>
    <xf numFmtId="0" fontId="62" fillId="19" borderId="123" applyNumberFormat="0" applyAlignment="0" applyProtection="0"/>
    <xf numFmtId="0" fontId="64" fillId="0" borderId="124" applyNumberFormat="0" applyFill="0" applyAlignment="0" applyProtection="0"/>
    <xf numFmtId="0" fontId="62" fillId="19" borderId="123" applyNumberFormat="0" applyAlignment="0" applyProtection="0"/>
    <xf numFmtId="0" fontId="59" fillId="10" borderId="121" applyNumberFormat="0" applyAlignment="0" applyProtection="0"/>
    <xf numFmtId="0" fontId="22" fillId="7" borderId="122" applyNumberFormat="0" applyFont="0" applyAlignment="0" applyProtection="0"/>
    <xf numFmtId="0" fontId="22" fillId="7" borderId="122" applyNumberFormat="0" applyFont="0" applyAlignment="0" applyProtection="0"/>
    <xf numFmtId="0" fontId="64" fillId="0" borderId="124" applyNumberFormat="0" applyFill="0" applyAlignment="0" applyProtection="0"/>
    <xf numFmtId="0" fontId="64" fillId="0" borderId="124" applyNumberFormat="0" applyFill="0" applyAlignment="0" applyProtection="0"/>
    <xf numFmtId="0" fontId="52" fillId="19" borderId="121" applyNumberFormat="0" applyAlignment="0" applyProtection="0"/>
    <xf numFmtId="0" fontId="59" fillId="10" borderId="121" applyNumberFormat="0" applyAlignment="0" applyProtection="0"/>
    <xf numFmtId="0" fontId="52" fillId="19" borderId="121" applyNumberFormat="0" applyAlignment="0" applyProtection="0"/>
    <xf numFmtId="0" fontId="52" fillId="19" borderId="121" applyNumberFormat="0" applyAlignment="0" applyProtection="0"/>
    <xf numFmtId="0" fontId="58" fillId="0" borderId="101" applyNumberFormat="0" applyFill="0" applyAlignment="0" applyProtection="0"/>
    <xf numFmtId="0" fontId="59" fillId="10" borderId="121" applyNumberFormat="0" applyAlignment="0" applyProtection="0"/>
    <xf numFmtId="0" fontId="22" fillId="7" borderId="122" applyNumberFormat="0" applyFont="0" applyAlignment="0" applyProtection="0"/>
    <xf numFmtId="0" fontId="62" fillId="19" borderId="123" applyNumberFormat="0" applyAlignment="0" applyProtection="0"/>
    <xf numFmtId="0" fontId="64" fillId="0" borderId="124" applyNumberFormat="0" applyFill="0" applyAlignment="0" applyProtection="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52" fillId="19" borderId="121" applyNumberFormat="0" applyAlignment="0" applyProtection="0"/>
    <xf numFmtId="0" fontId="58" fillId="0" borderId="101" applyNumberFormat="0" applyFill="0" applyAlignment="0" applyProtection="0"/>
    <xf numFmtId="0" fontId="59" fillId="10" borderId="121" applyNumberFormat="0" applyAlignment="0" applyProtection="0"/>
    <xf numFmtId="0" fontId="22" fillId="7" borderId="122" applyNumberFormat="0" applyFont="0" applyAlignment="0" applyProtection="0"/>
    <xf numFmtId="0" fontId="62" fillId="19" borderId="123" applyNumberFormat="0" applyAlignment="0" applyProtection="0"/>
    <xf numFmtId="0" fontId="64" fillId="0" borderId="124" applyNumberFormat="0" applyFill="0" applyAlignment="0" applyProtection="0"/>
    <xf numFmtId="0" fontId="22" fillId="7" borderId="122" applyNumberFormat="0" applyFont="0" applyAlignment="0" applyProtection="0"/>
    <xf numFmtId="0" fontId="52" fillId="19" borderId="121" applyNumberFormat="0" applyAlignment="0" applyProtection="0"/>
    <xf numFmtId="0" fontId="58" fillId="0" borderId="101" applyNumberFormat="0" applyFill="0" applyAlignment="0" applyProtection="0"/>
    <xf numFmtId="0" fontId="62" fillId="19" borderId="123" applyNumberFormat="0" applyAlignment="0" applyProtection="0"/>
    <xf numFmtId="0" fontId="59" fillId="10" borderId="121" applyNumberFormat="0" applyAlignment="0" applyProtection="0"/>
    <xf numFmtId="0" fontId="52" fillId="19" borderId="121" applyNumberFormat="0" applyAlignment="0" applyProtection="0"/>
    <xf numFmtId="0" fontId="52" fillId="19" borderId="121" applyNumberFormat="0" applyAlignment="0" applyProtection="0"/>
    <xf numFmtId="0" fontId="59" fillId="10" borderId="121" applyNumberFormat="0" applyAlignment="0" applyProtection="0"/>
    <xf numFmtId="0" fontId="58" fillId="0" borderId="101" applyNumberFormat="0" applyFill="0" applyAlignment="0" applyProtection="0"/>
    <xf numFmtId="0" fontId="58" fillId="0" borderId="101" applyNumberFormat="0" applyFill="0" applyAlignment="0" applyProtection="0"/>
    <xf numFmtId="0" fontId="59" fillId="10" borderId="121" applyNumberFormat="0" applyAlignment="0" applyProtection="0"/>
    <xf numFmtId="0" fontId="52" fillId="19" borderId="121" applyNumberFormat="0" applyAlignment="0" applyProtection="0"/>
    <xf numFmtId="0" fontId="22" fillId="7" borderId="122" applyNumberFormat="0" applyFont="0" applyAlignment="0" applyProtection="0"/>
    <xf numFmtId="0" fontId="62" fillId="19" borderId="123" applyNumberFormat="0" applyAlignment="0" applyProtection="0"/>
    <xf numFmtId="0" fontId="64" fillId="0" borderId="124" applyNumberFormat="0" applyFill="0" applyAlignment="0" applyProtection="0"/>
    <xf numFmtId="0" fontId="62" fillId="19" borderId="123" applyNumberFormat="0" applyAlignment="0" applyProtection="0"/>
    <xf numFmtId="0" fontId="62" fillId="19" borderId="123" applyNumberFormat="0" applyAlignment="0" applyProtection="0"/>
    <xf numFmtId="0" fontId="59" fillId="10" borderId="121" applyNumberFormat="0" applyAlignment="0" applyProtection="0"/>
    <xf numFmtId="0" fontId="22" fillId="7" borderId="122" applyNumberFormat="0" applyFont="0" applyAlignment="0" applyProtection="0"/>
    <xf numFmtId="0" fontId="62" fillId="19" borderId="123" applyNumberFormat="0" applyAlignment="0" applyProtection="0"/>
    <xf numFmtId="0" fontId="64" fillId="0" borderId="124" applyNumberFormat="0" applyFill="0" applyAlignment="0" applyProtection="0"/>
    <xf numFmtId="0" fontId="64" fillId="0" borderId="124" applyNumberFormat="0" applyFill="0" applyAlignment="0" applyProtection="0"/>
    <xf numFmtId="0" fontId="22" fillId="7" borderId="122" applyNumberFormat="0" applyFont="0" applyAlignment="0" applyProtection="0"/>
    <xf numFmtId="0" fontId="64" fillId="0" borderId="124" applyNumberFormat="0" applyFill="0" applyAlignment="0" applyProtection="0"/>
    <xf numFmtId="0" fontId="22" fillId="7" borderId="122" applyNumberFormat="0" applyFont="0" applyAlignment="0" applyProtection="0"/>
    <xf numFmtId="0" fontId="59" fillId="10" borderId="121" applyNumberFormat="0" applyAlignment="0" applyProtection="0"/>
    <xf numFmtId="0" fontId="62" fillId="19" borderId="123" applyNumberFormat="0" applyAlignment="0" applyProtection="0"/>
    <xf numFmtId="0" fontId="64" fillId="0" borderId="124" applyNumberFormat="0" applyFill="0" applyAlignment="0" applyProtection="0"/>
    <xf numFmtId="0" fontId="62" fillId="19" borderId="123" applyNumberFormat="0" applyAlignment="0" applyProtection="0"/>
    <xf numFmtId="0" fontId="59" fillId="10" borderId="121" applyNumberFormat="0" applyAlignment="0" applyProtection="0"/>
    <xf numFmtId="0" fontId="22" fillId="7" borderId="122" applyNumberFormat="0" applyFont="0" applyAlignment="0" applyProtection="0"/>
    <xf numFmtId="0" fontId="22" fillId="7" borderId="122" applyNumberFormat="0" applyFont="0" applyAlignment="0" applyProtection="0"/>
    <xf numFmtId="0" fontId="64" fillId="0" borderId="124" applyNumberFormat="0" applyFill="0" applyAlignment="0" applyProtection="0"/>
    <xf numFmtId="0" fontId="64" fillId="0" borderId="124" applyNumberFormat="0" applyFill="0" applyAlignment="0" applyProtection="0"/>
    <xf numFmtId="0" fontId="52" fillId="19" borderId="121" applyNumberFormat="0" applyAlignment="0" applyProtection="0"/>
    <xf numFmtId="0" fontId="59" fillId="10" borderId="121" applyNumberFormat="0" applyAlignment="0" applyProtection="0"/>
    <xf numFmtId="0" fontId="52" fillId="19" borderId="121" applyNumberFormat="0" applyAlignment="0" applyProtection="0"/>
    <xf numFmtId="0" fontId="52" fillId="19" borderId="121" applyNumberFormat="0" applyAlignment="0" applyProtection="0"/>
    <xf numFmtId="0" fontId="10" fillId="0" borderId="0"/>
    <xf numFmtId="0" fontId="10" fillId="0" borderId="0"/>
    <xf numFmtId="168"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167" fontId="10" fillId="0" borderId="0" applyFont="0" applyFill="0" applyBorder="0" applyAlignment="0" applyProtection="0"/>
    <xf numFmtId="167" fontId="10" fillId="0" borderId="0" applyFont="0" applyFill="0" applyBorder="0" applyAlignment="0" applyProtection="0"/>
    <xf numFmtId="0" fontId="62" fillId="19" borderId="123" applyNumberFormat="0" applyAlignment="0" applyProtection="0"/>
    <xf numFmtId="0" fontId="10" fillId="0" borderId="0"/>
    <xf numFmtId="44" fontId="10" fillId="0" borderId="0" applyFont="0" applyFill="0" applyBorder="0" applyAlignment="0" applyProtection="0"/>
    <xf numFmtId="0" fontId="59" fillId="10" borderId="121" applyNumberFormat="0" applyAlignment="0" applyProtection="0"/>
    <xf numFmtId="9" fontId="10" fillId="0" borderId="0" applyFont="0" applyFill="0" applyBorder="0" applyAlignment="0" applyProtection="0"/>
    <xf numFmtId="0" fontId="10" fillId="0" borderId="0"/>
    <xf numFmtId="0" fontId="22" fillId="7" borderId="122" applyNumberFormat="0" applyFont="0" applyAlignment="0" applyProtection="0"/>
    <xf numFmtId="0" fontId="10" fillId="0" borderId="0"/>
    <xf numFmtId="167" fontId="10" fillId="0" borderId="0" applyFont="0" applyFill="0" applyBorder="0" applyAlignment="0" applyProtection="0"/>
    <xf numFmtId="168" fontId="10" fillId="0" borderId="0" applyFont="0" applyFill="0" applyBorder="0" applyAlignment="0" applyProtection="0"/>
    <xf numFmtId="0" fontId="10" fillId="0" borderId="0"/>
    <xf numFmtId="167" fontId="10" fillId="0" borderId="0" applyFont="0" applyFill="0" applyBorder="0" applyAlignment="0" applyProtection="0"/>
    <xf numFmtId="168"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0" fontId="10"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67" fontId="10" fillId="0" borderId="0" applyFont="0" applyFill="0" applyBorder="0" applyAlignment="0" applyProtection="0"/>
    <xf numFmtId="0" fontId="10" fillId="0" borderId="0"/>
    <xf numFmtId="0" fontId="10" fillId="0" borderId="0"/>
    <xf numFmtId="0" fontId="10" fillId="0" borderId="0"/>
    <xf numFmtId="167" fontId="10"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0" fontId="10" fillId="0" borderId="0"/>
    <xf numFmtId="0" fontId="10" fillId="0" borderId="0"/>
    <xf numFmtId="0" fontId="10"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0" borderId="0"/>
    <xf numFmtId="0" fontId="10" fillId="0" borderId="0"/>
    <xf numFmtId="168" fontId="10" fillId="0" borderId="0" applyFont="0" applyFill="0" applyBorder="0" applyAlignment="0" applyProtection="0"/>
    <xf numFmtId="168" fontId="10"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0" fontId="10" fillId="0" borderId="0"/>
    <xf numFmtId="167" fontId="10" fillId="0" borderId="0" applyFont="0" applyFill="0" applyBorder="0" applyAlignment="0" applyProtection="0"/>
    <xf numFmtId="0" fontId="10" fillId="0" borderId="0"/>
    <xf numFmtId="167" fontId="10" fillId="0" borderId="0" applyFont="0" applyFill="0" applyBorder="0" applyAlignment="0" applyProtection="0"/>
    <xf numFmtId="0" fontId="64" fillId="0" borderId="124" applyNumberFormat="0" applyFill="0" applyAlignment="0" applyProtection="0"/>
    <xf numFmtId="0" fontId="52" fillId="19" borderId="121" applyNumberFormat="0" applyAlignment="0" applyProtection="0"/>
    <xf numFmtId="0" fontId="52" fillId="19" borderId="121" applyNumberFormat="0" applyAlignment="0" applyProtection="0"/>
    <xf numFmtId="0" fontId="59" fillId="10" borderId="121" applyNumberFormat="0" applyAlignment="0" applyProtection="0"/>
    <xf numFmtId="0" fontId="22" fillId="7" borderId="122" applyNumberFormat="0" applyFont="0" applyAlignment="0" applyProtection="0"/>
    <xf numFmtId="0" fontId="64" fillId="0" borderId="124" applyNumberFormat="0" applyFill="0" applyAlignment="0" applyProtection="0"/>
    <xf numFmtId="0" fontId="10" fillId="0" borderId="0"/>
    <xf numFmtId="0" fontId="10" fillId="0" borderId="0"/>
    <xf numFmtId="167" fontId="10" fillId="0" borderId="0" applyFont="0" applyFill="0" applyBorder="0" applyAlignment="0" applyProtection="0"/>
    <xf numFmtId="0" fontId="10" fillId="0" borderId="0"/>
    <xf numFmtId="167" fontId="10" fillId="0" borderId="0" applyFont="0" applyFill="0" applyBorder="0" applyAlignment="0" applyProtection="0"/>
    <xf numFmtId="168" fontId="10" fillId="0" borderId="0" applyFont="0" applyFill="0" applyBorder="0" applyAlignment="0" applyProtection="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168" fontId="10" fillId="0" borderId="0" applyFont="0" applyFill="0" applyBorder="0" applyAlignment="0" applyProtection="0"/>
    <xf numFmtId="167" fontId="10" fillId="0" borderId="0" applyFont="0" applyFill="0" applyBorder="0" applyAlignment="0" applyProtection="0"/>
    <xf numFmtId="0" fontId="10" fillId="0" borderId="0"/>
    <xf numFmtId="167" fontId="10" fillId="0" borderId="0" applyFont="0" applyFill="0" applyBorder="0" applyAlignment="0" applyProtection="0"/>
    <xf numFmtId="0" fontId="10" fillId="0" borderId="0"/>
    <xf numFmtId="168" fontId="10" fillId="0" borderId="0" applyFont="0" applyFill="0" applyBorder="0" applyAlignment="0" applyProtection="0"/>
    <xf numFmtId="167" fontId="10" fillId="0" borderId="0" applyFont="0" applyFill="0" applyBorder="0" applyAlignment="0" applyProtection="0"/>
    <xf numFmtId="0" fontId="10" fillId="0" borderId="0"/>
    <xf numFmtId="167" fontId="10" fillId="0" borderId="0" applyFont="0" applyFill="0" applyBorder="0" applyAlignment="0" applyProtection="0"/>
    <xf numFmtId="0" fontId="10" fillId="0" borderId="0"/>
    <xf numFmtId="168" fontId="10" fillId="0" borderId="0" applyFont="0" applyFill="0" applyBorder="0" applyAlignment="0" applyProtection="0"/>
    <xf numFmtId="167" fontId="10" fillId="0" borderId="0" applyFont="0" applyFill="0" applyBorder="0" applyAlignment="0" applyProtection="0"/>
    <xf numFmtId="0" fontId="10" fillId="0" borderId="0"/>
    <xf numFmtId="167" fontId="10" fillId="0" borderId="0" applyFont="0" applyFill="0" applyBorder="0" applyAlignment="0" applyProtection="0"/>
    <xf numFmtId="0" fontId="10" fillId="0" borderId="0"/>
    <xf numFmtId="168" fontId="10" fillId="0" borderId="0" applyFont="0" applyFill="0" applyBorder="0" applyAlignment="0" applyProtection="0"/>
    <xf numFmtId="167" fontId="10" fillId="0" borderId="0" applyFont="0" applyFill="0" applyBorder="0" applyAlignment="0" applyProtection="0"/>
    <xf numFmtId="0" fontId="10" fillId="0" borderId="0"/>
    <xf numFmtId="167" fontId="10" fillId="0" borderId="0" applyFont="0" applyFill="0" applyBorder="0" applyAlignment="0" applyProtection="0"/>
    <xf numFmtId="0" fontId="10" fillId="0" borderId="0"/>
    <xf numFmtId="168" fontId="10" fillId="0" borderId="0" applyFont="0" applyFill="0" applyBorder="0" applyAlignment="0" applyProtection="0"/>
    <xf numFmtId="167" fontId="10" fillId="0" borderId="0" applyFont="0" applyFill="0" applyBorder="0" applyAlignment="0" applyProtection="0"/>
    <xf numFmtId="0" fontId="10" fillId="0" borderId="0"/>
    <xf numFmtId="167" fontId="10" fillId="0" borderId="0" applyFont="0" applyFill="0" applyBorder="0" applyAlignment="0" applyProtection="0"/>
    <xf numFmtId="0" fontId="10" fillId="0" borderId="0"/>
    <xf numFmtId="0" fontId="10" fillId="0" borderId="0"/>
    <xf numFmtId="168" fontId="10" fillId="0" borderId="0" applyFont="0" applyFill="0" applyBorder="0" applyAlignment="0" applyProtection="0"/>
    <xf numFmtId="167" fontId="10" fillId="0" borderId="0" applyFont="0" applyFill="0" applyBorder="0" applyAlignment="0" applyProtection="0"/>
    <xf numFmtId="0" fontId="10" fillId="0" borderId="0"/>
    <xf numFmtId="167" fontId="10" fillId="0" borderId="0" applyFont="0" applyFill="0" applyBorder="0" applyAlignment="0" applyProtection="0"/>
    <xf numFmtId="9" fontId="10" fillId="0" borderId="0" applyFont="0" applyFill="0" applyBorder="0" applyAlignment="0" applyProtection="0"/>
    <xf numFmtId="0" fontId="9" fillId="0" borderId="0"/>
    <xf numFmtId="0" fontId="92" fillId="0" borderId="0"/>
    <xf numFmtId="9" fontId="8" fillId="0" borderId="0" applyFont="0" applyFill="0" applyBorder="0" applyAlignment="0" applyProtection="0"/>
    <xf numFmtId="0" fontId="8" fillId="0" borderId="0"/>
    <xf numFmtId="167" fontId="8" fillId="0" borderId="0" applyFont="0" applyFill="0" applyBorder="0" applyAlignment="0" applyProtection="0"/>
    <xf numFmtId="0" fontId="22" fillId="0" borderId="0"/>
    <xf numFmtId="0" fontId="66" fillId="0" borderId="0"/>
    <xf numFmtId="44" fontId="8" fillId="0" borderId="0" applyFont="0" applyFill="0" applyBorder="0" applyAlignment="0" applyProtection="0"/>
    <xf numFmtId="0" fontId="99" fillId="0" borderId="0"/>
    <xf numFmtId="9" fontId="99" fillId="0" borderId="0" applyFont="0" applyFill="0" applyBorder="0" applyAlignment="0" applyProtection="0"/>
    <xf numFmtId="0" fontId="7" fillId="0" borderId="0"/>
    <xf numFmtId="9" fontId="7" fillId="0" borderId="0" applyFont="0" applyFill="0" applyBorder="0" applyAlignment="0" applyProtection="0"/>
    <xf numFmtId="167" fontId="7" fillId="0" borderId="0" applyFont="0" applyFill="0" applyBorder="0" applyAlignment="0" applyProtection="0"/>
    <xf numFmtId="0" fontId="100" fillId="0" borderId="0"/>
    <xf numFmtId="167" fontId="99" fillId="0" borderId="0" applyFont="0" applyFill="0" applyBorder="0" applyAlignment="0" applyProtection="0"/>
    <xf numFmtId="0" fontId="7" fillId="0" borderId="0"/>
    <xf numFmtId="167" fontId="7" fillId="0" borderId="0" applyFont="0" applyFill="0" applyBorder="0" applyAlignment="0" applyProtection="0"/>
    <xf numFmtId="9" fontId="7" fillId="0" borderId="0" applyFont="0" applyFill="0" applyBorder="0" applyAlignment="0" applyProtection="0"/>
    <xf numFmtId="0" fontId="6" fillId="0" borderId="0"/>
    <xf numFmtId="9" fontId="6" fillId="0" borderId="0" applyFont="0" applyFill="0" applyBorder="0" applyAlignment="0" applyProtection="0"/>
    <xf numFmtId="167" fontId="6" fillId="0" borderId="0" applyFont="0" applyFill="0" applyBorder="0" applyAlignment="0" applyProtection="0"/>
    <xf numFmtId="0" fontId="59" fillId="10" borderId="150" applyNumberFormat="0" applyAlignment="0" applyProtection="0"/>
    <xf numFmtId="0" fontId="62" fillId="19" borderId="164" applyNumberFormat="0" applyAlignment="0" applyProtection="0"/>
    <xf numFmtId="0" fontId="52" fillId="19" borderId="170" applyNumberFormat="0" applyAlignment="0" applyProtection="0"/>
    <xf numFmtId="0" fontId="52" fillId="19" borderId="162" applyNumberFormat="0" applyAlignment="0" applyProtection="0"/>
    <xf numFmtId="0" fontId="62" fillId="19" borderId="172" applyNumberFormat="0" applyAlignment="0" applyProtection="0"/>
    <xf numFmtId="0" fontId="62" fillId="19" borderId="164" applyNumberFormat="0" applyAlignment="0" applyProtection="0"/>
    <xf numFmtId="0" fontId="22" fillId="7" borderId="163" applyNumberFormat="0" applyFont="0" applyAlignment="0" applyProtection="0"/>
    <xf numFmtId="0" fontId="22" fillId="7" borderId="171" applyNumberFormat="0" applyFont="0" applyAlignment="0" applyProtection="0"/>
    <xf numFmtId="0" fontId="62" fillId="19" borderId="184" applyNumberFormat="0" applyAlignment="0" applyProtection="0"/>
    <xf numFmtId="0" fontId="62" fillId="19" borderId="172" applyNumberFormat="0" applyAlignment="0" applyProtection="0"/>
    <xf numFmtId="0" fontId="52" fillId="19" borderId="162" applyNumberFormat="0" applyAlignment="0" applyProtection="0"/>
    <xf numFmtId="0" fontId="59" fillId="10" borderId="166" applyNumberFormat="0" applyAlignment="0" applyProtection="0"/>
    <xf numFmtId="0" fontId="52" fillId="19" borderId="162" applyNumberFormat="0" applyAlignment="0" applyProtection="0"/>
    <xf numFmtId="0" fontId="22" fillId="7" borderId="163" applyNumberFormat="0" applyFont="0" applyAlignment="0" applyProtection="0"/>
    <xf numFmtId="0" fontId="5" fillId="0" borderId="0"/>
    <xf numFmtId="0" fontId="64" fillId="0" borderId="193" applyNumberFormat="0" applyFill="0" applyAlignment="0" applyProtection="0"/>
    <xf numFmtId="0" fontId="52" fillId="19" borderId="170" applyNumberFormat="0" applyAlignment="0" applyProtection="0"/>
    <xf numFmtId="0" fontId="59" fillId="10" borderId="178" applyNumberFormat="0" applyAlignment="0" applyProtection="0"/>
    <xf numFmtId="0" fontId="22" fillId="7" borderId="183" applyNumberFormat="0" applyFont="0" applyAlignment="0" applyProtection="0"/>
    <xf numFmtId="0" fontId="52" fillId="19" borderId="170" applyNumberFormat="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62" fillId="19" borderId="176" applyNumberFormat="0" applyAlignment="0" applyProtection="0"/>
    <xf numFmtId="0" fontId="22" fillId="7" borderId="191" applyNumberFormat="0" applyFont="0" applyAlignment="0" applyProtection="0"/>
    <xf numFmtId="0" fontId="22" fillId="7" borderId="183" applyNumberFormat="0" applyFont="0" applyAlignment="0" applyProtection="0"/>
    <xf numFmtId="0" fontId="59" fillId="10" borderId="178" applyNumberFormat="0" applyAlignment="0" applyProtection="0"/>
    <xf numFmtId="0" fontId="64" fillId="0" borderId="169" applyNumberFormat="0" applyFill="0" applyAlignment="0" applyProtection="0"/>
    <xf numFmtId="0" fontId="22" fillId="7" borderId="163" applyNumberFormat="0" applyFont="0" applyAlignment="0" applyProtection="0"/>
    <xf numFmtId="0" fontId="62" fillId="19" borderId="184" applyNumberFormat="0" applyAlignment="0" applyProtection="0"/>
    <xf numFmtId="0" fontId="59" fillId="10" borderId="162" applyNumberFormat="0" applyAlignment="0" applyProtection="0"/>
    <xf numFmtId="0" fontId="62" fillId="19" borderId="184" applyNumberFormat="0" applyAlignment="0" applyProtection="0"/>
    <xf numFmtId="0" fontId="64" fillId="0" borderId="153" applyNumberFormat="0" applyFill="0" applyAlignment="0" applyProtection="0"/>
    <xf numFmtId="0" fontId="52" fillId="19" borderId="143" applyNumberFormat="0" applyAlignment="0" applyProtection="0"/>
    <xf numFmtId="0" fontId="22" fillId="7" borderId="151" applyNumberFormat="0" applyFont="0" applyAlignment="0" applyProtection="0"/>
    <xf numFmtId="0" fontId="62" fillId="19" borderId="168" applyNumberFormat="0" applyAlignment="0" applyProtection="0"/>
    <xf numFmtId="0" fontId="59" fillId="10" borderId="178" applyNumberFormat="0" applyAlignment="0" applyProtection="0"/>
    <xf numFmtId="0" fontId="59" fillId="10" borderId="190" applyNumberFormat="0" applyAlignment="0" applyProtection="0"/>
    <xf numFmtId="0" fontId="64" fillId="0" borderId="169" applyNumberFormat="0" applyFill="0" applyAlignment="0" applyProtection="0"/>
    <xf numFmtId="0" fontId="59" fillId="10" borderId="143" applyNumberFormat="0" applyAlignment="0" applyProtection="0"/>
    <xf numFmtId="0" fontId="62" fillId="19" borderId="180" applyNumberFormat="0" applyAlignment="0" applyProtection="0"/>
    <xf numFmtId="0" fontId="62" fillId="19" borderId="144" applyNumberFormat="0" applyAlignment="0" applyProtection="0"/>
    <xf numFmtId="0" fontId="64" fillId="0" borderId="145" applyNumberFormat="0" applyFill="0" applyAlignment="0" applyProtection="0"/>
    <xf numFmtId="0" fontId="5" fillId="0" borderId="0"/>
    <xf numFmtId="0" fontId="5" fillId="0" borderId="0"/>
    <xf numFmtId="44" fontId="5" fillId="0" borderId="0" applyFont="0" applyFill="0" applyBorder="0" applyAlignment="0" applyProtection="0"/>
    <xf numFmtId="0" fontId="59" fillId="10" borderId="170" applyNumberFormat="0" applyAlignment="0" applyProtection="0"/>
    <xf numFmtId="0" fontId="62" fillId="19" borderId="160" applyNumberForma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64" fillId="0" borderId="173" applyNumberFormat="0" applyFill="0" applyAlignment="0" applyProtection="0"/>
    <xf numFmtId="0" fontId="64" fillId="0" borderId="193" applyNumberFormat="0" applyFill="0" applyAlignment="0" applyProtection="0"/>
    <xf numFmtId="44" fontId="5" fillId="0" borderId="0" applyFont="0" applyFill="0" applyBorder="0" applyAlignment="0" applyProtection="0"/>
    <xf numFmtId="0" fontId="22" fillId="7" borderId="183" applyNumberFormat="0" applyFont="0" applyAlignment="0" applyProtection="0"/>
    <xf numFmtId="0" fontId="59" fillId="10" borderId="162" applyNumberFormat="0" applyAlignment="0" applyProtection="0"/>
    <xf numFmtId="0" fontId="62" fillId="19" borderId="164" applyNumberFormat="0" applyAlignment="0" applyProtection="0"/>
    <xf numFmtId="0" fontId="5" fillId="0" borderId="0"/>
    <xf numFmtId="0" fontId="52" fillId="19" borderId="178" applyNumberFormat="0" applyAlignment="0" applyProtection="0"/>
    <xf numFmtId="0" fontId="52" fillId="19" borderId="182" applyNumberFormat="0" applyAlignment="0" applyProtection="0"/>
    <xf numFmtId="0" fontId="59" fillId="10" borderId="162" applyNumberFormat="0" applyAlignment="0" applyProtection="0"/>
    <xf numFmtId="0" fontId="59" fillId="10" borderId="190" applyNumberFormat="0" applyAlignment="0" applyProtection="0"/>
    <xf numFmtId="0" fontId="22" fillId="7" borderId="163" applyNumberFormat="0" applyFont="0" applyAlignment="0" applyProtection="0"/>
    <xf numFmtId="0" fontId="62" fillId="19" borderId="184" applyNumberFormat="0" applyAlignment="0" applyProtection="0"/>
    <xf numFmtId="0" fontId="52" fillId="19" borderId="170" applyNumberFormat="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2" fillId="19" borderId="190" applyNumberFormat="0" applyAlignment="0" applyProtection="0"/>
    <xf numFmtId="0" fontId="52" fillId="19" borderId="162" applyNumberFormat="0" applyAlignment="0" applyProtection="0"/>
    <xf numFmtId="0" fontId="52" fillId="19" borderId="178" applyNumberFormat="0" applyAlignment="0" applyProtection="0"/>
    <xf numFmtId="0" fontId="52" fillId="19" borderId="178" applyNumberFormat="0" applyAlignment="0" applyProtection="0"/>
    <xf numFmtId="0" fontId="52" fillId="19" borderId="170" applyNumberFormat="0" applyAlignment="0" applyProtection="0"/>
    <xf numFmtId="0" fontId="5" fillId="0" borderId="0"/>
    <xf numFmtId="0" fontId="52" fillId="19" borderId="178" applyNumberFormat="0" applyAlignment="0" applyProtection="0"/>
    <xf numFmtId="0" fontId="64" fillId="0" borderId="173" applyNumberFormat="0" applyFill="0" applyAlignment="0" applyProtection="0"/>
    <xf numFmtId="0" fontId="52" fillId="19" borderId="166" applyNumberFormat="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9" fillId="10" borderId="166" applyNumberFormat="0" applyAlignment="0" applyProtection="0"/>
    <xf numFmtId="0" fontId="22" fillId="7" borderId="179" applyNumberFormat="0" applyFont="0" applyAlignment="0" applyProtection="0"/>
    <xf numFmtId="0" fontId="59" fillId="10" borderId="182" applyNumberFormat="0" applyAlignment="0" applyProtection="0"/>
    <xf numFmtId="0" fontId="5" fillId="0" borderId="0"/>
    <xf numFmtId="0" fontId="22" fillId="7" borderId="163" applyNumberFormat="0" applyFont="0" applyAlignment="0" applyProtection="0"/>
    <xf numFmtId="0" fontId="59" fillId="10" borderId="162" applyNumberFormat="0" applyAlignment="0" applyProtection="0"/>
    <xf numFmtId="0" fontId="52" fillId="19" borderId="170" applyNumberFormat="0" applyAlignment="0" applyProtection="0"/>
    <xf numFmtId="0" fontId="62" fillId="19" borderId="168" applyNumberFormat="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2" fillId="19" borderId="162" applyNumberFormat="0" applyAlignment="0" applyProtection="0"/>
    <xf numFmtId="0" fontId="22" fillId="7" borderId="163" applyNumberFormat="0" applyFont="0" applyAlignment="0" applyProtection="0"/>
    <xf numFmtId="0" fontId="5" fillId="0" borderId="0"/>
    <xf numFmtId="0" fontId="62" fillId="19" borderId="164" applyNumberFormat="0" applyAlignment="0" applyProtection="0"/>
    <xf numFmtId="0" fontId="64" fillId="0" borderId="161" applyNumberFormat="0" applyFill="0" applyAlignment="0" applyProtection="0"/>
    <xf numFmtId="0" fontId="52" fillId="19" borderId="150" applyNumberFormat="0" applyAlignment="0" applyProtection="0"/>
    <xf numFmtId="0" fontId="62" fillId="19" borderId="168" applyNumberFormat="0" applyAlignment="0" applyProtection="0"/>
    <xf numFmtId="0" fontId="52" fillId="19" borderId="178" applyNumberFormat="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62" fillId="19" borderId="188" applyNumberFormat="0" applyAlignment="0" applyProtection="0"/>
    <xf numFmtId="0" fontId="62" fillId="19" borderId="180" applyNumberFormat="0" applyAlignment="0" applyProtection="0"/>
    <xf numFmtId="0" fontId="22" fillId="7" borderId="171" applyNumberFormat="0" applyFont="0" applyAlignment="0" applyProtection="0"/>
    <xf numFmtId="0" fontId="52" fillId="19" borderId="178" applyNumberFormat="0" applyAlignment="0" applyProtection="0"/>
    <xf numFmtId="0" fontId="5" fillId="0" borderId="0"/>
    <xf numFmtId="0" fontId="52" fillId="19" borderId="162" applyNumberFormat="0" applyAlignment="0" applyProtection="0"/>
    <xf numFmtId="0" fontId="52" fillId="19" borderId="162" applyNumberFormat="0" applyAlignment="0" applyProtection="0"/>
    <xf numFmtId="0" fontId="52" fillId="19" borderId="162" applyNumberFormat="0" applyAlignment="0" applyProtection="0"/>
    <xf numFmtId="0" fontId="52" fillId="19" borderId="186" applyNumberFormat="0" applyAlignment="0" applyProtection="0"/>
    <xf numFmtId="0" fontId="64" fillId="0" borderId="169" applyNumberFormat="0" applyFill="0" applyAlignment="0" applyProtection="0"/>
    <xf numFmtId="0" fontId="59" fillId="10" borderId="190" applyNumberFormat="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64" fillId="0" borderId="185" applyNumberFormat="0" applyFill="0" applyAlignment="0" applyProtection="0"/>
    <xf numFmtId="0" fontId="22" fillId="7" borderId="171" applyNumberFormat="0" applyFont="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22" fillId="7" borderId="175" applyNumberFormat="0" applyFont="0" applyAlignment="0" applyProtection="0"/>
    <xf numFmtId="0" fontId="59" fillId="10" borderId="170" applyNumberFormat="0" applyAlignment="0" applyProtection="0"/>
    <xf numFmtId="0" fontId="52" fillId="19" borderId="162" applyNumberFormat="0" applyAlignment="0" applyProtection="0"/>
    <xf numFmtId="0" fontId="5" fillId="0" borderId="0"/>
    <xf numFmtId="0" fontId="59" fillId="10" borderId="170" applyNumberFormat="0" applyAlignment="0" applyProtection="0"/>
    <xf numFmtId="44" fontId="22" fillId="0" borderId="0" applyFont="0" applyFill="0" applyBorder="0" applyAlignment="0" applyProtection="0"/>
    <xf numFmtId="0" fontId="59" fillId="10" borderId="162"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64" fillId="0" borderId="161" applyNumberFormat="0" applyFill="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0" fontId="52" fillId="19" borderId="162"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52" fillId="19" borderId="143" applyNumberFormat="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59" fillId="10" borderId="143" applyNumberFormat="0" applyAlignment="0" applyProtection="0"/>
    <xf numFmtId="0" fontId="52" fillId="19" borderId="170" applyNumberFormat="0" applyAlignment="0" applyProtection="0"/>
    <xf numFmtId="0" fontId="62" fillId="19" borderId="144" applyNumberFormat="0" applyAlignment="0" applyProtection="0"/>
    <xf numFmtId="0" fontId="64" fillId="0" borderId="145" applyNumberFormat="0" applyFill="0" applyAlignment="0" applyProtection="0"/>
    <xf numFmtId="0" fontId="5" fillId="0" borderId="0"/>
    <xf numFmtId="0" fontId="5" fillId="0" borderId="0"/>
    <xf numFmtId="44" fontId="5"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9" fillId="10" borderId="182" applyNumberFormat="0" applyAlignment="0" applyProtection="0"/>
    <xf numFmtId="0" fontId="64" fillId="0" borderId="165" applyNumberFormat="0" applyFill="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0" fontId="22" fillId="7" borderId="171" applyNumberFormat="0" applyFont="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8" fontId="31" fillId="0" borderId="0" applyFont="0" applyFill="0" applyBorder="0" applyAlignment="0" applyProtection="0"/>
    <xf numFmtId="44" fontId="14" fillId="0" borderId="0" applyFont="0" applyFill="0" applyBorder="0" applyAlignment="0" applyProtection="0"/>
    <xf numFmtId="0" fontId="52" fillId="19" borderId="143" applyNumberFormat="0" applyAlignment="0" applyProtection="0"/>
    <xf numFmtId="0" fontId="62" fillId="19" borderId="164" applyNumberFormat="0" applyAlignment="0" applyProtection="0"/>
    <xf numFmtId="0" fontId="59" fillId="10" borderId="143" applyNumberFormat="0" applyAlignment="0" applyProtection="0"/>
    <xf numFmtId="0" fontId="52" fillId="19" borderId="190" applyNumberFormat="0" applyAlignment="0" applyProtection="0"/>
    <xf numFmtId="0" fontId="62" fillId="19" borderId="144" applyNumberFormat="0" applyAlignment="0" applyProtection="0"/>
    <xf numFmtId="0" fontId="64" fillId="0" borderId="145" applyNumberFormat="0" applyFill="0" applyAlignment="0" applyProtection="0"/>
    <xf numFmtId="0" fontId="64" fillId="0" borderId="177" applyNumberFormat="0" applyFill="0" applyAlignment="0" applyProtection="0"/>
    <xf numFmtId="0" fontId="52" fillId="19" borderId="143" applyNumberFormat="0" applyAlignment="0" applyProtection="0"/>
    <xf numFmtId="0" fontId="62" fillId="19" borderId="144" applyNumberFormat="0" applyAlignment="0" applyProtection="0"/>
    <xf numFmtId="0" fontId="59" fillId="10" borderId="143" applyNumberFormat="0" applyAlignment="0" applyProtection="0"/>
    <xf numFmtId="0" fontId="52" fillId="19" borderId="143" applyNumberFormat="0" applyAlignment="0" applyProtection="0"/>
    <xf numFmtId="0" fontId="52" fillId="19" borderId="143" applyNumberFormat="0" applyAlignment="0" applyProtection="0"/>
    <xf numFmtId="0" fontId="59" fillId="10" borderId="143" applyNumberFormat="0" applyAlignment="0" applyProtection="0"/>
    <xf numFmtId="0" fontId="22" fillId="7" borderId="187" applyNumberFormat="0" applyFont="0" applyAlignment="0" applyProtection="0"/>
    <xf numFmtId="0" fontId="59" fillId="10" borderId="143" applyNumberFormat="0" applyAlignment="0" applyProtection="0"/>
    <xf numFmtId="0" fontId="52" fillId="19" borderId="143" applyNumberFormat="0" applyAlignment="0" applyProtection="0"/>
    <xf numFmtId="0" fontId="52" fillId="19" borderId="166" applyNumberFormat="0" applyAlignment="0" applyProtection="0"/>
    <xf numFmtId="0" fontId="62" fillId="19" borderId="144" applyNumberFormat="0" applyAlignment="0" applyProtection="0"/>
    <xf numFmtId="0" fontId="64" fillId="0" borderId="145" applyNumberFormat="0" applyFill="0" applyAlignment="0" applyProtection="0"/>
    <xf numFmtId="0" fontId="62" fillId="19" borderId="144" applyNumberFormat="0" applyAlignment="0" applyProtection="0"/>
    <xf numFmtId="0" fontId="62" fillId="19" borderId="144" applyNumberFormat="0" applyAlignment="0" applyProtection="0"/>
    <xf numFmtId="0" fontId="59" fillId="10" borderId="143" applyNumberFormat="0" applyAlignment="0" applyProtection="0"/>
    <xf numFmtId="0" fontId="59" fillId="10" borderId="162" applyNumberFormat="0" applyAlignment="0" applyProtection="0"/>
    <xf numFmtId="0" fontId="62" fillId="19" borderId="144" applyNumberFormat="0" applyAlignment="0" applyProtection="0"/>
    <xf numFmtId="0" fontId="64" fillId="0" borderId="145" applyNumberFormat="0" applyFill="0" applyAlignment="0" applyProtection="0"/>
    <xf numFmtId="0" fontId="64" fillId="0" borderId="145" applyNumberFormat="0" applyFill="0" applyAlignment="0" applyProtection="0"/>
    <xf numFmtId="0" fontId="64" fillId="0" borderId="145" applyNumberFormat="0" applyFill="0" applyAlignment="0" applyProtection="0"/>
    <xf numFmtId="0" fontId="59" fillId="10" borderId="143" applyNumberFormat="0" applyAlignment="0" applyProtection="0"/>
    <xf numFmtId="0" fontId="62" fillId="19" borderId="144" applyNumberFormat="0" applyAlignment="0" applyProtection="0"/>
    <xf numFmtId="0" fontId="64" fillId="0" borderId="145" applyNumberFormat="0" applyFill="0" applyAlignment="0" applyProtection="0"/>
    <xf numFmtId="0" fontId="62" fillId="19" borderId="144" applyNumberFormat="0" applyAlignment="0" applyProtection="0"/>
    <xf numFmtId="0" fontId="59" fillId="10" borderId="143" applyNumberFormat="0" applyAlignment="0" applyProtection="0"/>
    <xf numFmtId="0" fontId="64" fillId="0" borderId="177" applyNumberFormat="0" applyFill="0" applyAlignment="0" applyProtection="0"/>
    <xf numFmtId="0" fontId="64" fillId="0" borderId="145" applyNumberFormat="0" applyFill="0" applyAlignment="0" applyProtection="0"/>
    <xf numFmtId="0" fontId="64" fillId="0" borderId="145" applyNumberFormat="0" applyFill="0" applyAlignment="0" applyProtection="0"/>
    <xf numFmtId="0" fontId="52" fillId="19" borderId="143" applyNumberFormat="0" applyAlignment="0" applyProtection="0"/>
    <xf numFmtId="0" fontId="59" fillId="10" borderId="143" applyNumberFormat="0" applyAlignment="0" applyProtection="0"/>
    <xf numFmtId="0" fontId="52" fillId="19" borderId="143" applyNumberFormat="0" applyAlignment="0" applyProtection="0"/>
    <xf numFmtId="0" fontId="52" fillId="19" borderId="143" applyNumberFormat="0" applyAlignment="0" applyProtection="0"/>
    <xf numFmtId="0" fontId="5" fillId="0" borderId="0"/>
    <xf numFmtId="0" fontId="5" fillId="0" borderId="0"/>
    <xf numFmtId="44" fontId="5"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22" fillId="7" borderId="171" applyNumberFormat="0" applyFont="0" applyAlignment="0" applyProtection="0"/>
    <xf numFmtId="0" fontId="59" fillId="10" borderId="150" applyNumberFormat="0" applyAlignment="0" applyProtection="0"/>
    <xf numFmtId="0" fontId="64" fillId="0" borderId="193" applyNumberFormat="0" applyFill="0" applyAlignment="0" applyProtection="0"/>
    <xf numFmtId="44" fontId="5" fillId="0" borderId="0" applyFont="0" applyFill="0" applyBorder="0" applyAlignment="0" applyProtection="0"/>
    <xf numFmtId="0" fontId="59" fillId="10" borderId="178"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8" fontId="31" fillId="0" borderId="0" applyFont="0" applyFill="0" applyBorder="0" applyAlignment="0" applyProtection="0"/>
    <xf numFmtId="44" fontId="14" fillId="0" borderId="0" applyFont="0" applyFill="0" applyBorder="0" applyAlignment="0" applyProtection="0"/>
    <xf numFmtId="0" fontId="52" fillId="19" borderId="143" applyNumberFormat="0" applyAlignment="0" applyProtection="0"/>
    <xf numFmtId="0" fontId="59" fillId="10" borderId="143" applyNumberFormat="0" applyAlignment="0" applyProtection="0"/>
    <xf numFmtId="0" fontId="62" fillId="19" borderId="144" applyNumberFormat="0" applyAlignment="0" applyProtection="0"/>
    <xf numFmtId="0" fontId="64" fillId="0" borderId="145" applyNumberFormat="0" applyFill="0" applyAlignment="0" applyProtection="0"/>
    <xf numFmtId="0" fontId="22" fillId="7" borderId="183" applyNumberFormat="0" applyFont="0" applyAlignment="0" applyProtection="0"/>
    <xf numFmtId="0" fontId="52" fillId="19" borderId="143" applyNumberFormat="0" applyAlignment="0" applyProtection="0"/>
    <xf numFmtId="0" fontId="62" fillId="19" borderId="144" applyNumberFormat="0" applyAlignment="0" applyProtection="0"/>
    <xf numFmtId="0" fontId="59" fillId="10" borderId="143" applyNumberFormat="0" applyAlignment="0" applyProtection="0"/>
    <xf numFmtId="0" fontId="52" fillId="19" borderId="143" applyNumberFormat="0" applyAlignment="0" applyProtection="0"/>
    <xf numFmtId="0" fontId="52" fillId="19" borderId="143" applyNumberFormat="0" applyAlignment="0" applyProtection="0"/>
    <xf numFmtId="0" fontId="59" fillId="10" borderId="143" applyNumberFormat="0" applyAlignment="0" applyProtection="0"/>
    <xf numFmtId="0" fontId="59" fillId="10" borderId="143" applyNumberFormat="0" applyAlignment="0" applyProtection="0"/>
    <xf numFmtId="0" fontId="52" fillId="19" borderId="143" applyNumberFormat="0" applyAlignment="0" applyProtection="0"/>
    <xf numFmtId="0" fontId="62" fillId="19" borderId="144" applyNumberFormat="0" applyAlignment="0" applyProtection="0"/>
    <xf numFmtId="0" fontId="64" fillId="0" borderId="145" applyNumberFormat="0" applyFill="0" applyAlignment="0" applyProtection="0"/>
    <xf numFmtId="0" fontId="62" fillId="19" borderId="144" applyNumberFormat="0" applyAlignment="0" applyProtection="0"/>
    <xf numFmtId="0" fontId="62" fillId="19" borderId="144" applyNumberFormat="0" applyAlignment="0" applyProtection="0"/>
    <xf numFmtId="0" fontId="59" fillId="10" borderId="143" applyNumberFormat="0" applyAlignment="0" applyProtection="0"/>
    <xf numFmtId="0" fontId="22" fillId="7" borderId="191" applyNumberFormat="0" applyFont="0" applyAlignment="0" applyProtection="0"/>
    <xf numFmtId="0" fontId="62" fillId="19" borderId="144" applyNumberFormat="0" applyAlignment="0" applyProtection="0"/>
    <xf numFmtId="0" fontId="64" fillId="0" borderId="145" applyNumberFormat="0" applyFill="0" applyAlignment="0" applyProtection="0"/>
    <xf numFmtId="0" fontId="64" fillId="0" borderId="145" applyNumberFormat="0" applyFill="0" applyAlignment="0" applyProtection="0"/>
    <xf numFmtId="0" fontId="64" fillId="0" borderId="145" applyNumberFormat="0" applyFill="0" applyAlignment="0" applyProtection="0"/>
    <xf numFmtId="0" fontId="59" fillId="10" borderId="170" applyNumberFormat="0" applyAlignment="0" applyProtection="0"/>
    <xf numFmtId="0" fontId="59" fillId="10" borderId="143" applyNumberFormat="0" applyAlignment="0" applyProtection="0"/>
    <xf numFmtId="0" fontId="62" fillId="19" borderId="144" applyNumberFormat="0" applyAlignment="0" applyProtection="0"/>
    <xf numFmtId="0" fontId="64" fillId="0" borderId="145" applyNumberFormat="0" applyFill="0" applyAlignment="0" applyProtection="0"/>
    <xf numFmtId="0" fontId="62" fillId="19" borderId="144" applyNumberFormat="0" applyAlignment="0" applyProtection="0"/>
    <xf numFmtId="0" fontId="59" fillId="10" borderId="143" applyNumberFormat="0" applyAlignment="0" applyProtection="0"/>
    <xf numFmtId="0" fontId="59" fillId="10" borderId="162" applyNumberFormat="0" applyAlignment="0" applyProtection="0"/>
    <xf numFmtId="0" fontId="64" fillId="0" borderId="145" applyNumberFormat="0" applyFill="0" applyAlignment="0" applyProtection="0"/>
    <xf numFmtId="0" fontId="64" fillId="0" borderId="145" applyNumberFormat="0" applyFill="0" applyAlignment="0" applyProtection="0"/>
    <xf numFmtId="0" fontId="52" fillId="19" borderId="143" applyNumberFormat="0" applyAlignment="0" applyProtection="0"/>
    <xf numFmtId="0" fontId="59" fillId="10" borderId="143" applyNumberFormat="0" applyAlignment="0" applyProtection="0"/>
    <xf numFmtId="0" fontId="52" fillId="19" borderId="143" applyNumberFormat="0" applyAlignment="0" applyProtection="0"/>
    <xf numFmtId="0" fontId="52" fillId="19" borderId="143" applyNumberFormat="0" applyAlignment="0" applyProtection="0"/>
    <xf numFmtId="44" fontId="22" fillId="0" borderId="0" applyFont="0" applyFill="0" applyBorder="0" applyAlignment="0" applyProtection="0"/>
    <xf numFmtId="0" fontId="62" fillId="19" borderId="164" applyNumberFormat="0" applyAlignment="0" applyProtection="0"/>
    <xf numFmtId="44" fontId="22" fillId="0" borderId="0" applyFont="0" applyFill="0" applyBorder="0" applyAlignment="0" applyProtection="0"/>
    <xf numFmtId="0" fontId="62" fillId="19" borderId="180" applyNumberFormat="0" applyAlignment="0" applyProtection="0"/>
    <xf numFmtId="44"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2" fillId="19" borderId="174" applyNumberFormat="0" applyAlignment="0" applyProtection="0"/>
    <xf numFmtId="44" fontId="22" fillId="0" borderId="0" applyFont="0" applyFill="0" applyBorder="0" applyAlignment="0" applyProtection="0"/>
    <xf numFmtId="43" fontId="22" fillId="0" borderId="0" applyFont="0" applyFill="0" applyBorder="0" applyAlignment="0" applyProtection="0"/>
    <xf numFmtId="0" fontId="52" fillId="19" borderId="178"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2" fillId="19" borderId="143" applyNumberFormat="0" applyAlignment="0" applyProtection="0"/>
    <xf numFmtId="44" fontId="5" fillId="0" borderId="0" applyFont="0" applyFill="0" applyBorder="0" applyAlignment="0" applyProtection="0"/>
    <xf numFmtId="0" fontId="52" fillId="19" borderId="143" applyNumberFormat="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59" fillId="10" borderId="143" applyNumberFormat="0" applyAlignment="0" applyProtection="0"/>
    <xf numFmtId="44" fontId="22" fillId="0" borderId="0" applyFont="0" applyFill="0" applyBorder="0" applyAlignment="0" applyProtection="0"/>
    <xf numFmtId="43" fontId="22" fillId="0" borderId="0" applyFont="0" applyFill="0" applyBorder="0" applyAlignment="0" applyProtection="0"/>
    <xf numFmtId="0" fontId="62" fillId="19" borderId="144" applyNumberFormat="0" applyAlignment="0" applyProtection="0"/>
    <xf numFmtId="0" fontId="64" fillId="0" borderId="145" applyNumberFormat="0" applyFill="0" applyAlignment="0" applyProtection="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22" fillId="7" borderId="163" applyNumberFormat="0" applyFont="0" applyAlignment="0" applyProtection="0"/>
    <xf numFmtId="44" fontId="5" fillId="0" borderId="0" applyFont="0" applyFill="0" applyBorder="0" applyAlignment="0" applyProtection="0"/>
    <xf numFmtId="0" fontId="52" fillId="19" borderId="150" applyNumberFormat="0" applyAlignment="0" applyProtection="0"/>
    <xf numFmtId="0" fontId="64" fillId="0" borderId="153" applyNumberFormat="0" applyFill="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64" fillId="0" borderId="181" applyNumberFormat="0" applyFill="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7" borderId="167" applyNumberFormat="0" applyFont="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8" fontId="31" fillId="0" borderId="0" applyFont="0" applyFill="0" applyBorder="0" applyAlignment="0" applyProtection="0"/>
    <xf numFmtId="44" fontId="22" fillId="0" borderId="0" applyFont="0" applyFill="0" applyBorder="0" applyAlignment="0" applyProtection="0"/>
    <xf numFmtId="44" fontId="14" fillId="0" borderId="0" applyFont="0" applyFill="0" applyBorder="0" applyAlignment="0" applyProtection="0"/>
    <xf numFmtId="0" fontId="52" fillId="19" borderId="143" applyNumberFormat="0" applyAlignment="0" applyProtection="0"/>
    <xf numFmtId="43" fontId="22" fillId="0" borderId="0" applyFont="0" applyFill="0" applyBorder="0" applyAlignment="0" applyProtection="0"/>
    <xf numFmtId="0" fontId="59" fillId="10" borderId="143" applyNumberFormat="0" applyAlignment="0" applyProtection="0"/>
    <xf numFmtId="0" fontId="62" fillId="19" borderId="144" applyNumberFormat="0" applyAlignment="0" applyProtection="0"/>
    <xf numFmtId="0" fontId="64" fillId="0" borderId="145" applyNumberFormat="0" applyFill="0" applyAlignment="0" applyProtection="0"/>
    <xf numFmtId="0" fontId="52" fillId="19" borderId="143" applyNumberFormat="0" applyAlignment="0" applyProtection="0"/>
    <xf numFmtId="0" fontId="22" fillId="7" borderId="163" applyNumberFormat="0" applyFont="0" applyAlignment="0" applyProtection="0"/>
    <xf numFmtId="0" fontId="62" fillId="19" borderId="144" applyNumberFormat="0" applyAlignment="0" applyProtection="0"/>
    <xf numFmtId="0" fontId="59" fillId="10" borderId="143" applyNumberFormat="0" applyAlignment="0" applyProtection="0"/>
    <xf numFmtId="0" fontId="52" fillId="19" borderId="143" applyNumberFormat="0" applyAlignment="0" applyProtection="0"/>
    <xf numFmtId="0" fontId="52" fillId="19" borderId="143" applyNumberFormat="0" applyAlignment="0" applyProtection="0"/>
    <xf numFmtId="0" fontId="59" fillId="10" borderId="143" applyNumberFormat="0" applyAlignment="0" applyProtection="0"/>
    <xf numFmtId="43" fontId="22" fillId="0" borderId="0" applyFont="0" applyFill="0" applyBorder="0" applyAlignment="0" applyProtection="0"/>
    <xf numFmtId="0" fontId="59" fillId="10" borderId="143" applyNumberFormat="0" applyAlignment="0" applyProtection="0"/>
    <xf numFmtId="0" fontId="52" fillId="19" borderId="143" applyNumberFormat="0" applyAlignment="0" applyProtection="0"/>
    <xf numFmtId="0" fontId="64" fillId="0" borderId="185" applyNumberFormat="0" applyFill="0" applyAlignment="0" applyProtection="0"/>
    <xf numFmtId="0" fontId="62" fillId="19" borderId="144" applyNumberFormat="0" applyAlignment="0" applyProtection="0"/>
    <xf numFmtId="0" fontId="64" fillId="0" borderId="145" applyNumberFormat="0" applyFill="0" applyAlignment="0" applyProtection="0"/>
    <xf numFmtId="0" fontId="62" fillId="19" borderId="144" applyNumberFormat="0" applyAlignment="0" applyProtection="0"/>
    <xf numFmtId="0" fontId="62" fillId="19" borderId="144" applyNumberFormat="0" applyAlignment="0" applyProtection="0"/>
    <xf numFmtId="0" fontId="59" fillId="10" borderId="143" applyNumberFormat="0" applyAlignment="0" applyProtection="0"/>
    <xf numFmtId="0" fontId="62" fillId="19" borderId="144" applyNumberFormat="0" applyAlignment="0" applyProtection="0"/>
    <xf numFmtId="0" fontId="64" fillId="0" borderId="145" applyNumberFormat="0" applyFill="0" applyAlignment="0" applyProtection="0"/>
    <xf numFmtId="0" fontId="64" fillId="0" borderId="145" applyNumberFormat="0" applyFill="0" applyAlignment="0" applyProtection="0"/>
    <xf numFmtId="0" fontId="64" fillId="0" borderId="165" applyNumberFormat="0" applyFill="0" applyAlignment="0" applyProtection="0"/>
    <xf numFmtId="0" fontId="64" fillId="0" borderId="145" applyNumberFormat="0" applyFill="0" applyAlignment="0" applyProtection="0"/>
    <xf numFmtId="0" fontId="59" fillId="10" borderId="143" applyNumberFormat="0" applyAlignment="0" applyProtection="0"/>
    <xf numFmtId="0" fontId="62" fillId="19" borderId="144" applyNumberFormat="0" applyAlignment="0" applyProtection="0"/>
    <xf numFmtId="0" fontId="64" fillId="0" borderId="145" applyNumberFormat="0" applyFill="0" applyAlignment="0" applyProtection="0"/>
    <xf numFmtId="0" fontId="62" fillId="19" borderId="144" applyNumberFormat="0" applyAlignment="0" applyProtection="0"/>
    <xf numFmtId="0" fontId="59" fillId="10" borderId="143" applyNumberFormat="0" applyAlignment="0" applyProtection="0"/>
    <xf numFmtId="0" fontId="22" fillId="7" borderId="159" applyNumberFormat="0" applyFont="0" applyAlignment="0" applyProtection="0"/>
    <xf numFmtId="0" fontId="64" fillId="0" borderId="145" applyNumberFormat="0" applyFill="0" applyAlignment="0" applyProtection="0"/>
    <xf numFmtId="0" fontId="64" fillId="0" borderId="145" applyNumberFormat="0" applyFill="0" applyAlignment="0" applyProtection="0"/>
    <xf numFmtId="0" fontId="52" fillId="19" borderId="143" applyNumberFormat="0" applyAlignment="0" applyProtection="0"/>
    <xf numFmtId="0" fontId="59" fillId="10" borderId="143" applyNumberFormat="0" applyAlignment="0" applyProtection="0"/>
    <xf numFmtId="0" fontId="52" fillId="19" borderId="143" applyNumberFormat="0" applyAlignment="0" applyProtection="0"/>
    <xf numFmtId="0" fontId="52" fillId="19" borderId="143" applyNumberFormat="0" applyAlignment="0" applyProtection="0"/>
    <xf numFmtId="44" fontId="22" fillId="0" borderId="0" applyFont="0" applyFill="0" applyBorder="0" applyAlignment="0" applyProtection="0"/>
    <xf numFmtId="0" fontId="52" fillId="19" borderId="143" applyNumberFormat="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64" fillId="0" borderId="165" applyNumberFormat="0" applyFill="0" applyAlignment="0" applyProtection="0"/>
    <xf numFmtId="43" fontId="22" fillId="0" borderId="0" applyFont="0" applyFill="0" applyBorder="0" applyAlignment="0" applyProtection="0"/>
    <xf numFmtId="0" fontId="59" fillId="10" borderId="143" applyNumberFormat="0" applyAlignment="0" applyProtection="0"/>
    <xf numFmtId="43" fontId="22" fillId="0" borderId="0" applyFont="0" applyFill="0" applyBorder="0" applyAlignment="0" applyProtection="0"/>
    <xf numFmtId="44" fontId="22" fillId="0" borderId="0" applyFont="0" applyFill="0" applyBorder="0" applyAlignment="0" applyProtection="0"/>
    <xf numFmtId="0" fontId="62" fillId="19" borderId="144" applyNumberFormat="0" applyAlignment="0" applyProtection="0"/>
    <xf numFmtId="0" fontId="64" fillId="0" borderId="145" applyNumberFormat="0" applyFill="0" applyAlignment="0" applyProtection="0"/>
    <xf numFmtId="43" fontId="22"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62" fillId="19" borderId="172" applyNumberFormat="0" applyAlignment="0" applyProtection="0"/>
    <xf numFmtId="0" fontId="59" fillId="10" borderId="170" applyNumberFormat="0" applyAlignment="0" applyProtection="0"/>
    <xf numFmtId="0" fontId="62" fillId="19" borderId="164" applyNumberFormat="0" applyAlignment="0" applyProtection="0"/>
    <xf numFmtId="44" fontId="5" fillId="0" borderId="0" applyFont="0" applyFill="0" applyBorder="0" applyAlignment="0" applyProtection="0"/>
    <xf numFmtId="0" fontId="52" fillId="19" borderId="178"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7" borderId="179" applyNumberFormat="0" applyFont="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62" fillId="19" borderId="172" applyNumberFormat="0" applyAlignment="0" applyProtection="0"/>
    <xf numFmtId="44" fontId="22"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8" fontId="31" fillId="0" borderId="0" applyFont="0" applyFill="0" applyBorder="0" applyAlignment="0" applyProtection="0"/>
    <xf numFmtId="44" fontId="22" fillId="0" borderId="0" applyFont="0" applyFill="0" applyBorder="0" applyAlignment="0" applyProtection="0"/>
    <xf numFmtId="0" fontId="52" fillId="19" borderId="170" applyNumberFormat="0" applyAlignment="0" applyProtection="0"/>
    <xf numFmtId="44" fontId="14" fillId="0" borderId="0" applyFont="0" applyFill="0" applyBorder="0" applyAlignment="0" applyProtection="0"/>
    <xf numFmtId="0" fontId="52" fillId="19" borderId="143" applyNumberFormat="0" applyAlignment="0" applyProtection="0"/>
    <xf numFmtId="0" fontId="62" fillId="19" borderId="160" applyNumberFormat="0" applyAlignment="0" applyProtection="0"/>
    <xf numFmtId="0" fontId="59" fillId="10" borderId="143" applyNumberFormat="0" applyAlignment="0" applyProtection="0"/>
    <xf numFmtId="0" fontId="64" fillId="0" borderId="177" applyNumberFormat="0" applyFill="0" applyAlignment="0" applyProtection="0"/>
    <xf numFmtId="0" fontId="62" fillId="19" borderId="144" applyNumberFormat="0" applyAlignment="0" applyProtection="0"/>
    <xf numFmtId="0" fontId="64" fillId="0" borderId="145" applyNumberFormat="0" applyFill="0" applyAlignment="0" applyProtection="0"/>
    <xf numFmtId="0" fontId="22" fillId="7" borderId="171" applyNumberFormat="0" applyFont="0" applyAlignment="0" applyProtection="0"/>
    <xf numFmtId="0" fontId="52" fillId="19" borderId="143" applyNumberFormat="0" applyAlignment="0" applyProtection="0"/>
    <xf numFmtId="0" fontId="22" fillId="7" borderId="171" applyNumberFormat="0" applyFont="0" applyAlignment="0" applyProtection="0"/>
    <xf numFmtId="0" fontId="62" fillId="19" borderId="144" applyNumberFormat="0" applyAlignment="0" applyProtection="0"/>
    <xf numFmtId="0" fontId="59" fillId="10" borderId="143" applyNumberFormat="0" applyAlignment="0" applyProtection="0"/>
    <xf numFmtId="0" fontId="52" fillId="19" borderId="143" applyNumberFormat="0" applyAlignment="0" applyProtection="0"/>
    <xf numFmtId="0" fontId="52" fillId="19" borderId="143" applyNumberFormat="0" applyAlignment="0" applyProtection="0"/>
    <xf numFmtId="0" fontId="59" fillId="10" borderId="143" applyNumberFormat="0" applyAlignment="0" applyProtection="0"/>
    <xf numFmtId="0" fontId="59" fillId="10" borderId="143" applyNumberFormat="0" applyAlignment="0" applyProtection="0"/>
    <xf numFmtId="0" fontId="52" fillId="19" borderId="143" applyNumberFormat="0" applyAlignment="0" applyProtection="0"/>
    <xf numFmtId="0" fontId="59" fillId="10" borderId="162" applyNumberFormat="0" applyAlignment="0" applyProtection="0"/>
    <xf numFmtId="0" fontId="62" fillId="19" borderId="144" applyNumberFormat="0" applyAlignment="0" applyProtection="0"/>
    <xf numFmtId="0" fontId="64" fillId="0" borderId="145" applyNumberFormat="0" applyFill="0" applyAlignment="0" applyProtection="0"/>
    <xf numFmtId="0" fontId="62" fillId="19" borderId="144" applyNumberFormat="0" applyAlignment="0" applyProtection="0"/>
    <xf numFmtId="0" fontId="62" fillId="19" borderId="144" applyNumberFormat="0" applyAlignment="0" applyProtection="0"/>
    <xf numFmtId="0" fontId="59" fillId="10" borderId="143" applyNumberFormat="0" applyAlignment="0" applyProtection="0"/>
    <xf numFmtId="0" fontId="62" fillId="19" borderId="144" applyNumberFormat="0" applyAlignment="0" applyProtection="0"/>
    <xf numFmtId="0" fontId="64" fillId="0" borderId="145" applyNumberFormat="0" applyFill="0" applyAlignment="0" applyProtection="0"/>
    <xf numFmtId="0" fontId="64" fillId="0" borderId="145" applyNumberFormat="0" applyFill="0" applyAlignment="0" applyProtection="0"/>
    <xf numFmtId="0" fontId="62" fillId="19" borderId="184" applyNumberFormat="0" applyAlignment="0" applyProtection="0"/>
    <xf numFmtId="0" fontId="64" fillId="0" borderId="145" applyNumberFormat="0" applyFill="0" applyAlignment="0" applyProtection="0"/>
    <xf numFmtId="0" fontId="59" fillId="10" borderId="143" applyNumberFormat="0" applyAlignment="0" applyProtection="0"/>
    <xf numFmtId="0" fontId="62" fillId="19" borderId="144" applyNumberFormat="0" applyAlignment="0" applyProtection="0"/>
    <xf numFmtId="0" fontId="64" fillId="0" borderId="145" applyNumberFormat="0" applyFill="0" applyAlignment="0" applyProtection="0"/>
    <xf numFmtId="0" fontId="62" fillId="19" borderId="144" applyNumberFormat="0" applyAlignment="0" applyProtection="0"/>
    <xf numFmtId="0" fontId="59" fillId="10" borderId="143" applyNumberFormat="0" applyAlignment="0" applyProtection="0"/>
    <xf numFmtId="0" fontId="64" fillId="0" borderId="145" applyNumberFormat="0" applyFill="0" applyAlignment="0" applyProtection="0"/>
    <xf numFmtId="0" fontId="64" fillId="0" borderId="145" applyNumberFormat="0" applyFill="0" applyAlignment="0" applyProtection="0"/>
    <xf numFmtId="0" fontId="52" fillId="19" borderId="143" applyNumberFormat="0" applyAlignment="0" applyProtection="0"/>
    <xf numFmtId="0" fontId="59" fillId="10" borderId="143" applyNumberFormat="0" applyAlignment="0" applyProtection="0"/>
    <xf numFmtId="0" fontId="52" fillId="19" borderId="143" applyNumberFormat="0" applyAlignment="0" applyProtection="0"/>
    <xf numFmtId="0" fontId="52" fillId="19" borderId="143" applyNumberFormat="0" applyAlignment="0" applyProtection="0"/>
    <xf numFmtId="0" fontId="52" fillId="19" borderId="143"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0" fontId="62" fillId="19" borderId="160" applyNumberFormat="0" applyAlignment="0" applyProtection="0"/>
    <xf numFmtId="43" fontId="5" fillId="0" borderId="0" applyFont="0" applyFill="0" applyBorder="0" applyAlignment="0" applyProtection="0"/>
    <xf numFmtId="0" fontId="59" fillId="10" borderId="143" applyNumberFormat="0" applyAlignment="0" applyProtection="0"/>
    <xf numFmtId="0" fontId="62" fillId="19" borderId="144" applyNumberFormat="0" applyAlignment="0" applyProtection="0"/>
    <xf numFmtId="0" fontId="62" fillId="19" borderId="168" applyNumberFormat="0" applyAlignment="0" applyProtection="0"/>
    <xf numFmtId="0" fontId="64" fillId="0" borderId="145" applyNumberFormat="0" applyFill="0" applyAlignment="0" applyProtection="0"/>
    <xf numFmtId="0" fontId="5" fillId="0" borderId="0"/>
    <xf numFmtId="0" fontId="5" fillId="0" borderId="0"/>
    <xf numFmtId="44" fontId="5"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64" fillId="0" borderId="173" applyNumberFormat="0" applyFill="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22" fillId="7" borderId="191" applyNumberFormat="0" applyFont="0" applyAlignment="0" applyProtection="0"/>
    <xf numFmtId="0" fontId="59" fillId="10" borderId="182" applyNumberFormat="0" applyAlignment="0" applyProtection="0"/>
    <xf numFmtId="44" fontId="5" fillId="0" borderId="0" applyFont="0" applyFill="0" applyBorder="0" applyAlignment="0" applyProtection="0"/>
    <xf numFmtId="0" fontId="62" fillId="19" borderId="152"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0" fontId="59" fillId="10" borderId="178"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8" fontId="31" fillId="0" borderId="0" applyFont="0" applyFill="0" applyBorder="0" applyAlignment="0" applyProtection="0"/>
    <xf numFmtId="44" fontId="22" fillId="0" borderId="0" applyFont="0" applyFill="0" applyBorder="0" applyAlignment="0" applyProtection="0"/>
    <xf numFmtId="0" fontId="59" fillId="10" borderId="182" applyNumberFormat="0" applyAlignment="0" applyProtection="0"/>
    <xf numFmtId="44" fontId="14" fillId="0" borderId="0" applyFont="0" applyFill="0" applyBorder="0" applyAlignment="0" applyProtection="0"/>
    <xf numFmtId="0" fontId="52" fillId="19" borderId="143" applyNumberFormat="0" applyAlignment="0" applyProtection="0"/>
    <xf numFmtId="0" fontId="62" fillId="19" borderId="180" applyNumberFormat="0" applyAlignment="0" applyProtection="0"/>
    <xf numFmtId="0" fontId="59" fillId="10" borderId="143" applyNumberFormat="0" applyAlignment="0" applyProtection="0"/>
    <xf numFmtId="0" fontId="62" fillId="19" borderId="144" applyNumberFormat="0" applyAlignment="0" applyProtection="0"/>
    <xf numFmtId="0" fontId="64" fillId="0" borderId="145" applyNumberFormat="0" applyFill="0" applyAlignment="0" applyProtection="0"/>
    <xf numFmtId="0" fontId="59" fillId="10" borderId="170" applyNumberFormat="0" applyAlignment="0" applyProtection="0"/>
    <xf numFmtId="0" fontId="52" fillId="19" borderId="143" applyNumberFormat="0" applyAlignment="0" applyProtection="0"/>
    <xf numFmtId="0" fontId="62" fillId="19" borderId="144" applyNumberFormat="0" applyAlignment="0" applyProtection="0"/>
    <xf numFmtId="0" fontId="59" fillId="10" borderId="143" applyNumberFormat="0" applyAlignment="0" applyProtection="0"/>
    <xf numFmtId="0" fontId="52" fillId="19" borderId="143" applyNumberFormat="0" applyAlignment="0" applyProtection="0"/>
    <xf numFmtId="0" fontId="52" fillId="19" borderId="143" applyNumberFormat="0" applyAlignment="0" applyProtection="0"/>
    <xf numFmtId="0" fontId="59" fillId="10" borderId="143" applyNumberFormat="0" applyAlignment="0" applyProtection="0"/>
    <xf numFmtId="0" fontId="59" fillId="10" borderId="162" applyNumberFormat="0" applyAlignment="0" applyProtection="0"/>
    <xf numFmtId="0" fontId="59" fillId="10" borderId="143" applyNumberFormat="0" applyAlignment="0" applyProtection="0"/>
    <xf numFmtId="0" fontId="52" fillId="19" borderId="143" applyNumberFormat="0" applyAlignment="0" applyProtection="0"/>
    <xf numFmtId="0" fontId="22" fillId="7" borderId="171" applyNumberFormat="0" applyFont="0" applyAlignment="0" applyProtection="0"/>
    <xf numFmtId="0" fontId="62" fillId="19" borderId="144" applyNumberFormat="0" applyAlignment="0" applyProtection="0"/>
    <xf numFmtId="0" fontId="64" fillId="0" borderId="145" applyNumberFormat="0" applyFill="0" applyAlignment="0" applyProtection="0"/>
    <xf numFmtId="0" fontId="62" fillId="19" borderId="144" applyNumberFormat="0" applyAlignment="0" applyProtection="0"/>
    <xf numFmtId="0" fontId="62" fillId="19" borderId="144" applyNumberFormat="0" applyAlignment="0" applyProtection="0"/>
    <xf numFmtId="0" fontId="59" fillId="10" borderId="143" applyNumberFormat="0" applyAlignment="0" applyProtection="0"/>
    <xf numFmtId="0" fontId="22" fillId="7" borderId="179" applyNumberFormat="0" applyFont="0" applyAlignment="0" applyProtection="0"/>
    <xf numFmtId="0" fontId="62" fillId="19" borderId="144" applyNumberFormat="0" applyAlignment="0" applyProtection="0"/>
    <xf numFmtId="0" fontId="64" fillId="0" borderId="145" applyNumberFormat="0" applyFill="0" applyAlignment="0" applyProtection="0"/>
    <xf numFmtId="0" fontId="64" fillId="0" borderId="145" applyNumberFormat="0" applyFill="0" applyAlignment="0" applyProtection="0"/>
    <xf numFmtId="0" fontId="59" fillId="10" borderId="162" applyNumberFormat="0" applyAlignment="0" applyProtection="0"/>
    <xf numFmtId="0" fontId="64" fillId="0" borderId="145" applyNumberFormat="0" applyFill="0" applyAlignment="0" applyProtection="0"/>
    <xf numFmtId="0" fontId="59" fillId="10" borderId="143" applyNumberFormat="0" applyAlignment="0" applyProtection="0"/>
    <xf numFmtId="0" fontId="62" fillId="19" borderId="144" applyNumberFormat="0" applyAlignment="0" applyProtection="0"/>
    <xf numFmtId="0" fontId="64" fillId="0" borderId="145" applyNumberFormat="0" applyFill="0" applyAlignment="0" applyProtection="0"/>
    <xf numFmtId="0" fontId="62" fillId="19" borderId="144" applyNumberFormat="0" applyAlignment="0" applyProtection="0"/>
    <xf numFmtId="0" fontId="59" fillId="10" borderId="143" applyNumberFormat="0" applyAlignment="0" applyProtection="0"/>
    <xf numFmtId="0" fontId="59" fillId="10" borderId="170" applyNumberFormat="0" applyAlignment="0" applyProtection="0"/>
    <xf numFmtId="0" fontId="64" fillId="0" borderId="145" applyNumberFormat="0" applyFill="0" applyAlignment="0" applyProtection="0"/>
    <xf numFmtId="0" fontId="64" fillId="0" borderId="145" applyNumberFormat="0" applyFill="0" applyAlignment="0" applyProtection="0"/>
    <xf numFmtId="0" fontId="52" fillId="19" borderId="143" applyNumberFormat="0" applyAlignment="0" applyProtection="0"/>
    <xf numFmtId="0" fontId="59" fillId="10" borderId="143" applyNumberFormat="0" applyAlignment="0" applyProtection="0"/>
    <xf numFmtId="0" fontId="52" fillId="19" borderId="143" applyNumberFormat="0" applyAlignment="0" applyProtection="0"/>
    <xf numFmtId="0" fontId="52" fillId="19" borderId="143" applyNumberFormat="0" applyAlignment="0" applyProtection="0"/>
    <xf numFmtId="0" fontId="59" fillId="10" borderId="143" applyNumberFormat="0" applyAlignment="0" applyProtection="0"/>
    <xf numFmtId="0" fontId="62" fillId="19" borderId="144" applyNumberFormat="0" applyAlignment="0" applyProtection="0"/>
    <xf numFmtId="0" fontId="64" fillId="0" borderId="145" applyNumberFormat="0" applyFill="0" applyAlignment="0" applyProtection="0"/>
    <xf numFmtId="0" fontId="5" fillId="0" borderId="0"/>
    <xf numFmtId="0" fontId="5" fillId="0" borderId="0"/>
    <xf numFmtId="44" fontId="5"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22" fillId="7" borderId="163" applyNumberFormat="0" applyFont="0" applyAlignment="0" applyProtection="0"/>
    <xf numFmtId="44" fontId="5" fillId="0" borderId="0" applyFont="0" applyFill="0" applyBorder="0" applyAlignment="0" applyProtection="0"/>
    <xf numFmtId="0" fontId="22" fillId="7" borderId="163" applyNumberFormat="0" applyFont="0" applyAlignment="0" applyProtection="0"/>
    <xf numFmtId="0" fontId="22" fillId="7" borderId="151" applyNumberFormat="0" applyFon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8" fontId="31" fillId="0" borderId="0" applyFont="0" applyFill="0" applyBorder="0" applyAlignment="0" applyProtection="0"/>
    <xf numFmtId="0" fontId="59" fillId="10" borderId="162" applyNumberFormat="0" applyAlignment="0" applyProtection="0"/>
    <xf numFmtId="44" fontId="14" fillId="0" borderId="0" applyFont="0" applyFill="0" applyBorder="0" applyAlignment="0" applyProtection="0"/>
    <xf numFmtId="0" fontId="52" fillId="19" borderId="143" applyNumberFormat="0" applyAlignment="0" applyProtection="0"/>
    <xf numFmtId="0" fontId="64" fillId="0" borderId="165" applyNumberFormat="0" applyFill="0" applyAlignment="0" applyProtection="0"/>
    <xf numFmtId="0" fontId="59" fillId="10" borderId="143" applyNumberFormat="0" applyAlignment="0" applyProtection="0"/>
    <xf numFmtId="0" fontId="62" fillId="19" borderId="164" applyNumberFormat="0" applyAlignment="0" applyProtection="0"/>
    <xf numFmtId="0" fontId="62" fillId="19" borderId="144" applyNumberFormat="0" applyAlignment="0" applyProtection="0"/>
    <xf numFmtId="0" fontId="64" fillId="0" borderId="145" applyNumberFormat="0" applyFill="0" applyAlignment="0" applyProtection="0"/>
    <xf numFmtId="0" fontId="52" fillId="19" borderId="143" applyNumberFormat="0" applyAlignment="0" applyProtection="0"/>
    <xf numFmtId="0" fontId="62" fillId="19" borderId="144" applyNumberFormat="0" applyAlignment="0" applyProtection="0"/>
    <xf numFmtId="0" fontId="59" fillId="10" borderId="143" applyNumberFormat="0" applyAlignment="0" applyProtection="0"/>
    <xf numFmtId="0" fontId="52" fillId="19" borderId="143" applyNumberFormat="0" applyAlignment="0" applyProtection="0"/>
    <xf numFmtId="0" fontId="52" fillId="19" borderId="143" applyNumberFormat="0" applyAlignment="0" applyProtection="0"/>
    <xf numFmtId="0" fontId="59" fillId="10" borderId="143" applyNumberFormat="0" applyAlignment="0" applyProtection="0"/>
    <xf numFmtId="0" fontId="52" fillId="19" borderId="158" applyNumberFormat="0" applyAlignment="0" applyProtection="0"/>
    <xf numFmtId="0" fontId="59" fillId="10" borderId="143" applyNumberFormat="0" applyAlignment="0" applyProtection="0"/>
    <xf numFmtId="0" fontId="52" fillId="19" borderId="143" applyNumberFormat="0" applyAlignment="0" applyProtection="0"/>
    <xf numFmtId="0" fontId="59" fillId="10" borderId="190" applyNumberFormat="0" applyAlignment="0" applyProtection="0"/>
    <xf numFmtId="0" fontId="62" fillId="19" borderId="144" applyNumberFormat="0" applyAlignment="0" applyProtection="0"/>
    <xf numFmtId="0" fontId="64" fillId="0" borderId="145" applyNumberFormat="0" applyFill="0" applyAlignment="0" applyProtection="0"/>
    <xf numFmtId="0" fontId="62" fillId="19" borderId="144" applyNumberFormat="0" applyAlignment="0" applyProtection="0"/>
    <xf numFmtId="0" fontId="62" fillId="19" borderId="144" applyNumberFormat="0" applyAlignment="0" applyProtection="0"/>
    <xf numFmtId="0" fontId="59" fillId="10" borderId="143" applyNumberFormat="0" applyAlignment="0" applyProtection="0"/>
    <xf numFmtId="0" fontId="64" fillId="0" borderId="161" applyNumberFormat="0" applyFill="0" applyAlignment="0" applyProtection="0"/>
    <xf numFmtId="0" fontId="62" fillId="19" borderId="144" applyNumberFormat="0" applyAlignment="0" applyProtection="0"/>
    <xf numFmtId="0" fontId="64" fillId="0" borderId="145" applyNumberFormat="0" applyFill="0" applyAlignment="0" applyProtection="0"/>
    <xf numFmtId="0" fontId="64" fillId="0" borderId="145" applyNumberFormat="0" applyFill="0" applyAlignment="0" applyProtection="0"/>
    <xf numFmtId="0" fontId="64" fillId="0" borderId="161" applyNumberFormat="0" applyFill="0" applyAlignment="0" applyProtection="0"/>
    <xf numFmtId="0" fontId="64" fillId="0" borderId="145" applyNumberFormat="0" applyFill="0" applyAlignment="0" applyProtection="0"/>
    <xf numFmtId="0" fontId="64" fillId="0" borderId="173" applyNumberFormat="0" applyFill="0" applyAlignment="0" applyProtection="0"/>
    <xf numFmtId="0" fontId="59" fillId="10" borderId="143" applyNumberFormat="0" applyAlignment="0" applyProtection="0"/>
    <xf numFmtId="0" fontId="62" fillId="19" borderId="144" applyNumberFormat="0" applyAlignment="0" applyProtection="0"/>
    <xf numFmtId="0" fontId="64" fillId="0" borderId="145" applyNumberFormat="0" applyFill="0" applyAlignment="0" applyProtection="0"/>
    <xf numFmtId="0" fontId="62" fillId="19" borderId="144" applyNumberFormat="0" applyAlignment="0" applyProtection="0"/>
    <xf numFmtId="0" fontId="59" fillId="10" borderId="143" applyNumberFormat="0" applyAlignment="0" applyProtection="0"/>
    <xf numFmtId="0" fontId="64" fillId="0" borderId="145" applyNumberFormat="0" applyFill="0" applyAlignment="0" applyProtection="0"/>
    <xf numFmtId="0" fontId="64" fillId="0" borderId="145" applyNumberFormat="0" applyFill="0" applyAlignment="0" applyProtection="0"/>
    <xf numFmtId="0" fontId="52" fillId="19" borderId="143" applyNumberFormat="0" applyAlignment="0" applyProtection="0"/>
    <xf numFmtId="0" fontId="59" fillId="10" borderId="143" applyNumberFormat="0" applyAlignment="0" applyProtection="0"/>
    <xf numFmtId="0" fontId="52" fillId="19" borderId="143" applyNumberFormat="0" applyAlignment="0" applyProtection="0"/>
    <xf numFmtId="0" fontId="52" fillId="19" borderId="143" applyNumberFormat="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0" fontId="62" fillId="19" borderId="144" applyNumberFormat="0" applyAlignment="0" applyProtection="0"/>
    <xf numFmtId="0" fontId="5" fillId="0" borderId="0"/>
    <xf numFmtId="44" fontId="5" fillId="0" borderId="0" applyFont="0" applyFill="0" applyBorder="0" applyAlignment="0" applyProtection="0"/>
    <xf numFmtId="0" fontId="59" fillId="10" borderId="143" applyNumberFormat="0" applyAlignment="0" applyProtection="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2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14"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64" fillId="0" borderId="145" applyNumberFormat="0" applyFill="0" applyAlignment="0" applyProtection="0"/>
    <xf numFmtId="0" fontId="52" fillId="19" borderId="143" applyNumberFormat="0" applyAlignment="0" applyProtection="0"/>
    <xf numFmtId="0" fontId="52" fillId="19" borderId="143" applyNumberFormat="0" applyAlignment="0" applyProtection="0"/>
    <xf numFmtId="0" fontId="59" fillId="10" borderId="143" applyNumberFormat="0" applyAlignment="0" applyProtection="0"/>
    <xf numFmtId="0" fontId="64" fillId="0" borderId="193" applyNumberFormat="0" applyFill="0" applyAlignment="0" applyProtection="0"/>
    <xf numFmtId="0" fontId="64" fillId="0" borderId="145" applyNumberFormat="0" applyFill="0" applyAlignment="0" applyProtection="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4" fontId="14" fillId="0" borderId="0" applyFont="0" applyFill="0" applyBorder="0" applyAlignment="0" applyProtection="0"/>
    <xf numFmtId="9" fontId="22" fillId="0" borderId="0" applyFont="0" applyFill="0" applyBorder="0" applyAlignment="0" applyProtection="0"/>
    <xf numFmtId="0" fontId="22" fillId="0" borderId="0"/>
    <xf numFmtId="0" fontId="62" fillId="19" borderId="168" applyNumberFormat="0" applyAlignment="0" applyProtection="0"/>
    <xf numFmtId="43" fontId="22" fillId="0" borderId="0" applyFont="0" applyFill="0" applyBorder="0" applyAlignment="0" applyProtection="0"/>
    <xf numFmtId="44" fontId="22"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2" fillId="19" borderId="146" applyNumberFormat="0" applyAlignment="0" applyProtection="0"/>
    <xf numFmtId="0" fontId="59" fillId="10" borderId="146" applyNumberFormat="0" applyAlignment="0" applyProtection="0"/>
    <xf numFmtId="0" fontId="22" fillId="7" borderId="147" applyNumberFormat="0" applyFont="0" applyAlignment="0" applyProtection="0"/>
    <xf numFmtId="0" fontId="62" fillId="19" borderId="148" applyNumberFormat="0" applyAlignment="0" applyProtection="0"/>
    <xf numFmtId="0" fontId="64" fillId="0" borderId="149" applyNumberFormat="0" applyFill="0" applyAlignment="0" applyProtection="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52" fillId="19" borderId="146" applyNumberFormat="0" applyAlignment="0" applyProtection="0"/>
    <xf numFmtId="0" fontId="59" fillId="10" borderId="146" applyNumberFormat="0" applyAlignment="0" applyProtection="0"/>
    <xf numFmtId="0" fontId="22" fillId="7" borderId="147" applyNumberFormat="0" applyFont="0" applyAlignment="0" applyProtection="0"/>
    <xf numFmtId="0" fontId="62" fillId="19" borderId="148" applyNumberFormat="0" applyAlignment="0" applyProtection="0"/>
    <xf numFmtId="0" fontId="64" fillId="0" borderId="149" applyNumberFormat="0" applyFill="0" applyAlignment="0" applyProtection="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2" fillId="19" borderId="146" applyNumberFormat="0" applyAlignment="0" applyProtection="0"/>
    <xf numFmtId="0" fontId="59" fillId="10" borderId="146" applyNumberFormat="0" applyAlignment="0" applyProtection="0"/>
    <xf numFmtId="0" fontId="22" fillId="7" borderId="147" applyNumberFormat="0" applyFont="0" applyAlignment="0" applyProtection="0"/>
    <xf numFmtId="0" fontId="62" fillId="19" borderId="148" applyNumberFormat="0" applyAlignment="0" applyProtection="0"/>
    <xf numFmtId="0" fontId="64" fillId="0" borderId="149" applyNumberFormat="0" applyFill="0" applyAlignment="0" applyProtection="0"/>
    <xf numFmtId="0" fontId="22" fillId="7" borderId="147" applyNumberFormat="0" applyFont="0" applyAlignment="0" applyProtection="0"/>
    <xf numFmtId="0" fontId="52" fillId="19" borderId="146" applyNumberFormat="0" applyAlignment="0" applyProtection="0"/>
    <xf numFmtId="0" fontId="62" fillId="19" borderId="148" applyNumberFormat="0" applyAlignment="0" applyProtection="0"/>
    <xf numFmtId="0" fontId="59" fillId="10" borderId="146" applyNumberFormat="0" applyAlignment="0" applyProtection="0"/>
    <xf numFmtId="0" fontId="52" fillId="19" borderId="146" applyNumberFormat="0" applyAlignment="0" applyProtection="0"/>
    <xf numFmtId="0" fontId="52" fillId="19" borderId="146" applyNumberFormat="0" applyAlignment="0" applyProtection="0"/>
    <xf numFmtId="0" fontId="59" fillId="10" borderId="146" applyNumberFormat="0" applyAlignment="0" applyProtection="0"/>
    <xf numFmtId="0" fontId="59" fillId="10" borderId="146" applyNumberFormat="0" applyAlignment="0" applyProtection="0"/>
    <xf numFmtId="0" fontId="52" fillId="19" borderId="146" applyNumberFormat="0" applyAlignment="0" applyProtection="0"/>
    <xf numFmtId="0" fontId="22" fillId="7" borderId="147" applyNumberFormat="0" applyFont="0" applyAlignment="0" applyProtection="0"/>
    <xf numFmtId="0" fontId="62" fillId="19" borderId="148" applyNumberFormat="0" applyAlignment="0" applyProtection="0"/>
    <xf numFmtId="0" fontId="64" fillId="0" borderId="149" applyNumberFormat="0" applyFill="0" applyAlignment="0" applyProtection="0"/>
    <xf numFmtId="0" fontId="62" fillId="19" borderId="148" applyNumberFormat="0" applyAlignment="0" applyProtection="0"/>
    <xf numFmtId="0" fontId="62" fillId="19" borderId="148" applyNumberFormat="0" applyAlignment="0" applyProtection="0"/>
    <xf numFmtId="0" fontId="59" fillId="10" borderId="146" applyNumberFormat="0" applyAlignment="0" applyProtection="0"/>
    <xf numFmtId="0" fontId="22" fillId="7" borderId="147" applyNumberFormat="0" applyFont="0" applyAlignment="0" applyProtection="0"/>
    <xf numFmtId="0" fontId="62" fillId="19" borderId="148" applyNumberFormat="0" applyAlignment="0" applyProtection="0"/>
    <xf numFmtId="0" fontId="64" fillId="0" borderId="149" applyNumberFormat="0" applyFill="0" applyAlignment="0" applyProtection="0"/>
    <xf numFmtId="0" fontId="64" fillId="0" borderId="149" applyNumberFormat="0" applyFill="0" applyAlignment="0" applyProtection="0"/>
    <xf numFmtId="0" fontId="22" fillId="7" borderId="147" applyNumberFormat="0" applyFont="0" applyAlignment="0" applyProtection="0"/>
    <xf numFmtId="0" fontId="64" fillId="0" borderId="149" applyNumberFormat="0" applyFill="0" applyAlignment="0" applyProtection="0"/>
    <xf numFmtId="0" fontId="22" fillId="7" borderId="147" applyNumberFormat="0" applyFont="0" applyAlignment="0" applyProtection="0"/>
    <xf numFmtId="0" fontId="59" fillId="10" borderId="146" applyNumberFormat="0" applyAlignment="0" applyProtection="0"/>
    <xf numFmtId="0" fontId="62" fillId="19" borderId="148" applyNumberFormat="0" applyAlignment="0" applyProtection="0"/>
    <xf numFmtId="0" fontId="64" fillId="0" borderId="149" applyNumberFormat="0" applyFill="0" applyAlignment="0" applyProtection="0"/>
    <xf numFmtId="0" fontId="62" fillId="19" borderId="148" applyNumberFormat="0" applyAlignment="0" applyProtection="0"/>
    <xf numFmtId="0" fontId="59" fillId="10" borderId="146" applyNumberFormat="0" applyAlignment="0" applyProtection="0"/>
    <xf numFmtId="0" fontId="22" fillId="7" borderId="147" applyNumberFormat="0" applyFont="0" applyAlignment="0" applyProtection="0"/>
    <xf numFmtId="0" fontId="22" fillId="7" borderId="147" applyNumberFormat="0" applyFont="0" applyAlignment="0" applyProtection="0"/>
    <xf numFmtId="0" fontId="64" fillId="0" borderId="149" applyNumberFormat="0" applyFill="0" applyAlignment="0" applyProtection="0"/>
    <xf numFmtId="0" fontId="64" fillId="0" borderId="149" applyNumberFormat="0" applyFill="0" applyAlignment="0" applyProtection="0"/>
    <xf numFmtId="0" fontId="52" fillId="19" borderId="146" applyNumberFormat="0" applyAlignment="0" applyProtection="0"/>
    <xf numFmtId="0" fontId="59" fillId="10" borderId="146" applyNumberFormat="0" applyAlignment="0" applyProtection="0"/>
    <xf numFmtId="0" fontId="52" fillId="19" borderId="146" applyNumberFormat="0" applyAlignment="0" applyProtection="0"/>
    <xf numFmtId="0" fontId="52" fillId="19" borderId="146" applyNumberFormat="0" applyAlignment="0" applyProtection="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2" fillId="19" borderId="146" applyNumberFormat="0" applyAlignment="0" applyProtection="0"/>
    <xf numFmtId="0" fontId="59" fillId="10" borderId="146" applyNumberFormat="0" applyAlignment="0" applyProtection="0"/>
    <xf numFmtId="0" fontId="22" fillId="7" borderId="147" applyNumberFormat="0" applyFont="0" applyAlignment="0" applyProtection="0"/>
    <xf numFmtId="0" fontId="62" fillId="19" borderId="148" applyNumberFormat="0" applyAlignment="0" applyProtection="0"/>
    <xf numFmtId="0" fontId="64" fillId="0" borderId="149" applyNumberFormat="0" applyFill="0" applyAlignment="0" applyProtection="0"/>
    <xf numFmtId="0" fontId="22" fillId="7" borderId="147" applyNumberFormat="0" applyFont="0" applyAlignment="0" applyProtection="0"/>
    <xf numFmtId="0" fontId="52" fillId="19" borderId="146" applyNumberFormat="0" applyAlignment="0" applyProtection="0"/>
    <xf numFmtId="0" fontId="62" fillId="19" borderId="148" applyNumberFormat="0" applyAlignment="0" applyProtection="0"/>
    <xf numFmtId="0" fontId="59" fillId="10" borderId="146" applyNumberFormat="0" applyAlignment="0" applyProtection="0"/>
    <xf numFmtId="0" fontId="52" fillId="19" borderId="146" applyNumberFormat="0" applyAlignment="0" applyProtection="0"/>
    <xf numFmtId="0" fontId="52" fillId="19" borderId="146" applyNumberFormat="0" applyAlignment="0" applyProtection="0"/>
    <xf numFmtId="0" fontId="59" fillId="10" borderId="146" applyNumberFormat="0" applyAlignment="0" applyProtection="0"/>
    <xf numFmtId="0" fontId="59" fillId="10" borderId="146" applyNumberFormat="0" applyAlignment="0" applyProtection="0"/>
    <xf numFmtId="0" fontId="52" fillId="19" borderId="146" applyNumberFormat="0" applyAlignment="0" applyProtection="0"/>
    <xf numFmtId="0" fontId="22" fillId="7" borderId="147" applyNumberFormat="0" applyFont="0" applyAlignment="0" applyProtection="0"/>
    <xf numFmtId="0" fontId="62" fillId="19" borderId="148" applyNumberFormat="0" applyAlignment="0" applyProtection="0"/>
    <xf numFmtId="0" fontId="64" fillId="0" borderId="149" applyNumberFormat="0" applyFill="0" applyAlignment="0" applyProtection="0"/>
    <xf numFmtId="0" fontId="62" fillId="19" borderId="148" applyNumberFormat="0" applyAlignment="0" applyProtection="0"/>
    <xf numFmtId="0" fontId="62" fillId="19" borderId="148" applyNumberFormat="0" applyAlignment="0" applyProtection="0"/>
    <xf numFmtId="0" fontId="59" fillId="10" borderId="146" applyNumberFormat="0" applyAlignment="0" applyProtection="0"/>
    <xf numFmtId="0" fontId="22" fillId="7" borderId="147" applyNumberFormat="0" applyFont="0" applyAlignment="0" applyProtection="0"/>
    <xf numFmtId="0" fontId="62" fillId="19" borderId="148" applyNumberFormat="0" applyAlignment="0" applyProtection="0"/>
    <xf numFmtId="0" fontId="64" fillId="0" borderId="149" applyNumberFormat="0" applyFill="0" applyAlignment="0" applyProtection="0"/>
    <xf numFmtId="0" fontId="64" fillId="0" borderId="149" applyNumberFormat="0" applyFill="0" applyAlignment="0" applyProtection="0"/>
    <xf numFmtId="0" fontId="22" fillId="7" borderId="147" applyNumberFormat="0" applyFont="0" applyAlignment="0" applyProtection="0"/>
    <xf numFmtId="0" fontId="64" fillId="0" borderId="149" applyNumberFormat="0" applyFill="0" applyAlignment="0" applyProtection="0"/>
    <xf numFmtId="0" fontId="22" fillId="7" borderId="147" applyNumberFormat="0" applyFont="0" applyAlignment="0" applyProtection="0"/>
    <xf numFmtId="0" fontId="59" fillId="10" borderId="146" applyNumberFormat="0" applyAlignment="0" applyProtection="0"/>
    <xf numFmtId="0" fontId="62" fillId="19" borderId="148" applyNumberFormat="0" applyAlignment="0" applyProtection="0"/>
    <xf numFmtId="0" fontId="64" fillId="0" borderId="149" applyNumberFormat="0" applyFill="0" applyAlignment="0" applyProtection="0"/>
    <xf numFmtId="0" fontId="62" fillId="19" borderId="148" applyNumberFormat="0" applyAlignment="0" applyProtection="0"/>
    <xf numFmtId="0" fontId="59" fillId="10" borderId="146" applyNumberFormat="0" applyAlignment="0" applyProtection="0"/>
    <xf numFmtId="0" fontId="22" fillId="7" borderId="147" applyNumberFormat="0" applyFont="0" applyAlignment="0" applyProtection="0"/>
    <xf numFmtId="0" fontId="22" fillId="7" borderId="147" applyNumberFormat="0" applyFont="0" applyAlignment="0" applyProtection="0"/>
    <xf numFmtId="0" fontId="64" fillId="0" borderId="149" applyNumberFormat="0" applyFill="0" applyAlignment="0" applyProtection="0"/>
    <xf numFmtId="0" fontId="64" fillId="0" borderId="149" applyNumberFormat="0" applyFill="0" applyAlignment="0" applyProtection="0"/>
    <xf numFmtId="0" fontId="52" fillId="19" borderId="146" applyNumberFormat="0" applyAlignment="0" applyProtection="0"/>
    <xf numFmtId="0" fontId="59" fillId="10" borderId="146" applyNumberFormat="0" applyAlignment="0" applyProtection="0"/>
    <xf numFmtId="0" fontId="52" fillId="19" borderId="146" applyNumberFormat="0" applyAlignment="0" applyProtection="0"/>
    <xf numFmtId="0" fontId="52" fillId="19" borderId="146" applyNumberFormat="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2" fillId="19" borderId="146" applyNumberFormat="0" applyAlignment="0" applyProtection="0"/>
    <xf numFmtId="44" fontId="5" fillId="0" borderId="0" applyFont="0" applyFill="0" applyBorder="0" applyAlignment="0" applyProtection="0"/>
    <xf numFmtId="0" fontId="52" fillId="19" borderId="146" applyNumberFormat="0" applyAlignment="0" applyProtection="0"/>
    <xf numFmtId="0" fontId="59" fillId="10" borderId="146" applyNumberFormat="0" applyAlignment="0" applyProtection="0"/>
    <xf numFmtId="0" fontId="22" fillId="7" borderId="147" applyNumberFormat="0" applyFont="0" applyAlignment="0" applyProtection="0"/>
    <xf numFmtId="0" fontId="62" fillId="19" borderId="148" applyNumberFormat="0" applyAlignment="0" applyProtection="0"/>
    <xf numFmtId="0" fontId="64" fillId="0" borderId="149" applyNumberFormat="0" applyFill="0" applyAlignment="0" applyProtection="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2" fillId="19" borderId="146" applyNumberFormat="0" applyAlignment="0" applyProtection="0"/>
    <xf numFmtId="0" fontId="59" fillId="10" borderId="146" applyNumberFormat="0" applyAlignment="0" applyProtection="0"/>
    <xf numFmtId="0" fontId="22" fillId="7" borderId="147" applyNumberFormat="0" applyFont="0" applyAlignment="0" applyProtection="0"/>
    <xf numFmtId="0" fontId="62" fillId="19" borderId="148" applyNumberFormat="0" applyAlignment="0" applyProtection="0"/>
    <xf numFmtId="0" fontId="64" fillId="0" borderId="149" applyNumberFormat="0" applyFill="0" applyAlignment="0" applyProtection="0"/>
    <xf numFmtId="0" fontId="22" fillId="7" borderId="147" applyNumberFormat="0" applyFont="0" applyAlignment="0" applyProtection="0"/>
    <xf numFmtId="0" fontId="52" fillId="19" borderId="146" applyNumberFormat="0" applyAlignment="0" applyProtection="0"/>
    <xf numFmtId="0" fontId="64" fillId="0" borderId="185" applyNumberFormat="0" applyFill="0" applyAlignment="0" applyProtection="0"/>
    <xf numFmtId="0" fontId="62" fillId="19" borderId="148" applyNumberFormat="0" applyAlignment="0" applyProtection="0"/>
    <xf numFmtId="0" fontId="59" fillId="10" borderId="146" applyNumberFormat="0" applyAlignment="0" applyProtection="0"/>
    <xf numFmtId="0" fontId="52" fillId="19" borderId="146" applyNumberFormat="0" applyAlignment="0" applyProtection="0"/>
    <xf numFmtId="0" fontId="52" fillId="19" borderId="146" applyNumberFormat="0" applyAlignment="0" applyProtection="0"/>
    <xf numFmtId="0" fontId="59" fillId="10" borderId="146" applyNumberFormat="0" applyAlignment="0" applyProtection="0"/>
    <xf numFmtId="0" fontId="59" fillId="10" borderId="146" applyNumberFormat="0" applyAlignment="0" applyProtection="0"/>
    <xf numFmtId="0" fontId="52" fillId="19" borderId="146" applyNumberFormat="0" applyAlignment="0" applyProtection="0"/>
    <xf numFmtId="0" fontId="22" fillId="7" borderId="147" applyNumberFormat="0" applyFont="0" applyAlignment="0" applyProtection="0"/>
    <xf numFmtId="0" fontId="62" fillId="19" borderId="148" applyNumberFormat="0" applyAlignment="0" applyProtection="0"/>
    <xf numFmtId="0" fontId="64" fillId="0" borderId="149" applyNumberFormat="0" applyFill="0" applyAlignment="0" applyProtection="0"/>
    <xf numFmtId="0" fontId="62" fillId="19" borderId="148" applyNumberFormat="0" applyAlignment="0" applyProtection="0"/>
    <xf numFmtId="0" fontId="62" fillId="19" borderId="148" applyNumberFormat="0" applyAlignment="0" applyProtection="0"/>
    <xf numFmtId="0" fontId="59" fillId="10" borderId="146" applyNumberFormat="0" applyAlignment="0" applyProtection="0"/>
    <xf numFmtId="0" fontId="22" fillId="7" borderId="147" applyNumberFormat="0" applyFont="0" applyAlignment="0" applyProtection="0"/>
    <xf numFmtId="0" fontId="62" fillId="19" borderId="148" applyNumberFormat="0" applyAlignment="0" applyProtection="0"/>
    <xf numFmtId="0" fontId="64" fillId="0" borderId="149" applyNumberFormat="0" applyFill="0" applyAlignment="0" applyProtection="0"/>
    <xf numFmtId="0" fontId="64" fillId="0" borderId="149" applyNumberFormat="0" applyFill="0" applyAlignment="0" applyProtection="0"/>
    <xf numFmtId="0" fontId="22" fillId="7" borderId="147" applyNumberFormat="0" applyFont="0" applyAlignment="0" applyProtection="0"/>
    <xf numFmtId="0" fontId="64" fillId="0" borderId="149" applyNumberFormat="0" applyFill="0" applyAlignment="0" applyProtection="0"/>
    <xf numFmtId="0" fontId="22" fillId="7" borderId="147" applyNumberFormat="0" applyFont="0" applyAlignment="0" applyProtection="0"/>
    <xf numFmtId="0" fontId="59" fillId="10" borderId="146" applyNumberFormat="0" applyAlignment="0" applyProtection="0"/>
    <xf numFmtId="0" fontId="62" fillId="19" borderId="148" applyNumberFormat="0" applyAlignment="0" applyProtection="0"/>
    <xf numFmtId="0" fontId="64" fillId="0" borderId="149" applyNumberFormat="0" applyFill="0" applyAlignment="0" applyProtection="0"/>
    <xf numFmtId="0" fontId="62" fillId="19" borderId="148" applyNumberFormat="0" applyAlignment="0" applyProtection="0"/>
    <xf numFmtId="0" fontId="59" fillId="10" borderId="146" applyNumberFormat="0" applyAlignment="0" applyProtection="0"/>
    <xf numFmtId="0" fontId="22" fillId="7" borderId="147" applyNumberFormat="0" applyFont="0" applyAlignment="0" applyProtection="0"/>
    <xf numFmtId="0" fontId="22" fillId="7" borderId="147" applyNumberFormat="0" applyFont="0" applyAlignment="0" applyProtection="0"/>
    <xf numFmtId="0" fontId="64" fillId="0" borderId="149" applyNumberFormat="0" applyFill="0" applyAlignment="0" applyProtection="0"/>
    <xf numFmtId="0" fontId="64" fillId="0" borderId="149" applyNumberFormat="0" applyFill="0" applyAlignment="0" applyProtection="0"/>
    <xf numFmtId="0" fontId="52" fillId="19" borderId="146" applyNumberFormat="0" applyAlignment="0" applyProtection="0"/>
    <xf numFmtId="0" fontId="59" fillId="10" borderId="146" applyNumberFormat="0" applyAlignment="0" applyProtection="0"/>
    <xf numFmtId="0" fontId="52" fillId="19" borderId="146" applyNumberFormat="0" applyAlignment="0" applyProtection="0"/>
    <xf numFmtId="0" fontId="52" fillId="19" borderId="146" applyNumberFormat="0" applyAlignment="0" applyProtection="0"/>
    <xf numFmtId="0" fontId="52" fillId="19" borderId="146" applyNumberFormat="0" applyAlignment="0" applyProtection="0"/>
    <xf numFmtId="0" fontId="52" fillId="19" borderId="162" applyNumberFormat="0" applyAlignment="0" applyProtection="0"/>
    <xf numFmtId="0" fontId="59" fillId="10" borderId="146" applyNumberFormat="0" applyAlignment="0" applyProtection="0"/>
    <xf numFmtId="0" fontId="22" fillId="7" borderId="147" applyNumberFormat="0" applyFont="0" applyAlignment="0" applyProtection="0"/>
    <xf numFmtId="0" fontId="62" fillId="19" borderId="148" applyNumberFormat="0" applyAlignment="0" applyProtection="0"/>
    <xf numFmtId="0" fontId="64" fillId="0" borderId="149" applyNumberFormat="0" applyFill="0" applyAlignment="0" applyProtection="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2" fillId="19" borderId="146" applyNumberFormat="0" applyAlignment="0" applyProtection="0"/>
    <xf numFmtId="0" fontId="62" fillId="19" borderId="192" applyNumberFormat="0" applyAlignment="0" applyProtection="0"/>
    <xf numFmtId="0" fontId="59" fillId="10" borderId="146" applyNumberFormat="0" applyAlignment="0" applyProtection="0"/>
    <xf numFmtId="0" fontId="22" fillId="7" borderId="147" applyNumberFormat="0" applyFont="0" applyAlignment="0" applyProtection="0"/>
    <xf numFmtId="0" fontId="62" fillId="19" borderId="148" applyNumberFormat="0" applyAlignment="0" applyProtection="0"/>
    <xf numFmtId="0" fontId="64" fillId="0" borderId="149" applyNumberFormat="0" applyFill="0" applyAlignment="0" applyProtection="0"/>
    <xf numFmtId="0" fontId="22" fillId="7" borderId="147" applyNumberFormat="0" applyFont="0" applyAlignment="0" applyProtection="0"/>
    <xf numFmtId="0" fontId="52" fillId="19" borderId="146" applyNumberFormat="0" applyAlignment="0" applyProtection="0"/>
    <xf numFmtId="0" fontId="52" fillId="19" borderId="162" applyNumberFormat="0" applyAlignment="0" applyProtection="0"/>
    <xf numFmtId="0" fontId="62" fillId="19" borderId="148" applyNumberFormat="0" applyAlignment="0" applyProtection="0"/>
    <xf numFmtId="0" fontId="59" fillId="10" borderId="146" applyNumberFormat="0" applyAlignment="0" applyProtection="0"/>
    <xf numFmtId="0" fontId="52" fillId="19" borderId="146" applyNumberFormat="0" applyAlignment="0" applyProtection="0"/>
    <xf numFmtId="0" fontId="52" fillId="19" borderId="146" applyNumberFormat="0" applyAlignment="0" applyProtection="0"/>
    <xf numFmtId="0" fontId="59" fillId="10" borderId="146" applyNumberFormat="0" applyAlignment="0" applyProtection="0"/>
    <xf numFmtId="0" fontId="64" fillId="0" borderId="185" applyNumberFormat="0" applyFill="0" applyAlignment="0" applyProtection="0"/>
    <xf numFmtId="0" fontId="59" fillId="10" borderId="146" applyNumberFormat="0" applyAlignment="0" applyProtection="0"/>
    <xf numFmtId="0" fontId="52" fillId="19" borderId="146" applyNumberFormat="0" applyAlignment="0" applyProtection="0"/>
    <xf numFmtId="0" fontId="22" fillId="7" borderId="147" applyNumberFormat="0" applyFont="0" applyAlignment="0" applyProtection="0"/>
    <xf numFmtId="0" fontId="62" fillId="19" borderId="148" applyNumberFormat="0" applyAlignment="0" applyProtection="0"/>
    <xf numFmtId="0" fontId="64" fillId="0" borderId="149" applyNumberFormat="0" applyFill="0" applyAlignment="0" applyProtection="0"/>
    <xf numFmtId="0" fontId="62" fillId="19" borderId="148" applyNumberFormat="0" applyAlignment="0" applyProtection="0"/>
    <xf numFmtId="0" fontId="62" fillId="19" borderId="148" applyNumberFormat="0" applyAlignment="0" applyProtection="0"/>
    <xf numFmtId="0" fontId="59" fillId="10" borderId="146" applyNumberFormat="0" applyAlignment="0" applyProtection="0"/>
    <xf numFmtId="0" fontId="22" fillId="7" borderId="147" applyNumberFormat="0" applyFont="0" applyAlignment="0" applyProtection="0"/>
    <xf numFmtId="0" fontId="62" fillId="19" borderId="148" applyNumberFormat="0" applyAlignment="0" applyProtection="0"/>
    <xf numFmtId="0" fontId="64" fillId="0" borderId="149" applyNumberFormat="0" applyFill="0" applyAlignment="0" applyProtection="0"/>
    <xf numFmtId="0" fontId="64" fillId="0" borderId="149" applyNumberFormat="0" applyFill="0" applyAlignment="0" applyProtection="0"/>
    <xf numFmtId="0" fontId="22" fillId="7" borderId="147" applyNumberFormat="0" applyFont="0" applyAlignment="0" applyProtection="0"/>
    <xf numFmtId="0" fontId="64" fillId="0" borderId="149" applyNumberFormat="0" applyFill="0" applyAlignment="0" applyProtection="0"/>
    <xf numFmtId="0" fontId="22" fillId="7" borderId="147" applyNumberFormat="0" applyFont="0" applyAlignment="0" applyProtection="0"/>
    <xf numFmtId="0" fontId="59" fillId="10" borderId="146" applyNumberFormat="0" applyAlignment="0" applyProtection="0"/>
    <xf numFmtId="0" fontId="62" fillId="19" borderId="148" applyNumberFormat="0" applyAlignment="0" applyProtection="0"/>
    <xf numFmtId="0" fontId="64" fillId="0" borderId="149" applyNumberFormat="0" applyFill="0" applyAlignment="0" applyProtection="0"/>
    <xf numFmtId="0" fontId="62" fillId="19" borderId="148" applyNumberFormat="0" applyAlignment="0" applyProtection="0"/>
    <xf numFmtId="0" fontId="59" fillId="10" borderId="146" applyNumberFormat="0" applyAlignment="0" applyProtection="0"/>
    <xf numFmtId="0" fontId="22" fillId="7" borderId="147" applyNumberFormat="0" applyFont="0" applyAlignment="0" applyProtection="0"/>
    <xf numFmtId="0" fontId="22" fillId="7" borderId="147" applyNumberFormat="0" applyFont="0" applyAlignment="0" applyProtection="0"/>
    <xf numFmtId="0" fontId="64" fillId="0" borderId="149" applyNumberFormat="0" applyFill="0" applyAlignment="0" applyProtection="0"/>
    <xf numFmtId="0" fontId="64" fillId="0" borderId="149" applyNumberFormat="0" applyFill="0" applyAlignment="0" applyProtection="0"/>
    <xf numFmtId="0" fontId="52" fillId="19" borderId="146" applyNumberFormat="0" applyAlignment="0" applyProtection="0"/>
    <xf numFmtId="0" fontId="59" fillId="10" borderId="146" applyNumberFormat="0" applyAlignment="0" applyProtection="0"/>
    <xf numFmtId="0" fontId="52" fillId="19" borderId="146" applyNumberFormat="0" applyAlignment="0" applyProtection="0"/>
    <xf numFmtId="0" fontId="52" fillId="19" borderId="146" applyNumberFormat="0" applyAlignment="0" applyProtection="0"/>
    <xf numFmtId="0" fontId="52" fillId="19" borderId="146"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59" fillId="10" borderId="146" applyNumberFormat="0" applyAlignment="0" applyProtection="0"/>
    <xf numFmtId="0" fontId="22" fillId="7" borderId="147" applyNumberFormat="0" applyFont="0" applyAlignment="0" applyProtection="0"/>
    <xf numFmtId="0" fontId="62" fillId="19" borderId="148" applyNumberFormat="0" applyAlignment="0" applyProtection="0"/>
    <xf numFmtId="0" fontId="64" fillId="0" borderId="149" applyNumberFormat="0" applyFill="0" applyAlignment="0" applyProtection="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2" fillId="19" borderId="146" applyNumberFormat="0" applyAlignment="0" applyProtection="0"/>
    <xf numFmtId="0" fontId="52" fillId="19" borderId="182" applyNumberFormat="0" applyAlignment="0" applyProtection="0"/>
    <xf numFmtId="0" fontId="59" fillId="10" borderId="146" applyNumberFormat="0" applyAlignment="0" applyProtection="0"/>
    <xf numFmtId="0" fontId="22" fillId="7" borderId="147" applyNumberFormat="0" applyFont="0" applyAlignment="0" applyProtection="0"/>
    <xf numFmtId="0" fontId="62" fillId="19" borderId="148" applyNumberFormat="0" applyAlignment="0" applyProtection="0"/>
    <xf numFmtId="0" fontId="64" fillId="0" borderId="149" applyNumberFormat="0" applyFill="0" applyAlignment="0" applyProtection="0"/>
    <xf numFmtId="0" fontId="22" fillId="7" borderId="147" applyNumberFormat="0" applyFont="0" applyAlignment="0" applyProtection="0"/>
    <xf numFmtId="0" fontId="52" fillId="19" borderId="146" applyNumberFormat="0" applyAlignment="0" applyProtection="0"/>
    <xf numFmtId="0" fontId="62" fillId="19" borderId="148" applyNumberFormat="0" applyAlignment="0" applyProtection="0"/>
    <xf numFmtId="0" fontId="59" fillId="10" borderId="146" applyNumberFormat="0" applyAlignment="0" applyProtection="0"/>
    <xf numFmtId="0" fontId="52" fillId="19" borderId="146" applyNumberFormat="0" applyAlignment="0" applyProtection="0"/>
    <xf numFmtId="0" fontId="52" fillId="19" borderId="146" applyNumberFormat="0" applyAlignment="0" applyProtection="0"/>
    <xf numFmtId="0" fontId="59" fillId="10" borderId="146" applyNumberFormat="0" applyAlignment="0" applyProtection="0"/>
    <xf numFmtId="0" fontId="22" fillId="7" borderId="159" applyNumberFormat="0" applyFont="0" applyAlignment="0" applyProtection="0"/>
    <xf numFmtId="0" fontId="59" fillId="10" borderId="146" applyNumberFormat="0" applyAlignment="0" applyProtection="0"/>
    <xf numFmtId="0" fontId="52" fillId="19" borderId="146" applyNumberFormat="0" applyAlignment="0" applyProtection="0"/>
    <xf numFmtId="0" fontId="22" fillId="7" borderId="147" applyNumberFormat="0" applyFont="0" applyAlignment="0" applyProtection="0"/>
    <xf numFmtId="0" fontId="62" fillId="19" borderId="148" applyNumberFormat="0" applyAlignment="0" applyProtection="0"/>
    <xf numFmtId="0" fontId="64" fillId="0" borderId="149" applyNumberFormat="0" applyFill="0" applyAlignment="0" applyProtection="0"/>
    <xf numFmtId="0" fontId="62" fillId="19" borderId="148" applyNumberFormat="0" applyAlignment="0" applyProtection="0"/>
    <xf numFmtId="0" fontId="62" fillId="19" borderId="148" applyNumberFormat="0" applyAlignment="0" applyProtection="0"/>
    <xf numFmtId="0" fontId="59" fillId="10" borderId="146" applyNumberFormat="0" applyAlignment="0" applyProtection="0"/>
    <xf numFmtId="0" fontId="22" fillId="7" borderId="147" applyNumberFormat="0" applyFont="0" applyAlignment="0" applyProtection="0"/>
    <xf numFmtId="0" fontId="62" fillId="19" borderId="148" applyNumberFormat="0" applyAlignment="0" applyProtection="0"/>
    <xf numFmtId="0" fontId="64" fillId="0" borderId="149" applyNumberFormat="0" applyFill="0" applyAlignment="0" applyProtection="0"/>
    <xf numFmtId="0" fontId="64" fillId="0" borderId="149" applyNumberFormat="0" applyFill="0" applyAlignment="0" applyProtection="0"/>
    <xf numFmtId="0" fontId="22" fillId="7" borderId="147" applyNumberFormat="0" applyFont="0" applyAlignment="0" applyProtection="0"/>
    <xf numFmtId="0" fontId="64" fillId="0" borderId="149" applyNumberFormat="0" applyFill="0" applyAlignment="0" applyProtection="0"/>
    <xf numFmtId="0" fontId="22" fillId="7" borderId="147" applyNumberFormat="0" applyFont="0" applyAlignment="0" applyProtection="0"/>
    <xf numFmtId="0" fontId="59" fillId="10" borderId="146" applyNumberFormat="0" applyAlignment="0" applyProtection="0"/>
    <xf numFmtId="0" fontId="62" fillId="19" borderId="148" applyNumberFormat="0" applyAlignment="0" applyProtection="0"/>
    <xf numFmtId="0" fontId="64" fillId="0" borderId="149" applyNumberFormat="0" applyFill="0" applyAlignment="0" applyProtection="0"/>
    <xf numFmtId="0" fontId="62" fillId="19" borderId="148" applyNumberFormat="0" applyAlignment="0" applyProtection="0"/>
    <xf numFmtId="0" fontId="59" fillId="10" borderId="146" applyNumberFormat="0" applyAlignment="0" applyProtection="0"/>
    <xf numFmtId="0" fontId="22" fillId="7" borderId="147" applyNumberFormat="0" applyFont="0" applyAlignment="0" applyProtection="0"/>
    <xf numFmtId="0" fontId="22" fillId="7" borderId="147" applyNumberFormat="0" applyFont="0" applyAlignment="0" applyProtection="0"/>
    <xf numFmtId="0" fontId="64" fillId="0" borderId="149" applyNumberFormat="0" applyFill="0" applyAlignment="0" applyProtection="0"/>
    <xf numFmtId="0" fontId="64" fillId="0" borderId="149" applyNumberFormat="0" applyFill="0" applyAlignment="0" applyProtection="0"/>
    <xf numFmtId="0" fontId="52" fillId="19" borderId="146" applyNumberFormat="0" applyAlignment="0" applyProtection="0"/>
    <xf numFmtId="0" fontId="59" fillId="10" borderId="146" applyNumberFormat="0" applyAlignment="0" applyProtection="0"/>
    <xf numFmtId="0" fontId="52" fillId="19" borderId="146" applyNumberFormat="0" applyAlignment="0" applyProtection="0"/>
    <xf numFmtId="0" fontId="52" fillId="19" borderId="146" applyNumberFormat="0" applyAlignment="0" applyProtection="0"/>
    <xf numFmtId="0" fontId="52" fillId="19" borderId="170" applyNumberFormat="0" applyAlignment="0" applyProtection="0"/>
    <xf numFmtId="0" fontId="59" fillId="10" borderId="146" applyNumberFormat="0" applyAlignment="0" applyProtection="0"/>
    <xf numFmtId="0" fontId="22" fillId="7" borderId="147" applyNumberFormat="0" applyFont="0" applyAlignment="0" applyProtection="0"/>
    <xf numFmtId="0" fontId="62" fillId="19" borderId="148" applyNumberFormat="0" applyAlignment="0" applyProtection="0"/>
    <xf numFmtId="0" fontId="64" fillId="0" borderId="149" applyNumberFormat="0" applyFill="0" applyAlignment="0" applyProtection="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2" fillId="19" borderId="146" applyNumberFormat="0" applyAlignment="0" applyProtection="0"/>
    <xf numFmtId="0" fontId="64" fillId="0" borderId="173" applyNumberFormat="0" applyFill="0" applyAlignment="0" applyProtection="0"/>
    <xf numFmtId="0" fontId="59" fillId="10" borderId="146" applyNumberFormat="0" applyAlignment="0" applyProtection="0"/>
    <xf numFmtId="0" fontId="22" fillId="7" borderId="147" applyNumberFormat="0" applyFont="0" applyAlignment="0" applyProtection="0"/>
    <xf numFmtId="0" fontId="62" fillId="19" borderId="148" applyNumberFormat="0" applyAlignment="0" applyProtection="0"/>
    <xf numFmtId="0" fontId="64" fillId="0" borderId="149" applyNumberFormat="0" applyFill="0" applyAlignment="0" applyProtection="0"/>
    <xf numFmtId="0" fontId="22" fillId="7" borderId="147" applyNumberFormat="0" applyFont="0" applyAlignment="0" applyProtection="0"/>
    <xf numFmtId="0" fontId="52" fillId="19" borderId="146" applyNumberFormat="0" applyAlignment="0" applyProtection="0"/>
    <xf numFmtId="0" fontId="62" fillId="19" borderId="180" applyNumberFormat="0" applyAlignment="0" applyProtection="0"/>
    <xf numFmtId="0" fontId="62" fillId="19" borderId="148" applyNumberFormat="0" applyAlignment="0" applyProtection="0"/>
    <xf numFmtId="0" fontId="59" fillId="10" borderId="146" applyNumberFormat="0" applyAlignment="0" applyProtection="0"/>
    <xf numFmtId="0" fontId="52" fillId="19" borderId="146" applyNumberFormat="0" applyAlignment="0" applyProtection="0"/>
    <xf numFmtId="0" fontId="52" fillId="19" borderId="146" applyNumberFormat="0" applyAlignment="0" applyProtection="0"/>
    <xf numFmtId="0" fontId="59" fillId="10" borderId="146" applyNumberFormat="0" applyAlignment="0" applyProtection="0"/>
    <xf numFmtId="0" fontId="59" fillId="10" borderId="146" applyNumberFormat="0" applyAlignment="0" applyProtection="0"/>
    <xf numFmtId="0" fontId="52" fillId="19" borderId="146" applyNumberFormat="0" applyAlignment="0" applyProtection="0"/>
    <xf numFmtId="0" fontId="22" fillId="7" borderId="147" applyNumberFormat="0" applyFont="0" applyAlignment="0" applyProtection="0"/>
    <xf numFmtId="0" fontId="62" fillId="19" borderId="148" applyNumberFormat="0" applyAlignment="0" applyProtection="0"/>
    <xf numFmtId="0" fontId="64" fillId="0" borderId="149" applyNumberFormat="0" applyFill="0" applyAlignment="0" applyProtection="0"/>
    <xf numFmtId="0" fontId="62" fillId="19" borderId="148" applyNumberFormat="0" applyAlignment="0" applyProtection="0"/>
    <xf numFmtId="0" fontId="62" fillId="19" borderId="148" applyNumberFormat="0" applyAlignment="0" applyProtection="0"/>
    <xf numFmtId="0" fontId="59" fillId="10" borderId="146" applyNumberFormat="0" applyAlignment="0" applyProtection="0"/>
    <xf numFmtId="0" fontId="22" fillId="7" borderId="147" applyNumberFormat="0" applyFont="0" applyAlignment="0" applyProtection="0"/>
    <xf numFmtId="0" fontId="62" fillId="19" borderId="148" applyNumberFormat="0" applyAlignment="0" applyProtection="0"/>
    <xf numFmtId="0" fontId="64" fillId="0" borderId="149" applyNumberFormat="0" applyFill="0" applyAlignment="0" applyProtection="0"/>
    <xf numFmtId="0" fontId="64" fillId="0" borderId="149" applyNumberFormat="0" applyFill="0" applyAlignment="0" applyProtection="0"/>
    <xf numFmtId="0" fontId="22" fillId="7" borderId="147" applyNumberFormat="0" applyFont="0" applyAlignment="0" applyProtection="0"/>
    <xf numFmtId="0" fontId="64" fillId="0" borderId="149" applyNumberFormat="0" applyFill="0" applyAlignment="0" applyProtection="0"/>
    <xf numFmtId="0" fontId="22" fillId="7" borderId="147" applyNumberFormat="0" applyFont="0" applyAlignment="0" applyProtection="0"/>
    <xf numFmtId="0" fontId="59" fillId="10" borderId="146" applyNumberFormat="0" applyAlignment="0" applyProtection="0"/>
    <xf numFmtId="0" fontId="62" fillId="19" borderId="148" applyNumberFormat="0" applyAlignment="0" applyProtection="0"/>
    <xf numFmtId="0" fontId="64" fillId="0" borderId="149" applyNumberFormat="0" applyFill="0" applyAlignment="0" applyProtection="0"/>
    <xf numFmtId="0" fontId="62" fillId="19" borderId="148" applyNumberFormat="0" applyAlignment="0" applyProtection="0"/>
    <xf numFmtId="0" fontId="59" fillId="10" borderId="146" applyNumberFormat="0" applyAlignment="0" applyProtection="0"/>
    <xf numFmtId="0" fontId="22" fillId="7" borderId="147" applyNumberFormat="0" applyFont="0" applyAlignment="0" applyProtection="0"/>
    <xf numFmtId="0" fontId="22" fillId="7" borderId="147" applyNumberFormat="0" applyFont="0" applyAlignment="0" applyProtection="0"/>
    <xf numFmtId="0" fontId="64" fillId="0" borderId="149" applyNumberFormat="0" applyFill="0" applyAlignment="0" applyProtection="0"/>
    <xf numFmtId="0" fontId="64" fillId="0" borderId="149" applyNumberFormat="0" applyFill="0" applyAlignment="0" applyProtection="0"/>
    <xf numFmtId="0" fontId="52" fillId="19" borderId="146" applyNumberFormat="0" applyAlignment="0" applyProtection="0"/>
    <xf numFmtId="0" fontId="59" fillId="10" borderId="146" applyNumberFormat="0" applyAlignment="0" applyProtection="0"/>
    <xf numFmtId="0" fontId="52" fillId="19" borderId="146" applyNumberFormat="0" applyAlignment="0" applyProtection="0"/>
    <xf numFmtId="0" fontId="52" fillId="19" borderId="146" applyNumberFormat="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0" fontId="62" fillId="19" borderId="148" applyNumberFormat="0" applyAlignment="0" applyProtection="0"/>
    <xf numFmtId="0" fontId="5" fillId="0" borderId="0"/>
    <xf numFmtId="44" fontId="5" fillId="0" borderId="0" applyFont="0" applyFill="0" applyBorder="0" applyAlignment="0" applyProtection="0"/>
    <xf numFmtId="0" fontId="59" fillId="10" borderId="146" applyNumberFormat="0" applyAlignment="0" applyProtection="0"/>
    <xf numFmtId="9" fontId="5" fillId="0" borderId="0" applyFont="0" applyFill="0" applyBorder="0" applyAlignment="0" applyProtection="0"/>
    <xf numFmtId="0" fontId="5" fillId="0" borderId="0"/>
    <xf numFmtId="0" fontId="22" fillId="7" borderId="147"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64" fillId="0" borderId="149" applyNumberFormat="0" applyFill="0" applyAlignment="0" applyProtection="0"/>
    <xf numFmtId="0" fontId="52" fillId="19" borderId="146" applyNumberFormat="0" applyAlignment="0" applyProtection="0"/>
    <xf numFmtId="0" fontId="52" fillId="19" borderId="146" applyNumberFormat="0" applyAlignment="0" applyProtection="0"/>
    <xf numFmtId="0" fontId="59" fillId="10" borderId="146" applyNumberFormat="0" applyAlignment="0" applyProtection="0"/>
    <xf numFmtId="0" fontId="22" fillId="7" borderId="147" applyNumberFormat="0" applyFont="0" applyAlignment="0" applyProtection="0"/>
    <xf numFmtId="0" fontId="64" fillId="0" borderId="149" applyNumberFormat="0" applyFill="0" applyAlignment="0" applyProtection="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81" fillId="0" borderId="0"/>
    <xf numFmtId="0" fontId="62" fillId="19" borderId="152" applyNumberFormat="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22" fillId="7" borderId="183" applyNumberFormat="0" applyFont="0" applyAlignment="0" applyProtection="0"/>
    <xf numFmtId="44" fontId="5" fillId="0" borderId="0" applyFont="0" applyFill="0" applyBorder="0" applyAlignment="0" applyProtection="0"/>
    <xf numFmtId="0" fontId="22" fillId="0" borderId="0"/>
    <xf numFmtId="0" fontId="64" fillId="0" borderId="173" applyNumberFormat="0" applyFill="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66" fillId="0" borderId="0"/>
    <xf numFmtId="44" fontId="22"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64" fillId="0" borderId="165" applyNumberFormat="0" applyFill="0" applyAlignment="0" applyProtection="0"/>
    <xf numFmtId="0" fontId="64" fillId="0" borderId="165" applyNumberFormat="0" applyFill="0" applyAlignment="0" applyProtection="0"/>
    <xf numFmtId="0" fontId="62" fillId="19" borderId="160" applyNumberFormat="0" applyAlignment="0" applyProtection="0"/>
    <xf numFmtId="0" fontId="22" fillId="7" borderId="163" applyNumberFormat="0" applyFont="0" applyAlignment="0" applyProtection="0"/>
    <xf numFmtId="0" fontId="62" fillId="19" borderId="180" applyNumberFormat="0" applyAlignment="0" applyProtection="0"/>
    <xf numFmtId="0" fontId="62" fillId="19" borderId="184" applyNumberFormat="0" applyAlignment="0" applyProtection="0"/>
    <xf numFmtId="0" fontId="52" fillId="19" borderId="170" applyNumberFormat="0" applyAlignment="0" applyProtection="0"/>
    <xf numFmtId="0" fontId="52" fillId="19" borderId="178" applyNumberFormat="0" applyAlignment="0" applyProtection="0"/>
    <xf numFmtId="0" fontId="22" fillId="7" borderId="171" applyNumberFormat="0" applyFont="0" applyAlignment="0" applyProtection="0"/>
    <xf numFmtId="0" fontId="22" fillId="7" borderId="187" applyNumberFormat="0" applyFont="0" applyAlignment="0" applyProtection="0"/>
    <xf numFmtId="0" fontId="64" fillId="0" borderId="181" applyNumberFormat="0" applyFill="0" applyAlignment="0" applyProtection="0"/>
    <xf numFmtId="0" fontId="62" fillId="19" borderId="160" applyNumberFormat="0" applyAlignment="0" applyProtection="0"/>
    <xf numFmtId="0" fontId="64" fillId="0" borderId="165" applyNumberFormat="0" applyFill="0" applyAlignment="0" applyProtection="0"/>
    <xf numFmtId="0" fontId="64" fillId="0" borderId="173" applyNumberFormat="0" applyFill="0" applyAlignment="0" applyProtection="0"/>
    <xf numFmtId="0" fontId="59" fillId="10" borderId="182" applyNumberFormat="0" applyAlignment="0" applyProtection="0"/>
    <xf numFmtId="0" fontId="22" fillId="7" borderId="171" applyNumberFormat="0" applyFont="0" applyAlignment="0" applyProtection="0"/>
    <xf numFmtId="0" fontId="22" fillId="7" borderId="167" applyNumberFormat="0" applyFont="0" applyAlignment="0" applyProtection="0"/>
    <xf numFmtId="0" fontId="59" fillId="10" borderId="182" applyNumberFormat="0" applyAlignment="0" applyProtection="0"/>
    <xf numFmtId="0" fontId="64" fillId="0" borderId="165" applyNumberFormat="0" applyFill="0" applyAlignment="0" applyProtection="0"/>
    <xf numFmtId="0" fontId="62" fillId="19" borderId="184" applyNumberFormat="0" applyAlignment="0" applyProtection="0"/>
    <xf numFmtId="0" fontId="59" fillId="10" borderId="178" applyNumberFormat="0" applyAlignment="0" applyProtection="0"/>
    <xf numFmtId="0" fontId="64" fillId="0" borderId="177" applyNumberFormat="0" applyFill="0" applyAlignment="0" applyProtection="0"/>
    <xf numFmtId="0" fontId="59" fillId="10" borderId="182" applyNumberFormat="0" applyAlignment="0" applyProtection="0"/>
    <xf numFmtId="0" fontId="52" fillId="19" borderId="170" applyNumberFormat="0" applyAlignment="0" applyProtection="0"/>
    <xf numFmtId="0" fontId="22" fillId="7" borderId="159" applyNumberFormat="0" applyFont="0" applyAlignment="0" applyProtection="0"/>
    <xf numFmtId="0" fontId="22" fillId="7" borderId="175" applyNumberFormat="0" applyFont="0" applyAlignment="0" applyProtection="0"/>
    <xf numFmtId="0" fontId="62" fillId="19" borderId="192" applyNumberFormat="0" applyAlignment="0" applyProtection="0"/>
    <xf numFmtId="0" fontId="52" fillId="19" borderId="162" applyNumberFormat="0" applyAlignment="0" applyProtection="0"/>
    <xf numFmtId="0" fontId="64" fillId="0" borderId="173" applyNumberFormat="0" applyFill="0" applyAlignment="0" applyProtection="0"/>
    <xf numFmtId="0" fontId="52" fillId="19" borderId="162" applyNumberFormat="0" applyAlignment="0" applyProtection="0"/>
    <xf numFmtId="0" fontId="62" fillId="19" borderId="164" applyNumberFormat="0" applyAlignment="0" applyProtection="0"/>
    <xf numFmtId="0" fontId="59" fillId="10" borderId="182" applyNumberFormat="0" applyAlignment="0" applyProtection="0"/>
    <xf numFmtId="0" fontId="62" fillId="19" borderId="172" applyNumberFormat="0" applyAlignment="0" applyProtection="0"/>
    <xf numFmtId="0" fontId="64" fillId="0" borderId="181" applyNumberFormat="0" applyFill="0" applyAlignment="0" applyProtection="0"/>
    <xf numFmtId="0" fontId="52" fillId="19" borderId="158" applyNumberFormat="0" applyAlignment="0" applyProtection="0"/>
    <xf numFmtId="0" fontId="59" fillId="10" borderId="158" applyNumberFormat="0" applyAlignment="0" applyProtection="0"/>
    <xf numFmtId="0" fontId="59" fillId="10" borderId="170" applyNumberFormat="0" applyAlignment="0" applyProtection="0"/>
    <xf numFmtId="0" fontId="52" fillId="19" borderId="166" applyNumberFormat="0" applyAlignment="0" applyProtection="0"/>
    <xf numFmtId="0" fontId="64" fillId="0" borderId="185" applyNumberFormat="0" applyFill="0" applyAlignment="0" applyProtection="0"/>
    <xf numFmtId="0" fontId="52" fillId="19" borderId="170" applyNumberFormat="0" applyAlignment="0" applyProtection="0"/>
    <xf numFmtId="0" fontId="22" fillId="7" borderId="159" applyNumberFormat="0" applyFont="0" applyAlignment="0" applyProtection="0"/>
    <xf numFmtId="0" fontId="62" fillId="19" borderId="172" applyNumberFormat="0" applyAlignment="0" applyProtection="0"/>
    <xf numFmtId="0" fontId="59" fillId="10" borderId="162" applyNumberFormat="0" applyAlignment="0" applyProtection="0"/>
    <xf numFmtId="0" fontId="22" fillId="7" borderId="159" applyNumberFormat="0" applyFont="0" applyAlignment="0" applyProtection="0"/>
    <xf numFmtId="0" fontId="22" fillId="7" borderId="163" applyNumberFormat="0" applyFont="0" applyAlignment="0" applyProtection="0"/>
    <xf numFmtId="0" fontId="22" fillId="7" borderId="163" applyNumberFormat="0" applyFont="0" applyAlignment="0" applyProtection="0"/>
    <xf numFmtId="0" fontId="62" fillId="19" borderId="180" applyNumberFormat="0" applyAlignment="0" applyProtection="0"/>
    <xf numFmtId="0" fontId="59" fillId="10" borderId="182" applyNumberFormat="0" applyAlignment="0" applyProtection="0"/>
    <xf numFmtId="0" fontId="62" fillId="19" borderId="164" applyNumberFormat="0" applyAlignment="0" applyProtection="0"/>
    <xf numFmtId="0" fontId="22" fillId="7" borderId="179" applyNumberFormat="0" applyFont="0" applyAlignment="0" applyProtection="0"/>
    <xf numFmtId="0" fontId="64" fillId="0" borderId="165" applyNumberFormat="0" applyFill="0" applyAlignment="0" applyProtection="0"/>
    <xf numFmtId="0" fontId="22" fillId="7" borderId="183" applyNumberFormat="0" applyFont="0" applyAlignment="0" applyProtection="0"/>
    <xf numFmtId="0" fontId="64" fillId="0" borderId="193" applyNumberFormat="0" applyFill="0" applyAlignment="0" applyProtection="0"/>
    <xf numFmtId="0" fontId="64" fillId="0" borderId="165" applyNumberFormat="0" applyFill="0" applyAlignment="0" applyProtection="0"/>
    <xf numFmtId="0" fontId="62" fillId="19" borderId="180" applyNumberFormat="0" applyAlignment="0" applyProtection="0"/>
    <xf numFmtId="0" fontId="52" fillId="19" borderId="150" applyNumberFormat="0" applyAlignment="0" applyProtection="0"/>
    <xf numFmtId="0" fontId="22" fillId="7" borderId="163" applyNumberFormat="0" applyFont="0" applyAlignment="0" applyProtection="0"/>
    <xf numFmtId="0" fontId="59" fillId="10" borderId="150" applyNumberFormat="0" applyAlignment="0" applyProtection="0"/>
    <xf numFmtId="0" fontId="22" fillId="7" borderId="151" applyNumberFormat="0" applyFont="0" applyAlignment="0" applyProtection="0"/>
    <xf numFmtId="0" fontId="62" fillId="19" borderId="152" applyNumberFormat="0" applyAlignment="0" applyProtection="0"/>
    <xf numFmtId="0" fontId="64" fillId="0" borderId="153" applyNumberFormat="0" applyFill="0" applyAlignment="0" applyProtection="0"/>
    <xf numFmtId="0" fontId="22" fillId="7" borderId="151" applyNumberFormat="0" applyFont="0" applyAlignment="0" applyProtection="0"/>
    <xf numFmtId="0" fontId="52" fillId="19" borderId="150" applyNumberFormat="0" applyAlignment="0" applyProtection="0"/>
    <xf numFmtId="0" fontId="62" fillId="19" borderId="152" applyNumberFormat="0" applyAlignment="0" applyProtection="0"/>
    <xf numFmtId="0" fontId="59" fillId="10" borderId="150" applyNumberFormat="0" applyAlignment="0" applyProtection="0"/>
    <xf numFmtId="0" fontId="52" fillId="19" borderId="150" applyNumberFormat="0" applyAlignment="0" applyProtection="0"/>
    <xf numFmtId="0" fontId="52" fillId="19" borderId="150" applyNumberFormat="0" applyAlignment="0" applyProtection="0"/>
    <xf numFmtId="0" fontId="59" fillId="10" borderId="150" applyNumberFormat="0" applyAlignment="0" applyProtection="0"/>
    <xf numFmtId="0" fontId="22" fillId="7" borderId="171" applyNumberFormat="0" applyFont="0" applyAlignment="0" applyProtection="0"/>
    <xf numFmtId="0" fontId="52" fillId="19" borderId="162" applyNumberFormat="0" applyAlignment="0" applyProtection="0"/>
    <xf numFmtId="0" fontId="59" fillId="10" borderId="150" applyNumberFormat="0" applyAlignment="0" applyProtection="0"/>
    <xf numFmtId="0" fontId="52" fillId="19" borderId="150" applyNumberFormat="0" applyAlignment="0" applyProtection="0"/>
    <xf numFmtId="0" fontId="22" fillId="7" borderId="151" applyNumberFormat="0" applyFont="0" applyAlignment="0" applyProtection="0"/>
    <xf numFmtId="0" fontId="62" fillId="19" borderId="152" applyNumberFormat="0" applyAlignment="0" applyProtection="0"/>
    <xf numFmtId="0" fontId="64" fillId="0" borderId="153" applyNumberFormat="0" applyFill="0" applyAlignment="0" applyProtection="0"/>
    <xf numFmtId="0" fontId="62" fillId="19" borderId="152" applyNumberFormat="0" applyAlignment="0" applyProtection="0"/>
    <xf numFmtId="0" fontId="62" fillId="19" borderId="152" applyNumberFormat="0" applyAlignment="0" applyProtection="0"/>
    <xf numFmtId="0" fontId="59" fillId="10" borderId="150" applyNumberFormat="0" applyAlignment="0" applyProtection="0"/>
    <xf numFmtId="0" fontId="22" fillId="7" borderId="151" applyNumberFormat="0" applyFont="0" applyAlignment="0" applyProtection="0"/>
    <xf numFmtId="0" fontId="62" fillId="19" borderId="152" applyNumberFormat="0" applyAlignment="0" applyProtection="0"/>
    <xf numFmtId="0" fontId="64" fillId="0" borderId="153" applyNumberFormat="0" applyFill="0" applyAlignment="0" applyProtection="0"/>
    <xf numFmtId="0" fontId="64" fillId="0" borderId="153" applyNumberFormat="0" applyFill="0" applyAlignment="0" applyProtection="0"/>
    <xf numFmtId="0" fontId="22" fillId="7" borderId="151" applyNumberFormat="0" applyFont="0" applyAlignment="0" applyProtection="0"/>
    <xf numFmtId="0" fontId="64" fillId="0" borderId="153" applyNumberFormat="0" applyFill="0" applyAlignment="0" applyProtection="0"/>
    <xf numFmtId="0" fontId="22" fillId="7" borderId="151" applyNumberFormat="0" applyFont="0" applyAlignment="0" applyProtection="0"/>
    <xf numFmtId="0" fontId="59" fillId="10" borderId="150" applyNumberFormat="0" applyAlignment="0" applyProtection="0"/>
    <xf numFmtId="0" fontId="62" fillId="19" borderId="152" applyNumberFormat="0" applyAlignment="0" applyProtection="0"/>
    <xf numFmtId="0" fontId="64" fillId="0" borderId="153" applyNumberFormat="0" applyFill="0" applyAlignment="0" applyProtection="0"/>
    <xf numFmtId="0" fontId="62" fillId="19" borderId="152" applyNumberFormat="0" applyAlignment="0" applyProtection="0"/>
    <xf numFmtId="0" fontId="59" fillId="10" borderId="150" applyNumberFormat="0" applyAlignment="0" applyProtection="0"/>
    <xf numFmtId="0" fontId="22" fillId="7" borderId="151" applyNumberFormat="0" applyFont="0" applyAlignment="0" applyProtection="0"/>
    <xf numFmtId="0" fontId="22" fillId="7" borderId="151" applyNumberFormat="0" applyFont="0" applyAlignment="0" applyProtection="0"/>
    <xf numFmtId="0" fontId="64" fillId="0" borderId="153" applyNumberFormat="0" applyFill="0" applyAlignment="0" applyProtection="0"/>
    <xf numFmtId="0" fontId="64" fillId="0" borderId="153" applyNumberFormat="0" applyFill="0" applyAlignment="0" applyProtection="0"/>
    <xf numFmtId="0" fontId="52" fillId="19" borderId="150" applyNumberFormat="0" applyAlignment="0" applyProtection="0"/>
    <xf numFmtId="0" fontId="59" fillId="10" borderId="150" applyNumberFormat="0" applyAlignment="0" applyProtection="0"/>
    <xf numFmtId="0" fontId="52" fillId="19" borderId="150" applyNumberFormat="0" applyAlignment="0" applyProtection="0"/>
    <xf numFmtId="0" fontId="52" fillId="19" borderId="150" applyNumberFormat="0" applyAlignment="0" applyProtection="0"/>
    <xf numFmtId="0" fontId="52" fillId="19" borderId="170" applyNumberFormat="0" applyAlignment="0" applyProtection="0"/>
    <xf numFmtId="0" fontId="62" fillId="19" borderId="164" applyNumberFormat="0" applyAlignment="0" applyProtection="0"/>
    <xf numFmtId="0" fontId="52" fillId="19" borderId="170" applyNumberFormat="0" applyAlignment="0" applyProtection="0"/>
    <xf numFmtId="0" fontId="52" fillId="19" borderId="162" applyNumberFormat="0" applyAlignment="0" applyProtection="0"/>
    <xf numFmtId="0" fontId="22" fillId="7" borderId="183" applyNumberFormat="0" applyFont="0" applyAlignment="0" applyProtection="0"/>
    <xf numFmtId="0" fontId="62" fillId="19" borderId="180" applyNumberFormat="0" applyAlignment="0" applyProtection="0"/>
    <xf numFmtId="0" fontId="64" fillId="0" borderId="169" applyNumberFormat="0" applyFill="0" applyAlignment="0" applyProtection="0"/>
    <xf numFmtId="0" fontId="62" fillId="19" borderId="172" applyNumberFormat="0" applyAlignment="0" applyProtection="0"/>
    <xf numFmtId="0" fontId="59" fillId="10" borderId="170" applyNumberFormat="0" applyAlignment="0" applyProtection="0"/>
    <xf numFmtId="0" fontId="22" fillId="7" borderId="183" applyNumberFormat="0" applyFont="0" applyAlignment="0" applyProtection="0"/>
    <xf numFmtId="0" fontId="52" fillId="19" borderId="190" applyNumberFormat="0" applyAlignment="0" applyProtection="0"/>
    <xf numFmtId="0" fontId="62" fillId="19" borderId="180" applyNumberFormat="0" applyAlignment="0" applyProtection="0"/>
    <xf numFmtId="0" fontId="64" fillId="0" borderId="173" applyNumberFormat="0" applyFill="0" applyAlignment="0" applyProtection="0"/>
    <xf numFmtId="0" fontId="62" fillId="19" borderId="172" applyNumberFormat="0" applyAlignment="0" applyProtection="0"/>
    <xf numFmtId="0" fontId="22" fillId="7" borderId="163" applyNumberFormat="0" applyFont="0" applyAlignment="0" applyProtection="0"/>
    <xf numFmtId="0" fontId="59" fillId="10" borderId="158" applyNumberFormat="0" applyAlignment="0" applyProtection="0"/>
    <xf numFmtId="0" fontId="59" fillId="10" borderId="162" applyNumberFormat="0" applyAlignment="0" applyProtection="0"/>
    <xf numFmtId="0" fontId="64" fillId="0" borderId="185" applyNumberFormat="0" applyFill="0" applyAlignment="0" applyProtection="0"/>
    <xf numFmtId="0" fontId="59" fillId="10" borderId="162" applyNumberFormat="0" applyAlignment="0" applyProtection="0"/>
    <xf numFmtId="0" fontId="59" fillId="10" borderId="182" applyNumberFormat="0" applyAlignment="0" applyProtection="0"/>
    <xf numFmtId="0" fontId="64" fillId="0" borderId="165" applyNumberFormat="0" applyFill="0" applyAlignment="0" applyProtection="0"/>
    <xf numFmtId="0" fontId="52" fillId="19" borderId="174" applyNumberFormat="0" applyAlignment="0" applyProtection="0"/>
    <xf numFmtId="0" fontId="52" fillId="19" borderId="170" applyNumberFormat="0" applyAlignment="0" applyProtection="0"/>
    <xf numFmtId="0" fontId="22" fillId="7" borderId="191" applyNumberFormat="0" applyFont="0" applyAlignment="0" applyProtection="0"/>
    <xf numFmtId="0" fontId="59" fillId="10" borderId="170" applyNumberFormat="0" applyAlignment="0" applyProtection="0"/>
    <xf numFmtId="0" fontId="52" fillId="19" borderId="162" applyNumberFormat="0" applyAlignment="0" applyProtection="0"/>
    <xf numFmtId="0" fontId="22" fillId="7" borderId="171" applyNumberFormat="0" applyFont="0" applyAlignment="0" applyProtection="0"/>
    <xf numFmtId="0" fontId="22" fillId="7" borderId="159" applyNumberFormat="0" applyFont="0" applyAlignment="0" applyProtection="0"/>
    <xf numFmtId="0" fontId="59" fillId="10" borderId="178" applyNumberFormat="0" applyAlignment="0" applyProtection="0"/>
    <xf numFmtId="0" fontId="59" fillId="10" borderId="182" applyNumberFormat="0" applyAlignment="0" applyProtection="0"/>
    <xf numFmtId="0" fontId="62" fillId="19" borderId="180" applyNumberFormat="0" applyAlignment="0" applyProtection="0"/>
    <xf numFmtId="0" fontId="52" fillId="19" borderId="170" applyNumberFormat="0" applyAlignment="0" applyProtection="0"/>
    <xf numFmtId="0" fontId="59" fillId="10" borderId="166" applyNumberFormat="0" applyAlignment="0" applyProtection="0"/>
    <xf numFmtId="0" fontId="52" fillId="19" borderId="170" applyNumberFormat="0" applyAlignment="0" applyProtection="0"/>
    <xf numFmtId="0" fontId="52" fillId="19" borderId="170" applyNumberFormat="0" applyAlignment="0" applyProtection="0"/>
    <xf numFmtId="0" fontId="52" fillId="19" borderId="170" applyNumberFormat="0" applyAlignment="0" applyProtection="0"/>
    <xf numFmtId="0" fontId="59" fillId="10" borderId="178" applyNumberFormat="0" applyAlignment="0" applyProtection="0"/>
    <xf numFmtId="0" fontId="52" fillId="19" borderId="170" applyNumberFormat="0" applyAlignment="0" applyProtection="0"/>
    <xf numFmtId="0" fontId="52" fillId="19" borderId="158" applyNumberFormat="0" applyAlignment="0" applyProtection="0"/>
    <xf numFmtId="0" fontId="64" fillId="0" borderId="177" applyNumberFormat="0" applyFill="0" applyAlignment="0" applyProtection="0"/>
    <xf numFmtId="0" fontId="59" fillId="10" borderId="162" applyNumberFormat="0" applyAlignment="0" applyProtection="0"/>
    <xf numFmtId="0" fontId="62" fillId="19" borderId="184" applyNumberFormat="0" applyAlignment="0" applyProtection="0"/>
    <xf numFmtId="0" fontId="52" fillId="19" borderId="182" applyNumberFormat="0" applyAlignment="0" applyProtection="0"/>
    <xf numFmtId="0" fontId="64" fillId="0" borderId="181" applyNumberFormat="0" applyFill="0" applyAlignment="0" applyProtection="0"/>
    <xf numFmtId="0" fontId="62" fillId="19" borderId="172" applyNumberFormat="0" applyAlignment="0" applyProtection="0"/>
    <xf numFmtId="0" fontId="62" fillId="19" borderId="184" applyNumberFormat="0" applyAlignment="0" applyProtection="0"/>
    <xf numFmtId="0" fontId="59" fillId="10" borderId="182" applyNumberFormat="0" applyAlignment="0" applyProtection="0"/>
    <xf numFmtId="0" fontId="22" fillId="7" borderId="171" applyNumberFormat="0" applyFont="0" applyAlignment="0" applyProtection="0"/>
    <xf numFmtId="0" fontId="22" fillId="7" borderId="171" applyNumberFormat="0" applyFont="0" applyAlignment="0" applyProtection="0"/>
    <xf numFmtId="0" fontId="52" fillId="19" borderId="178" applyNumberFormat="0" applyAlignment="0" applyProtection="0"/>
    <xf numFmtId="0" fontId="62" fillId="19" borderId="184" applyNumberFormat="0" applyAlignment="0" applyProtection="0"/>
    <xf numFmtId="0" fontId="59" fillId="10" borderId="158" applyNumberFormat="0" applyAlignment="0" applyProtection="0"/>
    <xf numFmtId="0" fontId="52" fillId="19" borderId="158" applyNumberFormat="0" applyAlignment="0" applyProtection="0"/>
    <xf numFmtId="0" fontId="59" fillId="10" borderId="170" applyNumberFormat="0" applyAlignment="0" applyProtection="0"/>
    <xf numFmtId="0" fontId="62" fillId="19" borderId="172" applyNumberFormat="0" applyAlignment="0" applyProtection="0"/>
    <xf numFmtId="0" fontId="59" fillId="10" borderId="166" applyNumberFormat="0" applyAlignment="0" applyProtection="0"/>
    <xf numFmtId="0" fontId="59" fillId="10" borderId="162" applyNumberFormat="0" applyAlignment="0" applyProtection="0"/>
    <xf numFmtId="0" fontId="22" fillId="7" borderId="171" applyNumberFormat="0" applyFont="0" applyAlignment="0" applyProtection="0"/>
    <xf numFmtId="0" fontId="59" fillId="10" borderId="170" applyNumberFormat="0" applyAlignment="0" applyProtection="0"/>
    <xf numFmtId="0" fontId="59" fillId="10" borderId="158" applyNumberFormat="0" applyAlignment="0" applyProtection="0"/>
    <xf numFmtId="0" fontId="52" fillId="19" borderId="190" applyNumberFormat="0" applyAlignment="0" applyProtection="0"/>
    <xf numFmtId="0" fontId="59" fillId="10" borderId="158" applyNumberFormat="0" applyAlignment="0" applyProtection="0"/>
    <xf numFmtId="0" fontId="59" fillId="10" borderId="166" applyNumberFormat="0" applyAlignment="0" applyProtection="0"/>
    <xf numFmtId="0" fontId="59" fillId="10" borderId="170" applyNumberFormat="0" applyAlignment="0" applyProtection="0"/>
    <xf numFmtId="0" fontId="22" fillId="7" borderId="183" applyNumberFormat="0" applyFont="0" applyAlignment="0" applyProtection="0"/>
    <xf numFmtId="0" fontId="64" fillId="0" borderId="173" applyNumberFormat="0" applyFill="0" applyAlignment="0" applyProtection="0"/>
    <xf numFmtId="0" fontId="52" fillId="19" borderId="162" applyNumberFormat="0" applyAlignment="0" applyProtection="0"/>
    <xf numFmtId="0" fontId="22" fillId="7" borderId="183" applyNumberFormat="0" applyFont="0" applyAlignment="0" applyProtection="0"/>
    <xf numFmtId="0" fontId="59" fillId="10" borderId="182" applyNumberFormat="0" applyAlignment="0" applyProtection="0"/>
    <xf numFmtId="0" fontId="52" fillId="19" borderId="150" applyNumberFormat="0" applyAlignment="0" applyProtection="0"/>
    <xf numFmtId="0" fontId="59" fillId="10" borderId="150" applyNumberFormat="0" applyAlignment="0" applyProtection="0"/>
    <xf numFmtId="0" fontId="22" fillId="7" borderId="151" applyNumberFormat="0" applyFont="0" applyAlignment="0" applyProtection="0"/>
    <xf numFmtId="0" fontId="62" fillId="19" borderId="152" applyNumberFormat="0" applyAlignment="0" applyProtection="0"/>
    <xf numFmtId="0" fontId="64" fillId="0" borderId="153" applyNumberFormat="0" applyFill="0" applyAlignment="0" applyProtection="0"/>
    <xf numFmtId="0" fontId="22" fillId="7" borderId="151" applyNumberFormat="0" applyFont="0" applyAlignment="0" applyProtection="0"/>
    <xf numFmtId="0" fontId="52" fillId="19" borderId="150" applyNumberFormat="0" applyAlignment="0" applyProtection="0"/>
    <xf numFmtId="0" fontId="62" fillId="19" borderId="152" applyNumberFormat="0" applyAlignment="0" applyProtection="0"/>
    <xf numFmtId="0" fontId="59" fillId="10" borderId="150" applyNumberFormat="0" applyAlignment="0" applyProtection="0"/>
    <xf numFmtId="0" fontId="52" fillId="19" borderId="150" applyNumberFormat="0" applyAlignment="0" applyProtection="0"/>
    <xf numFmtId="0" fontId="52" fillId="19" borderId="150" applyNumberFormat="0" applyAlignment="0" applyProtection="0"/>
    <xf numFmtId="0" fontId="59" fillId="10" borderId="150" applyNumberFormat="0" applyAlignment="0" applyProtection="0"/>
    <xf numFmtId="0" fontId="59" fillId="10" borderId="150" applyNumberFormat="0" applyAlignment="0" applyProtection="0"/>
    <xf numFmtId="0" fontId="52" fillId="19" borderId="150" applyNumberFormat="0" applyAlignment="0" applyProtection="0"/>
    <xf numFmtId="0" fontId="22" fillId="7" borderId="151" applyNumberFormat="0" applyFont="0" applyAlignment="0" applyProtection="0"/>
    <xf numFmtId="0" fontId="62" fillId="19" borderId="152" applyNumberFormat="0" applyAlignment="0" applyProtection="0"/>
    <xf numFmtId="0" fontId="64" fillId="0" borderId="153" applyNumberFormat="0" applyFill="0" applyAlignment="0" applyProtection="0"/>
    <xf numFmtId="0" fontId="62" fillId="19" borderId="152" applyNumberFormat="0" applyAlignment="0" applyProtection="0"/>
    <xf numFmtId="0" fontId="62" fillId="19" borderId="152" applyNumberFormat="0" applyAlignment="0" applyProtection="0"/>
    <xf numFmtId="0" fontId="59" fillId="10" borderId="150" applyNumberFormat="0" applyAlignment="0" applyProtection="0"/>
    <xf numFmtId="0" fontId="22" fillId="7" borderId="151" applyNumberFormat="0" applyFont="0" applyAlignment="0" applyProtection="0"/>
    <xf numFmtId="0" fontId="62" fillId="19" borderId="152" applyNumberFormat="0" applyAlignment="0" applyProtection="0"/>
    <xf numFmtId="0" fontId="64" fillId="0" borderId="153" applyNumberFormat="0" applyFill="0" applyAlignment="0" applyProtection="0"/>
    <xf numFmtId="0" fontId="64" fillId="0" borderId="153" applyNumberFormat="0" applyFill="0" applyAlignment="0" applyProtection="0"/>
    <xf numFmtId="0" fontId="22" fillId="7" borderId="151" applyNumberFormat="0" applyFont="0" applyAlignment="0" applyProtection="0"/>
    <xf numFmtId="0" fontId="64" fillId="0" borderId="153" applyNumberFormat="0" applyFill="0" applyAlignment="0" applyProtection="0"/>
    <xf numFmtId="0" fontId="22" fillId="7" borderId="151" applyNumberFormat="0" applyFont="0" applyAlignment="0" applyProtection="0"/>
    <xf numFmtId="0" fontId="59" fillId="10" borderId="150" applyNumberFormat="0" applyAlignment="0" applyProtection="0"/>
    <xf numFmtId="0" fontId="62" fillId="19" borderId="152" applyNumberFormat="0" applyAlignment="0" applyProtection="0"/>
    <xf numFmtId="0" fontId="64" fillId="0" borderId="153" applyNumberFormat="0" applyFill="0" applyAlignment="0" applyProtection="0"/>
    <xf numFmtId="0" fontId="62" fillId="19" borderId="152" applyNumberFormat="0" applyAlignment="0" applyProtection="0"/>
    <xf numFmtId="0" fontId="59" fillId="10" borderId="150" applyNumberFormat="0" applyAlignment="0" applyProtection="0"/>
    <xf numFmtId="0" fontId="22" fillId="7" borderId="151" applyNumberFormat="0" applyFont="0" applyAlignment="0" applyProtection="0"/>
    <xf numFmtId="0" fontId="22" fillId="7" borderId="151" applyNumberFormat="0" applyFont="0" applyAlignment="0" applyProtection="0"/>
    <xf numFmtId="0" fontId="64" fillId="0" borderId="153" applyNumberFormat="0" applyFill="0" applyAlignment="0" applyProtection="0"/>
    <xf numFmtId="0" fontId="64" fillId="0" borderId="153" applyNumberFormat="0" applyFill="0" applyAlignment="0" applyProtection="0"/>
    <xf numFmtId="0" fontId="52" fillId="19" borderId="150" applyNumberFormat="0" applyAlignment="0" applyProtection="0"/>
    <xf numFmtId="0" fontId="59" fillId="10" borderId="150" applyNumberFormat="0" applyAlignment="0" applyProtection="0"/>
    <xf numFmtId="0" fontId="52" fillId="19" borderId="150" applyNumberFormat="0" applyAlignment="0" applyProtection="0"/>
    <xf numFmtId="0" fontId="52" fillId="19" borderId="150" applyNumberFormat="0" applyAlignment="0" applyProtection="0"/>
    <xf numFmtId="0" fontId="52" fillId="19" borderId="166" applyNumberFormat="0" applyAlignment="0" applyProtection="0"/>
    <xf numFmtId="0" fontId="64" fillId="0" borderId="185" applyNumberFormat="0" applyFill="0" applyAlignment="0" applyProtection="0"/>
    <xf numFmtId="0" fontId="59" fillId="10" borderId="182" applyNumberFormat="0" applyAlignment="0" applyProtection="0"/>
    <xf numFmtId="0" fontId="64" fillId="0" borderId="173" applyNumberFormat="0" applyFill="0" applyAlignment="0" applyProtection="0"/>
    <xf numFmtId="0" fontId="52" fillId="19" borderId="182" applyNumberFormat="0" applyAlignment="0" applyProtection="0"/>
    <xf numFmtId="0" fontId="59" fillId="10" borderId="182" applyNumberFormat="0" applyAlignment="0" applyProtection="0"/>
    <xf numFmtId="0" fontId="22" fillId="7" borderId="183" applyNumberFormat="0" applyFont="0" applyAlignment="0" applyProtection="0"/>
    <xf numFmtId="0" fontId="64" fillId="0" borderId="173" applyNumberFormat="0" applyFill="0" applyAlignment="0" applyProtection="0"/>
    <xf numFmtId="0" fontId="64" fillId="0" borderId="185" applyNumberFormat="0" applyFill="0" applyAlignment="0" applyProtection="0"/>
    <xf numFmtId="0" fontId="64" fillId="0" borderId="181" applyNumberFormat="0" applyFill="0" applyAlignment="0" applyProtection="0"/>
    <xf numFmtId="0" fontId="52" fillId="19" borderId="162" applyNumberFormat="0" applyAlignment="0" applyProtection="0"/>
    <xf numFmtId="0" fontId="59" fillId="10" borderId="182" applyNumberFormat="0" applyAlignment="0" applyProtection="0"/>
    <xf numFmtId="0" fontId="64" fillId="0" borderId="173" applyNumberFormat="0" applyFill="0" applyAlignment="0" applyProtection="0"/>
    <xf numFmtId="0" fontId="52" fillId="19" borderId="162" applyNumberFormat="0" applyAlignment="0" applyProtection="0"/>
    <xf numFmtId="0" fontId="59" fillId="10" borderId="170" applyNumberFormat="0" applyAlignment="0" applyProtection="0"/>
    <xf numFmtId="0" fontId="22" fillId="7" borderId="179" applyNumberFormat="0" applyFont="0" applyAlignment="0" applyProtection="0"/>
    <xf numFmtId="0" fontId="22" fillId="7" borderId="171" applyNumberFormat="0" applyFont="0" applyAlignment="0" applyProtection="0"/>
    <xf numFmtId="0" fontId="52" fillId="19" borderId="178" applyNumberFormat="0" applyAlignment="0" applyProtection="0"/>
    <xf numFmtId="0" fontId="62" fillId="19" borderId="160" applyNumberFormat="0" applyAlignment="0" applyProtection="0"/>
    <xf numFmtId="0" fontId="62" fillId="19" borderId="164" applyNumberFormat="0" applyAlignment="0" applyProtection="0"/>
    <xf numFmtId="0" fontId="64" fillId="0" borderId="185" applyNumberFormat="0" applyFill="0" applyAlignment="0" applyProtection="0"/>
    <xf numFmtId="0" fontId="62" fillId="19" borderId="184" applyNumberFormat="0" applyAlignment="0" applyProtection="0"/>
    <xf numFmtId="0" fontId="62" fillId="19" borderId="164" applyNumberFormat="0" applyAlignment="0" applyProtection="0"/>
    <xf numFmtId="0" fontId="64" fillId="0" borderId="165" applyNumberFormat="0" applyFill="0" applyAlignment="0" applyProtection="0"/>
    <xf numFmtId="0" fontId="59" fillId="10" borderId="158" applyNumberFormat="0" applyAlignment="0" applyProtection="0"/>
    <xf numFmtId="0" fontId="52" fillId="19" borderId="150" applyNumberFormat="0" applyAlignment="0" applyProtection="0"/>
    <xf numFmtId="0" fontId="52" fillId="19" borderId="150" applyNumberFormat="0" applyAlignment="0" applyProtection="0"/>
    <xf numFmtId="0" fontId="64" fillId="0" borderId="165" applyNumberFormat="0" applyFill="0" applyAlignment="0" applyProtection="0"/>
    <xf numFmtId="0" fontId="52" fillId="19" borderId="166" applyNumberFormat="0" applyAlignment="0" applyProtection="0"/>
    <xf numFmtId="0" fontId="59" fillId="10" borderId="174" applyNumberFormat="0" applyAlignment="0" applyProtection="0"/>
    <xf numFmtId="0" fontId="64" fillId="0" borderId="165" applyNumberFormat="0" applyFill="0" applyAlignment="0" applyProtection="0"/>
    <xf numFmtId="0" fontId="59" fillId="10" borderId="166" applyNumberFormat="0" applyAlignment="0" applyProtection="0"/>
    <xf numFmtId="0" fontId="64" fillId="0" borderId="185" applyNumberFormat="0" applyFill="0" applyAlignment="0" applyProtection="0"/>
    <xf numFmtId="0" fontId="59" fillId="10" borderId="150" applyNumberFormat="0" applyAlignment="0" applyProtection="0"/>
    <xf numFmtId="0" fontId="64" fillId="0" borderId="185" applyNumberFormat="0" applyFill="0" applyAlignment="0" applyProtection="0"/>
    <xf numFmtId="0" fontId="22" fillId="7" borderId="151" applyNumberFormat="0" applyFont="0" applyAlignment="0" applyProtection="0"/>
    <xf numFmtId="0" fontId="62" fillId="19" borderId="152" applyNumberFormat="0" applyAlignment="0" applyProtection="0"/>
    <xf numFmtId="0" fontId="64" fillId="0" borderId="153" applyNumberFormat="0" applyFill="0" applyAlignment="0" applyProtection="0"/>
    <xf numFmtId="0" fontId="62" fillId="19" borderId="192" applyNumberFormat="0" applyAlignment="0" applyProtection="0"/>
    <xf numFmtId="0" fontId="52" fillId="19" borderId="170" applyNumberFormat="0" applyAlignment="0" applyProtection="0"/>
    <xf numFmtId="0" fontId="22" fillId="7" borderId="179" applyNumberFormat="0" applyFont="0" applyAlignment="0" applyProtection="0"/>
    <xf numFmtId="0" fontId="59" fillId="10" borderId="166" applyNumberFormat="0" applyAlignment="0" applyProtection="0"/>
    <xf numFmtId="0" fontId="22" fillId="7" borderId="163" applyNumberFormat="0" applyFont="0" applyAlignment="0" applyProtection="0"/>
    <xf numFmtId="0" fontId="64" fillId="0" borderId="185" applyNumberFormat="0" applyFill="0" applyAlignment="0" applyProtection="0"/>
    <xf numFmtId="0" fontId="52" fillId="19" borderId="170" applyNumberFormat="0" applyAlignment="0" applyProtection="0"/>
    <xf numFmtId="0" fontId="64" fillId="0" borderId="165" applyNumberFormat="0" applyFill="0" applyAlignment="0" applyProtection="0"/>
    <xf numFmtId="0" fontId="52" fillId="19" borderId="182" applyNumberFormat="0" applyAlignment="0" applyProtection="0"/>
    <xf numFmtId="0" fontId="62" fillId="19" borderId="164" applyNumberFormat="0" applyAlignment="0" applyProtection="0"/>
    <xf numFmtId="0" fontId="62" fillId="19" borderId="184" applyNumberFormat="0" applyAlignment="0" applyProtection="0"/>
    <xf numFmtId="0" fontId="22" fillId="7" borderId="163" applyNumberFormat="0" applyFont="0" applyAlignment="0" applyProtection="0"/>
    <xf numFmtId="0" fontId="62" fillId="19" borderId="172" applyNumberFormat="0" applyAlignment="0" applyProtection="0"/>
    <xf numFmtId="0" fontId="64" fillId="0" borderId="169" applyNumberFormat="0" applyFill="0" applyAlignment="0" applyProtection="0"/>
    <xf numFmtId="0" fontId="59" fillId="10" borderId="178" applyNumberFormat="0" applyAlignment="0" applyProtection="0"/>
    <xf numFmtId="0" fontId="22" fillId="7" borderId="159" applyNumberFormat="0" applyFont="0" applyAlignment="0" applyProtection="0"/>
    <xf numFmtId="0" fontId="62" fillId="19" borderId="164" applyNumberFormat="0" applyAlignment="0" applyProtection="0"/>
    <xf numFmtId="0" fontId="59" fillId="10" borderId="170" applyNumberFormat="0" applyAlignment="0" applyProtection="0"/>
    <xf numFmtId="0" fontId="52" fillId="19" borderId="174" applyNumberFormat="0" applyAlignment="0" applyProtection="0"/>
    <xf numFmtId="0" fontId="52" fillId="19" borderId="186" applyNumberFormat="0" applyAlignment="0" applyProtection="0"/>
    <xf numFmtId="0" fontId="64" fillId="0" borderId="173" applyNumberFormat="0" applyFill="0" applyAlignment="0" applyProtection="0"/>
    <xf numFmtId="0" fontId="64" fillId="0" borderId="173" applyNumberFormat="0" applyFill="0" applyAlignment="0" applyProtection="0"/>
    <xf numFmtId="0" fontId="62" fillId="19" borderId="164" applyNumberFormat="0" applyAlignment="0" applyProtection="0"/>
    <xf numFmtId="0" fontId="62" fillId="19" borderId="180" applyNumberFormat="0" applyAlignment="0" applyProtection="0"/>
    <xf numFmtId="0" fontId="59" fillId="10" borderId="178" applyNumberFormat="0" applyAlignment="0" applyProtection="0"/>
    <xf numFmtId="0" fontId="64" fillId="0" borderId="185" applyNumberFormat="0" applyFill="0" applyAlignment="0" applyProtection="0"/>
    <xf numFmtId="0" fontId="59" fillId="10" borderId="158" applyNumberFormat="0" applyAlignment="0" applyProtection="0"/>
    <xf numFmtId="0" fontId="52" fillId="19" borderId="162" applyNumberFormat="0" applyAlignment="0" applyProtection="0"/>
    <xf numFmtId="0" fontId="59" fillId="10" borderId="174" applyNumberFormat="0" applyAlignment="0" applyProtection="0"/>
    <xf numFmtId="0" fontId="62" fillId="19" borderId="164" applyNumberFormat="0" applyAlignment="0" applyProtection="0"/>
    <xf numFmtId="0" fontId="64" fillId="0" borderId="193" applyNumberFormat="0" applyFill="0" applyAlignment="0" applyProtection="0"/>
    <xf numFmtId="0" fontId="64" fillId="0" borderId="173" applyNumberFormat="0" applyFill="0" applyAlignment="0" applyProtection="0"/>
    <xf numFmtId="0" fontId="62" fillId="19" borderId="164" applyNumberFormat="0" applyAlignment="0" applyProtection="0"/>
    <xf numFmtId="0" fontId="64" fillId="0" borderId="165" applyNumberFormat="0" applyFill="0" applyAlignment="0" applyProtection="0"/>
    <xf numFmtId="0" fontId="22" fillId="7" borderId="183" applyNumberFormat="0" applyFont="0" applyAlignment="0" applyProtection="0"/>
    <xf numFmtId="0" fontId="62" fillId="19" borderId="172" applyNumberFormat="0" applyAlignment="0" applyProtection="0"/>
    <xf numFmtId="0" fontId="64" fillId="0" borderId="165" applyNumberFormat="0" applyFill="0" applyAlignment="0" applyProtection="0"/>
    <xf numFmtId="0" fontId="59" fillId="10" borderId="158" applyNumberFormat="0" applyAlignment="0" applyProtection="0"/>
    <xf numFmtId="0" fontId="22" fillId="7" borderId="183" applyNumberFormat="0" applyFont="0" applyAlignment="0" applyProtection="0"/>
    <xf numFmtId="0" fontId="64" fillId="0" borderId="177" applyNumberFormat="0" applyFill="0" applyAlignment="0" applyProtection="0"/>
    <xf numFmtId="0" fontId="59" fillId="10" borderId="170" applyNumberFormat="0" applyAlignment="0" applyProtection="0"/>
    <xf numFmtId="0" fontId="62" fillId="19" borderId="192" applyNumberFormat="0" applyAlignment="0" applyProtection="0"/>
    <xf numFmtId="0" fontId="64" fillId="0" borderId="185" applyNumberFormat="0" applyFill="0" applyAlignment="0" applyProtection="0"/>
    <xf numFmtId="0" fontId="52" fillId="19" borderId="170" applyNumberFormat="0" applyAlignment="0" applyProtection="0"/>
    <xf numFmtId="0" fontId="64" fillId="0" borderId="173" applyNumberFormat="0" applyFill="0" applyAlignment="0" applyProtection="0"/>
    <xf numFmtId="0" fontId="64" fillId="0" borderId="165" applyNumberFormat="0" applyFill="0" applyAlignment="0" applyProtection="0"/>
    <xf numFmtId="0" fontId="64" fillId="0" borderId="173" applyNumberFormat="0" applyFill="0" applyAlignment="0" applyProtection="0"/>
    <xf numFmtId="0" fontId="22" fillId="7" borderId="191" applyNumberFormat="0" applyFont="0" applyAlignment="0" applyProtection="0"/>
    <xf numFmtId="0" fontId="62" fillId="19" borderId="164" applyNumberFormat="0" applyAlignment="0" applyProtection="0"/>
    <xf numFmtId="0" fontId="62" fillId="19" borderId="164" applyNumberFormat="0" applyAlignment="0" applyProtection="0"/>
    <xf numFmtId="0" fontId="62" fillId="19" borderId="160" applyNumberFormat="0" applyAlignment="0" applyProtection="0"/>
    <xf numFmtId="0" fontId="52" fillId="19" borderId="162" applyNumberFormat="0" applyAlignment="0" applyProtection="0"/>
    <xf numFmtId="0" fontId="59" fillId="10" borderId="170" applyNumberFormat="0" applyAlignment="0" applyProtection="0"/>
    <xf numFmtId="0" fontId="52" fillId="19" borderId="162" applyNumberFormat="0" applyAlignment="0" applyProtection="0"/>
    <xf numFmtId="0" fontId="22" fillId="7" borderId="191" applyNumberFormat="0" applyFont="0" applyAlignment="0" applyProtection="0"/>
    <xf numFmtId="0" fontId="52" fillId="19" borderId="158" applyNumberFormat="0" applyAlignment="0" applyProtection="0"/>
    <xf numFmtId="0" fontId="22" fillId="7" borderId="167" applyNumberFormat="0" applyFont="0" applyAlignment="0" applyProtection="0"/>
    <xf numFmtId="0" fontId="64" fillId="0" borderId="181" applyNumberFormat="0" applyFill="0" applyAlignment="0" applyProtection="0"/>
    <xf numFmtId="0" fontId="52" fillId="19" borderId="182" applyNumberFormat="0" applyAlignment="0" applyProtection="0"/>
    <xf numFmtId="0" fontId="52" fillId="19" borderId="178" applyNumberFormat="0" applyAlignment="0" applyProtection="0"/>
    <xf numFmtId="0" fontId="59" fillId="10" borderId="170" applyNumberFormat="0" applyAlignment="0" applyProtection="0"/>
    <xf numFmtId="0" fontId="52" fillId="19" borderId="170" applyNumberFormat="0" applyAlignment="0" applyProtection="0"/>
    <xf numFmtId="0" fontId="22" fillId="7" borderId="171" applyNumberFormat="0" applyFont="0" applyAlignment="0" applyProtection="0"/>
    <xf numFmtId="0" fontId="59" fillId="10" borderId="178" applyNumberFormat="0" applyAlignment="0" applyProtection="0"/>
    <xf numFmtId="0" fontId="59" fillId="10" borderId="166"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62" fillId="19" borderId="164" applyNumberFormat="0" applyAlignment="0" applyProtection="0"/>
    <xf numFmtId="0" fontId="59" fillId="10" borderId="162" applyNumberFormat="0" applyAlignment="0" applyProtection="0"/>
    <xf numFmtId="0" fontId="62" fillId="19" borderId="172" applyNumberFormat="0" applyAlignment="0" applyProtection="0"/>
    <xf numFmtId="0" fontId="22" fillId="7" borderId="171" applyNumberFormat="0" applyFont="0" applyAlignment="0" applyProtection="0"/>
    <xf numFmtId="0" fontId="52" fillId="19" borderId="150" applyNumberFormat="0" applyAlignment="0" applyProtection="0"/>
    <xf numFmtId="0" fontId="64" fillId="0" borderId="165" applyNumberFormat="0" applyFill="0" applyAlignment="0" applyProtection="0"/>
    <xf numFmtId="0" fontId="59" fillId="10" borderId="150" applyNumberFormat="0" applyAlignment="0" applyProtection="0"/>
    <xf numFmtId="0" fontId="22" fillId="7" borderId="151" applyNumberFormat="0" applyFont="0" applyAlignment="0" applyProtection="0"/>
    <xf numFmtId="0" fontId="62" fillId="19" borderId="152" applyNumberFormat="0" applyAlignment="0" applyProtection="0"/>
    <xf numFmtId="0" fontId="64" fillId="0" borderId="153" applyNumberFormat="0" applyFill="0" applyAlignment="0" applyProtection="0"/>
    <xf numFmtId="0" fontId="22" fillId="7" borderId="151" applyNumberFormat="0" applyFont="0" applyAlignment="0" applyProtection="0"/>
    <xf numFmtId="0" fontId="52" fillId="19" borderId="150" applyNumberFormat="0" applyAlignment="0" applyProtection="0"/>
    <xf numFmtId="0" fontId="62" fillId="19" borderId="164" applyNumberFormat="0" applyAlignment="0" applyProtection="0"/>
    <xf numFmtId="0" fontId="62" fillId="19" borderId="152" applyNumberFormat="0" applyAlignment="0" applyProtection="0"/>
    <xf numFmtId="0" fontId="59" fillId="10" borderId="150" applyNumberFormat="0" applyAlignment="0" applyProtection="0"/>
    <xf numFmtId="0" fontId="52" fillId="19" borderId="150" applyNumberFormat="0" applyAlignment="0" applyProtection="0"/>
    <xf numFmtId="0" fontId="52" fillId="19" borderId="150" applyNumberFormat="0" applyAlignment="0" applyProtection="0"/>
    <xf numFmtId="0" fontId="59" fillId="10" borderId="150" applyNumberFormat="0" applyAlignment="0" applyProtection="0"/>
    <xf numFmtId="0" fontId="22" fillId="7" borderId="159" applyNumberFormat="0" applyFont="0" applyAlignment="0" applyProtection="0"/>
    <xf numFmtId="0" fontId="59" fillId="10" borderId="150" applyNumberFormat="0" applyAlignment="0" applyProtection="0"/>
    <xf numFmtId="0" fontId="52" fillId="19" borderId="150" applyNumberFormat="0" applyAlignment="0" applyProtection="0"/>
    <xf numFmtId="0" fontId="22" fillId="7" borderId="151" applyNumberFormat="0" applyFont="0" applyAlignment="0" applyProtection="0"/>
    <xf numFmtId="0" fontId="62" fillId="19" borderId="152" applyNumberFormat="0" applyAlignment="0" applyProtection="0"/>
    <xf numFmtId="0" fontId="64" fillId="0" borderId="153" applyNumberFormat="0" applyFill="0" applyAlignment="0" applyProtection="0"/>
    <xf numFmtId="0" fontId="62" fillId="19" borderId="152" applyNumberFormat="0" applyAlignment="0" applyProtection="0"/>
    <xf numFmtId="0" fontId="62" fillId="19" borderId="152" applyNumberFormat="0" applyAlignment="0" applyProtection="0"/>
    <xf numFmtId="0" fontId="59" fillId="10" borderId="150" applyNumberFormat="0" applyAlignment="0" applyProtection="0"/>
    <xf numFmtId="0" fontId="22" fillId="7" borderId="151" applyNumberFormat="0" applyFont="0" applyAlignment="0" applyProtection="0"/>
    <xf numFmtId="0" fontId="62" fillId="19" borderId="152" applyNumberFormat="0" applyAlignment="0" applyProtection="0"/>
    <xf numFmtId="0" fontId="64" fillId="0" borderId="153" applyNumberFormat="0" applyFill="0" applyAlignment="0" applyProtection="0"/>
    <xf numFmtId="0" fontId="64" fillId="0" borderId="153" applyNumberFormat="0" applyFill="0" applyAlignment="0" applyProtection="0"/>
    <xf numFmtId="0" fontId="22" fillId="7" borderId="151" applyNumberFormat="0" applyFont="0" applyAlignment="0" applyProtection="0"/>
    <xf numFmtId="0" fontId="64" fillId="0" borderId="153" applyNumberFormat="0" applyFill="0" applyAlignment="0" applyProtection="0"/>
    <xf numFmtId="0" fontId="22" fillId="7" borderId="151" applyNumberFormat="0" applyFont="0" applyAlignment="0" applyProtection="0"/>
    <xf numFmtId="0" fontId="59" fillId="10" borderId="150" applyNumberFormat="0" applyAlignment="0" applyProtection="0"/>
    <xf numFmtId="0" fontId="62" fillId="19" borderId="152" applyNumberFormat="0" applyAlignment="0" applyProtection="0"/>
    <xf numFmtId="0" fontId="64" fillId="0" borderId="153" applyNumberFormat="0" applyFill="0" applyAlignment="0" applyProtection="0"/>
    <xf numFmtId="0" fontId="62" fillId="19" borderId="152" applyNumberFormat="0" applyAlignment="0" applyProtection="0"/>
    <xf numFmtId="0" fontId="59" fillId="10" borderId="150" applyNumberFormat="0" applyAlignment="0" applyProtection="0"/>
    <xf numFmtId="0" fontId="22" fillId="7" borderId="151" applyNumberFormat="0" applyFont="0" applyAlignment="0" applyProtection="0"/>
    <xf numFmtId="0" fontId="22" fillId="7" borderId="151" applyNumberFormat="0" applyFont="0" applyAlignment="0" applyProtection="0"/>
    <xf numFmtId="0" fontId="64" fillId="0" borderId="153" applyNumberFormat="0" applyFill="0" applyAlignment="0" applyProtection="0"/>
    <xf numFmtId="0" fontId="64" fillId="0" borderId="153" applyNumberFormat="0" applyFill="0" applyAlignment="0" applyProtection="0"/>
    <xf numFmtId="0" fontId="52" fillId="19" borderId="150" applyNumberFormat="0" applyAlignment="0" applyProtection="0"/>
    <xf numFmtId="0" fontId="59" fillId="10" borderId="150" applyNumberFormat="0" applyAlignment="0" applyProtection="0"/>
    <xf numFmtId="0" fontId="52" fillId="19" borderId="150" applyNumberFormat="0" applyAlignment="0" applyProtection="0"/>
    <xf numFmtId="0" fontId="52" fillId="19" borderId="150" applyNumberFormat="0" applyAlignment="0" applyProtection="0"/>
    <xf numFmtId="0" fontId="22" fillId="7" borderId="179" applyNumberFormat="0" applyFont="0" applyAlignment="0" applyProtection="0"/>
    <xf numFmtId="0" fontId="52" fillId="19" borderId="150" applyNumberFormat="0" applyAlignment="0" applyProtection="0"/>
    <xf numFmtId="0" fontId="59" fillId="10" borderId="182" applyNumberFormat="0" applyAlignment="0" applyProtection="0"/>
    <xf numFmtId="0" fontId="59" fillId="10" borderId="162" applyNumberFormat="0" applyAlignment="0" applyProtection="0"/>
    <xf numFmtId="0" fontId="62" fillId="19" borderId="184" applyNumberFormat="0" applyAlignment="0" applyProtection="0"/>
    <xf numFmtId="0" fontId="59" fillId="10" borderId="150" applyNumberFormat="0" applyAlignment="0" applyProtection="0"/>
    <xf numFmtId="0" fontId="22" fillId="7" borderId="151" applyNumberFormat="0" applyFont="0" applyAlignment="0" applyProtection="0"/>
    <xf numFmtId="0" fontId="62" fillId="19" borderId="152" applyNumberFormat="0" applyAlignment="0" applyProtection="0"/>
    <xf numFmtId="0" fontId="64" fillId="0" borderId="153" applyNumberFormat="0" applyFill="0" applyAlignment="0" applyProtection="0"/>
    <xf numFmtId="0" fontId="59" fillId="10" borderId="178" applyNumberFormat="0" applyAlignment="0" applyProtection="0"/>
    <xf numFmtId="0" fontId="52" fillId="19" borderId="162" applyNumberFormat="0" applyAlignment="0" applyProtection="0"/>
    <xf numFmtId="0" fontId="59" fillId="10" borderId="182" applyNumberFormat="0" applyAlignment="0" applyProtection="0"/>
    <xf numFmtId="0" fontId="52" fillId="19" borderId="162" applyNumberFormat="0" applyAlignment="0" applyProtection="0"/>
    <xf numFmtId="0" fontId="59" fillId="10" borderId="182" applyNumberFormat="0" applyAlignment="0" applyProtection="0"/>
    <xf numFmtId="0" fontId="64" fillId="0" borderId="169" applyNumberFormat="0" applyFill="0" applyAlignment="0" applyProtection="0"/>
    <xf numFmtId="0" fontId="62" fillId="19" borderId="168" applyNumberFormat="0" applyAlignment="0" applyProtection="0"/>
    <xf numFmtId="0" fontId="52" fillId="19" borderId="162" applyNumberFormat="0" applyAlignment="0" applyProtection="0"/>
    <xf numFmtId="0" fontId="22" fillId="7" borderId="167" applyNumberFormat="0" applyFont="0" applyAlignment="0" applyProtection="0"/>
    <xf numFmtId="0" fontId="64" fillId="0" borderId="165" applyNumberFormat="0" applyFill="0" applyAlignment="0" applyProtection="0"/>
    <xf numFmtId="0" fontId="59" fillId="10" borderId="170" applyNumberFormat="0" applyAlignment="0" applyProtection="0"/>
    <xf numFmtId="0" fontId="64" fillId="0" borderId="189" applyNumberFormat="0" applyFill="0" applyAlignment="0" applyProtection="0"/>
    <xf numFmtId="0" fontId="62" fillId="19" borderId="180" applyNumberFormat="0" applyAlignment="0" applyProtection="0"/>
    <xf numFmtId="0" fontId="59" fillId="10" borderId="190" applyNumberFormat="0" applyAlignment="0" applyProtection="0"/>
    <xf numFmtId="0" fontId="22" fillId="7" borderId="171" applyNumberFormat="0" applyFont="0" applyAlignment="0" applyProtection="0"/>
    <xf numFmtId="0" fontId="62" fillId="19" borderId="176" applyNumberFormat="0" applyAlignment="0" applyProtection="0"/>
    <xf numFmtId="0" fontId="52" fillId="19" borderId="178" applyNumberFormat="0" applyAlignment="0" applyProtection="0"/>
    <xf numFmtId="0" fontId="52" fillId="19" borderId="182" applyNumberFormat="0" applyAlignment="0" applyProtection="0"/>
    <xf numFmtId="0" fontId="64" fillId="0" borderId="161" applyNumberFormat="0" applyFill="0" applyAlignment="0" applyProtection="0"/>
    <xf numFmtId="0" fontId="62" fillId="19" borderId="180" applyNumberFormat="0" applyAlignment="0" applyProtection="0"/>
    <xf numFmtId="0" fontId="59" fillId="10" borderId="162" applyNumberFormat="0" applyAlignment="0" applyProtection="0"/>
    <xf numFmtId="0" fontId="59" fillId="10" borderId="166" applyNumberFormat="0" applyAlignment="0" applyProtection="0"/>
    <xf numFmtId="0" fontId="52" fillId="19" borderId="162" applyNumberFormat="0" applyAlignment="0" applyProtection="0"/>
    <xf numFmtId="0" fontId="52" fillId="19" borderId="174" applyNumberFormat="0" applyAlignment="0" applyProtection="0"/>
    <xf numFmtId="0" fontId="59" fillId="10" borderId="182" applyNumberFormat="0" applyAlignment="0" applyProtection="0"/>
    <xf numFmtId="0" fontId="64" fillId="0" borderId="165" applyNumberFormat="0" applyFill="0" applyAlignment="0" applyProtection="0"/>
    <xf numFmtId="0" fontId="64" fillId="0" borderId="165" applyNumberFormat="0" applyFill="0" applyAlignment="0" applyProtection="0"/>
    <xf numFmtId="0" fontId="62" fillId="19" borderId="172" applyNumberFormat="0" applyAlignment="0" applyProtection="0"/>
    <xf numFmtId="0" fontId="62" fillId="19" borderId="160" applyNumberFormat="0" applyAlignment="0" applyProtection="0"/>
    <xf numFmtId="0" fontId="22" fillId="7" borderId="163" applyNumberFormat="0" applyFont="0" applyAlignment="0" applyProtection="0"/>
    <xf numFmtId="0" fontId="52" fillId="19" borderId="170" applyNumberFormat="0" applyAlignment="0" applyProtection="0"/>
    <xf numFmtId="0" fontId="59" fillId="10" borderId="178" applyNumberFormat="0" applyAlignment="0" applyProtection="0"/>
    <xf numFmtId="0" fontId="52" fillId="19" borderId="162" applyNumberFormat="0" applyAlignment="0" applyProtection="0"/>
    <xf numFmtId="0" fontId="62" fillId="19" borderId="172" applyNumberFormat="0" applyAlignment="0" applyProtection="0"/>
    <xf numFmtId="0" fontId="59" fillId="10" borderId="178" applyNumberFormat="0" applyAlignment="0" applyProtection="0"/>
    <xf numFmtId="0" fontId="62" fillId="19" borderId="164" applyNumberFormat="0" applyAlignment="0" applyProtection="0"/>
    <xf numFmtId="0" fontId="52" fillId="19" borderId="162" applyNumberFormat="0" applyAlignment="0" applyProtection="0"/>
    <xf numFmtId="0" fontId="64" fillId="0" borderId="165" applyNumberFormat="0" applyFill="0" applyAlignment="0" applyProtection="0"/>
    <xf numFmtId="0" fontId="52" fillId="19" borderId="162" applyNumberFormat="0" applyAlignment="0" applyProtection="0"/>
    <xf numFmtId="0" fontId="62" fillId="19" borderId="164" applyNumberFormat="0" applyAlignment="0" applyProtection="0"/>
    <xf numFmtId="0" fontId="64" fillId="0" borderId="181" applyNumberFormat="0" applyFill="0" applyAlignment="0" applyProtection="0"/>
    <xf numFmtId="0" fontId="52" fillId="19" borderId="158" applyNumberFormat="0" applyAlignment="0" applyProtection="0"/>
    <xf numFmtId="0" fontId="59" fillId="10" borderId="182" applyNumberFormat="0" applyAlignment="0" applyProtection="0"/>
    <xf numFmtId="0" fontId="59" fillId="10" borderId="170" applyNumberFormat="0" applyAlignment="0" applyProtection="0"/>
    <xf numFmtId="0" fontId="22" fillId="7" borderId="171" applyNumberFormat="0" applyFont="0" applyAlignment="0" applyProtection="0"/>
    <xf numFmtId="0" fontId="52" fillId="19" borderId="162" applyNumberFormat="0" applyAlignment="0" applyProtection="0"/>
    <xf numFmtId="0" fontId="22" fillId="7" borderId="179" applyNumberFormat="0" applyFont="0" applyAlignment="0" applyProtection="0"/>
    <xf numFmtId="0" fontId="52" fillId="19" borderId="178" applyNumberFormat="0" applyAlignment="0" applyProtection="0"/>
    <xf numFmtId="0" fontId="59" fillId="10" borderId="178" applyNumberFormat="0" applyAlignment="0" applyProtection="0"/>
    <xf numFmtId="0" fontId="52" fillId="19" borderId="166" applyNumberFormat="0" applyAlignment="0" applyProtection="0"/>
    <xf numFmtId="0" fontId="64" fillId="0" borderId="173" applyNumberFormat="0" applyFill="0" applyAlignment="0" applyProtection="0"/>
    <xf numFmtId="0" fontId="52" fillId="19" borderId="158" applyNumberFormat="0" applyAlignment="0" applyProtection="0"/>
    <xf numFmtId="0" fontId="52" fillId="19" borderId="170" applyNumberFormat="0" applyAlignment="0" applyProtection="0"/>
    <xf numFmtId="0" fontId="52" fillId="19" borderId="182" applyNumberFormat="0" applyAlignment="0" applyProtection="0"/>
    <xf numFmtId="0" fontId="64" fillId="0" borderId="185" applyNumberFormat="0" applyFill="0" applyAlignment="0" applyProtection="0"/>
    <xf numFmtId="0" fontId="22" fillId="7" borderId="163" applyNumberFormat="0" applyFont="0" applyAlignment="0" applyProtection="0"/>
    <xf numFmtId="0" fontId="59" fillId="10" borderId="190" applyNumberFormat="0" applyAlignment="0" applyProtection="0"/>
    <xf numFmtId="0" fontId="64" fillId="0" borderId="169" applyNumberFormat="0" applyFill="0" applyAlignment="0" applyProtection="0"/>
    <xf numFmtId="0" fontId="64" fillId="0" borderId="181" applyNumberFormat="0" applyFill="0" applyAlignment="0" applyProtection="0"/>
    <xf numFmtId="0" fontId="52" fillId="19" borderId="162" applyNumberFormat="0" applyAlignment="0" applyProtection="0"/>
    <xf numFmtId="0" fontId="52" fillId="19" borderId="170" applyNumberFormat="0" applyAlignment="0" applyProtection="0"/>
    <xf numFmtId="0" fontId="52" fillId="19" borderId="182" applyNumberFormat="0" applyAlignment="0" applyProtection="0"/>
    <xf numFmtId="0" fontId="62" fillId="19" borderId="180" applyNumberFormat="0" applyAlignment="0" applyProtection="0"/>
    <xf numFmtId="0" fontId="22" fillId="7" borderId="179" applyNumberFormat="0" applyFont="0" applyAlignment="0" applyProtection="0"/>
    <xf numFmtId="0" fontId="52" fillId="19" borderId="162" applyNumberFormat="0" applyAlignment="0" applyProtection="0"/>
    <xf numFmtId="0" fontId="52" fillId="19" borderId="150" applyNumberFormat="0" applyAlignment="0" applyProtection="0"/>
    <xf numFmtId="0" fontId="62" fillId="19" borderId="164" applyNumberFormat="0" applyAlignment="0" applyProtection="0"/>
    <xf numFmtId="0" fontId="59" fillId="10" borderId="150" applyNumberFormat="0" applyAlignment="0" applyProtection="0"/>
    <xf numFmtId="0" fontId="22" fillId="7" borderId="151" applyNumberFormat="0" applyFont="0" applyAlignment="0" applyProtection="0"/>
    <xf numFmtId="0" fontId="62" fillId="19" borderId="152" applyNumberFormat="0" applyAlignment="0" applyProtection="0"/>
    <xf numFmtId="0" fontId="64" fillId="0" borderId="153" applyNumberFormat="0" applyFill="0" applyAlignment="0" applyProtection="0"/>
    <xf numFmtId="0" fontId="22" fillId="7" borderId="151" applyNumberFormat="0" applyFont="0" applyAlignment="0" applyProtection="0"/>
    <xf numFmtId="0" fontId="52" fillId="19" borderId="150" applyNumberFormat="0" applyAlignment="0" applyProtection="0"/>
    <xf numFmtId="0" fontId="62" fillId="19" borderId="168" applyNumberFormat="0" applyAlignment="0" applyProtection="0"/>
    <xf numFmtId="0" fontId="62" fillId="19" borderId="152" applyNumberFormat="0" applyAlignment="0" applyProtection="0"/>
    <xf numFmtId="0" fontId="59" fillId="10" borderId="150" applyNumberFormat="0" applyAlignment="0" applyProtection="0"/>
    <xf numFmtId="0" fontId="52" fillId="19" borderId="150" applyNumberFormat="0" applyAlignment="0" applyProtection="0"/>
    <xf numFmtId="0" fontId="52" fillId="19" borderId="150" applyNumberFormat="0" applyAlignment="0" applyProtection="0"/>
    <xf numFmtId="0" fontId="59" fillId="10" borderId="150" applyNumberFormat="0" applyAlignment="0" applyProtection="0"/>
    <xf numFmtId="0" fontId="64" fillId="0" borderId="173" applyNumberFormat="0" applyFill="0" applyAlignment="0" applyProtection="0"/>
    <xf numFmtId="0" fontId="59" fillId="10" borderId="150" applyNumberFormat="0" applyAlignment="0" applyProtection="0"/>
    <xf numFmtId="0" fontId="52" fillId="19" borderId="150" applyNumberFormat="0" applyAlignment="0" applyProtection="0"/>
    <xf numFmtId="0" fontId="22" fillId="7" borderId="151" applyNumberFormat="0" applyFont="0" applyAlignment="0" applyProtection="0"/>
    <xf numFmtId="0" fontId="62" fillId="19" borderId="152" applyNumberFormat="0" applyAlignment="0" applyProtection="0"/>
    <xf numFmtId="0" fontId="64" fillId="0" borderId="153" applyNumberFormat="0" applyFill="0" applyAlignment="0" applyProtection="0"/>
    <xf numFmtId="0" fontId="62" fillId="19" borderId="152" applyNumberFormat="0" applyAlignment="0" applyProtection="0"/>
    <xf numFmtId="0" fontId="62" fillId="19" borderId="152" applyNumberFormat="0" applyAlignment="0" applyProtection="0"/>
    <xf numFmtId="0" fontId="59" fillId="10" borderId="150" applyNumberFormat="0" applyAlignment="0" applyProtection="0"/>
    <xf numFmtId="0" fontId="22" fillId="7" borderId="151" applyNumberFormat="0" applyFont="0" applyAlignment="0" applyProtection="0"/>
    <xf numFmtId="0" fontId="62" fillId="19" borderId="152" applyNumberFormat="0" applyAlignment="0" applyProtection="0"/>
    <xf numFmtId="0" fontId="64" fillId="0" borderId="153" applyNumberFormat="0" applyFill="0" applyAlignment="0" applyProtection="0"/>
    <xf numFmtId="0" fontId="64" fillId="0" borderId="153" applyNumberFormat="0" applyFill="0" applyAlignment="0" applyProtection="0"/>
    <xf numFmtId="0" fontId="22" fillId="7" borderId="151" applyNumberFormat="0" applyFont="0" applyAlignment="0" applyProtection="0"/>
    <xf numFmtId="0" fontId="64" fillId="0" borderId="153" applyNumberFormat="0" applyFill="0" applyAlignment="0" applyProtection="0"/>
    <xf numFmtId="0" fontId="22" fillId="7" borderId="151" applyNumberFormat="0" applyFont="0" applyAlignment="0" applyProtection="0"/>
    <xf numFmtId="0" fontId="59" fillId="10" borderId="150" applyNumberFormat="0" applyAlignment="0" applyProtection="0"/>
    <xf numFmtId="0" fontId="62" fillId="19" borderId="152" applyNumberFormat="0" applyAlignment="0" applyProtection="0"/>
    <xf numFmtId="0" fontId="64" fillId="0" borderId="153" applyNumberFormat="0" applyFill="0" applyAlignment="0" applyProtection="0"/>
    <xf numFmtId="0" fontId="62" fillId="19" borderId="152" applyNumberFormat="0" applyAlignment="0" applyProtection="0"/>
    <xf numFmtId="0" fontId="59" fillId="10" borderId="150" applyNumberFormat="0" applyAlignment="0" applyProtection="0"/>
    <xf numFmtId="0" fontId="22" fillId="7" borderId="151" applyNumberFormat="0" applyFont="0" applyAlignment="0" applyProtection="0"/>
    <xf numFmtId="0" fontId="22" fillId="7" borderId="151" applyNumberFormat="0" applyFont="0" applyAlignment="0" applyProtection="0"/>
    <xf numFmtId="0" fontId="64" fillId="0" borderId="153" applyNumberFormat="0" applyFill="0" applyAlignment="0" applyProtection="0"/>
    <xf numFmtId="0" fontId="64" fillId="0" borderId="153" applyNumberFormat="0" applyFill="0" applyAlignment="0" applyProtection="0"/>
    <xf numFmtId="0" fontId="52" fillId="19" borderId="150" applyNumberFormat="0" applyAlignment="0" applyProtection="0"/>
    <xf numFmtId="0" fontId="59" fillId="10" borderId="150" applyNumberFormat="0" applyAlignment="0" applyProtection="0"/>
    <xf numFmtId="0" fontId="52" fillId="19" borderId="150" applyNumberFormat="0" applyAlignment="0" applyProtection="0"/>
    <xf numFmtId="0" fontId="52" fillId="19" borderId="150" applyNumberFormat="0" applyAlignment="0" applyProtection="0"/>
    <xf numFmtId="0" fontId="52" fillId="19" borderId="150" applyNumberFormat="0" applyAlignment="0" applyProtection="0"/>
    <xf numFmtId="0" fontId="64" fillId="0" borderId="173" applyNumberFormat="0" applyFill="0" applyAlignment="0" applyProtection="0"/>
    <xf numFmtId="0" fontId="62" fillId="19" borderId="168" applyNumberFormat="0" applyAlignment="0" applyProtection="0"/>
    <xf numFmtId="0" fontId="59" fillId="10" borderId="170" applyNumberFormat="0" applyAlignment="0" applyProtection="0"/>
    <xf numFmtId="0" fontId="59" fillId="10" borderId="150" applyNumberFormat="0" applyAlignment="0" applyProtection="0"/>
    <xf numFmtId="0" fontId="22" fillId="7" borderId="151" applyNumberFormat="0" applyFont="0" applyAlignment="0" applyProtection="0"/>
    <xf numFmtId="0" fontId="62" fillId="19" borderId="152" applyNumberFormat="0" applyAlignment="0" applyProtection="0"/>
    <xf numFmtId="0" fontId="22" fillId="7" borderId="171" applyNumberFormat="0" applyFont="0" applyAlignment="0" applyProtection="0"/>
    <xf numFmtId="0" fontId="64" fillId="0" borderId="153" applyNumberFormat="0" applyFill="0" applyAlignment="0" applyProtection="0"/>
    <xf numFmtId="0" fontId="62" fillId="19" borderId="180" applyNumberFormat="0" applyAlignment="0" applyProtection="0"/>
    <xf numFmtId="0" fontId="22" fillId="7" borderId="179" applyNumberFormat="0" applyFont="0" applyAlignment="0" applyProtection="0"/>
    <xf numFmtId="0" fontId="52" fillId="19" borderId="166" applyNumberFormat="0" applyAlignment="0" applyProtection="0"/>
    <xf numFmtId="0" fontId="52" fillId="19" borderId="162" applyNumberFormat="0" applyAlignment="0" applyProtection="0"/>
    <xf numFmtId="0" fontId="59" fillId="10" borderId="166" applyNumberFormat="0" applyAlignment="0" applyProtection="0"/>
    <xf numFmtId="0" fontId="64" fillId="0" borderId="185" applyNumberFormat="0" applyFill="0" applyAlignment="0" applyProtection="0"/>
    <xf numFmtId="0" fontId="59" fillId="10" borderId="162" applyNumberFormat="0" applyAlignment="0" applyProtection="0"/>
    <xf numFmtId="0" fontId="59" fillId="10" borderId="170" applyNumberFormat="0" applyAlignment="0" applyProtection="0"/>
    <xf numFmtId="0" fontId="22" fillId="7" borderId="191" applyNumberFormat="0" applyFont="0" applyAlignment="0" applyProtection="0"/>
    <xf numFmtId="0" fontId="22" fillId="7" borderId="163" applyNumberFormat="0" applyFont="0" applyAlignment="0" applyProtection="0"/>
    <xf numFmtId="0" fontId="59" fillId="10" borderId="182" applyNumberFormat="0" applyAlignment="0" applyProtection="0"/>
    <xf numFmtId="0" fontId="22" fillId="7" borderId="163" applyNumberFormat="0" applyFont="0" applyAlignment="0" applyProtection="0"/>
    <xf numFmtId="0" fontId="22" fillId="7" borderId="159" applyNumberFormat="0" applyFont="0" applyAlignment="0" applyProtection="0"/>
    <xf numFmtId="0" fontId="59" fillId="10" borderId="182" applyNumberFormat="0" applyAlignment="0" applyProtection="0"/>
    <xf numFmtId="0" fontId="59" fillId="10" borderId="178" applyNumberFormat="0" applyAlignment="0" applyProtection="0"/>
    <xf numFmtId="0" fontId="22" fillId="7" borderId="163" applyNumberFormat="0" applyFont="0" applyAlignment="0" applyProtection="0"/>
    <xf numFmtId="0" fontId="59" fillId="10" borderId="170" applyNumberFormat="0" applyAlignment="0" applyProtection="0"/>
    <xf numFmtId="0" fontId="59" fillId="10" borderId="186" applyNumberFormat="0" applyAlignment="0" applyProtection="0"/>
    <xf numFmtId="0" fontId="62" fillId="19" borderId="164" applyNumberFormat="0" applyAlignment="0" applyProtection="0"/>
    <xf numFmtId="0" fontId="62" fillId="19" borderId="188" applyNumberFormat="0" applyAlignment="0" applyProtection="0"/>
    <xf numFmtId="0" fontId="64" fillId="0" borderId="185" applyNumberFormat="0" applyFill="0" applyAlignment="0" applyProtection="0"/>
    <xf numFmtId="0" fontId="59" fillId="10" borderId="170" applyNumberFormat="0" applyAlignment="0" applyProtection="0"/>
    <xf numFmtId="0" fontId="22" fillId="7" borderId="179" applyNumberFormat="0" applyFont="0" applyAlignment="0" applyProtection="0"/>
    <xf numFmtId="0" fontId="52" fillId="19" borderId="170" applyNumberFormat="0" applyAlignment="0" applyProtection="0"/>
    <xf numFmtId="0" fontId="62" fillId="19" borderId="160" applyNumberFormat="0" applyAlignment="0" applyProtection="0"/>
    <xf numFmtId="0" fontId="22" fillId="7" borderId="171" applyNumberFormat="0" applyFont="0" applyAlignment="0" applyProtection="0"/>
    <xf numFmtId="0" fontId="59" fillId="10" borderId="166" applyNumberFormat="0" applyAlignment="0" applyProtection="0"/>
    <xf numFmtId="0" fontId="64" fillId="0" borderId="185" applyNumberFormat="0" applyFill="0" applyAlignment="0" applyProtection="0"/>
    <xf numFmtId="0" fontId="64" fillId="0" borderId="173" applyNumberFormat="0" applyFill="0" applyAlignment="0" applyProtection="0"/>
    <xf numFmtId="0" fontId="22" fillId="7" borderId="179" applyNumberFormat="0" applyFont="0" applyAlignment="0" applyProtection="0"/>
    <xf numFmtId="0" fontId="22" fillId="7" borderId="179" applyNumberFormat="0" applyFont="0" applyAlignment="0" applyProtection="0"/>
    <xf numFmtId="0" fontId="64" fillId="0" borderId="165" applyNumberFormat="0" applyFill="0" applyAlignment="0" applyProtection="0"/>
    <xf numFmtId="0" fontId="22" fillId="7" borderId="179" applyNumberFormat="0" applyFont="0" applyAlignment="0" applyProtection="0"/>
    <xf numFmtId="0" fontId="52" fillId="19" borderId="170" applyNumberFormat="0" applyAlignment="0" applyProtection="0"/>
    <xf numFmtId="0" fontId="64" fillId="0" borderId="165" applyNumberFormat="0" applyFill="0" applyAlignment="0" applyProtection="0"/>
    <xf numFmtId="0" fontId="52" fillId="19" borderId="162" applyNumberFormat="0" applyAlignment="0" applyProtection="0"/>
    <xf numFmtId="0" fontId="22" fillId="7" borderId="183" applyNumberFormat="0" applyFont="0" applyAlignment="0" applyProtection="0"/>
    <xf numFmtId="0" fontId="64" fillId="0" borderId="161" applyNumberFormat="0" applyFill="0" applyAlignment="0" applyProtection="0"/>
    <xf numFmtId="0" fontId="62" fillId="19" borderId="176" applyNumberFormat="0" applyAlignment="0" applyProtection="0"/>
    <xf numFmtId="0" fontId="59" fillId="10" borderId="174" applyNumberFormat="0" applyAlignment="0" applyProtection="0"/>
    <xf numFmtId="0" fontId="62" fillId="19" borderId="192" applyNumberFormat="0" applyAlignment="0" applyProtection="0"/>
    <xf numFmtId="0" fontId="22" fillId="7" borderId="159" applyNumberFormat="0" applyFont="0" applyAlignment="0" applyProtection="0"/>
    <xf numFmtId="0" fontId="62" fillId="19" borderId="172" applyNumberFormat="0" applyAlignment="0" applyProtection="0"/>
    <xf numFmtId="0" fontId="22" fillId="7" borderId="179" applyNumberFormat="0" applyFont="0" applyAlignment="0" applyProtection="0"/>
    <xf numFmtId="0" fontId="64" fillId="0" borderId="181" applyNumberFormat="0" applyFill="0" applyAlignment="0" applyProtection="0"/>
    <xf numFmtId="0" fontId="52" fillId="19" borderId="178" applyNumberFormat="0" applyAlignment="0" applyProtection="0"/>
    <xf numFmtId="0" fontId="52" fillId="19" borderId="166" applyNumberFormat="0" applyAlignment="0" applyProtection="0"/>
    <xf numFmtId="0" fontId="52" fillId="19" borderId="182" applyNumberFormat="0" applyAlignment="0" applyProtection="0"/>
    <xf numFmtId="0" fontId="22" fillId="7" borderId="163" applyNumberFormat="0" applyFont="0" applyAlignment="0" applyProtection="0"/>
    <xf numFmtId="0" fontId="59" fillId="10" borderId="190" applyNumberFormat="0" applyAlignment="0" applyProtection="0"/>
    <xf numFmtId="0" fontId="59" fillId="10" borderId="162" applyNumberFormat="0" applyAlignment="0" applyProtection="0"/>
    <xf numFmtId="0" fontId="64" fillId="0" borderId="181" applyNumberFormat="0" applyFill="0" applyAlignment="0" applyProtection="0"/>
    <xf numFmtId="0" fontId="52" fillId="19" borderId="178" applyNumberFormat="0" applyAlignment="0" applyProtection="0"/>
    <xf numFmtId="0" fontId="62" fillId="19" borderId="164" applyNumberFormat="0" applyAlignment="0" applyProtection="0"/>
    <xf numFmtId="0" fontId="64" fillId="0" borderId="165" applyNumberFormat="0" applyFill="0" applyAlignment="0" applyProtection="0"/>
    <xf numFmtId="0" fontId="64" fillId="0" borderId="169" applyNumberFormat="0" applyFill="0" applyAlignment="0" applyProtection="0"/>
    <xf numFmtId="0" fontId="22" fillId="7" borderId="171" applyNumberFormat="0" applyFont="0" applyAlignment="0" applyProtection="0"/>
    <xf numFmtId="0" fontId="22" fillId="7" borderId="163" applyNumberFormat="0" applyFont="0" applyAlignment="0" applyProtection="0"/>
    <xf numFmtId="0" fontId="22" fillId="7" borderId="163" applyNumberFormat="0" applyFont="0" applyAlignment="0" applyProtection="0"/>
    <xf numFmtId="0" fontId="52" fillId="19" borderId="150" applyNumberFormat="0" applyAlignment="0" applyProtection="0"/>
    <xf numFmtId="0" fontId="59" fillId="10" borderId="182" applyNumberFormat="0" applyAlignment="0" applyProtection="0"/>
    <xf numFmtId="0" fontId="59" fillId="10" borderId="150" applyNumberFormat="0" applyAlignment="0" applyProtection="0"/>
    <xf numFmtId="0" fontId="22" fillId="7" borderId="151" applyNumberFormat="0" applyFont="0" applyAlignment="0" applyProtection="0"/>
    <xf numFmtId="0" fontId="62" fillId="19" borderId="152" applyNumberFormat="0" applyAlignment="0" applyProtection="0"/>
    <xf numFmtId="0" fontId="64" fillId="0" borderId="153" applyNumberFormat="0" applyFill="0" applyAlignment="0" applyProtection="0"/>
    <xf numFmtId="0" fontId="22" fillId="7" borderId="151" applyNumberFormat="0" applyFont="0" applyAlignment="0" applyProtection="0"/>
    <xf numFmtId="0" fontId="52" fillId="19" borderId="150" applyNumberFormat="0" applyAlignment="0" applyProtection="0"/>
    <xf numFmtId="0" fontId="62" fillId="19" borderId="152" applyNumberFormat="0" applyAlignment="0" applyProtection="0"/>
    <xf numFmtId="0" fontId="59" fillId="10" borderId="150" applyNumberFormat="0" applyAlignment="0" applyProtection="0"/>
    <xf numFmtId="0" fontId="52" fillId="19" borderId="150" applyNumberFormat="0" applyAlignment="0" applyProtection="0"/>
    <xf numFmtId="0" fontId="52" fillId="19" borderId="150" applyNumberFormat="0" applyAlignment="0" applyProtection="0"/>
    <xf numFmtId="0" fontId="59" fillId="10" borderId="150" applyNumberFormat="0" applyAlignment="0" applyProtection="0"/>
    <xf numFmtId="0" fontId="62" fillId="19" borderId="172" applyNumberFormat="0" applyAlignment="0" applyProtection="0"/>
    <xf numFmtId="0" fontId="59" fillId="10" borderId="150" applyNumberFormat="0" applyAlignment="0" applyProtection="0"/>
    <xf numFmtId="0" fontId="52" fillId="19" borderId="150" applyNumberFormat="0" applyAlignment="0" applyProtection="0"/>
    <xf numFmtId="0" fontId="22" fillId="7" borderId="151" applyNumberFormat="0" applyFont="0" applyAlignment="0" applyProtection="0"/>
    <xf numFmtId="0" fontId="62" fillId="19" borderId="152" applyNumberFormat="0" applyAlignment="0" applyProtection="0"/>
    <xf numFmtId="0" fontId="64" fillId="0" borderId="153" applyNumberFormat="0" applyFill="0" applyAlignment="0" applyProtection="0"/>
    <xf numFmtId="0" fontId="62" fillId="19" borderId="152" applyNumberFormat="0" applyAlignment="0" applyProtection="0"/>
    <xf numFmtId="0" fontId="62" fillId="19" borderId="152" applyNumberFormat="0" applyAlignment="0" applyProtection="0"/>
    <xf numFmtId="0" fontId="59" fillId="10" borderId="150" applyNumberFormat="0" applyAlignment="0" applyProtection="0"/>
    <xf numFmtId="0" fontId="22" fillId="7" borderId="151" applyNumberFormat="0" applyFont="0" applyAlignment="0" applyProtection="0"/>
    <xf numFmtId="0" fontId="62" fillId="19" borderId="152" applyNumberFormat="0" applyAlignment="0" applyProtection="0"/>
    <xf numFmtId="0" fontId="64" fillId="0" borderId="153" applyNumberFormat="0" applyFill="0" applyAlignment="0" applyProtection="0"/>
    <xf numFmtId="0" fontId="64" fillId="0" borderId="153" applyNumberFormat="0" applyFill="0" applyAlignment="0" applyProtection="0"/>
    <xf numFmtId="0" fontId="22" fillId="7" borderId="151" applyNumberFormat="0" applyFont="0" applyAlignment="0" applyProtection="0"/>
    <xf numFmtId="0" fontId="64" fillId="0" borderId="153" applyNumberFormat="0" applyFill="0" applyAlignment="0" applyProtection="0"/>
    <xf numFmtId="0" fontId="22" fillId="7" borderId="151" applyNumberFormat="0" applyFont="0" applyAlignment="0" applyProtection="0"/>
    <xf numFmtId="0" fontId="59" fillId="10" borderId="150" applyNumberFormat="0" applyAlignment="0" applyProtection="0"/>
    <xf numFmtId="0" fontId="62" fillId="19" borderId="152" applyNumberFormat="0" applyAlignment="0" applyProtection="0"/>
    <xf numFmtId="0" fontId="64" fillId="0" borderId="153" applyNumberFormat="0" applyFill="0" applyAlignment="0" applyProtection="0"/>
    <xf numFmtId="0" fontId="62" fillId="19" borderId="152" applyNumberFormat="0" applyAlignment="0" applyProtection="0"/>
    <xf numFmtId="0" fontId="59" fillId="10" borderId="150" applyNumberFormat="0" applyAlignment="0" applyProtection="0"/>
    <xf numFmtId="0" fontId="22" fillId="7" borderId="151" applyNumberFormat="0" applyFont="0" applyAlignment="0" applyProtection="0"/>
    <xf numFmtId="0" fontId="22" fillId="7" borderId="151" applyNumberFormat="0" applyFont="0" applyAlignment="0" applyProtection="0"/>
    <xf numFmtId="0" fontId="64" fillId="0" borderId="153" applyNumberFormat="0" applyFill="0" applyAlignment="0" applyProtection="0"/>
    <xf numFmtId="0" fontId="64" fillId="0" borderId="153" applyNumberFormat="0" applyFill="0" applyAlignment="0" applyProtection="0"/>
    <xf numFmtId="0" fontId="52" fillId="19" borderId="150" applyNumberFormat="0" applyAlignment="0" applyProtection="0"/>
    <xf numFmtId="0" fontId="59" fillId="10" borderId="150" applyNumberFormat="0" applyAlignment="0" applyProtection="0"/>
    <xf numFmtId="0" fontId="52" fillId="19" borderId="150" applyNumberFormat="0" applyAlignment="0" applyProtection="0"/>
    <xf numFmtId="0" fontId="52" fillId="19" borderId="150" applyNumberFormat="0" applyAlignment="0" applyProtection="0"/>
    <xf numFmtId="0" fontId="22" fillId="7" borderId="171" applyNumberFormat="0" applyFont="0" applyAlignment="0" applyProtection="0"/>
    <xf numFmtId="0" fontId="59" fillId="10" borderId="150" applyNumberFormat="0" applyAlignment="0" applyProtection="0"/>
    <xf numFmtId="0" fontId="22" fillId="7" borderId="151" applyNumberFormat="0" applyFont="0" applyAlignment="0" applyProtection="0"/>
    <xf numFmtId="0" fontId="62" fillId="19" borderId="152" applyNumberFormat="0" applyAlignment="0" applyProtection="0"/>
    <xf numFmtId="0" fontId="64" fillId="0" borderId="153" applyNumberFormat="0" applyFill="0" applyAlignment="0" applyProtection="0"/>
    <xf numFmtId="0" fontId="52" fillId="19" borderId="178" applyNumberFormat="0" applyAlignment="0" applyProtection="0"/>
    <xf numFmtId="0" fontId="59" fillId="10" borderId="174" applyNumberFormat="0" applyAlignment="0" applyProtection="0"/>
    <xf numFmtId="0" fontId="64" fillId="0" borderId="185" applyNumberFormat="0" applyFill="0" applyAlignment="0" applyProtection="0"/>
    <xf numFmtId="0" fontId="62" fillId="19" borderId="172" applyNumberFormat="0" applyAlignment="0" applyProtection="0"/>
    <xf numFmtId="0" fontId="22" fillId="7" borderId="167" applyNumberFormat="0" applyFont="0" applyAlignment="0" applyProtection="0"/>
    <xf numFmtId="0" fontId="59" fillId="10" borderId="170" applyNumberFormat="0" applyAlignment="0" applyProtection="0"/>
    <xf numFmtId="0" fontId="52" fillId="19" borderId="182" applyNumberFormat="0" applyAlignment="0" applyProtection="0"/>
    <xf numFmtId="0" fontId="52" fillId="19" borderId="166" applyNumberFormat="0" applyAlignment="0" applyProtection="0"/>
    <xf numFmtId="0" fontId="64" fillId="0" borderId="161" applyNumberFormat="0" applyFill="0" applyAlignment="0" applyProtection="0"/>
    <xf numFmtId="0" fontId="64" fillId="0" borderId="173" applyNumberFormat="0" applyFill="0" applyAlignment="0" applyProtection="0"/>
    <xf numFmtId="0" fontId="59" fillId="10" borderId="162" applyNumberFormat="0" applyAlignment="0" applyProtection="0"/>
    <xf numFmtId="0" fontId="52" fillId="19" borderId="178" applyNumberFormat="0" applyAlignment="0" applyProtection="0"/>
    <xf numFmtId="0" fontId="62" fillId="19" borderId="164" applyNumberFormat="0" applyAlignment="0" applyProtection="0"/>
    <xf numFmtId="0" fontId="22" fillId="7" borderId="171" applyNumberFormat="0" applyFont="0" applyAlignment="0" applyProtection="0"/>
    <xf numFmtId="0" fontId="22" fillId="7" borderId="187" applyNumberFormat="0" applyFont="0" applyAlignment="0" applyProtection="0"/>
    <xf numFmtId="0" fontId="52" fillId="19" borderId="162" applyNumberFormat="0" applyAlignment="0" applyProtection="0"/>
    <xf numFmtId="0" fontId="62" fillId="19" borderId="164" applyNumberFormat="0" applyAlignment="0" applyProtection="0"/>
    <xf numFmtId="0" fontId="22" fillId="7" borderId="167" applyNumberFormat="0" applyFont="0" applyAlignment="0" applyProtection="0"/>
    <xf numFmtId="0" fontId="64" fillId="0" borderId="161" applyNumberFormat="0" applyFill="0" applyAlignment="0" applyProtection="0"/>
    <xf numFmtId="0" fontId="64" fillId="0" borderId="165" applyNumberFormat="0" applyFill="0" applyAlignment="0" applyProtection="0"/>
    <xf numFmtId="0" fontId="62" fillId="19" borderId="180" applyNumberFormat="0" applyAlignment="0" applyProtection="0"/>
    <xf numFmtId="0" fontId="22" fillId="7" borderId="167" applyNumberFormat="0" applyFont="0" applyAlignment="0" applyProtection="0"/>
    <xf numFmtId="0" fontId="59" fillId="10" borderId="162" applyNumberFormat="0" applyAlignment="0" applyProtection="0"/>
    <xf numFmtId="0" fontId="64" fillId="0" borderId="165" applyNumberFormat="0" applyFill="0" applyAlignment="0" applyProtection="0"/>
    <xf numFmtId="0" fontId="64" fillId="0" borderId="173" applyNumberFormat="0" applyFill="0" applyAlignment="0" applyProtection="0"/>
    <xf numFmtId="0" fontId="64" fillId="0" borderId="173" applyNumberFormat="0" applyFill="0" applyAlignment="0" applyProtection="0"/>
    <xf numFmtId="0" fontId="59" fillId="10" borderId="158" applyNumberFormat="0" applyAlignment="0" applyProtection="0"/>
    <xf numFmtId="0" fontId="62" fillId="19" borderId="160" applyNumberFormat="0" applyAlignment="0" applyProtection="0"/>
    <xf numFmtId="0" fontId="64" fillId="0" borderId="173" applyNumberFormat="0" applyFill="0" applyAlignment="0" applyProtection="0"/>
    <xf numFmtId="0" fontId="52" fillId="19" borderId="178" applyNumberFormat="0" applyAlignment="0" applyProtection="0"/>
    <xf numFmtId="0" fontId="59" fillId="10" borderId="182" applyNumberFormat="0" applyAlignment="0" applyProtection="0"/>
    <xf numFmtId="0" fontId="22" fillId="7" borderId="171" applyNumberFormat="0" applyFont="0" applyAlignment="0" applyProtection="0"/>
    <xf numFmtId="0" fontId="64" fillId="0" borderId="161" applyNumberFormat="0" applyFill="0" applyAlignment="0" applyProtection="0"/>
    <xf numFmtId="0" fontId="59" fillId="10" borderId="166" applyNumberFormat="0" applyAlignment="0" applyProtection="0"/>
    <xf numFmtId="0" fontId="64" fillId="0" borderId="181" applyNumberFormat="0" applyFill="0" applyAlignment="0" applyProtection="0"/>
    <xf numFmtId="0" fontId="64" fillId="0" borderId="161" applyNumberFormat="0" applyFill="0" applyAlignment="0" applyProtection="0"/>
    <xf numFmtId="0" fontId="52" fillId="19" borderId="162" applyNumberFormat="0" applyAlignment="0" applyProtection="0"/>
    <xf numFmtId="0" fontId="52" fillId="19" borderId="178" applyNumberFormat="0" applyAlignment="0" applyProtection="0"/>
    <xf numFmtId="0" fontId="59" fillId="10" borderId="162" applyNumberFormat="0" applyAlignment="0" applyProtection="0"/>
    <xf numFmtId="0" fontId="64" fillId="0" borderId="181" applyNumberFormat="0" applyFill="0" applyAlignment="0" applyProtection="0"/>
    <xf numFmtId="0" fontId="52" fillId="19" borderId="182" applyNumberFormat="0" applyAlignment="0" applyProtection="0"/>
    <xf numFmtId="0" fontId="59" fillId="10" borderId="166" applyNumberFormat="0" applyAlignment="0" applyProtection="0"/>
    <xf numFmtId="0" fontId="52" fillId="19" borderId="186" applyNumberFormat="0" applyAlignment="0" applyProtection="0"/>
    <xf numFmtId="0" fontId="62" fillId="19" borderId="164" applyNumberFormat="0" applyAlignment="0" applyProtection="0"/>
    <xf numFmtId="0" fontId="62" fillId="19" borderId="184" applyNumberFormat="0" applyAlignment="0" applyProtection="0"/>
    <xf numFmtId="0" fontId="62" fillId="19" borderId="164" applyNumberFormat="0" applyAlignment="0" applyProtection="0"/>
    <xf numFmtId="0" fontId="62" fillId="19" borderId="164" applyNumberFormat="0" applyAlignment="0" applyProtection="0"/>
    <xf numFmtId="0" fontId="52" fillId="19" borderId="166" applyNumberFormat="0" applyAlignment="0" applyProtection="0"/>
    <xf numFmtId="0" fontId="62" fillId="19" borderId="192" applyNumberFormat="0" applyAlignment="0" applyProtection="0"/>
    <xf numFmtId="0" fontId="64" fillId="0" borderId="165" applyNumberFormat="0" applyFill="0" applyAlignment="0" applyProtection="0"/>
    <xf numFmtId="0" fontId="22" fillId="7" borderId="171" applyNumberFormat="0" applyFont="0" applyAlignment="0" applyProtection="0"/>
    <xf numFmtId="0" fontId="59" fillId="10" borderId="170" applyNumberFormat="0" applyAlignment="0" applyProtection="0"/>
    <xf numFmtId="0" fontId="52" fillId="19" borderId="150" applyNumberFormat="0" applyAlignment="0" applyProtection="0"/>
    <xf numFmtId="0" fontId="59" fillId="10" borderId="150" applyNumberFormat="0" applyAlignment="0" applyProtection="0"/>
    <xf numFmtId="0" fontId="22" fillId="7" borderId="151" applyNumberFormat="0" applyFont="0" applyAlignment="0" applyProtection="0"/>
    <xf numFmtId="0" fontId="62" fillId="19" borderId="152" applyNumberFormat="0" applyAlignment="0" applyProtection="0"/>
    <xf numFmtId="0" fontId="64" fillId="0" borderId="153" applyNumberFormat="0" applyFill="0" applyAlignment="0" applyProtection="0"/>
    <xf numFmtId="0" fontId="22" fillId="7" borderId="151" applyNumberFormat="0" applyFont="0" applyAlignment="0" applyProtection="0"/>
    <xf numFmtId="0" fontId="52" fillId="19" borderId="150" applyNumberFormat="0" applyAlignment="0" applyProtection="0"/>
    <xf numFmtId="0" fontId="62" fillId="19" borderId="184" applyNumberFormat="0" applyAlignment="0" applyProtection="0"/>
    <xf numFmtId="0" fontId="62" fillId="19" borderId="152" applyNumberFormat="0" applyAlignment="0" applyProtection="0"/>
    <xf numFmtId="0" fontId="59" fillId="10" borderId="150" applyNumberFormat="0" applyAlignment="0" applyProtection="0"/>
    <xf numFmtId="0" fontId="52" fillId="19" borderId="150" applyNumberFormat="0" applyAlignment="0" applyProtection="0"/>
    <xf numFmtId="0" fontId="52" fillId="19" borderId="150" applyNumberFormat="0" applyAlignment="0" applyProtection="0"/>
    <xf numFmtId="0" fontId="59" fillId="10" borderId="150" applyNumberFormat="0" applyAlignment="0" applyProtection="0"/>
    <xf numFmtId="0" fontId="52" fillId="19" borderId="190" applyNumberFormat="0" applyAlignment="0" applyProtection="0"/>
    <xf numFmtId="0" fontId="59" fillId="10" borderId="150" applyNumberFormat="0" applyAlignment="0" applyProtection="0"/>
    <xf numFmtId="0" fontId="52" fillId="19" borderId="150" applyNumberFormat="0" applyAlignment="0" applyProtection="0"/>
    <xf numFmtId="0" fontId="22" fillId="7" borderId="151" applyNumberFormat="0" applyFont="0" applyAlignment="0" applyProtection="0"/>
    <xf numFmtId="0" fontId="62" fillId="19" borderId="152" applyNumberFormat="0" applyAlignment="0" applyProtection="0"/>
    <xf numFmtId="0" fontId="64" fillId="0" borderId="153" applyNumberFormat="0" applyFill="0" applyAlignment="0" applyProtection="0"/>
    <xf numFmtId="0" fontId="62" fillId="19" borderId="152" applyNumberFormat="0" applyAlignment="0" applyProtection="0"/>
    <xf numFmtId="0" fontId="62" fillId="19" borderId="152" applyNumberFormat="0" applyAlignment="0" applyProtection="0"/>
    <xf numFmtId="0" fontId="59" fillId="10" borderId="150" applyNumberFormat="0" applyAlignment="0" applyProtection="0"/>
    <xf numFmtId="0" fontId="22" fillId="7" borderId="151" applyNumberFormat="0" applyFont="0" applyAlignment="0" applyProtection="0"/>
    <xf numFmtId="0" fontId="62" fillId="19" borderId="152" applyNumberFormat="0" applyAlignment="0" applyProtection="0"/>
    <xf numFmtId="0" fontId="64" fillId="0" borderId="153" applyNumberFormat="0" applyFill="0" applyAlignment="0" applyProtection="0"/>
    <xf numFmtId="0" fontId="64" fillId="0" borderId="153" applyNumberFormat="0" applyFill="0" applyAlignment="0" applyProtection="0"/>
    <xf numFmtId="0" fontId="22" fillId="7" borderId="151" applyNumberFormat="0" applyFont="0" applyAlignment="0" applyProtection="0"/>
    <xf numFmtId="0" fontId="64" fillId="0" borderId="153" applyNumberFormat="0" applyFill="0" applyAlignment="0" applyProtection="0"/>
    <xf numFmtId="0" fontId="22" fillId="7" borderId="151" applyNumberFormat="0" applyFont="0" applyAlignment="0" applyProtection="0"/>
    <xf numFmtId="0" fontId="59" fillId="10" borderId="150" applyNumberFormat="0" applyAlignment="0" applyProtection="0"/>
    <xf numFmtId="0" fontId="62" fillId="19" borderId="152" applyNumberFormat="0" applyAlignment="0" applyProtection="0"/>
    <xf numFmtId="0" fontId="64" fillId="0" borderId="153" applyNumberFormat="0" applyFill="0" applyAlignment="0" applyProtection="0"/>
    <xf numFmtId="0" fontId="62" fillId="19" borderId="152" applyNumberFormat="0" applyAlignment="0" applyProtection="0"/>
    <xf numFmtId="0" fontId="59" fillId="10" borderId="150" applyNumberFormat="0" applyAlignment="0" applyProtection="0"/>
    <xf numFmtId="0" fontId="22" fillId="7" borderId="151" applyNumberFormat="0" applyFont="0" applyAlignment="0" applyProtection="0"/>
    <xf numFmtId="0" fontId="22" fillId="7" borderId="151" applyNumberFormat="0" applyFont="0" applyAlignment="0" applyProtection="0"/>
    <xf numFmtId="0" fontId="64" fillId="0" borderId="153" applyNumberFormat="0" applyFill="0" applyAlignment="0" applyProtection="0"/>
    <xf numFmtId="0" fontId="64" fillId="0" borderId="153" applyNumberFormat="0" applyFill="0" applyAlignment="0" applyProtection="0"/>
    <xf numFmtId="0" fontId="52" fillId="19" borderId="150" applyNumberFormat="0" applyAlignment="0" applyProtection="0"/>
    <xf numFmtId="0" fontId="59" fillId="10" borderId="150" applyNumberFormat="0" applyAlignment="0" applyProtection="0"/>
    <xf numFmtId="0" fontId="52" fillId="19" borderId="150" applyNumberFormat="0" applyAlignment="0" applyProtection="0"/>
    <xf numFmtId="0" fontId="52" fillId="19" borderId="150" applyNumberFormat="0" applyAlignment="0" applyProtection="0"/>
    <xf numFmtId="0" fontId="22" fillId="7" borderId="163" applyNumberFormat="0" applyFont="0" applyAlignment="0" applyProtection="0"/>
    <xf numFmtId="0" fontId="64" fillId="0" borderId="185" applyNumberFormat="0" applyFill="0" applyAlignment="0" applyProtection="0"/>
    <xf numFmtId="0" fontId="52" fillId="19" borderId="158" applyNumberFormat="0" applyAlignment="0" applyProtection="0"/>
    <xf numFmtId="0" fontId="62" fillId="19" borderId="152" applyNumberFormat="0" applyAlignment="0" applyProtection="0"/>
    <xf numFmtId="0" fontId="64" fillId="0" borderId="165" applyNumberFormat="0" applyFill="0" applyAlignment="0" applyProtection="0"/>
    <xf numFmtId="0" fontId="59" fillId="10" borderId="150" applyNumberFormat="0" applyAlignment="0" applyProtection="0"/>
    <xf numFmtId="0" fontId="59" fillId="10" borderId="170" applyNumberFormat="0" applyAlignment="0" applyProtection="0"/>
    <xf numFmtId="0" fontId="22" fillId="7" borderId="151" applyNumberFormat="0" applyFont="0" applyAlignment="0" applyProtection="0"/>
    <xf numFmtId="0" fontId="64" fillId="0" borderId="169" applyNumberFormat="0" applyFill="0" applyAlignment="0" applyProtection="0"/>
    <xf numFmtId="0" fontId="22" fillId="7" borderId="167" applyNumberFormat="0" applyFont="0" applyAlignment="0" applyProtection="0"/>
    <xf numFmtId="0" fontId="52" fillId="19" borderId="170" applyNumberFormat="0" applyAlignment="0" applyProtection="0"/>
    <xf numFmtId="0" fontId="62" fillId="19" borderId="168" applyNumberFormat="0" applyAlignment="0" applyProtection="0"/>
    <xf numFmtId="0" fontId="64" fillId="0" borderId="169" applyNumberFormat="0" applyFill="0" applyAlignment="0" applyProtection="0"/>
    <xf numFmtId="0" fontId="59" fillId="10" borderId="178" applyNumberFormat="0" applyAlignment="0" applyProtection="0"/>
    <xf numFmtId="0" fontId="22" fillId="7" borderId="171" applyNumberFormat="0" applyFont="0" applyAlignment="0" applyProtection="0"/>
    <xf numFmtId="0" fontId="59" fillId="10" borderId="162" applyNumberFormat="0" applyAlignment="0" applyProtection="0"/>
    <xf numFmtId="0" fontId="52" fillId="19" borderId="182" applyNumberFormat="0" applyAlignment="0" applyProtection="0"/>
    <xf numFmtId="0" fontId="62" fillId="19" borderId="172" applyNumberFormat="0" applyAlignment="0" applyProtection="0"/>
    <xf numFmtId="0" fontId="59" fillId="10" borderId="178" applyNumberFormat="0" applyAlignment="0" applyProtection="0"/>
    <xf numFmtId="0" fontId="59" fillId="10" borderId="190" applyNumberFormat="0" applyAlignment="0" applyProtection="0"/>
    <xf numFmtId="0" fontId="62" fillId="19" borderId="184" applyNumberFormat="0" applyAlignment="0" applyProtection="0"/>
    <xf numFmtId="0" fontId="22" fillId="7" borderId="175" applyNumberFormat="0" applyFont="0" applyAlignment="0" applyProtection="0"/>
    <xf numFmtId="0" fontId="64" fillId="0" borderId="169" applyNumberFormat="0" applyFill="0" applyAlignment="0" applyProtection="0"/>
    <xf numFmtId="0" fontId="64" fillId="0" borderId="165" applyNumberFormat="0" applyFill="0" applyAlignment="0" applyProtection="0"/>
    <xf numFmtId="0" fontId="22" fillId="7" borderId="171" applyNumberFormat="0" applyFont="0" applyAlignment="0" applyProtection="0"/>
    <xf numFmtId="0" fontId="52" fillId="19" borderId="178" applyNumberFormat="0" applyAlignment="0" applyProtection="0"/>
    <xf numFmtId="0" fontId="52" fillId="19" borderId="178" applyNumberFormat="0" applyAlignment="0" applyProtection="0"/>
    <xf numFmtId="0" fontId="64" fillId="0" borderId="165" applyNumberFormat="0" applyFill="0" applyAlignment="0" applyProtection="0"/>
    <xf numFmtId="0" fontId="22" fillId="7" borderId="171" applyNumberFormat="0" applyFont="0" applyAlignment="0" applyProtection="0"/>
    <xf numFmtId="0" fontId="62" fillId="19" borderId="184" applyNumberFormat="0" applyAlignment="0" applyProtection="0"/>
    <xf numFmtId="0" fontId="22" fillId="7" borderId="179" applyNumberFormat="0" applyFont="0" applyAlignment="0" applyProtection="0"/>
    <xf numFmtId="0" fontId="52" fillId="19" borderId="182" applyNumberFormat="0" applyAlignment="0" applyProtection="0"/>
    <xf numFmtId="0" fontId="64" fillId="0" borderId="153" applyNumberFormat="0" applyFill="0" applyAlignment="0" applyProtection="0"/>
    <xf numFmtId="0" fontId="52" fillId="19" borderId="150" applyNumberFormat="0" applyAlignment="0" applyProtection="0"/>
    <xf numFmtId="0" fontId="52" fillId="19" borderId="150" applyNumberFormat="0" applyAlignment="0" applyProtection="0"/>
    <xf numFmtId="0" fontId="59" fillId="10" borderId="150" applyNumberFormat="0" applyAlignment="0" applyProtection="0"/>
    <xf numFmtId="0" fontId="22" fillId="7" borderId="151" applyNumberFormat="0" applyFont="0" applyAlignment="0" applyProtection="0"/>
    <xf numFmtId="0" fontId="64" fillId="0" borderId="153" applyNumberFormat="0" applyFill="0" applyAlignment="0" applyProtection="0"/>
    <xf numFmtId="0" fontId="22" fillId="7" borderId="163" applyNumberFormat="0" applyFont="0" applyAlignment="0" applyProtection="0"/>
    <xf numFmtId="0" fontId="62" fillId="19" borderId="180" applyNumberFormat="0" applyAlignment="0" applyProtection="0"/>
    <xf numFmtId="0" fontId="52" fillId="19" borderId="178" applyNumberFormat="0" applyAlignment="0" applyProtection="0"/>
    <xf numFmtId="0" fontId="64" fillId="0" borderId="173" applyNumberFormat="0" applyFill="0" applyAlignment="0" applyProtection="0"/>
    <xf numFmtId="0" fontId="59" fillId="10" borderId="166" applyNumberFormat="0" applyAlignment="0" applyProtection="0"/>
    <xf numFmtId="0" fontId="59" fillId="10" borderId="166" applyNumberFormat="0" applyAlignment="0" applyProtection="0"/>
    <xf numFmtId="0" fontId="62" fillId="19" borderId="192" applyNumberFormat="0" applyAlignment="0" applyProtection="0"/>
    <xf numFmtId="0" fontId="59" fillId="10" borderId="162" applyNumberFormat="0" applyAlignment="0" applyProtection="0"/>
    <xf numFmtId="0" fontId="62" fillId="19" borderId="168" applyNumberFormat="0" applyAlignment="0" applyProtection="0"/>
    <xf numFmtId="0" fontId="22" fillId="7" borderId="183" applyNumberFormat="0" applyFont="0" applyAlignment="0" applyProtection="0"/>
    <xf numFmtId="0" fontId="59" fillId="10" borderId="162" applyNumberFormat="0" applyAlignment="0" applyProtection="0"/>
    <xf numFmtId="0" fontId="64" fillId="0" borderId="185" applyNumberFormat="0" applyFill="0" applyAlignment="0" applyProtection="0"/>
    <xf numFmtId="0" fontId="52" fillId="19" borderId="182" applyNumberFormat="0" applyAlignment="0" applyProtection="0"/>
    <xf numFmtId="0" fontId="52" fillId="19" borderId="178" applyNumberFormat="0" applyAlignment="0" applyProtection="0"/>
    <xf numFmtId="0" fontId="22" fillId="7" borderId="163" applyNumberFormat="0" applyFont="0" applyAlignment="0" applyProtection="0"/>
    <xf numFmtId="0" fontId="22" fillId="7" borderId="171" applyNumberFormat="0" applyFont="0" applyAlignment="0" applyProtection="0"/>
    <xf numFmtId="0" fontId="59" fillId="10" borderId="162" applyNumberFormat="0" applyAlignment="0" applyProtection="0"/>
    <xf numFmtId="0" fontId="52" fillId="19" borderId="170" applyNumberFormat="0" applyAlignment="0" applyProtection="0"/>
    <xf numFmtId="0" fontId="59" fillId="10" borderId="170" applyNumberFormat="0" applyAlignment="0" applyProtection="0"/>
    <xf numFmtId="0" fontId="59" fillId="10" borderId="162" applyNumberFormat="0" applyAlignment="0" applyProtection="0"/>
    <xf numFmtId="0" fontId="52" fillId="19" borderId="170" applyNumberFormat="0" applyAlignment="0" applyProtection="0"/>
    <xf numFmtId="0" fontId="52" fillId="19" borderId="182" applyNumberFormat="0" applyAlignment="0" applyProtection="0"/>
    <xf numFmtId="0" fontId="22" fillId="7" borderId="163" applyNumberFormat="0" applyFont="0" applyAlignment="0" applyProtection="0"/>
    <xf numFmtId="0" fontId="59" fillId="10" borderId="162" applyNumberFormat="0" applyAlignment="0" applyProtection="0"/>
    <xf numFmtId="0" fontId="62" fillId="19" borderId="184" applyNumberFormat="0" applyAlignment="0" applyProtection="0"/>
    <xf numFmtId="0" fontId="64" fillId="0" borderId="181" applyNumberFormat="0" applyFill="0" applyAlignment="0" applyProtection="0"/>
    <xf numFmtId="0" fontId="62" fillId="19" borderId="172" applyNumberFormat="0" applyAlignment="0" applyProtection="0"/>
    <xf numFmtId="0" fontId="52" fillId="19" borderId="170" applyNumberFormat="0" applyAlignment="0" applyProtection="0"/>
    <xf numFmtId="0" fontId="52" fillId="19" borderId="174" applyNumberFormat="0" applyAlignment="0" applyProtection="0"/>
    <xf numFmtId="0" fontId="59" fillId="10" borderId="162" applyNumberFormat="0" applyAlignment="0" applyProtection="0"/>
    <xf numFmtId="0" fontId="52" fillId="19" borderId="158" applyNumberFormat="0" applyAlignment="0" applyProtection="0"/>
    <xf numFmtId="0" fontId="59" fillId="10" borderId="166" applyNumberFormat="0" applyAlignment="0" applyProtection="0"/>
    <xf numFmtId="0" fontId="22" fillId="7" borderId="171" applyNumberFormat="0" applyFont="0" applyAlignment="0" applyProtection="0"/>
    <xf numFmtId="0" fontId="52" fillId="19" borderId="190" applyNumberFormat="0" applyAlignment="0" applyProtection="0"/>
    <xf numFmtId="0" fontId="52" fillId="19" borderId="154" applyNumberFormat="0" applyAlignment="0" applyProtection="0"/>
    <xf numFmtId="0" fontId="59" fillId="10" borderId="154" applyNumberFormat="0" applyAlignment="0" applyProtection="0"/>
    <xf numFmtId="0" fontId="22" fillId="7" borderId="155" applyNumberFormat="0" applyFont="0" applyAlignment="0" applyProtection="0"/>
    <xf numFmtId="0" fontId="62" fillId="19" borderId="156" applyNumberFormat="0" applyAlignment="0" applyProtection="0"/>
    <xf numFmtId="0" fontId="64" fillId="0" borderId="157" applyNumberFormat="0" applyFill="0" applyAlignment="0" applyProtection="0"/>
    <xf numFmtId="0" fontId="62" fillId="19" borderId="180" applyNumberFormat="0" applyAlignment="0" applyProtection="0"/>
    <xf numFmtId="0" fontId="64" fillId="0" borderId="169" applyNumberFormat="0" applyFill="0" applyAlignment="0" applyProtection="0"/>
    <xf numFmtId="0" fontId="52" fillId="19" borderId="166" applyNumberFormat="0" applyAlignment="0" applyProtection="0"/>
    <xf numFmtId="0" fontId="52" fillId="19" borderId="166" applyNumberFormat="0" applyAlignment="0" applyProtection="0"/>
    <xf numFmtId="0" fontId="59" fillId="10" borderId="162" applyNumberFormat="0" applyAlignment="0" applyProtection="0"/>
    <xf numFmtId="0" fontId="22" fillId="7" borderId="163" applyNumberFormat="0" applyFont="0" applyAlignment="0" applyProtection="0"/>
    <xf numFmtId="0" fontId="62" fillId="19" borderId="180" applyNumberFormat="0" applyAlignment="0" applyProtection="0"/>
    <xf numFmtId="0" fontId="52" fillId="19" borderId="182" applyNumberFormat="0" applyAlignment="0" applyProtection="0"/>
    <xf numFmtId="0" fontId="62" fillId="19" borderId="176" applyNumberFormat="0" applyAlignment="0" applyProtection="0"/>
    <xf numFmtId="0" fontId="64" fillId="0" borderId="169" applyNumberFormat="0" applyFill="0" applyAlignment="0" applyProtection="0"/>
    <xf numFmtId="0" fontId="62" fillId="19" borderId="164" applyNumberFormat="0" applyAlignment="0" applyProtection="0"/>
    <xf numFmtId="0" fontId="22" fillId="7" borderId="167" applyNumberFormat="0" applyFont="0" applyAlignment="0" applyProtection="0"/>
    <xf numFmtId="0" fontId="64" fillId="0" borderId="165" applyNumberFormat="0" applyFill="0" applyAlignment="0" applyProtection="0"/>
    <xf numFmtId="0" fontId="64" fillId="0" borderId="165" applyNumberFormat="0" applyFill="0" applyAlignment="0" applyProtection="0"/>
    <xf numFmtId="0" fontId="22" fillId="7" borderId="183" applyNumberFormat="0" applyFont="0" applyAlignment="0" applyProtection="0"/>
    <xf numFmtId="0" fontId="59" fillId="10" borderId="162" applyNumberFormat="0" applyAlignment="0" applyProtection="0"/>
    <xf numFmtId="0" fontId="62" fillId="19" borderId="164" applyNumberFormat="0" applyAlignment="0" applyProtection="0"/>
    <xf numFmtId="0" fontId="62" fillId="19" borderId="180" applyNumberFormat="0" applyAlignment="0" applyProtection="0"/>
    <xf numFmtId="0" fontId="62" fillId="19" borderId="176" applyNumberFormat="0" applyAlignment="0" applyProtection="0"/>
    <xf numFmtId="0" fontId="22" fillId="7" borderId="163" applyNumberFormat="0" applyFont="0" applyAlignment="0" applyProtection="0"/>
    <xf numFmtId="0" fontId="52" fillId="19" borderId="154" applyNumberFormat="0" applyAlignment="0" applyProtection="0"/>
    <xf numFmtId="0" fontId="59" fillId="10" borderId="154" applyNumberFormat="0" applyAlignment="0" applyProtection="0"/>
    <xf numFmtId="0" fontId="22" fillId="7" borderId="155" applyNumberFormat="0" applyFont="0" applyAlignment="0" applyProtection="0"/>
    <xf numFmtId="0" fontId="62" fillId="19" borderId="156" applyNumberFormat="0" applyAlignment="0" applyProtection="0"/>
    <xf numFmtId="0" fontId="64" fillId="0" borderId="157" applyNumberFormat="0" applyFill="0" applyAlignment="0" applyProtection="0"/>
    <xf numFmtId="0" fontId="59" fillId="10" borderId="162" applyNumberFormat="0" applyAlignment="0" applyProtection="0"/>
    <xf numFmtId="0" fontId="52" fillId="19" borderId="162" applyNumberFormat="0" applyAlignment="0" applyProtection="0"/>
    <xf numFmtId="0" fontId="62" fillId="19" borderId="180" applyNumberFormat="0" applyAlignment="0" applyProtection="0"/>
    <xf numFmtId="0" fontId="59" fillId="10" borderId="182" applyNumberFormat="0" applyAlignment="0" applyProtection="0"/>
    <xf numFmtId="0" fontId="64" fillId="0" borderId="165" applyNumberFormat="0" applyFill="0" applyAlignment="0" applyProtection="0"/>
    <xf numFmtId="0" fontId="22" fillId="7" borderId="167" applyNumberFormat="0" applyFont="0" applyAlignment="0" applyProtection="0"/>
    <xf numFmtId="0" fontId="62" fillId="19" borderId="184" applyNumberFormat="0" applyAlignment="0" applyProtection="0"/>
    <xf numFmtId="0" fontId="62" fillId="19" borderId="164" applyNumberFormat="0" applyAlignment="0" applyProtection="0"/>
    <xf numFmtId="0" fontId="22" fillId="7" borderId="175" applyNumberFormat="0" applyFont="0" applyAlignment="0" applyProtection="0"/>
    <xf numFmtId="0" fontId="62" fillId="19" borderId="188" applyNumberFormat="0" applyAlignment="0" applyProtection="0"/>
    <xf numFmtId="0" fontId="59" fillId="10" borderId="190" applyNumberFormat="0" applyAlignment="0" applyProtection="0"/>
    <xf numFmtId="0" fontId="62" fillId="19" borderId="184" applyNumberFormat="0" applyAlignment="0" applyProtection="0"/>
    <xf numFmtId="0" fontId="62" fillId="19" borderId="164" applyNumberFormat="0" applyAlignment="0" applyProtection="0"/>
    <xf numFmtId="0" fontId="22" fillId="7" borderId="163" applyNumberFormat="0" applyFont="0" applyAlignment="0" applyProtection="0"/>
    <xf numFmtId="0" fontId="22" fillId="7" borderId="179" applyNumberFormat="0" applyFont="0" applyAlignment="0" applyProtection="0"/>
    <xf numFmtId="0" fontId="62" fillId="19" borderId="172" applyNumberFormat="0" applyAlignment="0" applyProtection="0"/>
    <xf numFmtId="0" fontId="59" fillId="10" borderId="186" applyNumberFormat="0" applyAlignment="0" applyProtection="0"/>
    <xf numFmtId="0" fontId="59" fillId="10" borderId="162" applyNumberFormat="0" applyAlignment="0" applyProtection="0"/>
    <xf numFmtId="0" fontId="59" fillId="10" borderId="170" applyNumberFormat="0" applyAlignment="0" applyProtection="0"/>
    <xf numFmtId="0" fontId="22" fillId="7" borderId="167" applyNumberFormat="0" applyFont="0" applyAlignment="0" applyProtection="0"/>
    <xf numFmtId="0" fontId="64" fillId="0" borderId="173" applyNumberFormat="0" applyFill="0" applyAlignment="0" applyProtection="0"/>
    <xf numFmtId="0" fontId="62" fillId="19" borderId="172" applyNumberFormat="0" applyAlignment="0" applyProtection="0"/>
    <xf numFmtId="0" fontId="22" fillId="7" borderId="163" applyNumberFormat="0" applyFont="0" applyAlignment="0" applyProtection="0"/>
    <xf numFmtId="0" fontId="62" fillId="19" borderId="180" applyNumberFormat="0" applyAlignment="0" applyProtection="0"/>
    <xf numFmtId="0" fontId="52" fillId="19" borderId="154" applyNumberFormat="0" applyAlignment="0" applyProtection="0"/>
    <xf numFmtId="0" fontId="59" fillId="10" borderId="154" applyNumberFormat="0" applyAlignment="0" applyProtection="0"/>
    <xf numFmtId="0" fontId="22" fillId="7" borderId="155" applyNumberFormat="0" applyFont="0" applyAlignment="0" applyProtection="0"/>
    <xf numFmtId="0" fontId="62" fillId="19" borderId="156" applyNumberFormat="0" applyAlignment="0" applyProtection="0"/>
    <xf numFmtId="0" fontId="64" fillId="0" borderId="157" applyNumberFormat="0" applyFill="0" applyAlignment="0" applyProtection="0"/>
    <xf numFmtId="0" fontId="22" fillId="7" borderId="155" applyNumberFormat="0" applyFont="0" applyAlignment="0" applyProtection="0"/>
    <xf numFmtId="0" fontId="52" fillId="19" borderId="154" applyNumberFormat="0" applyAlignment="0" applyProtection="0"/>
    <xf numFmtId="0" fontId="62" fillId="19" borderId="156" applyNumberFormat="0" applyAlignment="0" applyProtection="0"/>
    <xf numFmtId="0" fontId="59" fillId="10" borderId="154" applyNumberFormat="0" applyAlignment="0" applyProtection="0"/>
    <xf numFmtId="0" fontId="52" fillId="19" borderId="154" applyNumberFormat="0" applyAlignment="0" applyProtection="0"/>
    <xf numFmtId="0" fontId="52" fillId="19" borderId="154" applyNumberFormat="0" applyAlignment="0" applyProtection="0"/>
    <xf numFmtId="0" fontId="59" fillId="10" borderId="154" applyNumberFormat="0" applyAlignment="0" applyProtection="0"/>
    <xf numFmtId="0" fontId="59" fillId="10" borderId="170" applyNumberFormat="0" applyAlignment="0" applyProtection="0"/>
    <xf numFmtId="0" fontId="59" fillId="10" borderId="162" applyNumberFormat="0" applyAlignment="0" applyProtection="0"/>
    <xf numFmtId="0" fontId="59" fillId="10" borderId="154" applyNumberFormat="0" applyAlignment="0" applyProtection="0"/>
    <xf numFmtId="0" fontId="52" fillId="19" borderId="154" applyNumberFormat="0" applyAlignment="0" applyProtection="0"/>
    <xf numFmtId="0" fontId="22" fillId="7" borderId="155" applyNumberFormat="0" applyFont="0" applyAlignment="0" applyProtection="0"/>
    <xf numFmtId="0" fontId="62" fillId="19" borderId="156" applyNumberFormat="0" applyAlignment="0" applyProtection="0"/>
    <xf numFmtId="0" fontId="64" fillId="0" borderId="157" applyNumberFormat="0" applyFill="0" applyAlignment="0" applyProtection="0"/>
    <xf numFmtId="0" fontId="62" fillId="19" borderId="156" applyNumberFormat="0" applyAlignment="0" applyProtection="0"/>
    <xf numFmtId="0" fontId="62" fillId="19" borderId="156" applyNumberFormat="0" applyAlignment="0" applyProtection="0"/>
    <xf numFmtId="0" fontId="59" fillId="10" borderId="154" applyNumberFormat="0" applyAlignment="0" applyProtection="0"/>
    <xf numFmtId="0" fontId="22" fillId="7" borderId="155" applyNumberFormat="0" applyFont="0" applyAlignment="0" applyProtection="0"/>
    <xf numFmtId="0" fontId="62" fillId="19" borderId="156" applyNumberFormat="0" applyAlignment="0" applyProtection="0"/>
    <xf numFmtId="0" fontId="64" fillId="0" borderId="157" applyNumberFormat="0" applyFill="0" applyAlignment="0" applyProtection="0"/>
    <xf numFmtId="0" fontId="64" fillId="0" borderId="157" applyNumberFormat="0" applyFill="0" applyAlignment="0" applyProtection="0"/>
    <xf numFmtId="0" fontId="22" fillId="7" borderId="155" applyNumberFormat="0" applyFont="0" applyAlignment="0" applyProtection="0"/>
    <xf numFmtId="0" fontId="64" fillId="0" borderId="157" applyNumberFormat="0" applyFill="0" applyAlignment="0" applyProtection="0"/>
    <xf numFmtId="0" fontId="22" fillId="7" borderId="155" applyNumberFormat="0" applyFont="0" applyAlignment="0" applyProtection="0"/>
    <xf numFmtId="0" fontId="59" fillId="10" borderId="154" applyNumberFormat="0" applyAlignment="0" applyProtection="0"/>
    <xf numFmtId="0" fontId="62" fillId="19" borderId="156" applyNumberFormat="0" applyAlignment="0" applyProtection="0"/>
    <xf numFmtId="0" fontId="64" fillId="0" borderId="157" applyNumberFormat="0" applyFill="0" applyAlignment="0" applyProtection="0"/>
    <xf numFmtId="0" fontId="62" fillId="19" borderId="156" applyNumberFormat="0" applyAlignment="0" applyProtection="0"/>
    <xf numFmtId="0" fontId="59" fillId="10" borderId="154" applyNumberFormat="0" applyAlignment="0" applyProtection="0"/>
    <xf numFmtId="0" fontId="22" fillId="7" borderId="155" applyNumberFormat="0" applyFont="0" applyAlignment="0" applyProtection="0"/>
    <xf numFmtId="0" fontId="22" fillId="7" borderId="155" applyNumberFormat="0" applyFont="0" applyAlignment="0" applyProtection="0"/>
    <xf numFmtId="0" fontId="64" fillId="0" borderId="157" applyNumberFormat="0" applyFill="0" applyAlignment="0" applyProtection="0"/>
    <xf numFmtId="0" fontId="64" fillId="0" borderId="157" applyNumberFormat="0" applyFill="0" applyAlignment="0" applyProtection="0"/>
    <xf numFmtId="0" fontId="52" fillId="19" borderId="154" applyNumberFormat="0" applyAlignment="0" applyProtection="0"/>
    <xf numFmtId="0" fontId="59" fillId="10" borderId="154" applyNumberFormat="0" applyAlignment="0" applyProtection="0"/>
    <xf numFmtId="0" fontId="52" fillId="19" borderId="154" applyNumberFormat="0" applyAlignment="0" applyProtection="0"/>
    <xf numFmtId="0" fontId="52" fillId="19" borderId="154" applyNumberFormat="0" applyAlignment="0" applyProtection="0"/>
    <xf numFmtId="0" fontId="59" fillId="10" borderId="182" applyNumberFormat="0" applyAlignment="0" applyProtection="0"/>
    <xf numFmtId="0" fontId="59" fillId="10" borderId="170" applyNumberFormat="0" applyAlignment="0" applyProtection="0"/>
    <xf numFmtId="0" fontId="59" fillId="10" borderId="166" applyNumberFormat="0" applyAlignment="0" applyProtection="0"/>
    <xf numFmtId="0" fontId="22" fillId="7" borderId="167" applyNumberFormat="0" applyFont="0" applyAlignment="0" applyProtection="0"/>
    <xf numFmtId="0" fontId="59" fillId="10" borderId="162" applyNumberFormat="0" applyAlignment="0" applyProtection="0"/>
    <xf numFmtId="0" fontId="62" fillId="19" borderId="180" applyNumberFormat="0" applyAlignment="0" applyProtection="0"/>
    <xf numFmtId="0" fontId="52" fillId="19" borderId="162" applyNumberFormat="0" applyAlignment="0" applyProtection="0"/>
    <xf numFmtId="0" fontId="59" fillId="10" borderId="190" applyNumberFormat="0" applyAlignment="0" applyProtection="0"/>
    <xf numFmtId="0" fontId="52" fillId="19" borderId="182" applyNumberFormat="0" applyAlignment="0" applyProtection="0"/>
    <xf numFmtId="0" fontId="59" fillId="10" borderId="162" applyNumberFormat="0" applyAlignment="0" applyProtection="0"/>
    <xf numFmtId="0" fontId="62" fillId="19" borderId="172" applyNumberFormat="0" applyAlignment="0" applyProtection="0"/>
    <xf numFmtId="0" fontId="22" fillId="7" borderId="175" applyNumberFormat="0" applyFont="0" applyAlignment="0" applyProtection="0"/>
    <xf numFmtId="0" fontId="22" fillId="7" borderId="163" applyNumberFormat="0" applyFont="0" applyAlignment="0" applyProtection="0"/>
    <xf numFmtId="0" fontId="52" fillId="19" borderId="186" applyNumberFormat="0" applyAlignment="0" applyProtection="0"/>
    <xf numFmtId="0" fontId="64" fillId="0" borderId="177" applyNumberFormat="0" applyFill="0" applyAlignment="0" applyProtection="0"/>
    <xf numFmtId="0" fontId="59" fillId="10" borderId="162" applyNumberFormat="0" applyAlignment="0" applyProtection="0"/>
    <xf numFmtId="0" fontId="62" fillId="19" borderId="176" applyNumberFormat="0" applyAlignment="0" applyProtection="0"/>
    <xf numFmtId="0" fontId="62" fillId="19" borderId="172" applyNumberFormat="0" applyAlignment="0" applyProtection="0"/>
    <xf numFmtId="0" fontId="62" fillId="19" borderId="164" applyNumberFormat="0" applyAlignment="0" applyProtection="0"/>
    <xf numFmtId="0" fontId="64" fillId="0" borderId="165" applyNumberFormat="0" applyFill="0" applyAlignment="0" applyProtection="0"/>
    <xf numFmtId="0" fontId="59" fillId="10" borderId="182" applyNumberFormat="0" applyAlignment="0" applyProtection="0"/>
    <xf numFmtId="0" fontId="59" fillId="10" borderId="190" applyNumberFormat="0" applyAlignment="0" applyProtection="0"/>
    <xf numFmtId="0" fontId="22" fillId="7" borderId="163" applyNumberFormat="0" applyFont="0" applyAlignment="0" applyProtection="0"/>
    <xf numFmtId="0" fontId="52" fillId="19" borderId="154" applyNumberFormat="0" applyAlignment="0" applyProtection="0"/>
    <xf numFmtId="0" fontId="59" fillId="10" borderId="154" applyNumberFormat="0" applyAlignment="0" applyProtection="0"/>
    <xf numFmtId="0" fontId="22" fillId="7" borderId="155" applyNumberFormat="0" applyFont="0" applyAlignment="0" applyProtection="0"/>
    <xf numFmtId="0" fontId="62" fillId="19" borderId="156" applyNumberFormat="0" applyAlignment="0" applyProtection="0"/>
    <xf numFmtId="0" fontId="64" fillId="0" borderId="157" applyNumberFormat="0" applyFill="0" applyAlignment="0" applyProtection="0"/>
    <xf numFmtId="0" fontId="22" fillId="7" borderId="155" applyNumberFormat="0" applyFont="0" applyAlignment="0" applyProtection="0"/>
    <xf numFmtId="0" fontId="52" fillId="19" borderId="154" applyNumberFormat="0" applyAlignment="0" applyProtection="0"/>
    <xf numFmtId="0" fontId="62" fillId="19" borderId="156" applyNumberFormat="0" applyAlignment="0" applyProtection="0"/>
    <xf numFmtId="0" fontId="59" fillId="10" borderId="154" applyNumberFormat="0" applyAlignment="0" applyProtection="0"/>
    <xf numFmtId="0" fontId="52" fillId="19" borderId="154" applyNumberFormat="0" applyAlignment="0" applyProtection="0"/>
    <xf numFmtId="0" fontId="52" fillId="19" borderId="154" applyNumberFormat="0" applyAlignment="0" applyProtection="0"/>
    <xf numFmtId="0" fontId="59" fillId="10" borderId="154" applyNumberFormat="0" applyAlignment="0" applyProtection="0"/>
    <xf numFmtId="0" fontId="59" fillId="10" borderId="154" applyNumberFormat="0" applyAlignment="0" applyProtection="0"/>
    <xf numFmtId="0" fontId="52" fillId="19" borderId="154" applyNumberFormat="0" applyAlignment="0" applyProtection="0"/>
    <xf numFmtId="0" fontId="22" fillId="7" borderId="155" applyNumberFormat="0" applyFont="0" applyAlignment="0" applyProtection="0"/>
    <xf numFmtId="0" fontId="62" fillId="19" borderId="156" applyNumberFormat="0" applyAlignment="0" applyProtection="0"/>
    <xf numFmtId="0" fontId="64" fillId="0" borderId="157" applyNumberFormat="0" applyFill="0" applyAlignment="0" applyProtection="0"/>
    <xf numFmtId="0" fontId="62" fillId="19" borderId="156" applyNumberFormat="0" applyAlignment="0" applyProtection="0"/>
    <xf numFmtId="0" fontId="62" fillId="19" borderId="156" applyNumberFormat="0" applyAlignment="0" applyProtection="0"/>
    <xf numFmtId="0" fontId="59" fillId="10" borderId="154" applyNumberFormat="0" applyAlignment="0" applyProtection="0"/>
    <xf numFmtId="0" fontId="22" fillId="7" borderId="155" applyNumberFormat="0" applyFont="0" applyAlignment="0" applyProtection="0"/>
    <xf numFmtId="0" fontId="62" fillId="19" borderId="156" applyNumberFormat="0" applyAlignment="0" applyProtection="0"/>
    <xf numFmtId="0" fontId="64" fillId="0" borderId="157" applyNumberFormat="0" applyFill="0" applyAlignment="0" applyProtection="0"/>
    <xf numFmtId="0" fontId="64" fillId="0" borderId="157" applyNumberFormat="0" applyFill="0" applyAlignment="0" applyProtection="0"/>
    <xf numFmtId="0" fontId="22" fillId="7" borderId="155" applyNumberFormat="0" applyFont="0" applyAlignment="0" applyProtection="0"/>
    <xf numFmtId="0" fontId="64" fillId="0" borderId="157" applyNumberFormat="0" applyFill="0" applyAlignment="0" applyProtection="0"/>
    <xf numFmtId="0" fontId="22" fillId="7" borderId="155" applyNumberFormat="0" applyFont="0" applyAlignment="0" applyProtection="0"/>
    <xf numFmtId="0" fontId="59" fillId="10" borderId="154" applyNumberFormat="0" applyAlignment="0" applyProtection="0"/>
    <xf numFmtId="0" fontId="62" fillId="19" borderId="156" applyNumberFormat="0" applyAlignment="0" applyProtection="0"/>
    <xf numFmtId="0" fontId="64" fillId="0" borderId="157" applyNumberFormat="0" applyFill="0" applyAlignment="0" applyProtection="0"/>
    <xf numFmtId="0" fontId="62" fillId="19" borderId="156" applyNumberFormat="0" applyAlignment="0" applyProtection="0"/>
    <xf numFmtId="0" fontId="59" fillId="10" borderId="154" applyNumberFormat="0" applyAlignment="0" applyProtection="0"/>
    <xf numFmtId="0" fontId="22" fillId="7" borderId="155" applyNumberFormat="0" applyFont="0" applyAlignment="0" applyProtection="0"/>
    <xf numFmtId="0" fontId="22" fillId="7" borderId="155" applyNumberFormat="0" applyFont="0" applyAlignment="0" applyProtection="0"/>
    <xf numFmtId="0" fontId="64" fillId="0" borderId="157" applyNumberFormat="0" applyFill="0" applyAlignment="0" applyProtection="0"/>
    <xf numFmtId="0" fontId="64" fillId="0" borderId="157" applyNumberFormat="0" applyFill="0" applyAlignment="0" applyProtection="0"/>
    <xf numFmtId="0" fontId="52" fillId="19" borderId="154" applyNumberFormat="0" applyAlignment="0" applyProtection="0"/>
    <xf numFmtId="0" fontId="59" fillId="10" borderId="154" applyNumberFormat="0" applyAlignment="0" applyProtection="0"/>
    <xf numFmtId="0" fontId="52" fillId="19" borderId="154" applyNumberFormat="0" applyAlignment="0" applyProtection="0"/>
    <xf numFmtId="0" fontId="52" fillId="19" borderId="154" applyNumberFormat="0" applyAlignment="0" applyProtection="0"/>
    <xf numFmtId="0" fontId="59" fillId="10" borderId="170" applyNumberFormat="0" applyAlignment="0" applyProtection="0"/>
    <xf numFmtId="0" fontId="64" fillId="0" borderId="173" applyNumberFormat="0" applyFill="0" applyAlignment="0" applyProtection="0"/>
    <xf numFmtId="0" fontId="22" fillId="7" borderId="187" applyNumberFormat="0" applyFont="0" applyAlignment="0" applyProtection="0"/>
    <xf numFmtId="0" fontId="52" fillId="19" borderId="182" applyNumberFormat="0" applyAlignment="0" applyProtection="0"/>
    <xf numFmtId="0" fontId="64" fillId="0" borderId="181" applyNumberFormat="0" applyFill="0" applyAlignment="0" applyProtection="0"/>
    <xf numFmtId="0" fontId="52" fillId="19" borderId="154" applyNumberFormat="0" applyAlignment="0" applyProtection="0"/>
    <xf numFmtId="0" fontId="22" fillId="7" borderId="163" applyNumberFormat="0" applyFont="0" applyAlignment="0" applyProtection="0"/>
    <xf numFmtId="0" fontId="52" fillId="19" borderId="154" applyNumberFormat="0" applyAlignment="0" applyProtection="0"/>
    <xf numFmtId="0" fontId="59" fillId="10" borderId="154" applyNumberFormat="0" applyAlignment="0" applyProtection="0"/>
    <xf numFmtId="0" fontId="22" fillId="7" borderId="155" applyNumberFormat="0" applyFont="0" applyAlignment="0" applyProtection="0"/>
    <xf numFmtId="0" fontId="62" fillId="19" borderId="156" applyNumberFormat="0" applyAlignment="0" applyProtection="0"/>
    <xf numFmtId="0" fontId="64" fillId="0" borderId="157" applyNumberFormat="0" applyFill="0" applyAlignment="0" applyProtection="0"/>
    <xf numFmtId="0" fontId="64" fillId="0" borderId="173" applyNumberFormat="0" applyFill="0" applyAlignment="0" applyProtection="0"/>
    <xf numFmtId="0" fontId="22" fillId="7" borderId="179" applyNumberFormat="0" applyFont="0" applyAlignment="0" applyProtection="0"/>
    <xf numFmtId="0" fontId="59" fillId="10" borderId="178" applyNumberFormat="0" applyAlignment="0" applyProtection="0"/>
    <xf numFmtId="0" fontId="62" fillId="19" borderId="180" applyNumberFormat="0" applyAlignment="0" applyProtection="0"/>
    <xf numFmtId="0" fontId="62" fillId="19" borderId="168" applyNumberFormat="0" applyAlignment="0" applyProtection="0"/>
    <xf numFmtId="0" fontId="52" fillId="19" borderId="170" applyNumberFormat="0" applyAlignment="0" applyProtection="0"/>
    <xf numFmtId="0" fontId="59" fillId="10" borderId="186" applyNumberFormat="0" applyAlignment="0" applyProtection="0"/>
    <xf numFmtId="0" fontId="62" fillId="19" borderId="164" applyNumberFormat="0" applyAlignment="0" applyProtection="0"/>
    <xf numFmtId="0" fontId="22" fillId="7" borderId="171" applyNumberFormat="0" applyFont="0" applyAlignment="0" applyProtection="0"/>
    <xf numFmtId="0" fontId="52" fillId="19" borderId="162" applyNumberFormat="0" applyAlignment="0" applyProtection="0"/>
    <xf numFmtId="0" fontId="59" fillId="10" borderId="170" applyNumberFormat="0" applyAlignment="0" applyProtection="0"/>
    <xf numFmtId="0" fontId="59" fillId="10" borderId="170" applyNumberFormat="0" applyAlignment="0" applyProtection="0"/>
    <xf numFmtId="0" fontId="64" fillId="0" borderId="173" applyNumberFormat="0" applyFill="0" applyAlignment="0" applyProtection="0"/>
    <xf numFmtId="0" fontId="64" fillId="0" borderId="169" applyNumberFormat="0" applyFill="0" applyAlignment="0" applyProtection="0"/>
    <xf numFmtId="0" fontId="52" fillId="19" borderId="162" applyNumberFormat="0" applyAlignment="0" applyProtection="0"/>
    <xf numFmtId="0" fontId="62" fillId="19" borderId="180" applyNumberFormat="0" applyAlignment="0" applyProtection="0"/>
    <xf numFmtId="0" fontId="59" fillId="10" borderId="182" applyNumberFormat="0" applyAlignment="0" applyProtection="0"/>
    <xf numFmtId="0" fontId="22" fillId="7" borderId="163" applyNumberFormat="0" applyFont="0" applyAlignment="0" applyProtection="0"/>
    <xf numFmtId="0" fontId="64" fillId="0" borderId="189" applyNumberFormat="0" applyFill="0" applyAlignment="0" applyProtection="0"/>
    <xf numFmtId="0" fontId="52" fillId="19" borderId="178" applyNumberFormat="0" applyAlignment="0" applyProtection="0"/>
    <xf numFmtId="0" fontId="62" fillId="19" borderId="184" applyNumberFormat="0" applyAlignment="0" applyProtection="0"/>
    <xf numFmtId="0" fontId="59" fillId="10" borderId="174" applyNumberFormat="0" applyAlignment="0" applyProtection="0"/>
    <xf numFmtId="0" fontId="64" fillId="0" borderId="185" applyNumberFormat="0" applyFill="0" applyAlignment="0" applyProtection="0"/>
    <xf numFmtId="0" fontId="62" fillId="19" borderId="172" applyNumberFormat="0" applyAlignment="0" applyProtection="0"/>
    <xf numFmtId="0" fontId="52" fillId="19" borderId="154" applyNumberFormat="0" applyAlignment="0" applyProtection="0"/>
    <xf numFmtId="0" fontId="59" fillId="10" borderId="154" applyNumberFormat="0" applyAlignment="0" applyProtection="0"/>
    <xf numFmtId="0" fontId="22" fillId="7" borderId="155" applyNumberFormat="0" applyFont="0" applyAlignment="0" applyProtection="0"/>
    <xf numFmtId="0" fontId="62" fillId="19" borderId="156" applyNumberFormat="0" applyAlignment="0" applyProtection="0"/>
    <xf numFmtId="0" fontId="64" fillId="0" borderId="157" applyNumberFormat="0" applyFill="0" applyAlignment="0" applyProtection="0"/>
    <xf numFmtId="0" fontId="22" fillId="7" borderId="155" applyNumberFormat="0" applyFont="0" applyAlignment="0" applyProtection="0"/>
    <xf numFmtId="0" fontId="52" fillId="19" borderId="154" applyNumberFormat="0" applyAlignment="0" applyProtection="0"/>
    <xf numFmtId="0" fontId="64" fillId="0" borderId="185" applyNumberFormat="0" applyFill="0" applyAlignment="0" applyProtection="0"/>
    <xf numFmtId="0" fontId="62" fillId="19" borderId="156" applyNumberFormat="0" applyAlignment="0" applyProtection="0"/>
    <xf numFmtId="0" fontId="59" fillId="10" borderId="154" applyNumberFormat="0" applyAlignment="0" applyProtection="0"/>
    <xf numFmtId="0" fontId="52" fillId="19" borderId="154" applyNumberFormat="0" applyAlignment="0" applyProtection="0"/>
    <xf numFmtId="0" fontId="52" fillId="19" borderId="154" applyNumberFormat="0" applyAlignment="0" applyProtection="0"/>
    <xf numFmtId="0" fontId="59" fillId="10" borderId="154" applyNumberFormat="0" applyAlignment="0" applyProtection="0"/>
    <xf numFmtId="0" fontId="59" fillId="10" borderId="154" applyNumberFormat="0" applyAlignment="0" applyProtection="0"/>
    <xf numFmtId="0" fontId="52" fillId="19" borderId="154" applyNumberFormat="0" applyAlignment="0" applyProtection="0"/>
    <xf numFmtId="0" fontId="22" fillId="7" borderId="155" applyNumberFormat="0" applyFont="0" applyAlignment="0" applyProtection="0"/>
    <xf numFmtId="0" fontId="62" fillId="19" borderId="156" applyNumberFormat="0" applyAlignment="0" applyProtection="0"/>
    <xf numFmtId="0" fontId="64" fillId="0" borderId="157" applyNumberFormat="0" applyFill="0" applyAlignment="0" applyProtection="0"/>
    <xf numFmtId="0" fontId="62" fillId="19" borderId="156" applyNumberFormat="0" applyAlignment="0" applyProtection="0"/>
    <xf numFmtId="0" fontId="62" fillId="19" borderId="156" applyNumberFormat="0" applyAlignment="0" applyProtection="0"/>
    <xf numFmtId="0" fontId="59" fillId="10" borderId="154" applyNumberFormat="0" applyAlignment="0" applyProtection="0"/>
    <xf numFmtId="0" fontId="22" fillId="7" borderId="155" applyNumberFormat="0" applyFont="0" applyAlignment="0" applyProtection="0"/>
    <xf numFmtId="0" fontId="62" fillId="19" borderId="156" applyNumberFormat="0" applyAlignment="0" applyProtection="0"/>
    <xf numFmtId="0" fontId="64" fillId="0" borderId="157" applyNumberFormat="0" applyFill="0" applyAlignment="0" applyProtection="0"/>
    <xf numFmtId="0" fontId="64" fillId="0" borderId="157" applyNumberFormat="0" applyFill="0" applyAlignment="0" applyProtection="0"/>
    <xf numFmtId="0" fontId="22" fillId="7" borderId="155" applyNumberFormat="0" applyFont="0" applyAlignment="0" applyProtection="0"/>
    <xf numFmtId="0" fontId="64" fillId="0" borderId="157" applyNumberFormat="0" applyFill="0" applyAlignment="0" applyProtection="0"/>
    <xf numFmtId="0" fontId="22" fillId="7" borderId="155" applyNumberFormat="0" applyFont="0" applyAlignment="0" applyProtection="0"/>
    <xf numFmtId="0" fontId="59" fillId="10" borderId="154" applyNumberFormat="0" applyAlignment="0" applyProtection="0"/>
    <xf numFmtId="0" fontId="62" fillId="19" borderId="156" applyNumberFormat="0" applyAlignment="0" applyProtection="0"/>
    <xf numFmtId="0" fontId="64" fillId="0" borderId="157" applyNumberFormat="0" applyFill="0" applyAlignment="0" applyProtection="0"/>
    <xf numFmtId="0" fontId="62" fillId="19" borderId="156" applyNumberFormat="0" applyAlignment="0" applyProtection="0"/>
    <xf numFmtId="0" fontId="59" fillId="10" borderId="154" applyNumberFormat="0" applyAlignment="0" applyProtection="0"/>
    <xf numFmtId="0" fontId="22" fillId="7" borderId="155" applyNumberFormat="0" applyFont="0" applyAlignment="0" applyProtection="0"/>
    <xf numFmtId="0" fontId="22" fillId="7" borderId="155" applyNumberFormat="0" applyFont="0" applyAlignment="0" applyProtection="0"/>
    <xf numFmtId="0" fontId="64" fillId="0" borderId="157" applyNumberFormat="0" applyFill="0" applyAlignment="0" applyProtection="0"/>
    <xf numFmtId="0" fontId="64" fillId="0" borderId="157" applyNumberFormat="0" applyFill="0" applyAlignment="0" applyProtection="0"/>
    <xf numFmtId="0" fontId="52" fillId="19" borderId="154" applyNumberFormat="0" applyAlignment="0" applyProtection="0"/>
    <xf numFmtId="0" fontId="59" fillId="10" borderId="154" applyNumberFormat="0" applyAlignment="0" applyProtection="0"/>
    <xf numFmtId="0" fontId="52" fillId="19" borderId="154" applyNumberFormat="0" applyAlignment="0" applyProtection="0"/>
    <xf numFmtId="0" fontId="52" fillId="19" borderId="154" applyNumberFormat="0" applyAlignment="0" applyProtection="0"/>
    <xf numFmtId="0" fontId="52" fillId="19" borderId="154" applyNumberFormat="0" applyAlignment="0" applyProtection="0"/>
    <xf numFmtId="0" fontId="59" fillId="10" borderId="154" applyNumberFormat="0" applyAlignment="0" applyProtection="0"/>
    <xf numFmtId="0" fontId="22" fillId="7" borderId="155" applyNumberFormat="0" applyFont="0" applyAlignment="0" applyProtection="0"/>
    <xf numFmtId="0" fontId="62" fillId="19" borderId="156" applyNumberFormat="0" applyAlignment="0" applyProtection="0"/>
    <xf numFmtId="0" fontId="64" fillId="0" borderId="157" applyNumberFormat="0" applyFill="0" applyAlignment="0" applyProtection="0"/>
    <xf numFmtId="0" fontId="62" fillId="19" borderId="164" applyNumberFormat="0" applyAlignment="0" applyProtection="0"/>
    <xf numFmtId="0" fontId="59" fillId="10" borderId="170" applyNumberFormat="0" applyAlignment="0" applyProtection="0"/>
    <xf numFmtId="0" fontId="52" fillId="19" borderId="174" applyNumberFormat="0" applyAlignment="0" applyProtection="0"/>
    <xf numFmtId="0" fontId="64" fillId="0" borderId="185" applyNumberFormat="0" applyFill="0" applyAlignment="0" applyProtection="0"/>
    <xf numFmtId="0" fontId="62" fillId="19" borderId="168" applyNumberFormat="0" applyAlignment="0" applyProtection="0"/>
    <xf numFmtId="0" fontId="52" fillId="19" borderId="162" applyNumberFormat="0" applyAlignment="0" applyProtection="0"/>
    <xf numFmtId="0" fontId="62" fillId="19" borderId="172" applyNumberFormat="0" applyAlignment="0" applyProtection="0"/>
    <xf numFmtId="0" fontId="62" fillId="19" borderId="172" applyNumberFormat="0" applyAlignment="0" applyProtection="0"/>
    <xf numFmtId="0" fontId="64" fillId="0" borderId="173" applyNumberFormat="0" applyFill="0" applyAlignment="0" applyProtection="0"/>
    <xf numFmtId="0" fontId="22" fillId="7" borderId="179" applyNumberFormat="0" applyFont="0" applyAlignment="0" applyProtection="0"/>
    <xf numFmtId="0" fontId="59" fillId="10" borderId="182" applyNumberFormat="0" applyAlignment="0" applyProtection="0"/>
    <xf numFmtId="0" fontId="22" fillId="7" borderId="163" applyNumberFormat="0" applyFont="0" applyAlignment="0" applyProtection="0"/>
    <xf numFmtId="0" fontId="62" fillId="19" borderId="172" applyNumberFormat="0" applyAlignment="0" applyProtection="0"/>
    <xf numFmtId="0" fontId="52" fillId="19" borderId="186" applyNumberFormat="0" applyAlignment="0" applyProtection="0"/>
    <xf numFmtId="0" fontId="64" fillId="0" borderId="173" applyNumberFormat="0" applyFill="0" applyAlignment="0" applyProtection="0"/>
    <xf numFmtId="0" fontId="22" fillId="7" borderId="171" applyNumberFormat="0" applyFont="0" applyAlignment="0" applyProtection="0"/>
    <xf numFmtId="0" fontId="64" fillId="0" borderId="181" applyNumberFormat="0" applyFill="0" applyAlignment="0" applyProtection="0"/>
    <xf numFmtId="0" fontId="64" fillId="0" borderId="165" applyNumberFormat="0" applyFill="0" applyAlignment="0" applyProtection="0"/>
    <xf numFmtId="0" fontId="22" fillId="7" borderId="163" applyNumberFormat="0" applyFont="0" applyAlignment="0" applyProtection="0"/>
    <xf numFmtId="0" fontId="59" fillId="10" borderId="182" applyNumberFormat="0" applyAlignment="0" applyProtection="0"/>
    <xf numFmtId="0" fontId="22" fillId="7" borderId="163" applyNumberFormat="0" applyFont="0" applyAlignment="0" applyProtection="0"/>
    <xf numFmtId="0" fontId="22" fillId="7" borderId="171" applyNumberFormat="0" applyFont="0" applyAlignment="0" applyProtection="0"/>
    <xf numFmtId="0" fontId="52" fillId="19" borderId="154" applyNumberFormat="0" applyAlignment="0" applyProtection="0"/>
    <xf numFmtId="0" fontId="64" fillId="0" borderId="165" applyNumberFormat="0" applyFill="0" applyAlignment="0" applyProtection="0"/>
    <xf numFmtId="0" fontId="59" fillId="10" borderId="154" applyNumberFormat="0" applyAlignment="0" applyProtection="0"/>
    <xf numFmtId="0" fontId="22" fillId="7" borderId="155" applyNumberFormat="0" applyFont="0" applyAlignment="0" applyProtection="0"/>
    <xf numFmtId="0" fontId="62" fillId="19" borderId="156" applyNumberFormat="0" applyAlignment="0" applyProtection="0"/>
    <xf numFmtId="0" fontId="64" fillId="0" borderId="157" applyNumberFormat="0" applyFill="0" applyAlignment="0" applyProtection="0"/>
    <xf numFmtId="0" fontId="22" fillId="7" borderId="155" applyNumberFormat="0" applyFont="0" applyAlignment="0" applyProtection="0"/>
    <xf numFmtId="0" fontId="52" fillId="19" borderId="154" applyNumberFormat="0" applyAlignment="0" applyProtection="0"/>
    <xf numFmtId="0" fontId="52" fillId="19" borderId="190" applyNumberFormat="0" applyAlignment="0" applyProtection="0"/>
    <xf numFmtId="0" fontId="62" fillId="19" borderId="156" applyNumberFormat="0" applyAlignment="0" applyProtection="0"/>
    <xf numFmtId="0" fontId="59" fillId="10" borderId="154" applyNumberFormat="0" applyAlignment="0" applyProtection="0"/>
    <xf numFmtId="0" fontId="52" fillId="19" borderId="154" applyNumberFormat="0" applyAlignment="0" applyProtection="0"/>
    <xf numFmtId="0" fontId="52" fillId="19" borderId="154" applyNumberFormat="0" applyAlignment="0" applyProtection="0"/>
    <xf numFmtId="0" fontId="59" fillId="10" borderId="154" applyNumberFormat="0" applyAlignment="0" applyProtection="0"/>
    <xf numFmtId="0" fontId="22" fillId="7" borderId="163" applyNumberFormat="0" applyFont="0" applyAlignment="0" applyProtection="0"/>
    <xf numFmtId="0" fontId="64" fillId="0" borderId="173" applyNumberFormat="0" applyFill="0" applyAlignment="0" applyProtection="0"/>
    <xf numFmtId="0" fontId="59" fillId="10" borderId="154" applyNumberFormat="0" applyAlignment="0" applyProtection="0"/>
    <xf numFmtId="0" fontId="52" fillId="19" borderId="154" applyNumberFormat="0" applyAlignment="0" applyProtection="0"/>
    <xf numFmtId="0" fontId="22" fillId="7" borderId="155" applyNumberFormat="0" applyFont="0" applyAlignment="0" applyProtection="0"/>
    <xf numFmtId="0" fontId="62" fillId="19" borderId="156" applyNumberFormat="0" applyAlignment="0" applyProtection="0"/>
    <xf numFmtId="0" fontId="64" fillId="0" borderId="157" applyNumberFormat="0" applyFill="0" applyAlignment="0" applyProtection="0"/>
    <xf numFmtId="0" fontId="62" fillId="19" borderId="156" applyNumberFormat="0" applyAlignment="0" applyProtection="0"/>
    <xf numFmtId="0" fontId="62" fillId="19" borderId="156" applyNumberFormat="0" applyAlignment="0" applyProtection="0"/>
    <xf numFmtId="0" fontId="59" fillId="10" borderId="154" applyNumberFormat="0" applyAlignment="0" applyProtection="0"/>
    <xf numFmtId="0" fontId="22" fillId="7" borderId="155" applyNumberFormat="0" applyFont="0" applyAlignment="0" applyProtection="0"/>
    <xf numFmtId="0" fontId="62" fillId="19" borderId="156" applyNumberFormat="0" applyAlignment="0" applyProtection="0"/>
    <xf numFmtId="0" fontId="64" fillId="0" borderId="157" applyNumberFormat="0" applyFill="0" applyAlignment="0" applyProtection="0"/>
    <xf numFmtId="0" fontId="64" fillId="0" borderId="157" applyNumberFormat="0" applyFill="0" applyAlignment="0" applyProtection="0"/>
    <xf numFmtId="0" fontId="22" fillId="7" borderId="155" applyNumberFormat="0" applyFont="0" applyAlignment="0" applyProtection="0"/>
    <xf numFmtId="0" fontId="64" fillId="0" borderId="157" applyNumberFormat="0" applyFill="0" applyAlignment="0" applyProtection="0"/>
    <xf numFmtId="0" fontId="22" fillId="7" borderId="155" applyNumberFormat="0" applyFont="0" applyAlignment="0" applyProtection="0"/>
    <xf numFmtId="0" fontId="59" fillId="10" borderId="154" applyNumberFormat="0" applyAlignment="0" applyProtection="0"/>
    <xf numFmtId="0" fontId="62" fillId="19" borderId="156" applyNumberFormat="0" applyAlignment="0" applyProtection="0"/>
    <xf numFmtId="0" fontId="64" fillId="0" borderId="157" applyNumberFormat="0" applyFill="0" applyAlignment="0" applyProtection="0"/>
    <xf numFmtId="0" fontId="62" fillId="19" borderId="156" applyNumberFormat="0" applyAlignment="0" applyProtection="0"/>
    <xf numFmtId="0" fontId="59" fillId="10" borderId="154" applyNumberFormat="0" applyAlignment="0" applyProtection="0"/>
    <xf numFmtId="0" fontId="22" fillId="7" borderId="155" applyNumberFormat="0" applyFont="0" applyAlignment="0" applyProtection="0"/>
    <xf numFmtId="0" fontId="22" fillId="7" borderId="155" applyNumberFormat="0" applyFont="0" applyAlignment="0" applyProtection="0"/>
    <xf numFmtId="0" fontId="64" fillId="0" borderId="157" applyNumberFormat="0" applyFill="0" applyAlignment="0" applyProtection="0"/>
    <xf numFmtId="0" fontId="64" fillId="0" borderId="157" applyNumberFormat="0" applyFill="0" applyAlignment="0" applyProtection="0"/>
    <xf numFmtId="0" fontId="52" fillId="19" borderId="154" applyNumberFormat="0" applyAlignment="0" applyProtection="0"/>
    <xf numFmtId="0" fontId="59" fillId="10" borderId="154" applyNumberFormat="0" applyAlignment="0" applyProtection="0"/>
    <xf numFmtId="0" fontId="52" fillId="19" borderId="154" applyNumberFormat="0" applyAlignment="0" applyProtection="0"/>
    <xf numFmtId="0" fontId="52" fillId="19" borderId="154" applyNumberFormat="0" applyAlignment="0" applyProtection="0"/>
    <xf numFmtId="0" fontId="52" fillId="19" borderId="154" applyNumberFormat="0" applyAlignment="0" applyProtection="0"/>
    <xf numFmtId="0" fontId="64" fillId="0" borderId="181" applyNumberFormat="0" applyFill="0" applyAlignment="0" applyProtection="0"/>
    <xf numFmtId="0" fontId="59" fillId="10" borderId="154" applyNumberFormat="0" applyAlignment="0" applyProtection="0"/>
    <xf numFmtId="0" fontId="22" fillId="7" borderId="155" applyNumberFormat="0" applyFont="0" applyAlignment="0" applyProtection="0"/>
    <xf numFmtId="0" fontId="62" fillId="19" borderId="156" applyNumberFormat="0" applyAlignment="0" applyProtection="0"/>
    <xf numFmtId="0" fontId="64" fillId="0" borderId="157" applyNumberFormat="0" applyFill="0" applyAlignment="0" applyProtection="0"/>
    <xf numFmtId="0" fontId="64" fillId="0" borderId="165" applyNumberFormat="0" applyFill="0" applyAlignment="0" applyProtection="0"/>
    <xf numFmtId="0" fontId="62" fillId="19" borderId="164" applyNumberFormat="0" applyAlignment="0" applyProtection="0"/>
    <xf numFmtId="0" fontId="22" fillId="7" borderId="167" applyNumberFormat="0" applyFont="0" applyAlignment="0" applyProtection="0"/>
    <xf numFmtId="0" fontId="62" fillId="19" borderId="164" applyNumberFormat="0" applyAlignment="0" applyProtection="0"/>
    <xf numFmtId="0" fontId="22" fillId="7" borderId="191" applyNumberFormat="0" applyFont="0" applyAlignment="0" applyProtection="0"/>
    <xf numFmtId="0" fontId="62" fillId="19" borderId="176" applyNumberFormat="0" applyAlignment="0" applyProtection="0"/>
    <xf numFmtId="0" fontId="62" fillId="19" borderId="168" applyNumberFormat="0" applyAlignment="0" applyProtection="0"/>
    <xf numFmtId="0" fontId="22" fillId="7" borderId="167" applyNumberFormat="0" applyFont="0" applyAlignment="0" applyProtection="0"/>
    <xf numFmtId="0" fontId="52" fillId="19" borderId="162" applyNumberFormat="0" applyAlignment="0" applyProtection="0"/>
    <xf numFmtId="0" fontId="64" fillId="0" borderId="173" applyNumberFormat="0" applyFill="0" applyAlignment="0" applyProtection="0"/>
    <xf numFmtId="0" fontId="64" fillId="0" borderId="181" applyNumberFormat="0" applyFill="0" applyAlignment="0" applyProtection="0"/>
    <xf numFmtId="0" fontId="62" fillId="19" borderId="172" applyNumberFormat="0" applyAlignment="0" applyProtection="0"/>
    <xf numFmtId="0" fontId="59" fillId="10" borderId="170" applyNumberFormat="0" applyAlignment="0" applyProtection="0"/>
    <xf numFmtId="0" fontId="52" fillId="19" borderId="178" applyNumberFormat="0" applyAlignment="0" applyProtection="0"/>
    <xf numFmtId="0" fontId="52" fillId="19" borderId="154" applyNumberFormat="0" applyAlignment="0" applyProtection="0"/>
    <xf numFmtId="0" fontId="22" fillId="7" borderId="183" applyNumberFormat="0" applyFont="0" applyAlignment="0" applyProtection="0"/>
    <xf numFmtId="0" fontId="59" fillId="10" borderId="154" applyNumberFormat="0" applyAlignment="0" applyProtection="0"/>
    <xf numFmtId="0" fontId="22" fillId="7" borderId="155" applyNumberFormat="0" applyFont="0" applyAlignment="0" applyProtection="0"/>
    <xf numFmtId="0" fontId="62" fillId="19" borderId="156" applyNumberFormat="0" applyAlignment="0" applyProtection="0"/>
    <xf numFmtId="0" fontId="64" fillId="0" borderId="157" applyNumberFormat="0" applyFill="0" applyAlignment="0" applyProtection="0"/>
    <xf numFmtId="0" fontId="22" fillId="7" borderId="155" applyNumberFormat="0" applyFont="0" applyAlignment="0" applyProtection="0"/>
    <xf numFmtId="0" fontId="52" fillId="19" borderId="154" applyNumberFormat="0" applyAlignment="0" applyProtection="0"/>
    <xf numFmtId="0" fontId="62" fillId="19" borderId="156" applyNumberFormat="0" applyAlignment="0" applyProtection="0"/>
    <xf numFmtId="0" fontId="59" fillId="10" borderId="154" applyNumberFormat="0" applyAlignment="0" applyProtection="0"/>
    <xf numFmtId="0" fontId="52" fillId="19" borderId="154" applyNumberFormat="0" applyAlignment="0" applyProtection="0"/>
    <xf numFmtId="0" fontId="52" fillId="19" borderId="154" applyNumberFormat="0" applyAlignment="0" applyProtection="0"/>
    <xf numFmtId="0" fontId="59" fillId="10" borderId="154" applyNumberFormat="0" applyAlignment="0" applyProtection="0"/>
    <xf numFmtId="0" fontId="62" fillId="19" borderId="192" applyNumberFormat="0" applyAlignment="0" applyProtection="0"/>
    <xf numFmtId="0" fontId="62" fillId="19" borderId="172" applyNumberFormat="0" applyAlignment="0" applyProtection="0"/>
    <xf numFmtId="0" fontId="59" fillId="10" borderId="154" applyNumberFormat="0" applyAlignment="0" applyProtection="0"/>
    <xf numFmtId="0" fontId="52" fillId="19" borderId="154" applyNumberFormat="0" applyAlignment="0" applyProtection="0"/>
    <xf numFmtId="0" fontId="22" fillId="7" borderId="155" applyNumberFormat="0" applyFont="0" applyAlignment="0" applyProtection="0"/>
    <xf numFmtId="0" fontId="62" fillId="19" borderId="156" applyNumberFormat="0" applyAlignment="0" applyProtection="0"/>
    <xf numFmtId="0" fontId="64" fillId="0" borderId="157" applyNumberFormat="0" applyFill="0" applyAlignment="0" applyProtection="0"/>
    <xf numFmtId="0" fontId="62" fillId="19" borderId="156" applyNumberFormat="0" applyAlignment="0" applyProtection="0"/>
    <xf numFmtId="0" fontId="62" fillId="19" borderId="156" applyNumberFormat="0" applyAlignment="0" applyProtection="0"/>
    <xf numFmtId="0" fontId="59" fillId="10" borderId="154" applyNumberFormat="0" applyAlignment="0" applyProtection="0"/>
    <xf numFmtId="0" fontId="22" fillId="7" borderId="155" applyNumberFormat="0" applyFont="0" applyAlignment="0" applyProtection="0"/>
    <xf numFmtId="0" fontId="62" fillId="19" borderId="156" applyNumberFormat="0" applyAlignment="0" applyProtection="0"/>
    <xf numFmtId="0" fontId="64" fillId="0" borderId="157" applyNumberFormat="0" applyFill="0" applyAlignment="0" applyProtection="0"/>
    <xf numFmtId="0" fontId="64" fillId="0" borderId="157" applyNumberFormat="0" applyFill="0" applyAlignment="0" applyProtection="0"/>
    <xf numFmtId="0" fontId="22" fillId="7" borderId="155" applyNumberFormat="0" applyFont="0" applyAlignment="0" applyProtection="0"/>
    <xf numFmtId="0" fontId="64" fillId="0" borderId="157" applyNumberFormat="0" applyFill="0" applyAlignment="0" applyProtection="0"/>
    <xf numFmtId="0" fontId="22" fillId="7" borderId="155" applyNumberFormat="0" applyFont="0" applyAlignment="0" applyProtection="0"/>
    <xf numFmtId="0" fontId="59" fillId="10" borderId="154" applyNumberFormat="0" applyAlignment="0" applyProtection="0"/>
    <xf numFmtId="0" fontId="62" fillId="19" borderId="156" applyNumberFormat="0" applyAlignment="0" applyProtection="0"/>
    <xf numFmtId="0" fontId="64" fillId="0" borderId="157" applyNumberFormat="0" applyFill="0" applyAlignment="0" applyProtection="0"/>
    <xf numFmtId="0" fontId="62" fillId="19" borderId="156" applyNumberFormat="0" applyAlignment="0" applyProtection="0"/>
    <xf numFmtId="0" fontId="59" fillId="10" borderId="154" applyNumberFormat="0" applyAlignment="0" applyProtection="0"/>
    <xf numFmtId="0" fontId="22" fillId="7" borderId="155" applyNumberFormat="0" applyFont="0" applyAlignment="0" applyProtection="0"/>
    <xf numFmtId="0" fontId="22" fillId="7" borderId="155" applyNumberFormat="0" applyFont="0" applyAlignment="0" applyProtection="0"/>
    <xf numFmtId="0" fontId="64" fillId="0" borderId="157" applyNumberFormat="0" applyFill="0" applyAlignment="0" applyProtection="0"/>
    <xf numFmtId="0" fontId="64" fillId="0" borderId="157" applyNumberFormat="0" applyFill="0" applyAlignment="0" applyProtection="0"/>
    <xf numFmtId="0" fontId="52" fillId="19" borderId="154" applyNumberFormat="0" applyAlignment="0" applyProtection="0"/>
    <xf numFmtId="0" fontId="59" fillId="10" borderId="154" applyNumberFormat="0" applyAlignment="0" applyProtection="0"/>
    <xf numFmtId="0" fontId="52" fillId="19" borderId="154" applyNumberFormat="0" applyAlignment="0" applyProtection="0"/>
    <xf numFmtId="0" fontId="52" fillId="19" borderId="154" applyNumberFormat="0" applyAlignment="0" applyProtection="0"/>
    <xf numFmtId="0" fontId="59" fillId="10" borderId="154" applyNumberFormat="0" applyAlignment="0" applyProtection="0"/>
    <xf numFmtId="0" fontId="22" fillId="7" borderId="155" applyNumberFormat="0" applyFont="0" applyAlignment="0" applyProtection="0"/>
    <xf numFmtId="0" fontId="62" fillId="19" borderId="156" applyNumberFormat="0" applyAlignment="0" applyProtection="0"/>
    <xf numFmtId="0" fontId="64" fillId="0" borderId="157" applyNumberFormat="0" applyFill="0" applyAlignment="0" applyProtection="0"/>
    <xf numFmtId="0" fontId="52" fillId="19" borderId="182" applyNumberFormat="0" applyAlignment="0" applyProtection="0"/>
    <xf numFmtId="0" fontId="22" fillId="7" borderId="163" applyNumberFormat="0" applyFont="0" applyAlignment="0" applyProtection="0"/>
    <xf numFmtId="0" fontId="64" fillId="0" borderId="181" applyNumberFormat="0" applyFill="0" applyAlignment="0" applyProtection="0"/>
    <xf numFmtId="0" fontId="22" fillId="7" borderId="171" applyNumberFormat="0" applyFont="0" applyAlignment="0" applyProtection="0"/>
    <xf numFmtId="0" fontId="64" fillId="0" borderId="169" applyNumberFormat="0" applyFill="0" applyAlignment="0" applyProtection="0"/>
    <xf numFmtId="0" fontId="64" fillId="0" borderId="165" applyNumberFormat="0" applyFill="0" applyAlignment="0" applyProtection="0"/>
    <xf numFmtId="0" fontId="64" fillId="0" borderId="185" applyNumberFormat="0" applyFill="0" applyAlignment="0" applyProtection="0"/>
    <xf numFmtId="0" fontId="59" fillId="10" borderId="178" applyNumberFormat="0" applyAlignment="0" applyProtection="0"/>
    <xf numFmtId="0" fontId="22" fillId="7" borderId="179" applyNumberFormat="0" applyFont="0" applyAlignment="0" applyProtection="0"/>
    <xf numFmtId="0" fontId="64" fillId="0" borderId="181" applyNumberFormat="0" applyFill="0" applyAlignment="0" applyProtection="0"/>
    <xf numFmtId="0" fontId="64" fillId="0" borderId="181" applyNumberFormat="0" applyFill="0" applyAlignment="0" applyProtection="0"/>
    <xf numFmtId="0" fontId="22" fillId="7" borderId="179" applyNumberFormat="0" applyFont="0" applyAlignment="0" applyProtection="0"/>
    <xf numFmtId="0" fontId="52" fillId="19" borderId="162" applyNumberFormat="0" applyAlignment="0" applyProtection="0"/>
    <xf numFmtId="0" fontId="64" fillId="0" borderId="185" applyNumberFormat="0" applyFill="0" applyAlignment="0" applyProtection="0"/>
    <xf numFmtId="0" fontId="52" fillId="19" borderId="182" applyNumberFormat="0" applyAlignment="0" applyProtection="0"/>
    <xf numFmtId="0" fontId="52" fillId="19" borderId="166" applyNumberFormat="0" applyAlignment="0" applyProtection="0"/>
    <xf numFmtId="0" fontId="62" fillId="19" borderId="184" applyNumberFormat="0" applyAlignment="0" applyProtection="0"/>
    <xf numFmtId="0" fontId="59" fillId="10" borderId="178" applyNumberFormat="0" applyAlignment="0" applyProtection="0"/>
    <xf numFmtId="0" fontId="62" fillId="19" borderId="172" applyNumberFormat="0" applyAlignment="0" applyProtection="0"/>
    <xf numFmtId="0" fontId="64" fillId="0" borderId="193" applyNumberFormat="0" applyFill="0" applyAlignment="0" applyProtection="0"/>
    <xf numFmtId="0" fontId="22" fillId="7" borderId="179" applyNumberFormat="0" applyFont="0" applyAlignment="0" applyProtection="0"/>
    <xf numFmtId="0" fontId="62" fillId="19" borderId="192" applyNumberFormat="0" applyAlignment="0" applyProtection="0"/>
    <xf numFmtId="0" fontId="52" fillId="19" borderId="178" applyNumberFormat="0" applyAlignment="0" applyProtection="0"/>
    <xf numFmtId="0" fontId="59" fillId="10" borderId="178" applyNumberFormat="0" applyAlignment="0" applyProtection="0"/>
    <xf numFmtId="0" fontId="52" fillId="19" borderId="154" applyNumberFormat="0" applyAlignment="0" applyProtection="0"/>
    <xf numFmtId="0" fontId="59" fillId="10" borderId="154" applyNumberFormat="0" applyAlignment="0" applyProtection="0"/>
    <xf numFmtId="0" fontId="22" fillId="7" borderId="155" applyNumberFormat="0" applyFont="0" applyAlignment="0" applyProtection="0"/>
    <xf numFmtId="0" fontId="62" fillId="19" borderId="156" applyNumberFormat="0" applyAlignment="0" applyProtection="0"/>
    <xf numFmtId="0" fontId="64" fillId="0" borderId="157" applyNumberFormat="0" applyFill="0" applyAlignment="0" applyProtection="0"/>
    <xf numFmtId="0" fontId="22" fillId="7" borderId="155" applyNumberFormat="0" applyFont="0" applyAlignment="0" applyProtection="0"/>
    <xf numFmtId="0" fontId="52" fillId="19" borderId="154" applyNumberFormat="0" applyAlignment="0" applyProtection="0"/>
    <xf numFmtId="0" fontId="22" fillId="7" borderId="163" applyNumberFormat="0" applyFont="0" applyAlignment="0" applyProtection="0"/>
    <xf numFmtId="0" fontId="62" fillId="19" borderId="156" applyNumberFormat="0" applyAlignment="0" applyProtection="0"/>
    <xf numFmtId="0" fontId="59" fillId="10" borderId="154" applyNumberFormat="0" applyAlignment="0" applyProtection="0"/>
    <xf numFmtId="0" fontId="52" fillId="19" borderId="154" applyNumberFormat="0" applyAlignment="0" applyProtection="0"/>
    <xf numFmtId="0" fontId="52" fillId="19" borderId="154" applyNumberFormat="0" applyAlignment="0" applyProtection="0"/>
    <xf numFmtId="0" fontId="59" fillId="10" borderId="154" applyNumberFormat="0" applyAlignment="0" applyProtection="0"/>
    <xf numFmtId="0" fontId="59" fillId="10" borderId="154" applyNumberFormat="0" applyAlignment="0" applyProtection="0"/>
    <xf numFmtId="0" fontId="52" fillId="19" borderId="154" applyNumberFormat="0" applyAlignment="0" applyProtection="0"/>
    <xf numFmtId="0" fontId="22" fillId="7" borderId="155" applyNumberFormat="0" applyFont="0" applyAlignment="0" applyProtection="0"/>
    <xf numFmtId="0" fontId="62" fillId="19" borderId="156" applyNumberFormat="0" applyAlignment="0" applyProtection="0"/>
    <xf numFmtId="0" fontId="64" fillId="0" borderId="157" applyNumberFormat="0" applyFill="0" applyAlignment="0" applyProtection="0"/>
    <xf numFmtId="0" fontId="62" fillId="19" borderId="156" applyNumberFormat="0" applyAlignment="0" applyProtection="0"/>
    <xf numFmtId="0" fontId="62" fillId="19" borderId="156" applyNumberFormat="0" applyAlignment="0" applyProtection="0"/>
    <xf numFmtId="0" fontId="59" fillId="10" borderId="154" applyNumberFormat="0" applyAlignment="0" applyProtection="0"/>
    <xf numFmtId="0" fontId="22" fillId="7" borderId="155" applyNumberFormat="0" applyFont="0" applyAlignment="0" applyProtection="0"/>
    <xf numFmtId="0" fontId="62" fillId="19" borderId="156" applyNumberFormat="0" applyAlignment="0" applyProtection="0"/>
    <xf numFmtId="0" fontId="64" fillId="0" borderId="157" applyNumberFormat="0" applyFill="0" applyAlignment="0" applyProtection="0"/>
    <xf numFmtId="0" fontId="64" fillId="0" borderId="157" applyNumberFormat="0" applyFill="0" applyAlignment="0" applyProtection="0"/>
    <xf numFmtId="0" fontId="22" fillId="7" borderId="155" applyNumberFormat="0" applyFont="0" applyAlignment="0" applyProtection="0"/>
    <xf numFmtId="0" fontId="64" fillId="0" borderId="157" applyNumberFormat="0" applyFill="0" applyAlignment="0" applyProtection="0"/>
    <xf numFmtId="0" fontId="22" fillId="7" borderId="155" applyNumberFormat="0" applyFont="0" applyAlignment="0" applyProtection="0"/>
    <xf numFmtId="0" fontId="59" fillId="10" borderId="154" applyNumberFormat="0" applyAlignment="0" applyProtection="0"/>
    <xf numFmtId="0" fontId="62" fillId="19" borderId="156" applyNumberFormat="0" applyAlignment="0" applyProtection="0"/>
    <xf numFmtId="0" fontId="64" fillId="0" borderId="157" applyNumberFormat="0" applyFill="0" applyAlignment="0" applyProtection="0"/>
    <xf numFmtId="0" fontId="62" fillId="19" borderId="156" applyNumberFormat="0" applyAlignment="0" applyProtection="0"/>
    <xf numFmtId="0" fontId="59" fillId="10" borderId="154" applyNumberFormat="0" applyAlignment="0" applyProtection="0"/>
    <xf numFmtId="0" fontId="22" fillId="7" borderId="155" applyNumberFormat="0" applyFont="0" applyAlignment="0" applyProtection="0"/>
    <xf numFmtId="0" fontId="22" fillId="7" borderId="155" applyNumberFormat="0" applyFont="0" applyAlignment="0" applyProtection="0"/>
    <xf numFmtId="0" fontId="64" fillId="0" borderId="157" applyNumberFormat="0" applyFill="0" applyAlignment="0" applyProtection="0"/>
    <xf numFmtId="0" fontId="64" fillId="0" borderId="157" applyNumberFormat="0" applyFill="0" applyAlignment="0" applyProtection="0"/>
    <xf numFmtId="0" fontId="52" fillId="19" borderId="154" applyNumberFormat="0" applyAlignment="0" applyProtection="0"/>
    <xf numFmtId="0" fontId="59" fillId="10" borderId="154" applyNumberFormat="0" applyAlignment="0" applyProtection="0"/>
    <xf numFmtId="0" fontId="52" fillId="19" borderId="154" applyNumberFormat="0" applyAlignment="0" applyProtection="0"/>
    <xf numFmtId="0" fontId="52" fillId="19" borderId="154" applyNumberFormat="0" applyAlignment="0" applyProtection="0"/>
    <xf numFmtId="0" fontId="52" fillId="19" borderId="178" applyNumberFormat="0" applyAlignment="0" applyProtection="0"/>
    <xf numFmtId="0" fontId="62" fillId="19" borderId="172" applyNumberFormat="0" applyAlignment="0" applyProtection="0"/>
    <xf numFmtId="0" fontId="64" fillId="0" borderId="193" applyNumberFormat="0" applyFill="0" applyAlignment="0" applyProtection="0"/>
    <xf numFmtId="0" fontId="52" fillId="19" borderId="158" applyNumberFormat="0" applyAlignment="0" applyProtection="0"/>
    <xf numFmtId="0" fontId="59" fillId="10" borderId="158" applyNumberFormat="0" applyAlignment="0" applyProtection="0"/>
    <xf numFmtId="0" fontId="22" fillId="7" borderId="183" applyNumberFormat="0" applyFont="0" applyAlignment="0" applyProtection="0"/>
    <xf numFmtId="0" fontId="62" fillId="19" borderId="192" applyNumberFormat="0" applyAlignment="0" applyProtection="0"/>
    <xf numFmtId="0" fontId="62" fillId="19" borderId="156" applyNumberFormat="0" applyAlignment="0" applyProtection="0"/>
    <xf numFmtId="0" fontId="64" fillId="0" borderId="177" applyNumberFormat="0" applyFill="0" applyAlignment="0" applyProtection="0"/>
    <xf numFmtId="0" fontId="59" fillId="10" borderId="154" applyNumberFormat="0" applyAlignment="0" applyProtection="0"/>
    <xf numFmtId="0" fontId="64" fillId="0" borderId="185" applyNumberFormat="0" applyFill="0" applyAlignment="0" applyProtection="0"/>
    <xf numFmtId="0" fontId="62" fillId="19" borderId="180" applyNumberFormat="0" applyAlignment="0" applyProtection="0"/>
    <xf numFmtId="0" fontId="22" fillId="7" borderId="155" applyNumberFormat="0" applyFont="0" applyAlignment="0" applyProtection="0"/>
    <xf numFmtId="0" fontId="52" fillId="19" borderId="166" applyNumberFormat="0" applyAlignment="0" applyProtection="0"/>
    <xf numFmtId="0" fontId="52" fillId="19" borderId="190" applyNumberFormat="0" applyAlignment="0" applyProtection="0"/>
    <xf numFmtId="0" fontId="22" fillId="7" borderId="175" applyNumberFormat="0" applyFont="0" applyAlignment="0" applyProtection="0"/>
    <xf numFmtId="0" fontId="22" fillId="7" borderId="175" applyNumberFormat="0" applyFont="0" applyAlignment="0" applyProtection="0"/>
    <xf numFmtId="0" fontId="62" fillId="19" borderId="172" applyNumberFormat="0" applyAlignment="0" applyProtection="0"/>
    <xf numFmtId="0" fontId="62" fillId="19" borderId="168" applyNumberFormat="0" applyAlignment="0" applyProtection="0"/>
    <xf numFmtId="0" fontId="59" fillId="10" borderId="182" applyNumberFormat="0" applyAlignment="0" applyProtection="0"/>
    <xf numFmtId="0" fontId="52" fillId="19" borderId="190" applyNumberFormat="0" applyAlignment="0" applyProtection="0"/>
    <xf numFmtId="0" fontId="52" fillId="19" borderId="174" applyNumberFormat="0" applyAlignment="0" applyProtection="0"/>
    <xf numFmtId="0" fontId="62" fillId="19" borderId="168" applyNumberFormat="0" applyAlignment="0" applyProtection="0"/>
    <xf numFmtId="0" fontId="62" fillId="19" borderId="192" applyNumberFormat="0" applyAlignment="0" applyProtection="0"/>
    <xf numFmtId="0" fontId="59" fillId="10" borderId="170" applyNumberFormat="0" applyAlignment="0" applyProtection="0"/>
    <xf numFmtId="0" fontId="64" fillId="0" borderId="181" applyNumberFormat="0" applyFill="0" applyAlignment="0" applyProtection="0"/>
    <xf numFmtId="0" fontId="62" fillId="19" borderId="180" applyNumberFormat="0" applyAlignment="0" applyProtection="0"/>
    <xf numFmtId="0" fontId="59" fillId="10" borderId="178" applyNumberFormat="0" applyAlignment="0" applyProtection="0"/>
    <xf numFmtId="0" fontId="22" fillId="7" borderId="163" applyNumberFormat="0" applyFont="0" applyAlignment="0" applyProtection="0"/>
    <xf numFmtId="0" fontId="22" fillId="7" borderId="171" applyNumberFormat="0" applyFont="0" applyAlignment="0" applyProtection="0"/>
    <xf numFmtId="0" fontId="22" fillId="7" borderId="183" applyNumberFormat="0" applyFont="0" applyAlignment="0" applyProtection="0"/>
    <xf numFmtId="0" fontId="62" fillId="19" borderId="168" applyNumberFormat="0" applyAlignment="0" applyProtection="0"/>
    <xf numFmtId="0" fontId="22" fillId="7" borderId="167" applyNumberFormat="0" applyFont="0" applyAlignment="0" applyProtection="0"/>
    <xf numFmtId="0" fontId="22" fillId="7" borderId="175" applyNumberFormat="0" applyFont="0" applyAlignment="0" applyProtection="0"/>
    <xf numFmtId="0" fontId="52" fillId="19" borderId="190" applyNumberFormat="0" applyAlignment="0" applyProtection="0"/>
    <xf numFmtId="0" fontId="62" fillId="19" borderId="192" applyNumberFormat="0" applyAlignment="0" applyProtection="0"/>
    <xf numFmtId="0" fontId="22" fillId="7" borderId="179" applyNumberFormat="0" applyFont="0" applyAlignment="0" applyProtection="0"/>
    <xf numFmtId="0" fontId="64" fillId="0" borderId="165" applyNumberFormat="0" applyFill="0" applyAlignment="0" applyProtection="0"/>
    <xf numFmtId="0" fontId="52" fillId="19" borderId="170" applyNumberFormat="0" applyAlignment="0" applyProtection="0"/>
    <xf numFmtId="0" fontId="62" fillId="19" borderId="164" applyNumberFormat="0" applyAlignment="0" applyProtection="0"/>
    <xf numFmtId="0" fontId="64" fillId="0" borderId="169" applyNumberFormat="0" applyFill="0" applyAlignment="0" applyProtection="0"/>
    <xf numFmtId="0" fontId="64" fillId="0" borderId="157" applyNumberFormat="0" applyFill="0" applyAlignment="0" applyProtection="0"/>
    <xf numFmtId="0" fontId="52" fillId="19" borderId="154" applyNumberFormat="0" applyAlignment="0" applyProtection="0"/>
    <xf numFmtId="0" fontId="52" fillId="19" borderId="154" applyNumberFormat="0" applyAlignment="0" applyProtection="0"/>
    <xf numFmtId="0" fontId="59" fillId="10" borderId="154" applyNumberFormat="0" applyAlignment="0" applyProtection="0"/>
    <xf numFmtId="0" fontId="22" fillId="7" borderId="155" applyNumberFormat="0" applyFont="0" applyAlignment="0" applyProtection="0"/>
    <xf numFmtId="0" fontId="64" fillId="0" borderId="157" applyNumberFormat="0" applyFill="0" applyAlignment="0" applyProtection="0"/>
    <xf numFmtId="0" fontId="64" fillId="0" borderId="165" applyNumberFormat="0" applyFill="0" applyAlignment="0" applyProtection="0"/>
    <xf numFmtId="0" fontId="22" fillId="7" borderId="179" applyNumberFormat="0" applyFont="0" applyAlignment="0" applyProtection="0"/>
    <xf numFmtId="0" fontId="22" fillId="7" borderId="167" applyNumberFormat="0" applyFont="0" applyAlignment="0" applyProtection="0"/>
    <xf numFmtId="0" fontId="52" fillId="19" borderId="166" applyNumberFormat="0" applyAlignment="0" applyProtection="0"/>
    <xf numFmtId="0" fontId="22" fillId="7" borderId="171" applyNumberFormat="0" applyFont="0" applyAlignment="0" applyProtection="0"/>
    <xf numFmtId="0" fontId="52" fillId="19" borderId="182" applyNumberFormat="0" applyAlignment="0" applyProtection="0"/>
    <xf numFmtId="0" fontId="59" fillId="10" borderId="166" applyNumberFormat="0" applyAlignment="0" applyProtection="0"/>
    <xf numFmtId="0" fontId="22" fillId="7" borderId="163" applyNumberFormat="0" applyFont="0" applyAlignment="0" applyProtection="0"/>
    <xf numFmtId="0" fontId="64" fillId="0" borderId="173" applyNumberFormat="0" applyFill="0" applyAlignment="0" applyProtection="0"/>
    <xf numFmtId="0" fontId="64" fillId="0" borderId="181" applyNumberFormat="0" applyFill="0" applyAlignment="0" applyProtection="0"/>
    <xf numFmtId="0" fontId="22" fillId="7" borderId="171" applyNumberFormat="0" applyFont="0" applyAlignment="0" applyProtection="0"/>
    <xf numFmtId="0" fontId="52" fillId="19" borderId="190" applyNumberFormat="0" applyAlignment="0" applyProtection="0"/>
    <xf numFmtId="0" fontId="62" fillId="19" borderId="184" applyNumberFormat="0" applyAlignment="0" applyProtection="0"/>
    <xf numFmtId="0" fontId="59" fillId="10" borderId="162" applyNumberFormat="0" applyAlignment="0" applyProtection="0"/>
    <xf numFmtId="0" fontId="62" fillId="19" borderId="164" applyNumberFormat="0" applyAlignment="0" applyProtection="0"/>
    <xf numFmtId="0" fontId="59" fillId="10" borderId="162" applyNumberFormat="0" applyAlignment="0" applyProtection="0"/>
    <xf numFmtId="0" fontId="62" fillId="19" borderId="172" applyNumberFormat="0" applyAlignment="0" applyProtection="0"/>
    <xf numFmtId="0" fontId="59" fillId="10" borderId="178" applyNumberFormat="0" applyAlignment="0" applyProtection="0"/>
    <xf numFmtId="0" fontId="59" fillId="10" borderId="190" applyNumberFormat="0" applyAlignment="0" applyProtection="0"/>
    <xf numFmtId="0" fontId="22" fillId="7" borderId="183" applyNumberFormat="0" applyFont="0" applyAlignment="0" applyProtection="0"/>
    <xf numFmtId="0" fontId="62" fillId="19" borderId="164" applyNumberFormat="0" applyAlignment="0" applyProtection="0"/>
    <xf numFmtId="0" fontId="22" fillId="7" borderId="163" applyNumberFormat="0" applyFont="0" applyAlignment="0" applyProtection="0"/>
    <xf numFmtId="0" fontId="64" fillId="0" borderId="169" applyNumberFormat="0" applyFill="0" applyAlignment="0" applyProtection="0"/>
    <xf numFmtId="0" fontId="52" fillId="19" borderId="182" applyNumberFormat="0" applyAlignment="0" applyProtection="0"/>
    <xf numFmtId="0" fontId="52" fillId="19" borderId="182" applyNumberFormat="0" applyAlignment="0" applyProtection="0"/>
    <xf numFmtId="0" fontId="22" fillId="7" borderId="167" applyNumberFormat="0" applyFont="0" applyAlignment="0" applyProtection="0"/>
    <xf numFmtId="0" fontId="59" fillId="10" borderId="170" applyNumberFormat="0" applyAlignment="0" applyProtection="0"/>
    <xf numFmtId="0" fontId="62" fillId="19" borderId="172" applyNumberFormat="0" applyAlignment="0" applyProtection="0"/>
    <xf numFmtId="0" fontId="52" fillId="19" borderId="162" applyNumberFormat="0" applyAlignment="0" applyProtection="0"/>
    <xf numFmtId="0" fontId="64" fillId="0" borderId="165" applyNumberFormat="0" applyFill="0" applyAlignment="0" applyProtection="0"/>
    <xf numFmtId="0" fontId="62" fillId="19" borderId="164" applyNumberFormat="0" applyAlignment="0" applyProtection="0"/>
    <xf numFmtId="0" fontId="52" fillId="19" borderId="170" applyNumberFormat="0" applyAlignment="0" applyProtection="0"/>
    <xf numFmtId="0" fontId="52" fillId="19" borderId="170" applyNumberFormat="0" applyAlignment="0" applyProtection="0"/>
    <xf numFmtId="0" fontId="64" fillId="0" borderId="165" applyNumberFormat="0" applyFill="0" applyAlignment="0" applyProtection="0"/>
    <xf numFmtId="0" fontId="52" fillId="19" borderId="166" applyNumberFormat="0" applyAlignment="0" applyProtection="0"/>
    <xf numFmtId="0" fontId="64" fillId="0" borderId="165" applyNumberFormat="0" applyFill="0" applyAlignment="0" applyProtection="0"/>
    <xf numFmtId="0" fontId="62" fillId="19" borderId="168" applyNumberFormat="0" applyAlignment="0" applyProtection="0"/>
    <xf numFmtId="0" fontId="64" fillId="0" borderId="181" applyNumberFormat="0" applyFill="0" applyAlignment="0" applyProtection="0"/>
    <xf numFmtId="0" fontId="59" fillId="10" borderId="162" applyNumberFormat="0" applyAlignment="0" applyProtection="0"/>
    <xf numFmtId="0" fontId="64" fillId="0" borderId="165" applyNumberFormat="0" applyFill="0" applyAlignment="0" applyProtection="0"/>
    <xf numFmtId="0" fontId="64" fillId="0" borderId="165" applyNumberFormat="0" applyFill="0" applyAlignment="0" applyProtection="0"/>
    <xf numFmtId="0" fontId="59" fillId="10" borderId="162" applyNumberFormat="0" applyAlignment="0" applyProtection="0"/>
    <xf numFmtId="0" fontId="59" fillId="10" borderId="162" applyNumberFormat="0" applyAlignment="0" applyProtection="0"/>
    <xf numFmtId="0" fontId="59" fillId="10" borderId="174" applyNumberFormat="0" applyAlignment="0" applyProtection="0"/>
    <xf numFmtId="0" fontId="59" fillId="10" borderId="162" applyNumberFormat="0" applyAlignment="0" applyProtection="0"/>
    <xf numFmtId="0" fontId="52" fillId="19" borderId="158" applyNumberFormat="0" applyAlignment="0" applyProtection="0"/>
    <xf numFmtId="0" fontId="59" fillId="10" borderId="158" applyNumberFormat="0" applyAlignment="0" applyProtection="0"/>
    <xf numFmtId="0" fontId="22" fillId="7" borderId="159" applyNumberFormat="0" applyFont="0" applyAlignment="0" applyProtection="0"/>
    <xf numFmtId="0" fontId="62" fillId="19" borderId="160" applyNumberFormat="0" applyAlignment="0" applyProtection="0"/>
    <xf numFmtId="0" fontId="64" fillId="0" borderId="161" applyNumberFormat="0" applyFill="0" applyAlignment="0" applyProtection="0"/>
    <xf numFmtId="0" fontId="22" fillId="7" borderId="159" applyNumberFormat="0" applyFont="0" applyAlignment="0" applyProtection="0"/>
    <xf numFmtId="0" fontId="52" fillId="19" borderId="158" applyNumberFormat="0" applyAlignment="0" applyProtection="0"/>
    <xf numFmtId="0" fontId="62" fillId="19" borderId="160" applyNumberFormat="0" applyAlignment="0" applyProtection="0"/>
    <xf numFmtId="0" fontId="59" fillId="10" borderId="158" applyNumberFormat="0" applyAlignment="0" applyProtection="0"/>
    <xf numFmtId="0" fontId="52" fillId="19" borderId="158" applyNumberFormat="0" applyAlignment="0" applyProtection="0"/>
    <xf numFmtId="0" fontId="52" fillId="19" borderId="158" applyNumberFormat="0" applyAlignment="0" applyProtection="0"/>
    <xf numFmtId="0" fontId="59" fillId="10" borderId="158" applyNumberFormat="0" applyAlignment="0" applyProtection="0"/>
    <xf numFmtId="0" fontId="59" fillId="10" borderId="158" applyNumberFormat="0" applyAlignment="0" applyProtection="0"/>
    <xf numFmtId="0" fontId="52" fillId="19" borderId="158" applyNumberFormat="0" applyAlignment="0" applyProtection="0"/>
    <xf numFmtId="0" fontId="22" fillId="7" borderId="159" applyNumberFormat="0" applyFont="0" applyAlignment="0" applyProtection="0"/>
    <xf numFmtId="0" fontId="62" fillId="19" borderId="160" applyNumberFormat="0" applyAlignment="0" applyProtection="0"/>
    <xf numFmtId="0" fontId="64" fillId="0" borderId="161" applyNumberFormat="0" applyFill="0" applyAlignment="0" applyProtection="0"/>
    <xf numFmtId="0" fontId="62" fillId="19" borderId="160" applyNumberFormat="0" applyAlignment="0" applyProtection="0"/>
    <xf numFmtId="0" fontId="62" fillId="19" borderId="160" applyNumberFormat="0" applyAlignment="0" applyProtection="0"/>
    <xf numFmtId="0" fontId="59" fillId="10" borderId="158" applyNumberFormat="0" applyAlignment="0" applyProtection="0"/>
    <xf numFmtId="0" fontId="22" fillId="7" borderId="159" applyNumberFormat="0" applyFont="0" applyAlignment="0" applyProtection="0"/>
    <xf numFmtId="0" fontId="62" fillId="19" borderId="160" applyNumberFormat="0" applyAlignment="0" applyProtection="0"/>
    <xf numFmtId="0" fontId="64" fillId="0" borderId="161" applyNumberFormat="0" applyFill="0" applyAlignment="0" applyProtection="0"/>
    <xf numFmtId="0" fontId="64" fillId="0" borderId="161" applyNumberFormat="0" applyFill="0" applyAlignment="0" applyProtection="0"/>
    <xf numFmtId="0" fontId="22" fillId="7" borderId="159" applyNumberFormat="0" applyFont="0" applyAlignment="0" applyProtection="0"/>
    <xf numFmtId="0" fontId="64" fillId="0" borderId="161" applyNumberFormat="0" applyFill="0" applyAlignment="0" applyProtection="0"/>
    <xf numFmtId="0" fontId="22" fillId="7" borderId="159" applyNumberFormat="0" applyFont="0" applyAlignment="0" applyProtection="0"/>
    <xf numFmtId="0" fontId="59" fillId="10" borderId="158" applyNumberFormat="0" applyAlignment="0" applyProtection="0"/>
    <xf numFmtId="0" fontId="62" fillId="19" borderId="160" applyNumberFormat="0" applyAlignment="0" applyProtection="0"/>
    <xf numFmtId="0" fontId="64" fillId="0" borderId="161" applyNumberFormat="0" applyFill="0" applyAlignment="0" applyProtection="0"/>
    <xf numFmtId="0" fontId="62" fillId="19" borderId="160" applyNumberFormat="0" applyAlignment="0" applyProtection="0"/>
    <xf numFmtId="0" fontId="59" fillId="10" borderId="158" applyNumberFormat="0" applyAlignment="0" applyProtection="0"/>
    <xf numFmtId="0" fontId="22" fillId="7" borderId="159" applyNumberFormat="0" applyFont="0" applyAlignment="0" applyProtection="0"/>
    <xf numFmtId="0" fontId="22" fillId="7" borderId="159" applyNumberFormat="0" applyFont="0" applyAlignment="0" applyProtection="0"/>
    <xf numFmtId="0" fontId="64" fillId="0" borderId="161" applyNumberFormat="0" applyFill="0" applyAlignment="0" applyProtection="0"/>
    <xf numFmtId="0" fontId="64" fillId="0" borderId="161" applyNumberFormat="0" applyFill="0" applyAlignment="0" applyProtection="0"/>
    <xf numFmtId="0" fontId="52" fillId="19" borderId="158" applyNumberFormat="0" applyAlignment="0" applyProtection="0"/>
    <xf numFmtId="0" fontId="59" fillId="10" borderId="158" applyNumberFormat="0" applyAlignment="0" applyProtection="0"/>
    <xf numFmtId="0" fontId="52" fillId="19" borderId="158" applyNumberFormat="0" applyAlignment="0" applyProtection="0"/>
    <xf numFmtId="0" fontId="52" fillId="19" borderId="158" applyNumberFormat="0" applyAlignment="0" applyProtection="0"/>
    <xf numFmtId="0" fontId="64" fillId="0" borderId="165" applyNumberFormat="0" applyFill="0" applyAlignment="0" applyProtection="0"/>
    <xf numFmtId="0" fontId="62" fillId="19" borderId="176" applyNumberFormat="0" applyAlignment="0" applyProtection="0"/>
    <xf numFmtId="0" fontId="59" fillId="10" borderId="170" applyNumberFormat="0" applyAlignment="0" applyProtection="0"/>
    <xf numFmtId="0" fontId="22" fillId="7" borderId="163" applyNumberFormat="0" applyFont="0" applyAlignment="0" applyProtection="0"/>
    <xf numFmtId="0" fontId="52" fillId="19" borderId="158" applyNumberFormat="0" applyAlignment="0" applyProtection="0"/>
    <xf numFmtId="0" fontId="52" fillId="19" borderId="158" applyNumberFormat="0" applyAlignment="0" applyProtection="0"/>
    <xf numFmtId="0" fontId="59" fillId="10" borderId="158" applyNumberFormat="0" applyAlignment="0" applyProtection="0"/>
    <xf numFmtId="0" fontId="22" fillId="7" borderId="159" applyNumberFormat="0" applyFont="0" applyAlignment="0" applyProtection="0"/>
    <xf numFmtId="0" fontId="62" fillId="19" borderId="160" applyNumberFormat="0" applyAlignment="0" applyProtection="0"/>
    <xf numFmtId="0" fontId="64" fillId="0" borderId="161" applyNumberFormat="0" applyFill="0" applyAlignment="0" applyProtection="0"/>
    <xf numFmtId="0" fontId="52" fillId="19" borderId="174" applyNumberFormat="0" applyAlignment="0" applyProtection="0"/>
    <xf numFmtId="0" fontId="64" fillId="0" borderId="173" applyNumberFormat="0" applyFill="0" applyAlignment="0" applyProtection="0"/>
    <xf numFmtId="0" fontId="52" fillId="19" borderId="182" applyNumberFormat="0" applyAlignment="0" applyProtection="0"/>
    <xf numFmtId="0" fontId="22" fillId="7" borderId="175" applyNumberFormat="0" applyFont="0" applyAlignment="0" applyProtection="0"/>
    <xf numFmtId="0" fontId="62" fillId="19" borderId="164" applyNumberFormat="0" applyAlignment="0" applyProtection="0"/>
    <xf numFmtId="0" fontId="22" fillId="7" borderId="163" applyNumberFormat="0" applyFont="0" applyAlignment="0" applyProtection="0"/>
    <xf numFmtId="0" fontId="59" fillId="10" borderId="162" applyNumberFormat="0" applyAlignment="0" applyProtection="0"/>
    <xf numFmtId="0" fontId="59" fillId="10" borderId="182" applyNumberFormat="0" applyAlignment="0" applyProtection="0"/>
    <xf numFmtId="0" fontId="59" fillId="10" borderId="162" applyNumberFormat="0" applyAlignment="0" applyProtection="0"/>
    <xf numFmtId="0" fontId="52" fillId="19" borderId="162" applyNumberFormat="0" applyAlignment="0" applyProtection="0"/>
    <xf numFmtId="0" fontId="52" fillId="19" borderId="178" applyNumberFormat="0" applyAlignment="0" applyProtection="0"/>
    <xf numFmtId="0" fontId="22" fillId="7" borderId="179" applyNumberFormat="0" applyFont="0" applyAlignment="0" applyProtection="0"/>
    <xf numFmtId="0" fontId="59" fillId="10" borderId="174" applyNumberFormat="0" applyAlignment="0" applyProtection="0"/>
    <xf numFmtId="0" fontId="52" fillId="19" borderId="182" applyNumberFormat="0" applyAlignment="0" applyProtection="0"/>
    <xf numFmtId="0" fontId="59" fillId="10" borderId="170" applyNumberFormat="0" applyAlignment="0" applyProtection="0"/>
    <xf numFmtId="0" fontId="64" fillId="0" borderId="185" applyNumberFormat="0" applyFill="0" applyAlignment="0" applyProtection="0"/>
    <xf numFmtId="0" fontId="59" fillId="10" borderId="182" applyNumberFormat="0" applyAlignment="0" applyProtection="0"/>
    <xf numFmtId="0" fontId="62" fillId="19" borderId="184" applyNumberFormat="0" applyAlignment="0" applyProtection="0"/>
    <xf numFmtId="0" fontId="64" fillId="0" borderId="177" applyNumberFormat="0" applyFill="0" applyAlignment="0" applyProtection="0"/>
    <xf numFmtId="0" fontId="64" fillId="0" borderId="185" applyNumberFormat="0" applyFill="0" applyAlignment="0" applyProtection="0"/>
    <xf numFmtId="0" fontId="22" fillId="7" borderId="163" applyNumberFormat="0" applyFont="0" applyAlignment="0" applyProtection="0"/>
    <xf numFmtId="0" fontId="22" fillId="7" borderId="163" applyNumberFormat="0" applyFont="0" applyAlignment="0" applyProtection="0"/>
    <xf numFmtId="0" fontId="52" fillId="19" borderId="162" applyNumberFormat="0" applyAlignment="0" applyProtection="0"/>
    <xf numFmtId="0" fontId="64" fillId="0" borderId="165" applyNumberFormat="0" applyFill="0" applyAlignment="0" applyProtection="0"/>
    <xf numFmtId="0" fontId="62" fillId="19" borderId="164" applyNumberFormat="0" applyAlignment="0" applyProtection="0"/>
    <xf numFmtId="0" fontId="52" fillId="19" borderId="158" applyNumberFormat="0" applyAlignment="0" applyProtection="0"/>
    <xf numFmtId="0" fontId="59" fillId="10" borderId="158" applyNumberFormat="0" applyAlignment="0" applyProtection="0"/>
    <xf numFmtId="0" fontId="22" fillId="7" borderId="159" applyNumberFormat="0" applyFont="0" applyAlignment="0" applyProtection="0"/>
    <xf numFmtId="0" fontId="62" fillId="19" borderId="160" applyNumberFormat="0" applyAlignment="0" applyProtection="0"/>
    <xf numFmtId="0" fontId="64" fillId="0" borderId="161" applyNumberFormat="0" applyFill="0" applyAlignment="0" applyProtection="0"/>
    <xf numFmtId="0" fontId="22" fillId="7" borderId="159" applyNumberFormat="0" applyFont="0" applyAlignment="0" applyProtection="0"/>
    <xf numFmtId="0" fontId="52" fillId="19" borderId="158" applyNumberFormat="0" applyAlignment="0" applyProtection="0"/>
    <xf numFmtId="0" fontId="62" fillId="19" borderId="160" applyNumberFormat="0" applyAlignment="0" applyProtection="0"/>
    <xf numFmtId="0" fontId="59" fillId="10" borderId="158" applyNumberFormat="0" applyAlignment="0" applyProtection="0"/>
    <xf numFmtId="0" fontId="52" fillId="19" borderId="158" applyNumberFormat="0" applyAlignment="0" applyProtection="0"/>
    <xf numFmtId="0" fontId="52" fillId="19" borderId="158" applyNumberFormat="0" applyAlignment="0" applyProtection="0"/>
    <xf numFmtId="0" fontId="59" fillId="10" borderId="158" applyNumberFormat="0" applyAlignment="0" applyProtection="0"/>
    <xf numFmtId="0" fontId="59" fillId="10" borderId="158" applyNumberFormat="0" applyAlignment="0" applyProtection="0"/>
    <xf numFmtId="0" fontId="52" fillId="19" borderId="158" applyNumberFormat="0" applyAlignment="0" applyProtection="0"/>
    <xf numFmtId="0" fontId="22" fillId="7" borderId="159" applyNumberFormat="0" applyFont="0" applyAlignment="0" applyProtection="0"/>
    <xf numFmtId="0" fontId="62" fillId="19" borderId="160" applyNumberFormat="0" applyAlignment="0" applyProtection="0"/>
    <xf numFmtId="0" fontId="64" fillId="0" borderId="161" applyNumberFormat="0" applyFill="0" applyAlignment="0" applyProtection="0"/>
    <xf numFmtId="0" fontId="62" fillId="19" borderId="160" applyNumberFormat="0" applyAlignment="0" applyProtection="0"/>
    <xf numFmtId="0" fontId="62" fillId="19" borderId="160" applyNumberFormat="0" applyAlignment="0" applyProtection="0"/>
    <xf numFmtId="0" fontId="59" fillId="10" borderId="158" applyNumberFormat="0" applyAlignment="0" applyProtection="0"/>
    <xf numFmtId="0" fontId="22" fillId="7" borderId="159" applyNumberFormat="0" applyFont="0" applyAlignment="0" applyProtection="0"/>
    <xf numFmtId="0" fontId="62" fillId="19" borderId="160" applyNumberFormat="0" applyAlignment="0" applyProtection="0"/>
    <xf numFmtId="0" fontId="64" fillId="0" borderId="161" applyNumberFormat="0" applyFill="0" applyAlignment="0" applyProtection="0"/>
    <xf numFmtId="0" fontId="64" fillId="0" borderId="161" applyNumberFormat="0" applyFill="0" applyAlignment="0" applyProtection="0"/>
    <xf numFmtId="0" fontId="22" fillId="7" borderId="159" applyNumberFormat="0" applyFont="0" applyAlignment="0" applyProtection="0"/>
    <xf numFmtId="0" fontId="64" fillId="0" borderId="161" applyNumberFormat="0" applyFill="0" applyAlignment="0" applyProtection="0"/>
    <xf numFmtId="0" fontId="22" fillId="7" borderId="159" applyNumberFormat="0" applyFont="0" applyAlignment="0" applyProtection="0"/>
    <xf numFmtId="0" fontId="59" fillId="10" borderId="158" applyNumberFormat="0" applyAlignment="0" applyProtection="0"/>
    <xf numFmtId="0" fontId="62" fillId="19" borderId="160" applyNumberFormat="0" applyAlignment="0" applyProtection="0"/>
    <xf numFmtId="0" fontId="64" fillId="0" borderId="161" applyNumberFormat="0" applyFill="0" applyAlignment="0" applyProtection="0"/>
    <xf numFmtId="0" fontId="62" fillId="19" borderId="160" applyNumberFormat="0" applyAlignment="0" applyProtection="0"/>
    <xf numFmtId="0" fontId="59" fillId="10" borderId="158" applyNumberFormat="0" applyAlignment="0" applyProtection="0"/>
    <xf numFmtId="0" fontId="22" fillId="7" borderId="159" applyNumberFormat="0" applyFont="0" applyAlignment="0" applyProtection="0"/>
    <xf numFmtId="0" fontId="22" fillId="7" borderId="159" applyNumberFormat="0" applyFont="0" applyAlignment="0" applyProtection="0"/>
    <xf numFmtId="0" fontId="64" fillId="0" borderId="161" applyNumberFormat="0" applyFill="0" applyAlignment="0" applyProtection="0"/>
    <xf numFmtId="0" fontId="64" fillId="0" borderId="161" applyNumberFormat="0" applyFill="0" applyAlignment="0" applyProtection="0"/>
    <xf numFmtId="0" fontId="52" fillId="19" borderId="158" applyNumberFormat="0" applyAlignment="0" applyProtection="0"/>
    <xf numFmtId="0" fontId="59" fillId="10" borderId="158" applyNumberFormat="0" applyAlignment="0" applyProtection="0"/>
    <xf numFmtId="0" fontId="52" fillId="19" borderId="158" applyNumberFormat="0" applyAlignment="0" applyProtection="0"/>
    <xf numFmtId="0" fontId="52" fillId="19" borderId="158" applyNumberFormat="0" applyAlignment="0" applyProtection="0"/>
    <xf numFmtId="0" fontId="52" fillId="19" borderId="158" applyNumberFormat="0" applyAlignment="0" applyProtection="0"/>
    <xf numFmtId="0" fontId="22" fillId="7" borderId="187" applyNumberFormat="0" applyFont="0" applyAlignment="0" applyProtection="0"/>
    <xf numFmtId="0" fontId="59" fillId="10" borderId="158" applyNumberFormat="0" applyAlignment="0" applyProtection="0"/>
    <xf numFmtId="0" fontId="22" fillId="7" borderId="159" applyNumberFormat="0" applyFont="0" applyAlignment="0" applyProtection="0"/>
    <xf numFmtId="0" fontId="62" fillId="19" borderId="160" applyNumberFormat="0" applyAlignment="0" applyProtection="0"/>
    <xf numFmtId="0" fontId="64" fillId="0" borderId="161" applyNumberFormat="0" applyFill="0" applyAlignment="0" applyProtection="0"/>
    <xf numFmtId="0" fontId="52" fillId="19" borderId="182" applyNumberFormat="0" applyAlignment="0" applyProtection="0"/>
    <xf numFmtId="0" fontId="62" fillId="19" borderId="172" applyNumberFormat="0" applyAlignment="0" applyProtection="0"/>
    <xf numFmtId="0" fontId="59" fillId="10" borderId="162" applyNumberFormat="0" applyAlignment="0" applyProtection="0"/>
    <xf numFmtId="0" fontId="22" fillId="7" borderId="183" applyNumberFormat="0" applyFont="0" applyAlignment="0" applyProtection="0"/>
    <xf numFmtId="0" fontId="62" fillId="19" borderId="164" applyNumberFormat="0" applyAlignment="0" applyProtection="0"/>
    <xf numFmtId="0" fontId="62" fillId="19" borderId="172" applyNumberFormat="0" applyAlignment="0" applyProtection="0"/>
    <xf numFmtId="0" fontId="52" fillId="19" borderId="178" applyNumberFormat="0" applyAlignment="0" applyProtection="0"/>
    <xf numFmtId="0" fontId="64" fillId="0" borderId="165" applyNumberFormat="0" applyFill="0" applyAlignment="0" applyProtection="0"/>
    <xf numFmtId="0" fontId="59" fillId="10" borderId="190" applyNumberFormat="0" applyAlignment="0" applyProtection="0"/>
    <xf numFmtId="0" fontId="52" fillId="19" borderId="186" applyNumberFormat="0" applyAlignment="0" applyProtection="0"/>
    <xf numFmtId="0" fontId="52" fillId="19" borderId="170" applyNumberFormat="0" applyAlignment="0" applyProtection="0"/>
    <xf numFmtId="0" fontId="52" fillId="19" borderId="178" applyNumberFormat="0" applyAlignment="0" applyProtection="0"/>
    <xf numFmtId="0" fontId="52" fillId="19" borderId="170" applyNumberFormat="0" applyAlignment="0" applyProtection="0"/>
    <xf numFmtId="0" fontId="64" fillId="0" borderId="173" applyNumberFormat="0" applyFill="0" applyAlignment="0" applyProtection="0"/>
    <xf numFmtId="0" fontId="59" fillId="10" borderId="170" applyNumberFormat="0" applyAlignment="0" applyProtection="0"/>
    <xf numFmtId="0" fontId="59" fillId="10" borderId="178" applyNumberFormat="0" applyAlignment="0" applyProtection="0"/>
    <xf numFmtId="0" fontId="64" fillId="0" borderId="173" applyNumberFormat="0" applyFill="0" applyAlignment="0" applyProtection="0"/>
    <xf numFmtId="0" fontId="62" fillId="19" borderId="192" applyNumberFormat="0" applyAlignment="0" applyProtection="0"/>
    <xf numFmtId="0" fontId="52" fillId="19" borderId="178" applyNumberFormat="0" applyAlignment="0" applyProtection="0"/>
    <xf numFmtId="0" fontId="22" fillId="7" borderId="183" applyNumberFormat="0" applyFont="0" applyAlignment="0" applyProtection="0"/>
    <xf numFmtId="0" fontId="22" fillId="7" borderId="183" applyNumberFormat="0" applyFont="0" applyAlignment="0" applyProtection="0"/>
    <xf numFmtId="0" fontId="62" fillId="19" borderId="164" applyNumberFormat="0" applyAlignment="0" applyProtection="0"/>
    <xf numFmtId="0" fontId="59" fillId="10" borderId="162" applyNumberFormat="0" applyAlignment="0" applyProtection="0"/>
    <xf numFmtId="0" fontId="64" fillId="0" borderId="177" applyNumberFormat="0" applyFill="0" applyAlignment="0" applyProtection="0"/>
    <xf numFmtId="0" fontId="22" fillId="7" borderId="163" applyNumberFormat="0" applyFont="0" applyAlignment="0" applyProtection="0"/>
    <xf numFmtId="0" fontId="22" fillId="7" borderId="183" applyNumberFormat="0" applyFont="0" applyAlignment="0" applyProtection="0"/>
    <xf numFmtId="0" fontId="62" fillId="19" borderId="164" applyNumberFormat="0" applyAlignment="0" applyProtection="0"/>
    <xf numFmtId="0" fontId="52" fillId="19" borderId="158" applyNumberFormat="0" applyAlignment="0" applyProtection="0"/>
    <xf numFmtId="0" fontId="59" fillId="10" borderId="158" applyNumberFormat="0" applyAlignment="0" applyProtection="0"/>
    <xf numFmtId="0" fontId="22" fillId="7" borderId="159" applyNumberFormat="0" applyFont="0" applyAlignment="0" applyProtection="0"/>
    <xf numFmtId="0" fontId="62" fillId="19" borderId="160" applyNumberFormat="0" applyAlignment="0" applyProtection="0"/>
    <xf numFmtId="0" fontId="64" fillId="0" borderId="161" applyNumberFormat="0" applyFill="0" applyAlignment="0" applyProtection="0"/>
    <xf numFmtId="0" fontId="22" fillId="7" borderId="159" applyNumberFormat="0" applyFont="0" applyAlignment="0" applyProtection="0"/>
    <xf numFmtId="0" fontId="52" fillId="19" borderId="158" applyNumberFormat="0" applyAlignment="0" applyProtection="0"/>
    <xf numFmtId="0" fontId="62" fillId="19" borderId="160" applyNumberFormat="0" applyAlignment="0" applyProtection="0"/>
    <xf numFmtId="0" fontId="59" fillId="10" borderId="158" applyNumberFormat="0" applyAlignment="0" applyProtection="0"/>
    <xf numFmtId="0" fontId="52" fillId="19" borderId="158" applyNumberFormat="0" applyAlignment="0" applyProtection="0"/>
    <xf numFmtId="0" fontId="52" fillId="19" borderId="158" applyNumberFormat="0" applyAlignment="0" applyProtection="0"/>
    <xf numFmtId="0" fontId="59" fillId="10" borderId="158" applyNumberFormat="0" applyAlignment="0" applyProtection="0"/>
    <xf numFmtId="0" fontId="62" fillId="19" borderId="172" applyNumberFormat="0" applyAlignment="0" applyProtection="0"/>
    <xf numFmtId="0" fontId="59" fillId="10" borderId="158" applyNumberFormat="0" applyAlignment="0" applyProtection="0"/>
    <xf numFmtId="0" fontId="52" fillId="19" borderId="158" applyNumberFormat="0" applyAlignment="0" applyProtection="0"/>
    <xf numFmtId="0" fontId="22" fillId="7" borderId="159" applyNumberFormat="0" applyFont="0" applyAlignment="0" applyProtection="0"/>
    <xf numFmtId="0" fontId="62" fillId="19" borderId="160" applyNumberFormat="0" applyAlignment="0" applyProtection="0"/>
    <xf numFmtId="0" fontId="64" fillId="0" borderId="161" applyNumberFormat="0" applyFill="0" applyAlignment="0" applyProtection="0"/>
    <xf numFmtId="0" fontId="62" fillId="19" borderId="160" applyNumberFormat="0" applyAlignment="0" applyProtection="0"/>
    <xf numFmtId="0" fontId="62" fillId="19" borderId="160" applyNumberFormat="0" applyAlignment="0" applyProtection="0"/>
    <xf numFmtId="0" fontId="59" fillId="10" borderId="158" applyNumberFormat="0" applyAlignment="0" applyProtection="0"/>
    <xf numFmtId="0" fontId="22" fillId="7" borderId="159" applyNumberFormat="0" applyFont="0" applyAlignment="0" applyProtection="0"/>
    <xf numFmtId="0" fontId="62" fillId="19" borderId="160" applyNumberFormat="0" applyAlignment="0" applyProtection="0"/>
    <xf numFmtId="0" fontId="64" fillId="0" borderId="161" applyNumberFormat="0" applyFill="0" applyAlignment="0" applyProtection="0"/>
    <xf numFmtId="0" fontId="64" fillId="0" borderId="161" applyNumberFormat="0" applyFill="0" applyAlignment="0" applyProtection="0"/>
    <xf numFmtId="0" fontId="22" fillId="7" borderId="159" applyNumberFormat="0" applyFont="0" applyAlignment="0" applyProtection="0"/>
    <xf numFmtId="0" fontId="64" fillId="0" borderId="161" applyNumberFormat="0" applyFill="0" applyAlignment="0" applyProtection="0"/>
    <xf numFmtId="0" fontId="22" fillId="7" borderId="159" applyNumberFormat="0" applyFont="0" applyAlignment="0" applyProtection="0"/>
    <xf numFmtId="0" fontId="59" fillId="10" borderId="158" applyNumberFormat="0" applyAlignment="0" applyProtection="0"/>
    <xf numFmtId="0" fontId="62" fillId="19" borderId="160" applyNumberFormat="0" applyAlignment="0" applyProtection="0"/>
    <xf numFmtId="0" fontId="64" fillId="0" borderId="161" applyNumberFormat="0" applyFill="0" applyAlignment="0" applyProtection="0"/>
    <xf numFmtId="0" fontId="62" fillId="19" borderId="160" applyNumberFormat="0" applyAlignment="0" applyProtection="0"/>
    <xf numFmtId="0" fontId="59" fillId="10" borderId="158" applyNumberFormat="0" applyAlignment="0" applyProtection="0"/>
    <xf numFmtId="0" fontId="22" fillId="7" borderId="159" applyNumberFormat="0" applyFont="0" applyAlignment="0" applyProtection="0"/>
    <xf numFmtId="0" fontId="22" fillId="7" borderId="159" applyNumberFormat="0" applyFont="0" applyAlignment="0" applyProtection="0"/>
    <xf numFmtId="0" fontId="64" fillId="0" borderId="161" applyNumberFormat="0" applyFill="0" applyAlignment="0" applyProtection="0"/>
    <xf numFmtId="0" fontId="64" fillId="0" borderId="161" applyNumberFormat="0" applyFill="0" applyAlignment="0" applyProtection="0"/>
    <xf numFmtId="0" fontId="52" fillId="19" borderId="158" applyNumberFormat="0" applyAlignment="0" applyProtection="0"/>
    <xf numFmtId="0" fontId="59" fillId="10" borderId="158" applyNumberFormat="0" applyAlignment="0" applyProtection="0"/>
    <xf numFmtId="0" fontId="52" fillId="19" borderId="158" applyNumberFormat="0" applyAlignment="0" applyProtection="0"/>
    <xf numFmtId="0" fontId="52" fillId="19" borderId="158" applyNumberFormat="0" applyAlignment="0" applyProtection="0"/>
    <xf numFmtId="0" fontId="52" fillId="19" borderId="158" applyNumberFormat="0" applyAlignment="0" applyProtection="0"/>
    <xf numFmtId="0" fontId="59" fillId="10" borderId="158" applyNumberFormat="0" applyAlignment="0" applyProtection="0"/>
    <xf numFmtId="0" fontId="22" fillId="7" borderId="159" applyNumberFormat="0" applyFont="0" applyAlignment="0" applyProtection="0"/>
    <xf numFmtId="0" fontId="62" fillId="19" borderId="160" applyNumberFormat="0" applyAlignment="0" applyProtection="0"/>
    <xf numFmtId="0" fontId="64" fillId="0" borderId="161" applyNumberFormat="0" applyFill="0" applyAlignment="0" applyProtection="0"/>
    <xf numFmtId="0" fontId="22" fillId="7" borderId="179" applyNumberFormat="0" applyFont="0" applyAlignment="0" applyProtection="0"/>
    <xf numFmtId="0" fontId="62" fillId="19" borderId="176" applyNumberFormat="0" applyAlignment="0" applyProtection="0"/>
    <xf numFmtId="0" fontId="52" fillId="19" borderId="182" applyNumberFormat="0" applyAlignment="0" applyProtection="0"/>
    <xf numFmtId="0" fontId="59" fillId="10" borderId="190" applyNumberFormat="0" applyAlignment="0" applyProtection="0"/>
    <xf numFmtId="0" fontId="52" fillId="19" borderId="190" applyNumberFormat="0" applyAlignment="0" applyProtection="0"/>
    <xf numFmtId="0" fontId="62" fillId="19" borderId="164" applyNumberFormat="0" applyAlignment="0" applyProtection="0"/>
    <xf numFmtId="0" fontId="64" fillId="0" borderId="173" applyNumberFormat="0" applyFill="0" applyAlignment="0" applyProtection="0"/>
    <xf numFmtId="0" fontId="59" fillId="10" borderId="162" applyNumberFormat="0" applyAlignment="0" applyProtection="0"/>
    <xf numFmtId="0" fontId="64" fillId="0" borderId="173" applyNumberFormat="0" applyFill="0" applyAlignment="0" applyProtection="0"/>
    <xf numFmtId="0" fontId="64" fillId="0" borderId="185" applyNumberFormat="0" applyFill="0" applyAlignment="0" applyProtection="0"/>
    <xf numFmtId="0" fontId="59" fillId="10" borderId="162" applyNumberFormat="0" applyAlignment="0" applyProtection="0"/>
    <xf numFmtId="0" fontId="59" fillId="10" borderId="170" applyNumberFormat="0" applyAlignment="0" applyProtection="0"/>
    <xf numFmtId="0" fontId="62" fillId="19" borderId="192" applyNumberFormat="0" applyAlignment="0" applyProtection="0"/>
    <xf numFmtId="0" fontId="22" fillId="7" borderId="171" applyNumberFormat="0" applyFont="0" applyAlignment="0" applyProtection="0"/>
    <xf numFmtId="0" fontId="52" fillId="19" borderId="170" applyNumberFormat="0" applyAlignment="0" applyProtection="0"/>
    <xf numFmtId="0" fontId="22" fillId="7" borderId="179" applyNumberFormat="0" applyFont="0" applyAlignment="0" applyProtection="0"/>
    <xf numFmtId="0" fontId="52" fillId="19" borderId="178" applyNumberFormat="0" applyAlignment="0" applyProtection="0"/>
    <xf numFmtId="0" fontId="52" fillId="19" borderId="170" applyNumberFormat="0" applyAlignment="0" applyProtection="0"/>
    <xf numFmtId="0" fontId="59" fillId="10" borderId="182" applyNumberFormat="0" applyAlignment="0" applyProtection="0"/>
    <xf numFmtId="0" fontId="62" fillId="19" borderId="172" applyNumberFormat="0" applyAlignment="0" applyProtection="0"/>
    <xf numFmtId="0" fontId="22" fillId="7" borderId="191" applyNumberFormat="0" applyFont="0" applyAlignment="0" applyProtection="0"/>
    <xf numFmtId="0" fontId="59" fillId="10" borderId="170" applyNumberFormat="0" applyAlignment="0" applyProtection="0"/>
    <xf numFmtId="0" fontId="62" fillId="19" borderId="164" applyNumberFormat="0" applyAlignment="0" applyProtection="0"/>
    <xf numFmtId="0" fontId="59" fillId="10" borderId="162" applyNumberFormat="0" applyAlignment="0" applyProtection="0"/>
    <xf numFmtId="0" fontId="62" fillId="19" borderId="172" applyNumberFormat="0" applyAlignment="0" applyProtection="0"/>
    <xf numFmtId="0" fontId="52" fillId="19" borderId="162" applyNumberFormat="0" applyAlignment="0" applyProtection="0"/>
    <xf numFmtId="0" fontId="52" fillId="19" borderId="158" applyNumberFormat="0" applyAlignment="0" applyProtection="0"/>
    <xf numFmtId="0" fontId="59" fillId="10" borderId="158" applyNumberFormat="0" applyAlignment="0" applyProtection="0"/>
    <xf numFmtId="0" fontId="22" fillId="7" borderId="159" applyNumberFormat="0" applyFont="0" applyAlignment="0" applyProtection="0"/>
    <xf numFmtId="0" fontId="62" fillId="19" borderId="160" applyNumberFormat="0" applyAlignment="0" applyProtection="0"/>
    <xf numFmtId="0" fontId="64" fillId="0" borderId="161" applyNumberFormat="0" applyFill="0" applyAlignment="0" applyProtection="0"/>
    <xf numFmtId="0" fontId="22" fillId="7" borderId="159" applyNumberFormat="0" applyFont="0" applyAlignment="0" applyProtection="0"/>
    <xf numFmtId="0" fontId="52" fillId="19" borderId="158" applyNumberFormat="0" applyAlignment="0" applyProtection="0"/>
    <xf numFmtId="0" fontId="62" fillId="19" borderId="160" applyNumberFormat="0" applyAlignment="0" applyProtection="0"/>
    <xf numFmtId="0" fontId="59" fillId="10" borderId="158" applyNumberFormat="0" applyAlignment="0" applyProtection="0"/>
    <xf numFmtId="0" fontId="52" fillId="19" borderId="158" applyNumberFormat="0" applyAlignment="0" applyProtection="0"/>
    <xf numFmtId="0" fontId="52" fillId="19" borderId="158" applyNumberFormat="0" applyAlignment="0" applyProtection="0"/>
    <xf numFmtId="0" fontId="59" fillId="10" borderId="158" applyNumberFormat="0" applyAlignment="0" applyProtection="0"/>
    <xf numFmtId="0" fontId="64" fillId="0" borderId="181" applyNumberFormat="0" applyFill="0" applyAlignment="0" applyProtection="0"/>
    <xf numFmtId="0" fontId="59" fillId="10" borderId="174" applyNumberFormat="0" applyAlignment="0" applyProtection="0"/>
    <xf numFmtId="0" fontId="59" fillId="10" borderId="158" applyNumberFormat="0" applyAlignment="0" applyProtection="0"/>
    <xf numFmtId="0" fontId="52" fillId="19" borderId="158" applyNumberFormat="0" applyAlignment="0" applyProtection="0"/>
    <xf numFmtId="0" fontId="22" fillId="7" borderId="159" applyNumberFormat="0" applyFont="0" applyAlignment="0" applyProtection="0"/>
    <xf numFmtId="0" fontId="62" fillId="19" borderId="160" applyNumberFormat="0" applyAlignment="0" applyProtection="0"/>
    <xf numFmtId="0" fontId="64" fillId="0" borderId="161" applyNumberFormat="0" applyFill="0" applyAlignment="0" applyProtection="0"/>
    <xf numFmtId="0" fontId="62" fillId="19" borderId="160" applyNumberFormat="0" applyAlignment="0" applyProtection="0"/>
    <xf numFmtId="0" fontId="62" fillId="19" borderId="160" applyNumberFormat="0" applyAlignment="0" applyProtection="0"/>
    <xf numFmtId="0" fontId="59" fillId="10" borderId="158" applyNumberFormat="0" applyAlignment="0" applyProtection="0"/>
    <xf numFmtId="0" fontId="22" fillId="7" borderId="159" applyNumberFormat="0" applyFont="0" applyAlignment="0" applyProtection="0"/>
    <xf numFmtId="0" fontId="62" fillId="19" borderId="160" applyNumberFormat="0" applyAlignment="0" applyProtection="0"/>
    <xf numFmtId="0" fontId="64" fillId="0" borderId="161" applyNumberFormat="0" applyFill="0" applyAlignment="0" applyProtection="0"/>
    <xf numFmtId="0" fontId="64" fillId="0" borderId="161" applyNumberFormat="0" applyFill="0" applyAlignment="0" applyProtection="0"/>
    <xf numFmtId="0" fontId="22" fillId="7" borderId="159" applyNumberFormat="0" applyFont="0" applyAlignment="0" applyProtection="0"/>
    <xf numFmtId="0" fontId="64" fillId="0" borderId="161" applyNumberFormat="0" applyFill="0" applyAlignment="0" applyProtection="0"/>
    <xf numFmtId="0" fontId="22" fillId="7" borderId="159" applyNumberFormat="0" applyFont="0" applyAlignment="0" applyProtection="0"/>
    <xf numFmtId="0" fontId="59" fillId="10" borderId="158" applyNumberFormat="0" applyAlignment="0" applyProtection="0"/>
    <xf numFmtId="0" fontId="62" fillId="19" borderId="160" applyNumberFormat="0" applyAlignment="0" applyProtection="0"/>
    <xf numFmtId="0" fontId="64" fillId="0" borderId="161" applyNumberFormat="0" applyFill="0" applyAlignment="0" applyProtection="0"/>
    <xf numFmtId="0" fontId="62" fillId="19" borderId="160" applyNumberFormat="0" applyAlignment="0" applyProtection="0"/>
    <xf numFmtId="0" fontId="59" fillId="10" borderId="158" applyNumberFormat="0" applyAlignment="0" applyProtection="0"/>
    <xf numFmtId="0" fontId="22" fillId="7" borderId="159" applyNumberFormat="0" applyFont="0" applyAlignment="0" applyProtection="0"/>
    <xf numFmtId="0" fontId="22" fillId="7" borderId="159" applyNumberFormat="0" applyFont="0" applyAlignment="0" applyProtection="0"/>
    <xf numFmtId="0" fontId="64" fillId="0" borderId="161" applyNumberFormat="0" applyFill="0" applyAlignment="0" applyProtection="0"/>
    <xf numFmtId="0" fontId="64" fillId="0" borderId="161" applyNumberFormat="0" applyFill="0" applyAlignment="0" applyProtection="0"/>
    <xf numFmtId="0" fontId="52" fillId="19" borderId="158" applyNumberFormat="0" applyAlignment="0" applyProtection="0"/>
    <xf numFmtId="0" fontId="59" fillId="10" borderId="158" applyNumberFormat="0" applyAlignment="0" applyProtection="0"/>
    <xf numFmtId="0" fontId="52" fillId="19" borderId="158" applyNumberFormat="0" applyAlignment="0" applyProtection="0"/>
    <xf numFmtId="0" fontId="52" fillId="19" borderId="158" applyNumberFormat="0" applyAlignment="0" applyProtection="0"/>
    <xf numFmtId="0" fontId="59" fillId="10" borderId="178" applyNumberFormat="0" applyAlignment="0" applyProtection="0"/>
    <xf numFmtId="0" fontId="59" fillId="10" borderId="158" applyNumberFormat="0" applyAlignment="0" applyProtection="0"/>
    <xf numFmtId="0" fontId="22" fillId="7" borderId="159" applyNumberFormat="0" applyFont="0" applyAlignment="0" applyProtection="0"/>
    <xf numFmtId="0" fontId="62" fillId="19" borderId="160" applyNumberFormat="0" applyAlignment="0" applyProtection="0"/>
    <xf numFmtId="0" fontId="64" fillId="0" borderId="161" applyNumberFormat="0" applyFill="0" applyAlignment="0" applyProtection="0"/>
    <xf numFmtId="0" fontId="22" fillId="7" borderId="187" applyNumberFormat="0" applyFont="0" applyAlignment="0" applyProtection="0"/>
    <xf numFmtId="0" fontId="64" fillId="0" borderId="193" applyNumberFormat="0" applyFill="0" applyAlignment="0" applyProtection="0"/>
    <xf numFmtId="0" fontId="59" fillId="10" borderId="170" applyNumberFormat="0" applyAlignment="0" applyProtection="0"/>
    <xf numFmtId="0" fontId="62" fillId="19" borderId="172" applyNumberFormat="0" applyAlignment="0" applyProtection="0"/>
    <xf numFmtId="0" fontId="22" fillId="7" borderId="163" applyNumberFormat="0" applyFont="0" applyAlignment="0" applyProtection="0"/>
    <xf numFmtId="0" fontId="59" fillId="10" borderId="190" applyNumberFormat="0" applyAlignment="0" applyProtection="0"/>
    <xf numFmtId="0" fontId="64" fillId="0" borderId="165" applyNumberFormat="0" applyFill="0" applyAlignment="0" applyProtection="0"/>
    <xf numFmtId="0" fontId="22" fillId="7" borderId="175" applyNumberFormat="0" applyFont="0" applyAlignment="0" applyProtection="0"/>
    <xf numFmtId="0" fontId="52" fillId="19" borderId="162" applyNumberFormat="0" applyAlignment="0" applyProtection="0"/>
    <xf numFmtId="0" fontId="52" fillId="19" borderId="162" applyNumberFormat="0" applyAlignment="0" applyProtection="0"/>
    <xf numFmtId="0" fontId="64" fillId="0" borderId="181" applyNumberFormat="0" applyFill="0" applyAlignment="0" applyProtection="0"/>
    <xf numFmtId="0" fontId="52" fillId="19" borderId="170" applyNumberFormat="0" applyAlignment="0" applyProtection="0"/>
    <xf numFmtId="0" fontId="64" fillId="0" borderId="173" applyNumberFormat="0" applyFill="0" applyAlignment="0" applyProtection="0"/>
    <xf numFmtId="0" fontId="52" fillId="19" borderId="170" applyNumberFormat="0" applyAlignment="0" applyProtection="0"/>
    <xf numFmtId="0" fontId="59" fillId="10" borderId="182" applyNumberFormat="0" applyAlignment="0" applyProtection="0"/>
    <xf numFmtId="0" fontId="59" fillId="10" borderId="178" applyNumberFormat="0" applyAlignment="0" applyProtection="0"/>
    <xf numFmtId="0" fontId="22" fillId="7" borderId="163" applyNumberFormat="0" applyFont="0" applyAlignment="0" applyProtection="0"/>
    <xf numFmtId="0" fontId="52" fillId="19" borderId="162" applyNumberFormat="0" applyAlignment="0" applyProtection="0"/>
    <xf numFmtId="0" fontId="59" fillId="10" borderId="170" applyNumberFormat="0" applyAlignment="0" applyProtection="0"/>
    <xf numFmtId="0" fontId="62" fillId="19" borderId="172" applyNumberFormat="0" applyAlignment="0" applyProtection="0"/>
    <xf numFmtId="0" fontId="64" fillId="0" borderId="165" applyNumberFormat="0" applyFill="0" applyAlignment="0" applyProtection="0"/>
    <xf numFmtId="0" fontId="52" fillId="19" borderId="158" applyNumberFormat="0" applyAlignment="0" applyProtection="0"/>
    <xf numFmtId="0" fontId="59" fillId="10" borderId="158" applyNumberFormat="0" applyAlignment="0" applyProtection="0"/>
    <xf numFmtId="0" fontId="22" fillId="7" borderId="159" applyNumberFormat="0" applyFont="0" applyAlignment="0" applyProtection="0"/>
    <xf numFmtId="0" fontId="62" fillId="19" borderId="160" applyNumberFormat="0" applyAlignment="0" applyProtection="0"/>
    <xf numFmtId="0" fontId="64" fillId="0" borderId="161" applyNumberFormat="0" applyFill="0" applyAlignment="0" applyProtection="0"/>
    <xf numFmtId="0" fontId="22" fillId="7" borderId="159" applyNumberFormat="0" applyFont="0" applyAlignment="0" applyProtection="0"/>
    <xf numFmtId="0" fontId="52" fillId="19" borderId="158" applyNumberFormat="0" applyAlignment="0" applyProtection="0"/>
    <xf numFmtId="0" fontId="62" fillId="19" borderId="160" applyNumberFormat="0" applyAlignment="0" applyProtection="0"/>
    <xf numFmtId="0" fontId="59" fillId="10" borderId="158" applyNumberFormat="0" applyAlignment="0" applyProtection="0"/>
    <xf numFmtId="0" fontId="52" fillId="19" borderId="158" applyNumberFormat="0" applyAlignment="0" applyProtection="0"/>
    <xf numFmtId="0" fontId="52" fillId="19" borderId="158" applyNumberFormat="0" applyAlignment="0" applyProtection="0"/>
    <xf numFmtId="0" fontId="59" fillId="10" borderId="158" applyNumberFormat="0" applyAlignment="0" applyProtection="0"/>
    <xf numFmtId="0" fontId="59" fillId="10" borderId="174" applyNumberFormat="0" applyAlignment="0" applyProtection="0"/>
    <xf numFmtId="0" fontId="62" fillId="19" borderId="188" applyNumberFormat="0" applyAlignment="0" applyProtection="0"/>
    <xf numFmtId="0" fontId="59" fillId="10" borderId="158" applyNumberFormat="0" applyAlignment="0" applyProtection="0"/>
    <xf numFmtId="0" fontId="52" fillId="19" borderId="158" applyNumberFormat="0" applyAlignment="0" applyProtection="0"/>
    <xf numFmtId="0" fontId="22" fillId="7" borderId="159" applyNumberFormat="0" applyFont="0" applyAlignment="0" applyProtection="0"/>
    <xf numFmtId="0" fontId="62" fillId="19" borderId="160" applyNumberFormat="0" applyAlignment="0" applyProtection="0"/>
    <xf numFmtId="0" fontId="64" fillId="0" borderId="161" applyNumberFormat="0" applyFill="0" applyAlignment="0" applyProtection="0"/>
    <xf numFmtId="0" fontId="62" fillId="19" borderId="160" applyNumberFormat="0" applyAlignment="0" applyProtection="0"/>
    <xf numFmtId="0" fontId="62" fillId="19" borderId="160" applyNumberFormat="0" applyAlignment="0" applyProtection="0"/>
    <xf numFmtId="0" fontId="59" fillId="10" borderId="158" applyNumberFormat="0" applyAlignment="0" applyProtection="0"/>
    <xf numFmtId="0" fontId="22" fillId="7" borderId="159" applyNumberFormat="0" applyFont="0" applyAlignment="0" applyProtection="0"/>
    <xf numFmtId="0" fontId="62" fillId="19" borderId="160" applyNumberFormat="0" applyAlignment="0" applyProtection="0"/>
    <xf numFmtId="0" fontId="64" fillId="0" borderId="161" applyNumberFormat="0" applyFill="0" applyAlignment="0" applyProtection="0"/>
    <xf numFmtId="0" fontId="64" fillId="0" borderId="161" applyNumberFormat="0" applyFill="0" applyAlignment="0" applyProtection="0"/>
    <xf numFmtId="0" fontId="22" fillId="7" borderId="159" applyNumberFormat="0" applyFont="0" applyAlignment="0" applyProtection="0"/>
    <xf numFmtId="0" fontId="64" fillId="0" borderId="161" applyNumberFormat="0" applyFill="0" applyAlignment="0" applyProtection="0"/>
    <xf numFmtId="0" fontId="22" fillId="7" borderId="159" applyNumberFormat="0" applyFont="0" applyAlignment="0" applyProtection="0"/>
    <xf numFmtId="0" fontId="59" fillId="10" borderId="158" applyNumberFormat="0" applyAlignment="0" applyProtection="0"/>
    <xf numFmtId="0" fontId="62" fillId="19" borderId="160" applyNumberFormat="0" applyAlignment="0" applyProtection="0"/>
    <xf numFmtId="0" fontId="64" fillId="0" borderId="161" applyNumberFormat="0" applyFill="0" applyAlignment="0" applyProtection="0"/>
    <xf numFmtId="0" fontId="62" fillId="19" borderId="160" applyNumberFormat="0" applyAlignment="0" applyProtection="0"/>
    <xf numFmtId="0" fontId="59" fillId="10" borderId="158" applyNumberFormat="0" applyAlignment="0" applyProtection="0"/>
    <xf numFmtId="0" fontId="22" fillId="7" borderId="159" applyNumberFormat="0" applyFont="0" applyAlignment="0" applyProtection="0"/>
    <xf numFmtId="0" fontId="22" fillId="7" borderId="159" applyNumberFormat="0" applyFont="0" applyAlignment="0" applyProtection="0"/>
    <xf numFmtId="0" fontId="64" fillId="0" borderId="161" applyNumberFormat="0" applyFill="0" applyAlignment="0" applyProtection="0"/>
    <xf numFmtId="0" fontId="64" fillId="0" borderId="161" applyNumberFormat="0" applyFill="0" applyAlignment="0" applyProtection="0"/>
    <xf numFmtId="0" fontId="52" fillId="19" borderId="158" applyNumberFormat="0" applyAlignment="0" applyProtection="0"/>
    <xf numFmtId="0" fontId="59" fillId="10" borderId="158" applyNumberFormat="0" applyAlignment="0" applyProtection="0"/>
    <xf numFmtId="0" fontId="52" fillId="19" borderId="158" applyNumberFormat="0" applyAlignment="0" applyProtection="0"/>
    <xf numFmtId="0" fontId="52" fillId="19" borderId="158" applyNumberFormat="0" applyAlignment="0" applyProtection="0"/>
    <xf numFmtId="0" fontId="59" fillId="10" borderId="182" applyNumberFormat="0" applyAlignment="0" applyProtection="0"/>
    <xf numFmtId="0" fontId="64" fillId="0" borderId="181" applyNumberFormat="0" applyFill="0" applyAlignment="0" applyProtection="0"/>
    <xf numFmtId="0" fontId="52" fillId="19" borderId="166" applyNumberFormat="0" applyAlignment="0" applyProtection="0"/>
    <xf numFmtId="0" fontId="64" fillId="0" borderId="193" applyNumberFormat="0" applyFill="0" applyAlignment="0" applyProtection="0"/>
    <xf numFmtId="0" fontId="52" fillId="19" borderId="166" applyNumberFormat="0" applyAlignment="0" applyProtection="0"/>
    <xf numFmtId="0" fontId="64" fillId="0" borderId="169" applyNumberFormat="0" applyFill="0" applyAlignment="0" applyProtection="0"/>
    <xf numFmtId="0" fontId="22" fillId="7" borderId="167" applyNumberFormat="0" applyFont="0" applyAlignment="0" applyProtection="0"/>
    <xf numFmtId="0" fontId="62" fillId="19" borderId="180" applyNumberFormat="0" applyAlignment="0" applyProtection="0"/>
    <xf numFmtId="0" fontId="62" fillId="19" borderId="160" applyNumberFormat="0" applyAlignment="0" applyProtection="0"/>
    <xf numFmtId="0" fontId="62" fillId="19" borderId="192" applyNumberFormat="0" applyAlignment="0" applyProtection="0"/>
    <xf numFmtId="0" fontId="59" fillId="10" borderId="158" applyNumberFormat="0" applyAlignment="0" applyProtection="0"/>
    <xf numFmtId="0" fontId="59" fillId="10" borderId="162" applyNumberFormat="0" applyAlignment="0" applyProtection="0"/>
    <xf numFmtId="0" fontId="22" fillId="7" borderId="159" applyNumberFormat="0" applyFont="0" applyAlignment="0" applyProtection="0"/>
    <xf numFmtId="0" fontId="59" fillId="10" borderId="182" applyNumberFormat="0" applyAlignment="0" applyProtection="0"/>
    <xf numFmtId="0" fontId="59" fillId="10" borderId="162" applyNumberFormat="0" applyAlignment="0" applyProtection="0"/>
    <xf numFmtId="0" fontId="22" fillId="7" borderId="163" applyNumberFormat="0" applyFont="0" applyAlignment="0" applyProtection="0"/>
    <xf numFmtId="0" fontId="52" fillId="19" borderId="162" applyNumberFormat="0" applyAlignment="0" applyProtection="0"/>
    <xf numFmtId="0" fontId="62" fillId="19" borderId="164" applyNumberFormat="0" applyAlignment="0" applyProtection="0"/>
    <xf numFmtId="0" fontId="52" fillId="19" borderId="178" applyNumberFormat="0" applyAlignment="0" applyProtection="0"/>
    <xf numFmtId="0" fontId="22" fillId="7" borderId="171" applyNumberFormat="0" applyFont="0" applyAlignment="0" applyProtection="0"/>
    <xf numFmtId="0" fontId="64" fillId="0" borderId="181" applyNumberFormat="0" applyFill="0" applyAlignment="0" applyProtection="0"/>
    <xf numFmtId="0" fontId="64" fillId="0" borderId="181" applyNumberFormat="0" applyFill="0" applyAlignment="0" applyProtection="0"/>
    <xf numFmtId="0" fontId="64" fillId="0" borderId="173" applyNumberFormat="0" applyFill="0" applyAlignment="0" applyProtection="0"/>
    <xf numFmtId="0" fontId="64" fillId="0" borderId="181" applyNumberFormat="0" applyFill="0" applyAlignment="0" applyProtection="0"/>
    <xf numFmtId="0" fontId="62" fillId="19" borderId="172" applyNumberFormat="0" applyAlignment="0" applyProtection="0"/>
    <xf numFmtId="0" fontId="52" fillId="19" borderId="170" applyNumberFormat="0" applyAlignment="0" applyProtection="0"/>
    <xf numFmtId="0" fontId="22" fillId="7" borderId="183" applyNumberFormat="0" applyFont="0" applyAlignment="0" applyProtection="0"/>
    <xf numFmtId="0" fontId="62" fillId="19" borderId="172" applyNumberFormat="0" applyAlignment="0" applyProtection="0"/>
    <xf numFmtId="0" fontId="22" fillId="7" borderId="179" applyNumberFormat="0" applyFont="0" applyAlignment="0" applyProtection="0"/>
    <xf numFmtId="0" fontId="22" fillId="7" borderId="163" applyNumberFormat="0" applyFont="0" applyAlignment="0" applyProtection="0"/>
    <xf numFmtId="0" fontId="64" fillId="0" borderId="165" applyNumberFormat="0" applyFill="0" applyAlignment="0" applyProtection="0"/>
    <xf numFmtId="0" fontId="22" fillId="7" borderId="179" applyNumberFormat="0" applyFont="0" applyAlignment="0" applyProtection="0"/>
    <xf numFmtId="0" fontId="62" fillId="19" borderId="188" applyNumberFormat="0" applyAlignment="0" applyProtection="0"/>
    <xf numFmtId="0" fontId="52" fillId="19" borderId="178" applyNumberFormat="0" applyAlignment="0" applyProtection="0"/>
    <xf numFmtId="0" fontId="59" fillId="10" borderId="162" applyNumberFormat="0" applyAlignment="0" applyProtection="0"/>
    <xf numFmtId="0" fontId="64" fillId="0" borderId="161" applyNumberFormat="0" applyFill="0" applyAlignment="0" applyProtection="0"/>
    <xf numFmtId="0" fontId="52" fillId="19" borderId="158" applyNumberFormat="0" applyAlignment="0" applyProtection="0"/>
    <xf numFmtId="0" fontId="52" fillId="19" borderId="158" applyNumberFormat="0" applyAlignment="0" applyProtection="0"/>
    <xf numFmtId="0" fontId="59" fillId="10" borderId="158" applyNumberFormat="0" applyAlignment="0" applyProtection="0"/>
    <xf numFmtId="0" fontId="22" fillId="7" borderId="159" applyNumberFormat="0" applyFont="0" applyAlignment="0" applyProtection="0"/>
    <xf numFmtId="0" fontId="64" fillId="0" borderId="161" applyNumberFormat="0" applyFill="0" applyAlignment="0" applyProtection="0"/>
    <xf numFmtId="0" fontId="22" fillId="7" borderId="163" applyNumberFormat="0" applyFont="0" applyAlignment="0" applyProtection="0"/>
    <xf numFmtId="0" fontId="22" fillId="7" borderId="171" applyNumberFormat="0" applyFont="0" applyAlignment="0" applyProtection="0"/>
    <xf numFmtId="0" fontId="62" fillId="19" borderId="172" applyNumberFormat="0" applyAlignment="0" applyProtection="0"/>
    <xf numFmtId="0" fontId="22" fillId="7" borderId="183" applyNumberFormat="0" applyFont="0" applyAlignment="0" applyProtection="0"/>
    <xf numFmtId="0" fontId="64" fillId="0" borderId="165" applyNumberFormat="0" applyFill="0" applyAlignment="0" applyProtection="0"/>
    <xf numFmtId="0" fontId="62" fillId="19" borderId="164" applyNumberFormat="0" applyAlignment="0" applyProtection="0"/>
    <xf numFmtId="0" fontId="62" fillId="19" borderId="164" applyNumberFormat="0" applyAlignment="0" applyProtection="0"/>
    <xf numFmtId="0" fontId="59" fillId="10" borderId="182" applyNumberFormat="0" applyAlignment="0" applyProtection="0"/>
    <xf numFmtId="0" fontId="22" fillId="7" borderId="179" applyNumberFormat="0" applyFont="0" applyAlignment="0" applyProtection="0"/>
    <xf numFmtId="0" fontId="52" fillId="19" borderId="162" applyNumberFormat="0" applyAlignment="0" applyProtection="0"/>
    <xf numFmtId="0" fontId="52" fillId="19" borderId="162" applyNumberFormat="0" applyAlignment="0" applyProtection="0"/>
    <xf numFmtId="0" fontId="62" fillId="19" borderId="176" applyNumberFormat="0" applyAlignment="0" applyProtection="0"/>
    <xf numFmtId="0" fontId="22" fillId="7" borderId="179" applyNumberFormat="0" applyFont="0" applyAlignment="0" applyProtection="0"/>
    <xf numFmtId="0" fontId="59" fillId="10" borderId="190" applyNumberFormat="0" applyAlignment="0" applyProtection="0"/>
    <xf numFmtId="0" fontId="64" fillId="0" borderId="181" applyNumberFormat="0" applyFill="0" applyAlignment="0" applyProtection="0"/>
    <xf numFmtId="0" fontId="22" fillId="7" borderId="187" applyNumberFormat="0" applyFont="0" applyAlignment="0" applyProtection="0"/>
    <xf numFmtId="0" fontId="59" fillId="10" borderId="178" applyNumberFormat="0" applyAlignment="0" applyProtection="0"/>
    <xf numFmtId="0" fontId="64" fillId="0" borderId="165" applyNumberFormat="0" applyFill="0" applyAlignment="0" applyProtection="0"/>
    <xf numFmtId="0" fontId="62" fillId="19" borderId="192" applyNumberFormat="0" applyAlignment="0" applyProtection="0"/>
    <xf numFmtId="0" fontId="64" fillId="0" borderId="165" applyNumberFormat="0" applyFill="0" applyAlignment="0" applyProtection="0"/>
    <xf numFmtId="0" fontId="59" fillId="10" borderId="178" applyNumberFormat="0" applyAlignment="0" applyProtection="0"/>
    <xf numFmtId="0" fontId="52" fillId="19" borderId="162" applyNumberFormat="0" applyAlignment="0" applyProtection="0"/>
    <xf numFmtId="0" fontId="62" fillId="19" borderId="184" applyNumberFormat="0" applyAlignment="0" applyProtection="0"/>
    <xf numFmtId="0" fontId="62" fillId="19" borderId="168" applyNumberFormat="0" applyAlignment="0" applyProtection="0"/>
    <xf numFmtId="0" fontId="59" fillId="10" borderId="162" applyNumberFormat="0" applyAlignment="0" applyProtection="0"/>
    <xf numFmtId="0" fontId="22" fillId="7" borderId="171" applyNumberFormat="0" applyFont="0" applyAlignment="0" applyProtection="0"/>
    <xf numFmtId="0" fontId="52" fillId="19" borderId="162" applyNumberFormat="0" applyAlignment="0" applyProtection="0"/>
    <xf numFmtId="0" fontId="64" fillId="0" borderId="193" applyNumberFormat="0" applyFill="0" applyAlignment="0" applyProtection="0"/>
    <xf numFmtId="0" fontId="59" fillId="10" borderId="178" applyNumberFormat="0" applyAlignment="0" applyProtection="0"/>
    <xf numFmtId="0" fontId="52" fillId="19" borderId="170" applyNumberFormat="0" applyAlignment="0" applyProtection="0"/>
    <xf numFmtId="0" fontId="22" fillId="7" borderId="183" applyNumberFormat="0" applyFont="0" applyAlignment="0" applyProtection="0"/>
    <xf numFmtId="0" fontId="52" fillId="19" borderId="174" applyNumberFormat="0" applyAlignment="0" applyProtection="0"/>
    <xf numFmtId="0" fontId="62" fillId="19" borderId="184" applyNumberFormat="0" applyAlignment="0" applyProtection="0"/>
    <xf numFmtId="0" fontId="64" fillId="0" borderId="185" applyNumberFormat="0" applyFill="0" applyAlignment="0" applyProtection="0"/>
    <xf numFmtId="0" fontId="52" fillId="19" borderId="166" applyNumberFormat="0" applyAlignment="0" applyProtection="0"/>
    <xf numFmtId="0" fontId="52" fillId="19" borderId="166" applyNumberFormat="0" applyAlignment="0" applyProtection="0"/>
    <xf numFmtId="0" fontId="59" fillId="10" borderId="166" applyNumberFormat="0" applyAlignment="0" applyProtection="0"/>
    <xf numFmtId="0" fontId="22" fillId="7" borderId="167" applyNumberFormat="0" applyFont="0" applyAlignment="0" applyProtection="0"/>
    <xf numFmtId="0" fontId="62" fillId="19" borderId="168" applyNumberFormat="0" applyAlignment="0" applyProtection="0"/>
    <xf numFmtId="0" fontId="64" fillId="0" borderId="169" applyNumberFormat="0" applyFill="0" applyAlignment="0" applyProtection="0"/>
    <xf numFmtId="0" fontId="62" fillId="19" borderId="180" applyNumberFormat="0" applyAlignment="0" applyProtection="0"/>
    <xf numFmtId="0" fontId="64" fillId="0" borderId="185" applyNumberFormat="0" applyFill="0" applyAlignment="0" applyProtection="0"/>
    <xf numFmtId="0" fontId="59" fillId="10" borderId="170" applyNumberFormat="0" applyAlignment="0" applyProtection="0"/>
    <xf numFmtId="0" fontId="22" fillId="7" borderId="183" applyNumberFormat="0" applyFont="0" applyAlignment="0" applyProtection="0"/>
    <xf numFmtId="0" fontId="22" fillId="7" borderId="179" applyNumberFormat="0" applyFont="0" applyAlignment="0" applyProtection="0"/>
    <xf numFmtId="0" fontId="52" fillId="19" borderId="170" applyNumberFormat="0" applyAlignment="0" applyProtection="0"/>
    <xf numFmtId="0" fontId="62" fillId="19" borderId="188" applyNumberFormat="0" applyAlignment="0" applyProtection="0"/>
    <xf numFmtId="0" fontId="64" fillId="0" borderId="173" applyNumberFormat="0" applyFill="0" applyAlignment="0" applyProtection="0"/>
    <xf numFmtId="0" fontId="64" fillId="0" borderId="185" applyNumberFormat="0" applyFill="0" applyAlignment="0" applyProtection="0"/>
    <xf numFmtId="0" fontId="62" fillId="19" borderId="172" applyNumberFormat="0" applyAlignment="0" applyProtection="0"/>
    <xf numFmtId="0" fontId="62" fillId="19" borderId="184" applyNumberFormat="0" applyAlignment="0" applyProtection="0"/>
    <xf numFmtId="0" fontId="62" fillId="19" borderId="172" applyNumberFormat="0" applyAlignment="0" applyProtection="0"/>
    <xf numFmtId="0" fontId="64" fillId="0" borderId="193" applyNumberFormat="0" applyFill="0" applyAlignment="0" applyProtection="0"/>
    <xf numFmtId="0" fontId="59" fillId="10" borderId="182" applyNumberFormat="0" applyAlignment="0" applyProtection="0"/>
    <xf numFmtId="0" fontId="52" fillId="19" borderId="190" applyNumberFormat="0" applyAlignment="0" applyProtection="0"/>
    <xf numFmtId="0" fontId="59" fillId="10" borderId="170" applyNumberFormat="0" applyAlignment="0" applyProtection="0"/>
    <xf numFmtId="0" fontId="62" fillId="19" borderId="172" applyNumberFormat="0" applyAlignment="0" applyProtection="0"/>
    <xf numFmtId="0" fontId="64" fillId="0" borderId="173" applyNumberFormat="0" applyFill="0" applyAlignment="0" applyProtection="0"/>
    <xf numFmtId="0" fontId="52" fillId="19" borderId="166" applyNumberFormat="0" applyAlignment="0" applyProtection="0"/>
    <xf numFmtId="0" fontId="59" fillId="10" borderId="166" applyNumberFormat="0" applyAlignment="0" applyProtection="0"/>
    <xf numFmtId="0" fontId="22" fillId="7" borderId="167" applyNumberFormat="0" applyFont="0" applyAlignment="0" applyProtection="0"/>
    <xf numFmtId="0" fontId="62" fillId="19" borderId="168" applyNumberFormat="0" applyAlignment="0" applyProtection="0"/>
    <xf numFmtId="0" fontId="64" fillId="0" borderId="169" applyNumberFormat="0" applyFill="0" applyAlignment="0" applyProtection="0"/>
    <xf numFmtId="0" fontId="22" fillId="7" borderId="167" applyNumberFormat="0" applyFont="0" applyAlignment="0" applyProtection="0"/>
    <xf numFmtId="0" fontId="52" fillId="19" borderId="166" applyNumberFormat="0" applyAlignment="0" applyProtection="0"/>
    <xf numFmtId="0" fontId="62" fillId="19" borderId="168" applyNumberFormat="0" applyAlignment="0" applyProtection="0"/>
    <xf numFmtId="0" fontId="59" fillId="10" borderId="166" applyNumberFormat="0" applyAlignment="0" applyProtection="0"/>
    <xf numFmtId="0" fontId="52" fillId="19" borderId="166" applyNumberFormat="0" applyAlignment="0" applyProtection="0"/>
    <xf numFmtId="0" fontId="52" fillId="19" borderId="166" applyNumberFormat="0" applyAlignment="0" applyProtection="0"/>
    <xf numFmtId="0" fontId="59" fillId="10" borderId="166" applyNumberFormat="0" applyAlignment="0" applyProtection="0"/>
    <xf numFmtId="0" fontId="59" fillId="10" borderId="166" applyNumberFormat="0" applyAlignment="0" applyProtection="0"/>
    <xf numFmtId="0" fontId="52" fillId="19" borderId="166" applyNumberFormat="0" applyAlignment="0" applyProtection="0"/>
    <xf numFmtId="0" fontId="22" fillId="7" borderId="167" applyNumberFormat="0" applyFont="0" applyAlignment="0" applyProtection="0"/>
    <xf numFmtId="0" fontId="62" fillId="19" borderId="168" applyNumberFormat="0" applyAlignment="0" applyProtection="0"/>
    <xf numFmtId="0" fontId="64" fillId="0" borderId="169" applyNumberFormat="0" applyFill="0" applyAlignment="0" applyProtection="0"/>
    <xf numFmtId="0" fontId="62" fillId="19" borderId="168" applyNumberFormat="0" applyAlignment="0" applyProtection="0"/>
    <xf numFmtId="0" fontId="62" fillId="19" borderId="168" applyNumberFormat="0" applyAlignment="0" applyProtection="0"/>
    <xf numFmtId="0" fontId="59" fillId="10" borderId="166" applyNumberFormat="0" applyAlignment="0" applyProtection="0"/>
    <xf numFmtId="0" fontId="22" fillId="7" borderId="167" applyNumberFormat="0" applyFont="0" applyAlignment="0" applyProtection="0"/>
    <xf numFmtId="0" fontId="62" fillId="19" borderId="168" applyNumberFormat="0" applyAlignment="0" applyProtection="0"/>
    <xf numFmtId="0" fontId="64" fillId="0" borderId="169" applyNumberFormat="0" applyFill="0" applyAlignment="0" applyProtection="0"/>
    <xf numFmtId="0" fontId="64" fillId="0" borderId="169" applyNumberFormat="0" applyFill="0" applyAlignment="0" applyProtection="0"/>
    <xf numFmtId="0" fontId="22" fillId="7" borderId="167" applyNumberFormat="0" applyFont="0" applyAlignment="0" applyProtection="0"/>
    <xf numFmtId="0" fontId="64" fillId="0" borderId="169" applyNumberFormat="0" applyFill="0" applyAlignment="0" applyProtection="0"/>
    <xf numFmtId="0" fontId="22" fillId="7" borderId="167" applyNumberFormat="0" applyFont="0" applyAlignment="0" applyProtection="0"/>
    <xf numFmtId="0" fontId="59" fillId="10" borderId="166" applyNumberFormat="0" applyAlignment="0" applyProtection="0"/>
    <xf numFmtId="0" fontId="62" fillId="19" borderId="168" applyNumberFormat="0" applyAlignment="0" applyProtection="0"/>
    <xf numFmtId="0" fontId="64" fillId="0" borderId="169" applyNumberFormat="0" applyFill="0" applyAlignment="0" applyProtection="0"/>
    <xf numFmtId="0" fontId="62" fillId="19" borderId="168" applyNumberFormat="0" applyAlignment="0" applyProtection="0"/>
    <xf numFmtId="0" fontId="59" fillId="10" borderId="166" applyNumberFormat="0" applyAlignment="0" applyProtection="0"/>
    <xf numFmtId="0" fontId="22" fillId="7" borderId="167" applyNumberFormat="0" applyFont="0" applyAlignment="0" applyProtection="0"/>
    <xf numFmtId="0" fontId="22" fillId="7" borderId="167" applyNumberFormat="0" applyFont="0" applyAlignment="0" applyProtection="0"/>
    <xf numFmtId="0" fontId="64" fillId="0" borderId="169" applyNumberFormat="0" applyFill="0" applyAlignment="0" applyProtection="0"/>
    <xf numFmtId="0" fontId="64" fillId="0" borderId="169" applyNumberFormat="0" applyFill="0" applyAlignment="0" applyProtection="0"/>
    <xf numFmtId="0" fontId="52" fillId="19" borderId="166" applyNumberFormat="0" applyAlignment="0" applyProtection="0"/>
    <xf numFmtId="0" fontId="59" fillId="10" borderId="166" applyNumberFormat="0" applyAlignment="0" applyProtection="0"/>
    <xf numFmtId="0" fontId="52" fillId="19" borderId="166" applyNumberFormat="0" applyAlignment="0" applyProtection="0"/>
    <xf numFmtId="0" fontId="52" fillId="19" borderId="166" applyNumberFormat="0" applyAlignment="0" applyProtection="0"/>
    <xf numFmtId="0" fontId="52" fillId="19" borderId="166" applyNumberFormat="0" applyAlignment="0" applyProtection="0"/>
    <xf numFmtId="0" fontId="64" fillId="0" borderId="185" applyNumberFormat="0" applyFill="0" applyAlignment="0" applyProtection="0"/>
    <xf numFmtId="0" fontId="59" fillId="10" borderId="166" applyNumberFormat="0" applyAlignment="0" applyProtection="0"/>
    <xf numFmtId="0" fontId="22" fillId="7" borderId="167" applyNumberFormat="0" applyFont="0" applyAlignment="0" applyProtection="0"/>
    <xf numFmtId="0" fontId="62" fillId="19" borderId="168" applyNumberFormat="0" applyAlignment="0" applyProtection="0"/>
    <xf numFmtId="0" fontId="64" fillId="0" borderId="169" applyNumberFormat="0" applyFill="0" applyAlignment="0" applyProtection="0"/>
    <xf numFmtId="0" fontId="64" fillId="0" borderId="193" applyNumberFormat="0" applyFill="0" applyAlignment="0" applyProtection="0"/>
    <xf numFmtId="0" fontId="52" fillId="19" borderId="170" applyNumberFormat="0" applyAlignment="0" applyProtection="0"/>
    <xf numFmtId="0" fontId="52" fillId="19" borderId="186" applyNumberFormat="0" applyAlignment="0" applyProtection="0"/>
    <xf numFmtId="0" fontId="64" fillId="0" borderId="173" applyNumberFormat="0" applyFill="0" applyAlignment="0" applyProtection="0"/>
    <xf numFmtId="0" fontId="22" fillId="7" borderId="171" applyNumberFormat="0" applyFont="0" applyAlignment="0" applyProtection="0"/>
    <xf numFmtId="0" fontId="64" fillId="0" borderId="173" applyNumberFormat="0" applyFill="0" applyAlignment="0" applyProtection="0"/>
    <xf numFmtId="0" fontId="59" fillId="10" borderId="178" applyNumberFormat="0" applyAlignment="0" applyProtection="0"/>
    <xf numFmtId="0" fontId="52" fillId="19" borderId="182" applyNumberFormat="0" applyAlignment="0" applyProtection="0"/>
    <xf numFmtId="0" fontId="59" fillId="10" borderId="170" applyNumberFormat="0" applyAlignment="0" applyProtection="0"/>
    <xf numFmtId="0" fontId="64" fillId="0" borderId="181" applyNumberFormat="0" applyFill="0" applyAlignment="0" applyProtection="0"/>
    <xf numFmtId="0" fontId="64" fillId="0" borderId="193" applyNumberFormat="0" applyFill="0" applyAlignment="0" applyProtection="0"/>
    <xf numFmtId="0" fontId="52" fillId="19" borderId="182" applyNumberFormat="0" applyAlignment="0" applyProtection="0"/>
    <xf numFmtId="0" fontId="22" fillId="7" borderId="191" applyNumberFormat="0" applyFont="0" applyAlignment="0" applyProtection="0"/>
    <xf numFmtId="0" fontId="64" fillId="0" borderId="173" applyNumberFormat="0" applyFill="0" applyAlignment="0" applyProtection="0"/>
    <xf numFmtId="0" fontId="22" fillId="7" borderId="179" applyNumberFormat="0" applyFont="0" applyAlignment="0" applyProtection="0"/>
    <xf numFmtId="0" fontId="52" fillId="19" borderId="170" applyNumberFormat="0" applyAlignment="0" applyProtection="0"/>
    <xf numFmtId="0" fontId="64" fillId="0" borderId="173" applyNumberFormat="0" applyFill="0" applyAlignment="0" applyProtection="0"/>
    <xf numFmtId="0" fontId="22" fillId="7" borderId="171" applyNumberFormat="0" applyFont="0" applyAlignment="0" applyProtection="0"/>
    <xf numFmtId="0" fontId="52" fillId="19" borderId="166" applyNumberFormat="0" applyAlignment="0" applyProtection="0"/>
    <xf numFmtId="0" fontId="59" fillId="10" borderId="166" applyNumberFormat="0" applyAlignment="0" applyProtection="0"/>
    <xf numFmtId="0" fontId="22" fillId="7" borderId="167" applyNumberFormat="0" applyFont="0" applyAlignment="0" applyProtection="0"/>
    <xf numFmtId="0" fontId="62" fillId="19" borderId="168" applyNumberFormat="0" applyAlignment="0" applyProtection="0"/>
    <xf numFmtId="0" fontId="64" fillId="0" borderId="169" applyNumberFormat="0" applyFill="0" applyAlignment="0" applyProtection="0"/>
    <xf numFmtId="0" fontId="22" fillId="7" borderId="167" applyNumberFormat="0" applyFont="0" applyAlignment="0" applyProtection="0"/>
    <xf numFmtId="0" fontId="52" fillId="19" borderId="166" applyNumberFormat="0" applyAlignment="0" applyProtection="0"/>
    <xf numFmtId="0" fontId="62" fillId="19" borderId="168" applyNumberFormat="0" applyAlignment="0" applyProtection="0"/>
    <xf numFmtId="0" fontId="59" fillId="10" borderId="166" applyNumberFormat="0" applyAlignment="0" applyProtection="0"/>
    <xf numFmtId="0" fontId="52" fillId="19" borderId="166" applyNumberFormat="0" applyAlignment="0" applyProtection="0"/>
    <xf numFmtId="0" fontId="52" fillId="19" borderId="166" applyNumberFormat="0" applyAlignment="0" applyProtection="0"/>
    <xf numFmtId="0" fontId="59" fillId="10" borderId="166" applyNumberFormat="0" applyAlignment="0" applyProtection="0"/>
    <xf numFmtId="0" fontId="59" fillId="10" borderId="166" applyNumberFormat="0" applyAlignment="0" applyProtection="0"/>
    <xf numFmtId="0" fontId="52" fillId="19" borderId="166" applyNumberFormat="0" applyAlignment="0" applyProtection="0"/>
    <xf numFmtId="0" fontId="22" fillId="7" borderId="167" applyNumberFormat="0" applyFont="0" applyAlignment="0" applyProtection="0"/>
    <xf numFmtId="0" fontId="62" fillId="19" borderId="168" applyNumberFormat="0" applyAlignment="0" applyProtection="0"/>
    <xf numFmtId="0" fontId="64" fillId="0" borderId="169" applyNumberFormat="0" applyFill="0" applyAlignment="0" applyProtection="0"/>
    <xf numFmtId="0" fontId="62" fillId="19" borderId="168" applyNumberFormat="0" applyAlignment="0" applyProtection="0"/>
    <xf numFmtId="0" fontId="62" fillId="19" borderId="168" applyNumberFormat="0" applyAlignment="0" applyProtection="0"/>
    <xf numFmtId="0" fontId="59" fillId="10" borderId="166" applyNumberFormat="0" applyAlignment="0" applyProtection="0"/>
    <xf numFmtId="0" fontId="22" fillId="7" borderId="167" applyNumberFormat="0" applyFont="0" applyAlignment="0" applyProtection="0"/>
    <xf numFmtId="0" fontId="62" fillId="19" borderId="168" applyNumberFormat="0" applyAlignment="0" applyProtection="0"/>
    <xf numFmtId="0" fontId="64" fillId="0" borderId="169" applyNumberFormat="0" applyFill="0" applyAlignment="0" applyProtection="0"/>
    <xf numFmtId="0" fontId="64" fillId="0" borderId="169" applyNumberFormat="0" applyFill="0" applyAlignment="0" applyProtection="0"/>
    <xf numFmtId="0" fontId="22" fillId="7" borderId="167" applyNumberFormat="0" applyFont="0" applyAlignment="0" applyProtection="0"/>
    <xf numFmtId="0" fontId="64" fillId="0" borderId="169" applyNumberFormat="0" applyFill="0" applyAlignment="0" applyProtection="0"/>
    <xf numFmtId="0" fontId="22" fillId="7" borderId="167" applyNumberFormat="0" applyFont="0" applyAlignment="0" applyProtection="0"/>
    <xf numFmtId="0" fontId="59" fillId="10" borderId="166" applyNumberFormat="0" applyAlignment="0" applyProtection="0"/>
    <xf numFmtId="0" fontId="62" fillId="19" borderId="168" applyNumberFormat="0" applyAlignment="0" applyProtection="0"/>
    <xf numFmtId="0" fontId="64" fillId="0" borderId="169" applyNumberFormat="0" applyFill="0" applyAlignment="0" applyProtection="0"/>
    <xf numFmtId="0" fontId="62" fillId="19" borderId="168" applyNumberFormat="0" applyAlignment="0" applyProtection="0"/>
    <xf numFmtId="0" fontId="59" fillId="10" borderId="166" applyNumberFormat="0" applyAlignment="0" applyProtection="0"/>
    <xf numFmtId="0" fontId="22" fillId="7" borderId="167" applyNumberFormat="0" applyFont="0" applyAlignment="0" applyProtection="0"/>
    <xf numFmtId="0" fontId="22" fillId="7" borderId="167" applyNumberFormat="0" applyFont="0" applyAlignment="0" applyProtection="0"/>
    <xf numFmtId="0" fontId="64" fillId="0" borderId="169" applyNumberFormat="0" applyFill="0" applyAlignment="0" applyProtection="0"/>
    <xf numFmtId="0" fontId="64" fillId="0" borderId="169" applyNumberFormat="0" applyFill="0" applyAlignment="0" applyProtection="0"/>
    <xf numFmtId="0" fontId="52" fillId="19" borderId="166" applyNumberFormat="0" applyAlignment="0" applyProtection="0"/>
    <xf numFmtId="0" fontId="59" fillId="10" borderId="166" applyNumberFormat="0" applyAlignment="0" applyProtection="0"/>
    <xf numFmtId="0" fontId="52" fillId="19" borderId="166" applyNumberFormat="0" applyAlignment="0" applyProtection="0"/>
    <xf numFmtId="0" fontId="52" fillId="19" borderId="166" applyNumberFormat="0" applyAlignment="0" applyProtection="0"/>
    <xf numFmtId="0" fontId="52" fillId="19" borderId="166" applyNumberFormat="0" applyAlignment="0" applyProtection="0"/>
    <xf numFmtId="0" fontId="22" fillId="7" borderId="171" applyNumberFormat="0" applyFont="0" applyAlignment="0" applyProtection="0"/>
    <xf numFmtId="0" fontId="52" fillId="19" borderId="190" applyNumberFormat="0" applyAlignment="0" applyProtection="0"/>
    <xf numFmtId="0" fontId="59" fillId="10" borderId="166" applyNumberFormat="0" applyAlignment="0" applyProtection="0"/>
    <xf numFmtId="0" fontId="22" fillId="7" borderId="167" applyNumberFormat="0" applyFont="0" applyAlignment="0" applyProtection="0"/>
    <xf numFmtId="0" fontId="62" fillId="19" borderId="168" applyNumberFormat="0" applyAlignment="0" applyProtection="0"/>
    <xf numFmtId="0" fontId="64" fillId="0" borderId="169" applyNumberFormat="0" applyFill="0" applyAlignment="0" applyProtection="0"/>
    <xf numFmtId="0" fontId="64" fillId="0" borderId="173" applyNumberFormat="0" applyFill="0" applyAlignment="0" applyProtection="0"/>
    <xf numFmtId="0" fontId="22" fillId="7" borderId="171" applyNumberFormat="0" applyFont="0" applyAlignment="0" applyProtection="0"/>
    <xf numFmtId="0" fontId="52" fillId="19" borderId="190" applyNumberFormat="0" applyAlignment="0" applyProtection="0"/>
    <xf numFmtId="0" fontId="22" fillId="7" borderId="171" applyNumberFormat="0" applyFont="0" applyAlignment="0" applyProtection="0"/>
    <xf numFmtId="0" fontId="52" fillId="19" borderId="182" applyNumberFormat="0" applyAlignment="0" applyProtection="0"/>
    <xf numFmtId="0" fontId="52" fillId="19" borderId="170" applyNumberFormat="0" applyAlignment="0" applyProtection="0"/>
    <xf numFmtId="0" fontId="59" fillId="10" borderId="190" applyNumberFormat="0" applyAlignment="0" applyProtection="0"/>
    <xf numFmtId="0" fontId="52" fillId="19" borderId="190" applyNumberFormat="0" applyAlignment="0" applyProtection="0"/>
    <xf numFmtId="0" fontId="64" fillId="0" borderId="185" applyNumberFormat="0" applyFill="0" applyAlignment="0" applyProtection="0"/>
    <xf numFmtId="0" fontId="52" fillId="19" borderId="182" applyNumberFormat="0" applyAlignment="0" applyProtection="0"/>
    <xf numFmtId="0" fontId="62" fillId="19" borderId="172" applyNumberFormat="0" applyAlignment="0" applyProtection="0"/>
    <xf numFmtId="0" fontId="52" fillId="19" borderId="182" applyNumberFormat="0" applyAlignment="0" applyProtection="0"/>
    <xf numFmtId="0" fontId="22" fillId="7" borderId="171" applyNumberFormat="0" applyFont="0" applyAlignment="0" applyProtection="0"/>
    <xf numFmtId="0" fontId="22" fillId="7" borderId="183" applyNumberFormat="0" applyFont="0" applyAlignment="0" applyProtection="0"/>
    <xf numFmtId="0" fontId="52" fillId="19" borderId="170" applyNumberFormat="0" applyAlignment="0" applyProtection="0"/>
    <xf numFmtId="0" fontId="22" fillId="7" borderId="171" applyNumberFormat="0" applyFont="0" applyAlignment="0" applyProtection="0"/>
    <xf numFmtId="0" fontId="62" fillId="19" borderId="172" applyNumberFormat="0" applyAlignment="0" applyProtection="0"/>
    <xf numFmtId="0" fontId="62" fillId="19" borderId="184" applyNumberFormat="0" applyAlignment="0" applyProtection="0"/>
    <xf numFmtId="0" fontId="52" fillId="19" borderId="166" applyNumberFormat="0" applyAlignment="0" applyProtection="0"/>
    <xf numFmtId="0" fontId="59" fillId="10" borderId="166" applyNumberFormat="0" applyAlignment="0" applyProtection="0"/>
    <xf numFmtId="0" fontId="22" fillId="7" borderId="167" applyNumberFormat="0" applyFont="0" applyAlignment="0" applyProtection="0"/>
    <xf numFmtId="0" fontId="62" fillId="19" borderId="168" applyNumberFormat="0" applyAlignment="0" applyProtection="0"/>
    <xf numFmtId="0" fontId="64" fillId="0" borderId="169" applyNumberFormat="0" applyFill="0" applyAlignment="0" applyProtection="0"/>
    <xf numFmtId="0" fontId="22" fillId="7" borderId="167" applyNumberFormat="0" applyFont="0" applyAlignment="0" applyProtection="0"/>
    <xf numFmtId="0" fontId="52" fillId="19" borderId="166" applyNumberFormat="0" applyAlignment="0" applyProtection="0"/>
    <xf numFmtId="0" fontId="62" fillId="19" borderId="168" applyNumberFormat="0" applyAlignment="0" applyProtection="0"/>
    <xf numFmtId="0" fontId="59" fillId="10" borderId="166" applyNumberFormat="0" applyAlignment="0" applyProtection="0"/>
    <xf numFmtId="0" fontId="52" fillId="19" borderId="166" applyNumberFormat="0" applyAlignment="0" applyProtection="0"/>
    <xf numFmtId="0" fontId="52" fillId="19" borderId="166" applyNumberFormat="0" applyAlignment="0" applyProtection="0"/>
    <xf numFmtId="0" fontId="59" fillId="10" borderId="166" applyNumberFormat="0" applyAlignment="0" applyProtection="0"/>
    <xf numFmtId="0" fontId="22" fillId="7" borderId="191" applyNumberFormat="0" applyFont="0" applyAlignment="0" applyProtection="0"/>
    <xf numFmtId="0" fontId="22" fillId="7" borderId="179" applyNumberFormat="0" applyFont="0" applyAlignment="0" applyProtection="0"/>
    <xf numFmtId="0" fontId="59" fillId="10" borderId="166" applyNumberFormat="0" applyAlignment="0" applyProtection="0"/>
    <xf numFmtId="0" fontId="52" fillId="19" borderId="166" applyNumberFormat="0" applyAlignment="0" applyProtection="0"/>
    <xf numFmtId="0" fontId="22" fillId="7" borderId="167" applyNumberFormat="0" applyFont="0" applyAlignment="0" applyProtection="0"/>
    <xf numFmtId="0" fontId="62" fillId="19" borderId="168" applyNumberFormat="0" applyAlignment="0" applyProtection="0"/>
    <xf numFmtId="0" fontId="64" fillId="0" borderId="169" applyNumberFormat="0" applyFill="0" applyAlignment="0" applyProtection="0"/>
    <xf numFmtId="0" fontId="62" fillId="19" borderId="168" applyNumberFormat="0" applyAlignment="0" applyProtection="0"/>
    <xf numFmtId="0" fontId="62" fillId="19" borderId="168" applyNumberFormat="0" applyAlignment="0" applyProtection="0"/>
    <xf numFmtId="0" fontId="59" fillId="10" borderId="166" applyNumberFormat="0" applyAlignment="0" applyProtection="0"/>
    <xf numFmtId="0" fontId="22" fillId="7" borderId="167" applyNumberFormat="0" applyFont="0" applyAlignment="0" applyProtection="0"/>
    <xf numFmtId="0" fontId="62" fillId="19" borderId="168" applyNumberFormat="0" applyAlignment="0" applyProtection="0"/>
    <xf numFmtId="0" fontId="64" fillId="0" borderId="169" applyNumberFormat="0" applyFill="0" applyAlignment="0" applyProtection="0"/>
    <xf numFmtId="0" fontId="64" fillId="0" borderId="169" applyNumberFormat="0" applyFill="0" applyAlignment="0" applyProtection="0"/>
    <xf numFmtId="0" fontId="22" fillId="7" borderId="167" applyNumberFormat="0" applyFont="0" applyAlignment="0" applyProtection="0"/>
    <xf numFmtId="0" fontId="64" fillId="0" borderId="169" applyNumberFormat="0" applyFill="0" applyAlignment="0" applyProtection="0"/>
    <xf numFmtId="0" fontId="22" fillId="7" borderId="167" applyNumberFormat="0" applyFont="0" applyAlignment="0" applyProtection="0"/>
    <xf numFmtId="0" fontId="59" fillId="10" borderId="166" applyNumberFormat="0" applyAlignment="0" applyProtection="0"/>
    <xf numFmtId="0" fontId="62" fillId="19" borderId="168" applyNumberFormat="0" applyAlignment="0" applyProtection="0"/>
    <xf numFmtId="0" fontId="64" fillId="0" borderId="169" applyNumberFormat="0" applyFill="0" applyAlignment="0" applyProtection="0"/>
    <xf numFmtId="0" fontId="62" fillId="19" borderId="168" applyNumberFormat="0" applyAlignment="0" applyProtection="0"/>
    <xf numFmtId="0" fontId="59" fillId="10" borderId="166" applyNumberFormat="0" applyAlignment="0" applyProtection="0"/>
    <xf numFmtId="0" fontId="22" fillId="7" borderId="167" applyNumberFormat="0" applyFont="0" applyAlignment="0" applyProtection="0"/>
    <xf numFmtId="0" fontId="22" fillId="7" borderId="167" applyNumberFormat="0" applyFont="0" applyAlignment="0" applyProtection="0"/>
    <xf numFmtId="0" fontId="64" fillId="0" borderId="169" applyNumberFormat="0" applyFill="0" applyAlignment="0" applyProtection="0"/>
    <xf numFmtId="0" fontId="64" fillId="0" borderId="169" applyNumberFormat="0" applyFill="0" applyAlignment="0" applyProtection="0"/>
    <xf numFmtId="0" fontId="52" fillId="19" borderId="166" applyNumberFormat="0" applyAlignment="0" applyProtection="0"/>
    <xf numFmtId="0" fontId="59" fillId="10" borderId="166" applyNumberFormat="0" applyAlignment="0" applyProtection="0"/>
    <xf numFmtId="0" fontId="52" fillId="19" borderId="166" applyNumberFormat="0" applyAlignment="0" applyProtection="0"/>
    <xf numFmtId="0" fontId="52" fillId="19" borderId="166" applyNumberFormat="0" applyAlignment="0" applyProtection="0"/>
    <xf numFmtId="0" fontId="62" fillId="19" borderId="180" applyNumberFormat="0" applyAlignment="0" applyProtection="0"/>
    <xf numFmtId="0" fontId="59" fillId="10" borderId="166" applyNumberFormat="0" applyAlignment="0" applyProtection="0"/>
    <xf numFmtId="0" fontId="22" fillId="7" borderId="167" applyNumberFormat="0" applyFont="0" applyAlignment="0" applyProtection="0"/>
    <xf numFmtId="0" fontId="62" fillId="19" borderId="168" applyNumberFormat="0" applyAlignment="0" applyProtection="0"/>
    <xf numFmtId="0" fontId="64" fillId="0" borderId="169" applyNumberFormat="0" applyFill="0" applyAlignment="0" applyProtection="0"/>
    <xf numFmtId="0" fontId="22" fillId="7" borderId="171" applyNumberFormat="0" applyFont="0" applyAlignment="0" applyProtection="0"/>
    <xf numFmtId="0" fontId="64" fillId="0" borderId="193" applyNumberFormat="0" applyFill="0" applyAlignment="0" applyProtection="0"/>
    <xf numFmtId="0" fontId="52" fillId="19" borderId="190" applyNumberFormat="0" applyAlignment="0" applyProtection="0"/>
    <xf numFmtId="0" fontId="62" fillId="19" borderId="172" applyNumberFormat="0" applyAlignment="0" applyProtection="0"/>
    <xf numFmtId="0" fontId="59" fillId="10" borderId="190" applyNumberFormat="0" applyAlignment="0" applyProtection="0"/>
    <xf numFmtId="0" fontId="64" fillId="0" borderId="193" applyNumberFormat="0" applyFill="0" applyAlignment="0" applyProtection="0"/>
    <xf numFmtId="0" fontId="59" fillId="10" borderId="170" applyNumberFormat="0" applyAlignment="0" applyProtection="0"/>
    <xf numFmtId="0" fontId="64" fillId="0" borderId="181" applyNumberFormat="0" applyFill="0" applyAlignment="0" applyProtection="0"/>
    <xf numFmtId="0" fontId="64" fillId="0" borderId="181" applyNumberFormat="0" applyFill="0" applyAlignment="0" applyProtection="0"/>
    <xf numFmtId="0" fontId="59" fillId="10" borderId="190" applyNumberFormat="0" applyAlignment="0" applyProtection="0"/>
    <xf numFmtId="0" fontId="52" fillId="19" borderId="182" applyNumberFormat="0" applyAlignment="0" applyProtection="0"/>
    <xf numFmtId="0" fontId="64" fillId="0" borderId="181" applyNumberFormat="0" applyFill="0" applyAlignment="0" applyProtection="0"/>
    <xf numFmtId="0" fontId="52" fillId="19" borderId="182" applyNumberFormat="0" applyAlignment="0" applyProtection="0"/>
    <xf numFmtId="0" fontId="59" fillId="10" borderId="182" applyNumberFormat="0" applyAlignment="0" applyProtection="0"/>
    <xf numFmtId="0" fontId="59" fillId="10" borderId="170" applyNumberFormat="0" applyAlignment="0" applyProtection="0"/>
    <xf numFmtId="0" fontId="52" fillId="19" borderId="178" applyNumberFormat="0" applyAlignment="0" applyProtection="0"/>
    <xf numFmtId="0" fontId="59" fillId="10" borderId="170" applyNumberFormat="0" applyAlignment="0" applyProtection="0"/>
    <xf numFmtId="0" fontId="22" fillId="7" borderId="183" applyNumberFormat="0" applyFont="0" applyAlignment="0" applyProtection="0"/>
    <xf numFmtId="0" fontId="64" fillId="0" borderId="173" applyNumberFormat="0" applyFill="0" applyAlignment="0" applyProtection="0"/>
    <xf numFmtId="0" fontId="59" fillId="10" borderId="170" applyNumberFormat="0" applyAlignment="0" applyProtection="0"/>
    <xf numFmtId="0" fontId="64" fillId="0" borderId="173" applyNumberFormat="0" applyFill="0" applyAlignment="0" applyProtection="0"/>
    <xf numFmtId="0" fontId="52" fillId="19" borderId="190" applyNumberFormat="0" applyAlignment="0" applyProtection="0"/>
    <xf numFmtId="0" fontId="52" fillId="19" borderId="166" applyNumberFormat="0" applyAlignment="0" applyProtection="0"/>
    <xf numFmtId="0" fontId="64" fillId="0" borderId="185" applyNumberFormat="0" applyFill="0" applyAlignment="0" applyProtection="0"/>
    <xf numFmtId="0" fontId="59" fillId="10" borderId="166" applyNumberFormat="0" applyAlignment="0" applyProtection="0"/>
    <xf numFmtId="0" fontId="22" fillId="7" borderId="167" applyNumberFormat="0" applyFont="0" applyAlignment="0" applyProtection="0"/>
    <xf numFmtId="0" fontId="62" fillId="19" borderId="168" applyNumberFormat="0" applyAlignment="0" applyProtection="0"/>
    <xf numFmtId="0" fontId="64" fillId="0" borderId="169" applyNumberFormat="0" applyFill="0" applyAlignment="0" applyProtection="0"/>
    <xf numFmtId="0" fontId="22" fillId="7" borderId="167" applyNumberFormat="0" applyFont="0" applyAlignment="0" applyProtection="0"/>
    <xf numFmtId="0" fontId="52" fillId="19" borderId="166" applyNumberFormat="0" applyAlignment="0" applyProtection="0"/>
    <xf numFmtId="0" fontId="62" fillId="19" borderId="168" applyNumberFormat="0" applyAlignment="0" applyProtection="0"/>
    <xf numFmtId="0" fontId="59" fillId="10" borderId="166" applyNumberFormat="0" applyAlignment="0" applyProtection="0"/>
    <xf numFmtId="0" fontId="52" fillId="19" borderId="166" applyNumberFormat="0" applyAlignment="0" applyProtection="0"/>
    <xf numFmtId="0" fontId="52" fillId="19" borderId="166" applyNumberFormat="0" applyAlignment="0" applyProtection="0"/>
    <xf numFmtId="0" fontId="59" fillId="10" borderId="166" applyNumberFormat="0" applyAlignment="0" applyProtection="0"/>
    <xf numFmtId="0" fontId="52" fillId="19" borderId="178" applyNumberFormat="0" applyAlignment="0" applyProtection="0"/>
    <xf numFmtId="0" fontId="64" fillId="0" borderId="181" applyNumberFormat="0" applyFill="0" applyAlignment="0" applyProtection="0"/>
    <xf numFmtId="0" fontId="59" fillId="10" borderId="166" applyNumberFormat="0" applyAlignment="0" applyProtection="0"/>
    <xf numFmtId="0" fontId="52" fillId="19" borderId="166" applyNumberFormat="0" applyAlignment="0" applyProtection="0"/>
    <xf numFmtId="0" fontId="22" fillId="7" borderId="167" applyNumberFormat="0" applyFont="0" applyAlignment="0" applyProtection="0"/>
    <xf numFmtId="0" fontId="62" fillId="19" borderId="168" applyNumberFormat="0" applyAlignment="0" applyProtection="0"/>
    <xf numFmtId="0" fontId="64" fillId="0" borderId="169" applyNumberFormat="0" applyFill="0" applyAlignment="0" applyProtection="0"/>
    <xf numFmtId="0" fontId="62" fillId="19" borderId="168" applyNumberFormat="0" applyAlignment="0" applyProtection="0"/>
    <xf numFmtId="0" fontId="62" fillId="19" borderId="168" applyNumberFormat="0" applyAlignment="0" applyProtection="0"/>
    <xf numFmtId="0" fontId="59" fillId="10" borderId="166" applyNumberFormat="0" applyAlignment="0" applyProtection="0"/>
    <xf numFmtId="0" fontId="22" fillId="7" borderId="167" applyNumberFormat="0" applyFont="0" applyAlignment="0" applyProtection="0"/>
    <xf numFmtId="0" fontId="62" fillId="19" borderId="168" applyNumberFormat="0" applyAlignment="0" applyProtection="0"/>
    <xf numFmtId="0" fontId="64" fillId="0" borderId="169" applyNumberFormat="0" applyFill="0" applyAlignment="0" applyProtection="0"/>
    <xf numFmtId="0" fontId="64" fillId="0" borderId="169" applyNumberFormat="0" applyFill="0" applyAlignment="0" applyProtection="0"/>
    <xf numFmtId="0" fontId="22" fillId="7" borderId="167" applyNumberFormat="0" applyFont="0" applyAlignment="0" applyProtection="0"/>
    <xf numFmtId="0" fontId="64" fillId="0" borderId="169" applyNumberFormat="0" applyFill="0" applyAlignment="0" applyProtection="0"/>
    <xf numFmtId="0" fontId="22" fillId="7" borderId="167" applyNumberFormat="0" applyFont="0" applyAlignment="0" applyProtection="0"/>
    <xf numFmtId="0" fontId="59" fillId="10" borderId="166" applyNumberFormat="0" applyAlignment="0" applyProtection="0"/>
    <xf numFmtId="0" fontId="62" fillId="19" borderId="168" applyNumberFormat="0" applyAlignment="0" applyProtection="0"/>
    <xf numFmtId="0" fontId="64" fillId="0" borderId="169" applyNumberFormat="0" applyFill="0" applyAlignment="0" applyProtection="0"/>
    <xf numFmtId="0" fontId="62" fillId="19" borderId="168" applyNumberFormat="0" applyAlignment="0" applyProtection="0"/>
    <xf numFmtId="0" fontId="59" fillId="10" borderId="166" applyNumberFormat="0" applyAlignment="0" applyProtection="0"/>
    <xf numFmtId="0" fontId="22" fillId="7" borderId="167" applyNumberFormat="0" applyFont="0" applyAlignment="0" applyProtection="0"/>
    <xf numFmtId="0" fontId="22" fillId="7" borderId="167" applyNumberFormat="0" applyFont="0" applyAlignment="0" applyProtection="0"/>
    <xf numFmtId="0" fontId="64" fillId="0" borderId="169" applyNumberFormat="0" applyFill="0" applyAlignment="0" applyProtection="0"/>
    <xf numFmtId="0" fontId="64" fillId="0" borderId="169" applyNumberFormat="0" applyFill="0" applyAlignment="0" applyProtection="0"/>
    <xf numFmtId="0" fontId="52" fillId="19" borderId="166" applyNumberFormat="0" applyAlignment="0" applyProtection="0"/>
    <xf numFmtId="0" fontId="59" fillId="10" borderId="166" applyNumberFormat="0" applyAlignment="0" applyProtection="0"/>
    <xf numFmtId="0" fontId="52" fillId="19" borderId="166" applyNumberFormat="0" applyAlignment="0" applyProtection="0"/>
    <xf numFmtId="0" fontId="52" fillId="19" borderId="166" applyNumberFormat="0" applyAlignment="0" applyProtection="0"/>
    <xf numFmtId="0" fontId="64" fillId="0" borderId="173" applyNumberFormat="0" applyFill="0" applyAlignment="0" applyProtection="0"/>
    <xf numFmtId="0" fontId="52" fillId="19" borderId="182" applyNumberFormat="0" applyAlignment="0" applyProtection="0"/>
    <xf numFmtId="0" fontId="52" fillId="19" borderId="170" applyNumberFormat="0" applyAlignment="0" applyProtection="0"/>
    <xf numFmtId="0" fontId="52" fillId="19" borderId="174" applyNumberFormat="0" applyAlignment="0" applyProtection="0"/>
    <xf numFmtId="0" fontId="52" fillId="19" borderId="170" applyNumberFormat="0" applyAlignment="0" applyProtection="0"/>
    <xf numFmtId="0" fontId="59" fillId="10" borderId="174" applyNumberFormat="0" applyAlignment="0" applyProtection="0"/>
    <xf numFmtId="0" fontId="64" fillId="0" borderId="173" applyNumberFormat="0" applyFill="0" applyAlignment="0" applyProtection="0"/>
    <xf numFmtId="0" fontId="22" fillId="7" borderId="183" applyNumberFormat="0" applyFont="0" applyAlignment="0" applyProtection="0"/>
    <xf numFmtId="0" fontId="62" fillId="19" borderId="168" applyNumberFormat="0" applyAlignment="0" applyProtection="0"/>
    <xf numFmtId="0" fontId="52" fillId="19" borderId="182" applyNumberFormat="0" applyAlignment="0" applyProtection="0"/>
    <xf numFmtId="0" fontId="59" fillId="10" borderId="166" applyNumberFormat="0" applyAlignment="0" applyProtection="0"/>
    <xf numFmtId="0" fontId="22" fillId="7" borderId="167" applyNumberFormat="0" applyFont="0" applyAlignment="0" applyProtection="0"/>
    <xf numFmtId="0" fontId="52" fillId="19" borderId="178" applyNumberFormat="0" applyAlignment="0" applyProtection="0"/>
    <xf numFmtId="0" fontId="22" fillId="7" borderId="179" applyNumberFormat="0" applyFont="0" applyAlignment="0" applyProtection="0"/>
    <xf numFmtId="0" fontId="22" fillId="7" borderId="171" applyNumberFormat="0" applyFont="0" applyAlignment="0" applyProtection="0"/>
    <xf numFmtId="0" fontId="62" fillId="19" borderId="180" applyNumberFormat="0" applyAlignment="0" applyProtection="0"/>
    <xf numFmtId="0" fontId="64" fillId="0" borderId="173" applyNumberFormat="0" applyFill="0" applyAlignment="0" applyProtection="0"/>
    <xf numFmtId="0" fontId="62" fillId="19" borderId="184" applyNumberFormat="0" applyAlignment="0" applyProtection="0"/>
    <xf numFmtId="0" fontId="62" fillId="19" borderId="172" applyNumberFormat="0" applyAlignment="0" applyProtection="0"/>
    <xf numFmtId="0" fontId="22" fillId="7" borderId="179" applyNumberFormat="0" applyFont="0" applyAlignment="0" applyProtection="0"/>
    <xf numFmtId="0" fontId="64" fillId="0" borderId="189" applyNumberFormat="0" applyFill="0" applyAlignment="0" applyProtection="0"/>
    <xf numFmtId="0" fontId="52" fillId="19" borderId="182" applyNumberFormat="0" applyAlignment="0" applyProtection="0"/>
    <xf numFmtId="0" fontId="62" fillId="19" borderId="192" applyNumberFormat="0" applyAlignment="0" applyProtection="0"/>
    <xf numFmtId="0" fontId="22" fillId="7" borderId="179" applyNumberFormat="0" applyFont="0" applyAlignment="0" applyProtection="0"/>
    <xf numFmtId="0" fontId="52" fillId="19" borderId="170" applyNumberFormat="0" applyAlignment="0" applyProtection="0"/>
    <xf numFmtId="0" fontId="59" fillId="10" borderId="182" applyNumberFormat="0" applyAlignment="0" applyProtection="0"/>
    <xf numFmtId="0" fontId="59" fillId="10" borderId="170" applyNumberFormat="0" applyAlignment="0" applyProtection="0"/>
    <xf numFmtId="0" fontId="22" fillId="7" borderId="191" applyNumberFormat="0" applyFont="0" applyAlignment="0" applyProtection="0"/>
    <xf numFmtId="0" fontId="59" fillId="10" borderId="182" applyNumberFormat="0" applyAlignment="0" applyProtection="0"/>
    <xf numFmtId="0" fontId="62" fillId="19" borderId="172" applyNumberFormat="0" applyAlignment="0" applyProtection="0"/>
    <xf numFmtId="0" fontId="64" fillId="0" borderId="185" applyNumberFormat="0" applyFill="0" applyAlignment="0" applyProtection="0"/>
    <xf numFmtId="0" fontId="22" fillId="7" borderId="171" applyNumberFormat="0" applyFont="0" applyAlignment="0" applyProtection="0"/>
    <xf numFmtId="0" fontId="64" fillId="0" borderId="169" applyNumberFormat="0" applyFill="0" applyAlignment="0" applyProtection="0"/>
    <xf numFmtId="0" fontId="52" fillId="19" borderId="166" applyNumberFormat="0" applyAlignment="0" applyProtection="0"/>
    <xf numFmtId="0" fontId="52" fillId="19" borderId="166" applyNumberFormat="0" applyAlignment="0" applyProtection="0"/>
    <xf numFmtId="0" fontId="59" fillId="10" borderId="166" applyNumberFormat="0" applyAlignment="0" applyProtection="0"/>
    <xf numFmtId="0" fontId="22" fillId="7" borderId="167" applyNumberFormat="0" applyFont="0" applyAlignment="0" applyProtection="0"/>
    <xf numFmtId="0" fontId="64" fillId="0" borderId="169" applyNumberFormat="0" applyFill="0" applyAlignment="0" applyProtection="0"/>
    <xf numFmtId="0" fontId="59" fillId="10" borderId="182" applyNumberFormat="0" applyAlignment="0" applyProtection="0"/>
    <xf numFmtId="0" fontId="64" fillId="0" borderId="181" applyNumberFormat="0" applyFill="0" applyAlignment="0" applyProtection="0"/>
    <xf numFmtId="0" fontId="52" fillId="19" borderId="182" applyNumberFormat="0" applyAlignment="0" applyProtection="0"/>
    <xf numFmtId="0" fontId="62" fillId="19" borderId="184" applyNumberFormat="0" applyAlignment="0" applyProtection="0"/>
    <xf numFmtId="0" fontId="22" fillId="7" borderId="183" applyNumberFormat="0" applyFont="0" applyAlignment="0" applyProtection="0"/>
    <xf numFmtId="0" fontId="22" fillId="7" borderId="171" applyNumberFormat="0" applyFont="0" applyAlignment="0" applyProtection="0"/>
    <xf numFmtId="0" fontId="52" fillId="19" borderId="182" applyNumberFormat="0" applyAlignment="0" applyProtection="0"/>
    <xf numFmtId="0" fontId="52" fillId="19" borderId="170" applyNumberFormat="0" applyAlignment="0" applyProtection="0"/>
    <xf numFmtId="0" fontId="64" fillId="0" borderId="189" applyNumberFormat="0" applyFill="0" applyAlignment="0" applyProtection="0"/>
    <xf numFmtId="0" fontId="22" fillId="7" borderId="187" applyNumberFormat="0" applyFont="0" applyAlignment="0" applyProtection="0"/>
    <xf numFmtId="0" fontId="64" fillId="0" borderId="181" applyNumberFormat="0" applyFill="0" applyAlignment="0" applyProtection="0"/>
    <xf numFmtId="0" fontId="64" fillId="0" borderId="193" applyNumberFormat="0" applyFill="0" applyAlignment="0" applyProtection="0"/>
    <xf numFmtId="0" fontId="59" fillId="10" borderId="170" applyNumberFormat="0" applyAlignment="0" applyProtection="0"/>
    <xf numFmtId="0" fontId="64" fillId="0" borderId="185" applyNumberFormat="0" applyFill="0" applyAlignment="0" applyProtection="0"/>
    <xf numFmtId="0" fontId="62" fillId="19" borderId="172" applyNumberFormat="0" applyAlignment="0" applyProtection="0"/>
    <xf numFmtId="0" fontId="52" fillId="19" borderId="170" applyNumberFormat="0" applyAlignment="0" applyProtection="0"/>
    <xf numFmtId="0" fontId="59" fillId="10" borderId="170" applyNumberFormat="0" applyAlignment="0" applyProtection="0"/>
    <xf numFmtId="0" fontId="64" fillId="0" borderId="181" applyNumberFormat="0" applyFill="0" applyAlignment="0" applyProtection="0"/>
    <xf numFmtId="0" fontId="59" fillId="10" borderId="178" applyNumberFormat="0" applyAlignment="0" applyProtection="0"/>
    <xf numFmtId="0" fontId="22" fillId="7" borderId="179" applyNumberFormat="0" applyFont="0" applyAlignment="0" applyProtection="0"/>
    <xf numFmtId="0" fontId="52" fillId="19" borderId="190" applyNumberFormat="0" applyAlignment="0" applyProtection="0"/>
    <xf numFmtId="0" fontId="52" fillId="19" borderId="170" applyNumberFormat="0" applyAlignment="0" applyProtection="0"/>
    <xf numFmtId="0" fontId="52" fillId="19" borderId="182" applyNumberFormat="0" applyAlignment="0" applyProtection="0"/>
    <xf numFmtId="0" fontId="64" fillId="0" borderId="173" applyNumberFormat="0" applyFill="0" applyAlignment="0" applyProtection="0"/>
    <xf numFmtId="0" fontId="59" fillId="10" borderId="170" applyNumberFormat="0" applyAlignment="0" applyProtection="0"/>
    <xf numFmtId="0" fontId="64" fillId="0" borderId="181" applyNumberFormat="0" applyFill="0" applyAlignment="0" applyProtection="0"/>
    <xf numFmtId="0" fontId="64" fillId="0" borderId="189" applyNumberFormat="0" applyFill="0" applyAlignment="0" applyProtection="0"/>
    <xf numFmtId="0" fontId="62" fillId="19" borderId="172" applyNumberFormat="0" applyAlignment="0" applyProtection="0"/>
    <xf numFmtId="0" fontId="22" fillId="7" borderId="171" applyNumberFormat="0" applyFont="0" applyAlignment="0" applyProtection="0"/>
    <xf numFmtId="0" fontId="22" fillId="7" borderId="171" applyNumberFormat="0" applyFont="0" applyAlignment="0" applyProtection="0"/>
    <xf numFmtId="0" fontId="52" fillId="19" borderId="182" applyNumberFormat="0" applyAlignment="0" applyProtection="0"/>
    <xf numFmtId="0" fontId="52" fillId="19" borderId="174" applyNumberFormat="0" applyAlignment="0" applyProtection="0"/>
    <xf numFmtId="0" fontId="59" fillId="10" borderId="174" applyNumberFormat="0" applyAlignment="0" applyProtection="0"/>
    <xf numFmtId="0" fontId="22" fillId="7" borderId="175" applyNumberFormat="0" applyFont="0" applyAlignment="0" applyProtection="0"/>
    <xf numFmtId="0" fontId="62" fillId="19" borderId="176" applyNumberFormat="0" applyAlignment="0" applyProtection="0"/>
    <xf numFmtId="0" fontId="64" fillId="0" borderId="177" applyNumberFormat="0" applyFill="0" applyAlignment="0" applyProtection="0"/>
    <xf numFmtId="0" fontId="22" fillId="7" borderId="175" applyNumberFormat="0" applyFont="0" applyAlignment="0" applyProtection="0"/>
    <xf numFmtId="0" fontId="52" fillId="19" borderId="174" applyNumberFormat="0" applyAlignment="0" applyProtection="0"/>
    <xf numFmtId="0" fontId="62" fillId="19" borderId="176" applyNumberFormat="0" applyAlignment="0" applyProtection="0"/>
    <xf numFmtId="0" fontId="59" fillId="10" borderId="174" applyNumberFormat="0" applyAlignment="0" applyProtection="0"/>
    <xf numFmtId="0" fontId="52" fillId="19" borderId="174" applyNumberFormat="0" applyAlignment="0" applyProtection="0"/>
    <xf numFmtId="0" fontId="52" fillId="19" borderId="174" applyNumberFormat="0" applyAlignment="0" applyProtection="0"/>
    <xf numFmtId="0" fontId="59" fillId="10" borderId="174" applyNumberFormat="0" applyAlignment="0" applyProtection="0"/>
    <xf numFmtId="0" fontId="59" fillId="10" borderId="174" applyNumberFormat="0" applyAlignment="0" applyProtection="0"/>
    <xf numFmtId="0" fontId="52" fillId="19" borderId="174" applyNumberFormat="0" applyAlignment="0" applyProtection="0"/>
    <xf numFmtId="0" fontId="22" fillId="7" borderId="175" applyNumberFormat="0" applyFont="0" applyAlignment="0" applyProtection="0"/>
    <xf numFmtId="0" fontId="62" fillId="19" borderId="176" applyNumberFormat="0" applyAlignment="0" applyProtection="0"/>
    <xf numFmtId="0" fontId="64" fillId="0" borderId="177" applyNumberFormat="0" applyFill="0" applyAlignment="0" applyProtection="0"/>
    <xf numFmtId="0" fontId="62" fillId="19" borderId="176" applyNumberFormat="0" applyAlignment="0" applyProtection="0"/>
    <xf numFmtId="0" fontId="62" fillId="19" borderId="176" applyNumberFormat="0" applyAlignment="0" applyProtection="0"/>
    <xf numFmtId="0" fontId="59" fillId="10" borderId="174" applyNumberFormat="0" applyAlignment="0" applyProtection="0"/>
    <xf numFmtId="0" fontId="22" fillId="7" borderId="175" applyNumberFormat="0" applyFont="0" applyAlignment="0" applyProtection="0"/>
    <xf numFmtId="0" fontId="62" fillId="19" borderId="176" applyNumberFormat="0" applyAlignment="0" applyProtection="0"/>
    <xf numFmtId="0" fontId="64" fillId="0" borderId="177" applyNumberFormat="0" applyFill="0" applyAlignment="0" applyProtection="0"/>
    <xf numFmtId="0" fontId="64" fillId="0" borderId="177" applyNumberFormat="0" applyFill="0" applyAlignment="0" applyProtection="0"/>
    <xf numFmtId="0" fontId="22" fillId="7" borderId="175" applyNumberFormat="0" applyFont="0" applyAlignment="0" applyProtection="0"/>
    <xf numFmtId="0" fontId="64" fillId="0" borderId="177" applyNumberFormat="0" applyFill="0" applyAlignment="0" applyProtection="0"/>
    <xf numFmtId="0" fontId="22" fillId="7" borderId="175" applyNumberFormat="0" applyFont="0" applyAlignment="0" applyProtection="0"/>
    <xf numFmtId="0" fontId="59" fillId="10" borderId="174" applyNumberFormat="0" applyAlignment="0" applyProtection="0"/>
    <xf numFmtId="0" fontId="62" fillId="19" borderId="176" applyNumberFormat="0" applyAlignment="0" applyProtection="0"/>
    <xf numFmtId="0" fontId="64" fillId="0" borderId="177" applyNumberFormat="0" applyFill="0" applyAlignment="0" applyProtection="0"/>
    <xf numFmtId="0" fontId="62" fillId="19" borderId="176" applyNumberFormat="0" applyAlignment="0" applyProtection="0"/>
    <xf numFmtId="0" fontId="59" fillId="10" borderId="174" applyNumberFormat="0" applyAlignment="0" applyProtection="0"/>
    <xf numFmtId="0" fontId="22" fillId="7" borderId="175" applyNumberFormat="0" applyFont="0" applyAlignment="0" applyProtection="0"/>
    <xf numFmtId="0" fontId="22" fillId="7" borderId="175" applyNumberFormat="0" applyFont="0" applyAlignment="0" applyProtection="0"/>
    <xf numFmtId="0" fontId="64" fillId="0" borderId="177" applyNumberFormat="0" applyFill="0" applyAlignment="0" applyProtection="0"/>
    <xf numFmtId="0" fontId="64" fillId="0" borderId="177" applyNumberFormat="0" applyFill="0" applyAlignment="0" applyProtection="0"/>
    <xf numFmtId="0" fontId="52" fillId="19" borderId="174" applyNumberFormat="0" applyAlignment="0" applyProtection="0"/>
    <xf numFmtId="0" fontId="59" fillId="10" borderId="174" applyNumberFormat="0" applyAlignment="0" applyProtection="0"/>
    <xf numFmtId="0" fontId="52" fillId="19" borderId="174" applyNumberFormat="0" applyAlignment="0" applyProtection="0"/>
    <xf numFmtId="0" fontId="52" fillId="19" borderId="174" applyNumberFormat="0" applyAlignment="0" applyProtection="0"/>
    <xf numFmtId="0" fontId="22" fillId="7" borderId="179" applyNumberFormat="0" applyFont="0" applyAlignment="0" applyProtection="0"/>
    <xf numFmtId="0" fontId="52" fillId="19" borderId="190" applyNumberFormat="0" applyAlignment="0" applyProtection="0"/>
    <xf numFmtId="0" fontId="59" fillId="10" borderId="178" applyNumberFormat="0" applyAlignment="0" applyProtection="0"/>
    <xf numFmtId="0" fontId="52" fillId="19" borderId="174" applyNumberFormat="0" applyAlignment="0" applyProtection="0"/>
    <xf numFmtId="0" fontId="59" fillId="10" borderId="182" applyNumberFormat="0" applyAlignment="0" applyProtection="0"/>
    <xf numFmtId="0" fontId="52" fillId="19" borderId="174" applyNumberFormat="0" applyAlignment="0" applyProtection="0"/>
    <xf numFmtId="0" fontId="59" fillId="10" borderId="174" applyNumberFormat="0" applyAlignment="0" applyProtection="0"/>
    <xf numFmtId="0" fontId="22" fillId="7" borderId="175" applyNumberFormat="0" applyFont="0" applyAlignment="0" applyProtection="0"/>
    <xf numFmtId="0" fontId="62" fillId="19" borderId="176" applyNumberFormat="0" applyAlignment="0" applyProtection="0"/>
    <xf numFmtId="0" fontId="64" fillId="0" borderId="177" applyNumberFormat="0" applyFill="0" applyAlignment="0" applyProtection="0"/>
    <xf numFmtId="0" fontId="22" fillId="7" borderId="183" applyNumberFormat="0" applyFont="0" applyAlignment="0" applyProtection="0"/>
    <xf numFmtId="0" fontId="59" fillId="10" borderId="182" applyNumberFormat="0" applyAlignment="0" applyProtection="0"/>
    <xf numFmtId="0" fontId="22" fillId="7" borderId="179" applyNumberFormat="0" applyFont="0" applyAlignment="0" applyProtection="0"/>
    <xf numFmtId="0" fontId="64" fillId="0" borderId="185" applyNumberFormat="0" applyFill="0" applyAlignment="0" applyProtection="0"/>
    <xf numFmtId="0" fontId="64" fillId="0" borderId="185" applyNumberFormat="0" applyFill="0" applyAlignment="0" applyProtection="0"/>
    <xf numFmtId="0" fontId="22" fillId="7" borderId="179" applyNumberFormat="0" applyFont="0" applyAlignment="0" applyProtection="0"/>
    <xf numFmtId="0" fontId="59" fillId="10" borderId="178" applyNumberFormat="0" applyAlignment="0" applyProtection="0"/>
    <xf numFmtId="0" fontId="59" fillId="10" borderId="182" applyNumberFormat="0" applyAlignment="0" applyProtection="0"/>
    <xf numFmtId="0" fontId="22" fillId="7" borderId="191" applyNumberFormat="0" applyFont="0" applyAlignment="0" applyProtection="0"/>
    <xf numFmtId="0" fontId="59" fillId="10" borderId="190" applyNumberFormat="0" applyAlignment="0" applyProtection="0"/>
    <xf numFmtId="0" fontId="64" fillId="0" borderId="193" applyNumberFormat="0" applyFill="0" applyAlignment="0" applyProtection="0"/>
    <xf numFmtId="0" fontId="62" fillId="19" borderId="192" applyNumberFormat="0" applyAlignment="0" applyProtection="0"/>
    <xf numFmtId="0" fontId="22" fillId="7" borderId="179" applyNumberFormat="0" applyFont="0" applyAlignment="0" applyProtection="0"/>
    <xf numFmtId="0" fontId="62" fillId="19" borderId="192" applyNumberFormat="0" applyAlignment="0" applyProtection="0"/>
    <xf numFmtId="0" fontId="62" fillId="19" borderId="184" applyNumberFormat="0" applyAlignment="0" applyProtection="0"/>
    <xf numFmtId="0" fontId="52" fillId="19" borderId="174" applyNumberFormat="0" applyAlignment="0" applyProtection="0"/>
    <xf numFmtId="0" fontId="59" fillId="10" borderId="174" applyNumberFormat="0" applyAlignment="0" applyProtection="0"/>
    <xf numFmtId="0" fontId="22" fillId="7" borderId="175" applyNumberFormat="0" applyFont="0" applyAlignment="0" applyProtection="0"/>
    <xf numFmtId="0" fontId="62" fillId="19" borderId="176" applyNumberFormat="0" applyAlignment="0" applyProtection="0"/>
    <xf numFmtId="0" fontId="64" fillId="0" borderId="177" applyNumberFormat="0" applyFill="0" applyAlignment="0" applyProtection="0"/>
    <xf numFmtId="0" fontId="22" fillId="7" borderId="175" applyNumberFormat="0" applyFont="0" applyAlignment="0" applyProtection="0"/>
    <xf numFmtId="0" fontId="52" fillId="19" borderId="174" applyNumberFormat="0" applyAlignment="0" applyProtection="0"/>
    <xf numFmtId="0" fontId="62" fillId="19" borderId="176" applyNumberFormat="0" applyAlignment="0" applyProtection="0"/>
    <xf numFmtId="0" fontId="59" fillId="10" borderId="174" applyNumberFormat="0" applyAlignment="0" applyProtection="0"/>
    <xf numFmtId="0" fontId="52" fillId="19" borderId="174" applyNumberFormat="0" applyAlignment="0" applyProtection="0"/>
    <xf numFmtId="0" fontId="52" fillId="19" borderId="174" applyNumberFormat="0" applyAlignment="0" applyProtection="0"/>
    <xf numFmtId="0" fontId="59" fillId="10" borderId="174" applyNumberFormat="0" applyAlignment="0" applyProtection="0"/>
    <xf numFmtId="0" fontId="59" fillId="10" borderId="174" applyNumberFormat="0" applyAlignment="0" applyProtection="0"/>
    <xf numFmtId="0" fontId="52" fillId="19" borderId="174" applyNumberFormat="0" applyAlignment="0" applyProtection="0"/>
    <xf numFmtId="0" fontId="22" fillId="7" borderId="175" applyNumberFormat="0" applyFont="0" applyAlignment="0" applyProtection="0"/>
    <xf numFmtId="0" fontId="62" fillId="19" borderId="176" applyNumberFormat="0" applyAlignment="0" applyProtection="0"/>
    <xf numFmtId="0" fontId="64" fillId="0" borderId="177" applyNumberFormat="0" applyFill="0" applyAlignment="0" applyProtection="0"/>
    <xf numFmtId="0" fontId="62" fillId="19" borderId="176" applyNumberFormat="0" applyAlignment="0" applyProtection="0"/>
    <xf numFmtId="0" fontId="62" fillId="19" borderId="176" applyNumberFormat="0" applyAlignment="0" applyProtection="0"/>
    <xf numFmtId="0" fontId="59" fillId="10" borderId="174" applyNumberFormat="0" applyAlignment="0" applyProtection="0"/>
    <xf numFmtId="0" fontId="22" fillId="7" borderId="175" applyNumberFormat="0" applyFont="0" applyAlignment="0" applyProtection="0"/>
    <xf numFmtId="0" fontId="62" fillId="19" borderId="176" applyNumberFormat="0" applyAlignment="0" applyProtection="0"/>
    <xf numFmtId="0" fontId="64" fillId="0" borderId="177" applyNumberFormat="0" applyFill="0" applyAlignment="0" applyProtection="0"/>
    <xf numFmtId="0" fontId="64" fillId="0" borderId="177" applyNumberFormat="0" applyFill="0" applyAlignment="0" applyProtection="0"/>
    <xf numFmtId="0" fontId="22" fillId="7" borderId="175" applyNumberFormat="0" applyFont="0" applyAlignment="0" applyProtection="0"/>
    <xf numFmtId="0" fontId="64" fillId="0" borderId="177" applyNumberFormat="0" applyFill="0" applyAlignment="0" applyProtection="0"/>
    <xf numFmtId="0" fontId="22" fillId="7" borderId="175" applyNumberFormat="0" applyFont="0" applyAlignment="0" applyProtection="0"/>
    <xf numFmtId="0" fontId="59" fillId="10" borderId="174" applyNumberFormat="0" applyAlignment="0" applyProtection="0"/>
    <xf numFmtId="0" fontId="62" fillId="19" borderId="176" applyNumberFormat="0" applyAlignment="0" applyProtection="0"/>
    <xf numFmtId="0" fontId="64" fillId="0" borderId="177" applyNumberFormat="0" applyFill="0" applyAlignment="0" applyProtection="0"/>
    <xf numFmtId="0" fontId="62" fillId="19" borderId="176" applyNumberFormat="0" applyAlignment="0" applyProtection="0"/>
    <xf numFmtId="0" fontId="59" fillId="10" borderId="174" applyNumberFormat="0" applyAlignment="0" applyProtection="0"/>
    <xf numFmtId="0" fontId="22" fillId="7" borderId="175" applyNumberFormat="0" applyFont="0" applyAlignment="0" applyProtection="0"/>
    <xf numFmtId="0" fontId="22" fillId="7" borderId="175" applyNumberFormat="0" applyFont="0" applyAlignment="0" applyProtection="0"/>
    <xf numFmtId="0" fontId="64" fillId="0" borderId="177" applyNumberFormat="0" applyFill="0" applyAlignment="0" applyProtection="0"/>
    <xf numFmtId="0" fontId="64" fillId="0" borderId="177" applyNumberFormat="0" applyFill="0" applyAlignment="0" applyProtection="0"/>
    <xf numFmtId="0" fontId="52" fillId="19" borderId="174" applyNumberFormat="0" applyAlignment="0" applyProtection="0"/>
    <xf numFmtId="0" fontId="59" fillId="10" borderId="174" applyNumberFormat="0" applyAlignment="0" applyProtection="0"/>
    <xf numFmtId="0" fontId="52" fillId="19" borderId="174" applyNumberFormat="0" applyAlignment="0" applyProtection="0"/>
    <xf numFmtId="0" fontId="52" fillId="19" borderId="174" applyNumberFormat="0" applyAlignment="0" applyProtection="0"/>
    <xf numFmtId="0" fontId="52" fillId="19" borderId="174" applyNumberFormat="0" applyAlignment="0" applyProtection="0"/>
    <xf numFmtId="0" fontId="22" fillId="7" borderId="183" applyNumberFormat="0" applyFont="0" applyAlignment="0" applyProtection="0"/>
    <xf numFmtId="0" fontId="59" fillId="10" borderId="174" applyNumberFormat="0" applyAlignment="0" applyProtection="0"/>
    <xf numFmtId="0" fontId="22" fillId="7" borderId="175" applyNumberFormat="0" applyFont="0" applyAlignment="0" applyProtection="0"/>
    <xf numFmtId="0" fontId="62" fillId="19" borderId="176" applyNumberFormat="0" applyAlignment="0" applyProtection="0"/>
    <xf numFmtId="0" fontId="64" fillId="0" borderId="177" applyNumberFormat="0" applyFill="0" applyAlignment="0" applyProtection="0"/>
    <xf numFmtId="0" fontId="62" fillId="19" borderId="180" applyNumberFormat="0" applyAlignment="0" applyProtection="0"/>
    <xf numFmtId="0" fontId="64" fillId="0" borderId="181" applyNumberFormat="0" applyFill="0" applyAlignment="0" applyProtection="0"/>
    <xf numFmtId="0" fontId="22" fillId="7" borderId="179" applyNumberFormat="0" applyFont="0" applyAlignment="0" applyProtection="0"/>
    <xf numFmtId="0" fontId="62" fillId="19" borderId="180" applyNumberFormat="0" applyAlignment="0" applyProtection="0"/>
    <xf numFmtId="0" fontId="62" fillId="19" borderId="192" applyNumberFormat="0" applyAlignment="0" applyProtection="0"/>
    <xf numFmtId="0" fontId="52" fillId="19" borderId="186" applyNumberFormat="0" applyAlignment="0" applyProtection="0"/>
    <xf numFmtId="0" fontId="64" fillId="0" borderId="185" applyNumberFormat="0" applyFill="0" applyAlignment="0" applyProtection="0"/>
    <xf numFmtId="0" fontId="62" fillId="19" borderId="192" applyNumberFormat="0" applyAlignment="0" applyProtection="0"/>
    <xf numFmtId="0" fontId="59" fillId="10" borderId="190" applyNumberFormat="0" applyAlignment="0" applyProtection="0"/>
    <xf numFmtId="0" fontId="64" fillId="0" borderId="181" applyNumberFormat="0" applyFill="0" applyAlignment="0" applyProtection="0"/>
    <xf numFmtId="0" fontId="52" fillId="19" borderId="178" applyNumberFormat="0" applyAlignment="0" applyProtection="0"/>
    <xf numFmtId="0" fontId="22" fillId="7" borderId="183" applyNumberFormat="0" applyFont="0" applyAlignment="0" applyProtection="0"/>
    <xf numFmtId="0" fontId="22" fillId="7" borderId="183" applyNumberFormat="0" applyFont="0" applyAlignment="0" applyProtection="0"/>
    <xf numFmtId="0" fontId="59" fillId="10" borderId="178" applyNumberFormat="0" applyAlignment="0" applyProtection="0"/>
    <xf numFmtId="0" fontId="64" fillId="0" borderId="185" applyNumberFormat="0" applyFill="0" applyAlignment="0" applyProtection="0"/>
    <xf numFmtId="0" fontId="64" fillId="0" borderId="185" applyNumberFormat="0" applyFill="0" applyAlignment="0" applyProtection="0"/>
    <xf numFmtId="0" fontId="52" fillId="19" borderId="174" applyNumberFormat="0" applyAlignment="0" applyProtection="0"/>
    <xf numFmtId="0" fontId="59" fillId="10" borderId="174" applyNumberFormat="0" applyAlignment="0" applyProtection="0"/>
    <xf numFmtId="0" fontId="22" fillId="7" borderId="175" applyNumberFormat="0" applyFont="0" applyAlignment="0" applyProtection="0"/>
    <xf numFmtId="0" fontId="62" fillId="19" borderId="176" applyNumberFormat="0" applyAlignment="0" applyProtection="0"/>
    <xf numFmtId="0" fontId="64" fillId="0" borderId="177" applyNumberFormat="0" applyFill="0" applyAlignment="0" applyProtection="0"/>
    <xf numFmtId="0" fontId="22" fillId="7" borderId="175" applyNumberFormat="0" applyFont="0" applyAlignment="0" applyProtection="0"/>
    <xf numFmtId="0" fontId="52" fillId="19" borderId="174" applyNumberFormat="0" applyAlignment="0" applyProtection="0"/>
    <xf numFmtId="0" fontId="62" fillId="19" borderId="176" applyNumberFormat="0" applyAlignment="0" applyProtection="0"/>
    <xf numFmtId="0" fontId="59" fillId="10" borderId="174" applyNumberFormat="0" applyAlignment="0" applyProtection="0"/>
    <xf numFmtId="0" fontId="52" fillId="19" borderId="174" applyNumberFormat="0" applyAlignment="0" applyProtection="0"/>
    <xf numFmtId="0" fontId="52" fillId="19" borderId="174" applyNumberFormat="0" applyAlignment="0" applyProtection="0"/>
    <xf numFmtId="0" fontId="59" fillId="10" borderId="174" applyNumberFormat="0" applyAlignment="0" applyProtection="0"/>
    <xf numFmtId="0" fontId="59" fillId="10" borderId="174" applyNumberFormat="0" applyAlignment="0" applyProtection="0"/>
    <xf numFmtId="0" fontId="52" fillId="19" borderId="174" applyNumberFormat="0" applyAlignment="0" applyProtection="0"/>
    <xf numFmtId="0" fontId="22" fillId="7" borderId="175" applyNumberFormat="0" applyFont="0" applyAlignment="0" applyProtection="0"/>
    <xf numFmtId="0" fontId="62" fillId="19" borderId="176" applyNumberFormat="0" applyAlignment="0" applyProtection="0"/>
    <xf numFmtId="0" fontId="64" fillId="0" borderId="177" applyNumberFormat="0" applyFill="0" applyAlignment="0" applyProtection="0"/>
    <xf numFmtId="0" fontId="62" fillId="19" borderId="176" applyNumberFormat="0" applyAlignment="0" applyProtection="0"/>
    <xf numFmtId="0" fontId="62" fillId="19" borderId="176" applyNumberFormat="0" applyAlignment="0" applyProtection="0"/>
    <xf numFmtId="0" fontId="59" fillId="10" borderId="174" applyNumberFormat="0" applyAlignment="0" applyProtection="0"/>
    <xf numFmtId="0" fontId="22" fillId="7" borderId="175" applyNumberFormat="0" applyFont="0" applyAlignment="0" applyProtection="0"/>
    <xf numFmtId="0" fontId="62" fillId="19" borderId="176" applyNumberFormat="0" applyAlignment="0" applyProtection="0"/>
    <xf numFmtId="0" fontId="64" fillId="0" borderId="177" applyNumberFormat="0" applyFill="0" applyAlignment="0" applyProtection="0"/>
    <xf numFmtId="0" fontId="64" fillId="0" borderId="177" applyNumberFormat="0" applyFill="0" applyAlignment="0" applyProtection="0"/>
    <xf numFmtId="0" fontId="22" fillId="7" borderId="175" applyNumberFormat="0" applyFont="0" applyAlignment="0" applyProtection="0"/>
    <xf numFmtId="0" fontId="64" fillId="0" borderId="177" applyNumberFormat="0" applyFill="0" applyAlignment="0" applyProtection="0"/>
    <xf numFmtId="0" fontId="22" fillId="7" borderId="175" applyNumberFormat="0" applyFont="0" applyAlignment="0" applyProtection="0"/>
    <xf numFmtId="0" fontId="59" fillId="10" borderId="174" applyNumberFormat="0" applyAlignment="0" applyProtection="0"/>
    <xf numFmtId="0" fontId="62" fillId="19" borderId="176" applyNumberFormat="0" applyAlignment="0" applyProtection="0"/>
    <xf numFmtId="0" fontId="64" fillId="0" borderId="177" applyNumberFormat="0" applyFill="0" applyAlignment="0" applyProtection="0"/>
    <xf numFmtId="0" fontId="62" fillId="19" borderId="176" applyNumberFormat="0" applyAlignment="0" applyProtection="0"/>
    <xf numFmtId="0" fontId="59" fillId="10" borderId="174" applyNumberFormat="0" applyAlignment="0" applyProtection="0"/>
    <xf numFmtId="0" fontId="22" fillId="7" borderId="175" applyNumberFormat="0" applyFont="0" applyAlignment="0" applyProtection="0"/>
    <xf numFmtId="0" fontId="22" fillId="7" borderId="175" applyNumberFormat="0" applyFont="0" applyAlignment="0" applyProtection="0"/>
    <xf numFmtId="0" fontId="64" fillId="0" borderId="177" applyNumberFormat="0" applyFill="0" applyAlignment="0" applyProtection="0"/>
    <xf numFmtId="0" fontId="64" fillId="0" borderId="177" applyNumberFormat="0" applyFill="0" applyAlignment="0" applyProtection="0"/>
    <xf numFmtId="0" fontId="52" fillId="19" borderId="174" applyNumberFormat="0" applyAlignment="0" applyProtection="0"/>
    <xf numFmtId="0" fontId="59" fillId="10" borderId="174" applyNumberFormat="0" applyAlignment="0" applyProtection="0"/>
    <xf numFmtId="0" fontId="52" fillId="19" borderId="174" applyNumberFormat="0" applyAlignment="0" applyProtection="0"/>
    <xf numFmtId="0" fontId="52" fillId="19" borderId="174" applyNumberFormat="0" applyAlignment="0" applyProtection="0"/>
    <xf numFmtId="0" fontId="52" fillId="19" borderId="174" applyNumberFormat="0" applyAlignment="0" applyProtection="0"/>
    <xf numFmtId="0" fontId="59" fillId="10" borderId="174" applyNumberFormat="0" applyAlignment="0" applyProtection="0"/>
    <xf numFmtId="0" fontId="22" fillId="7" borderId="175" applyNumberFormat="0" applyFont="0" applyAlignment="0" applyProtection="0"/>
    <xf numFmtId="0" fontId="62" fillId="19" borderId="176" applyNumberFormat="0" applyAlignment="0" applyProtection="0"/>
    <xf numFmtId="0" fontId="64" fillId="0" borderId="177" applyNumberFormat="0" applyFill="0" applyAlignment="0" applyProtection="0"/>
    <xf numFmtId="0" fontId="59" fillId="10" borderId="190" applyNumberFormat="0" applyAlignment="0" applyProtection="0"/>
    <xf numFmtId="0" fontId="59" fillId="10" borderId="178" applyNumberFormat="0" applyAlignment="0" applyProtection="0"/>
    <xf numFmtId="0" fontId="64" fillId="0" borderId="181" applyNumberFormat="0" applyFill="0" applyAlignment="0" applyProtection="0"/>
    <xf numFmtId="0" fontId="52" fillId="19" borderId="178" applyNumberFormat="0" applyAlignment="0" applyProtection="0"/>
    <xf numFmtId="0" fontId="52" fillId="19" borderId="182" applyNumberFormat="0" applyAlignment="0" applyProtection="0"/>
    <xf numFmtId="0" fontId="64" fillId="0" borderId="189" applyNumberFormat="0" applyFill="0" applyAlignment="0" applyProtection="0"/>
    <xf numFmtId="0" fontId="59" fillId="10" borderId="182" applyNumberFormat="0" applyAlignment="0" applyProtection="0"/>
    <xf numFmtId="0" fontId="59" fillId="10" borderId="178" applyNumberFormat="0" applyAlignment="0" applyProtection="0"/>
    <xf numFmtId="0" fontId="22" fillId="7" borderId="191" applyNumberFormat="0" applyFont="0" applyAlignment="0" applyProtection="0"/>
    <xf numFmtId="0" fontId="62" fillId="19" borderId="188" applyNumberFormat="0" applyAlignment="0" applyProtection="0"/>
    <xf numFmtId="0" fontId="64" fillId="0" borderId="185" applyNumberFormat="0" applyFill="0" applyAlignment="0" applyProtection="0"/>
    <xf numFmtId="0" fontId="62" fillId="19" borderId="188" applyNumberFormat="0" applyAlignment="0" applyProtection="0"/>
    <xf numFmtId="0" fontId="22" fillId="7" borderId="191" applyNumberFormat="0" applyFont="0" applyAlignment="0" applyProtection="0"/>
    <xf numFmtId="0" fontId="22" fillId="7" borderId="179" applyNumberFormat="0" applyFont="0" applyAlignment="0" applyProtection="0"/>
    <xf numFmtId="0" fontId="52" fillId="19" borderId="174" applyNumberFormat="0" applyAlignment="0" applyProtection="0"/>
    <xf numFmtId="0" fontId="52" fillId="19" borderId="178" applyNumberFormat="0" applyAlignment="0" applyProtection="0"/>
    <xf numFmtId="0" fontId="59" fillId="10" borderId="174" applyNumberFormat="0" applyAlignment="0" applyProtection="0"/>
    <xf numFmtId="0" fontId="22" fillId="7" borderId="175" applyNumberFormat="0" applyFont="0" applyAlignment="0" applyProtection="0"/>
    <xf numFmtId="0" fontId="62" fillId="19" borderId="176" applyNumberFormat="0" applyAlignment="0" applyProtection="0"/>
    <xf numFmtId="0" fontId="64" fillId="0" borderId="177" applyNumberFormat="0" applyFill="0" applyAlignment="0" applyProtection="0"/>
    <xf numFmtId="0" fontId="22" fillId="7" borderId="175" applyNumberFormat="0" applyFont="0" applyAlignment="0" applyProtection="0"/>
    <xf numFmtId="0" fontId="52" fillId="19" borderId="174" applyNumberFormat="0" applyAlignment="0" applyProtection="0"/>
    <xf numFmtId="0" fontId="62" fillId="19" borderId="176" applyNumberFormat="0" applyAlignment="0" applyProtection="0"/>
    <xf numFmtId="0" fontId="59" fillId="10" borderId="174" applyNumberFormat="0" applyAlignment="0" applyProtection="0"/>
    <xf numFmtId="0" fontId="52" fillId="19" borderId="174" applyNumberFormat="0" applyAlignment="0" applyProtection="0"/>
    <xf numFmtId="0" fontId="52" fillId="19" borderId="174" applyNumberFormat="0" applyAlignment="0" applyProtection="0"/>
    <xf numFmtId="0" fontId="59" fillId="10" borderId="174" applyNumberFormat="0" applyAlignment="0" applyProtection="0"/>
    <xf numFmtId="0" fontId="59" fillId="10" borderId="174" applyNumberFormat="0" applyAlignment="0" applyProtection="0"/>
    <xf numFmtId="0" fontId="52" fillId="19" borderId="174" applyNumberFormat="0" applyAlignment="0" applyProtection="0"/>
    <xf numFmtId="0" fontId="22" fillId="7" borderId="175" applyNumberFormat="0" applyFont="0" applyAlignment="0" applyProtection="0"/>
    <xf numFmtId="0" fontId="62" fillId="19" borderId="176" applyNumberFormat="0" applyAlignment="0" applyProtection="0"/>
    <xf numFmtId="0" fontId="64" fillId="0" borderId="177" applyNumberFormat="0" applyFill="0" applyAlignment="0" applyProtection="0"/>
    <xf numFmtId="0" fontId="62" fillId="19" borderId="176" applyNumberFormat="0" applyAlignment="0" applyProtection="0"/>
    <xf numFmtId="0" fontId="62" fillId="19" borderId="176" applyNumberFormat="0" applyAlignment="0" applyProtection="0"/>
    <xf numFmtId="0" fontId="59" fillId="10" borderId="174" applyNumberFormat="0" applyAlignment="0" applyProtection="0"/>
    <xf numFmtId="0" fontId="22" fillId="7" borderId="175" applyNumberFormat="0" applyFont="0" applyAlignment="0" applyProtection="0"/>
    <xf numFmtId="0" fontId="62" fillId="19" borderId="176" applyNumberFormat="0" applyAlignment="0" applyProtection="0"/>
    <xf numFmtId="0" fontId="64" fillId="0" borderId="177" applyNumberFormat="0" applyFill="0" applyAlignment="0" applyProtection="0"/>
    <xf numFmtId="0" fontId="64" fillId="0" borderId="177" applyNumberFormat="0" applyFill="0" applyAlignment="0" applyProtection="0"/>
    <xf numFmtId="0" fontId="22" fillId="7" borderId="175" applyNumberFormat="0" applyFont="0" applyAlignment="0" applyProtection="0"/>
    <xf numFmtId="0" fontId="64" fillId="0" borderId="177" applyNumberFormat="0" applyFill="0" applyAlignment="0" applyProtection="0"/>
    <xf numFmtId="0" fontId="22" fillId="7" borderId="175" applyNumberFormat="0" applyFont="0" applyAlignment="0" applyProtection="0"/>
    <xf numFmtId="0" fontId="59" fillId="10" borderId="174" applyNumberFormat="0" applyAlignment="0" applyProtection="0"/>
    <xf numFmtId="0" fontId="62" fillId="19" borderId="176" applyNumberFormat="0" applyAlignment="0" applyProtection="0"/>
    <xf numFmtId="0" fontId="64" fillId="0" borderId="177" applyNumberFormat="0" applyFill="0" applyAlignment="0" applyProtection="0"/>
    <xf numFmtId="0" fontId="62" fillId="19" borderId="176" applyNumberFormat="0" applyAlignment="0" applyProtection="0"/>
    <xf numFmtId="0" fontId="59" fillId="10" borderId="174" applyNumberFormat="0" applyAlignment="0" applyProtection="0"/>
    <xf numFmtId="0" fontId="22" fillId="7" borderId="175" applyNumberFormat="0" applyFont="0" applyAlignment="0" applyProtection="0"/>
    <xf numFmtId="0" fontId="22" fillId="7" borderId="175" applyNumberFormat="0" applyFont="0" applyAlignment="0" applyProtection="0"/>
    <xf numFmtId="0" fontId="64" fillId="0" borderId="177" applyNumberFormat="0" applyFill="0" applyAlignment="0" applyProtection="0"/>
    <xf numFmtId="0" fontId="64" fillId="0" borderId="177" applyNumberFormat="0" applyFill="0" applyAlignment="0" applyProtection="0"/>
    <xf numFmtId="0" fontId="52" fillId="19" borderId="174" applyNumberFormat="0" applyAlignment="0" applyProtection="0"/>
    <xf numFmtId="0" fontId="59" fillId="10" borderId="174" applyNumberFormat="0" applyAlignment="0" applyProtection="0"/>
    <xf numFmtId="0" fontId="52" fillId="19" borderId="174" applyNumberFormat="0" applyAlignment="0" applyProtection="0"/>
    <xf numFmtId="0" fontId="52" fillId="19" borderId="174" applyNumberFormat="0" applyAlignment="0" applyProtection="0"/>
    <xf numFmtId="0" fontId="59" fillId="10" borderId="174" applyNumberFormat="0" applyAlignment="0" applyProtection="0"/>
    <xf numFmtId="0" fontId="22" fillId="7" borderId="175" applyNumberFormat="0" applyFont="0" applyAlignment="0" applyProtection="0"/>
    <xf numFmtId="0" fontId="62" fillId="19" borderId="176" applyNumberFormat="0" applyAlignment="0" applyProtection="0"/>
    <xf numFmtId="0" fontId="64" fillId="0" borderId="177" applyNumberFormat="0" applyFill="0" applyAlignment="0" applyProtection="0"/>
    <xf numFmtId="0" fontId="62" fillId="19" borderId="180" applyNumberFormat="0" applyAlignment="0" applyProtection="0"/>
    <xf numFmtId="0" fontId="52" fillId="19" borderId="182" applyNumberFormat="0" applyAlignment="0" applyProtection="0"/>
    <xf numFmtId="0" fontId="62" fillId="19" borderId="184" applyNumberFormat="0" applyAlignment="0" applyProtection="0"/>
    <xf numFmtId="0" fontId="22" fillId="7" borderId="183" applyNumberFormat="0" applyFont="0" applyAlignment="0" applyProtection="0"/>
    <xf numFmtId="0" fontId="64" fillId="0" borderId="185" applyNumberFormat="0" applyFill="0" applyAlignment="0" applyProtection="0"/>
    <xf numFmtId="0" fontId="59" fillId="10" borderId="186" applyNumberFormat="0" applyAlignment="0" applyProtection="0"/>
    <xf numFmtId="0" fontId="64" fillId="0" borderId="185" applyNumberFormat="0" applyFill="0" applyAlignment="0" applyProtection="0"/>
    <xf numFmtId="0" fontId="59" fillId="10" borderId="182" applyNumberFormat="0" applyAlignment="0" applyProtection="0"/>
    <xf numFmtId="0" fontId="62" fillId="19" borderId="192" applyNumberFormat="0" applyAlignment="0" applyProtection="0"/>
    <xf numFmtId="0" fontId="64" fillId="0" borderId="185" applyNumberFormat="0" applyFill="0" applyAlignment="0" applyProtection="0"/>
    <xf numFmtId="0" fontId="62" fillId="19" borderId="180" applyNumberFormat="0" applyAlignment="0" applyProtection="0"/>
    <xf numFmtId="0" fontId="52" fillId="19" borderId="182" applyNumberFormat="0" applyAlignment="0" applyProtection="0"/>
    <xf numFmtId="0" fontId="22" fillId="7" borderId="191" applyNumberFormat="0" applyFont="0" applyAlignment="0" applyProtection="0"/>
    <xf numFmtId="0" fontId="22" fillId="7" borderId="187" applyNumberFormat="0" applyFont="0" applyAlignment="0" applyProtection="0"/>
    <xf numFmtId="0" fontId="52" fillId="19" borderId="174" applyNumberFormat="0" applyAlignment="0" applyProtection="0"/>
    <xf numFmtId="0" fontId="22" fillId="7" borderId="179" applyNumberFormat="0" applyFont="0" applyAlignment="0" applyProtection="0"/>
    <xf numFmtId="0" fontId="59" fillId="10" borderId="174" applyNumberFormat="0" applyAlignment="0" applyProtection="0"/>
    <xf numFmtId="0" fontId="22" fillId="7" borderId="175" applyNumberFormat="0" applyFont="0" applyAlignment="0" applyProtection="0"/>
    <xf numFmtId="0" fontId="62" fillId="19" borderId="176" applyNumberFormat="0" applyAlignment="0" applyProtection="0"/>
    <xf numFmtId="0" fontId="64" fillId="0" borderId="177" applyNumberFormat="0" applyFill="0" applyAlignment="0" applyProtection="0"/>
    <xf numFmtId="0" fontId="22" fillId="7" borderId="175" applyNumberFormat="0" applyFont="0" applyAlignment="0" applyProtection="0"/>
    <xf numFmtId="0" fontId="52" fillId="19" borderId="174" applyNumberFormat="0" applyAlignment="0" applyProtection="0"/>
    <xf numFmtId="0" fontId="62" fillId="19" borderId="176" applyNumberFormat="0" applyAlignment="0" applyProtection="0"/>
    <xf numFmtId="0" fontId="59" fillId="10" borderId="174" applyNumberFormat="0" applyAlignment="0" applyProtection="0"/>
    <xf numFmtId="0" fontId="52" fillId="19" borderId="174" applyNumberFormat="0" applyAlignment="0" applyProtection="0"/>
    <xf numFmtId="0" fontId="52" fillId="19" borderId="174" applyNumberFormat="0" applyAlignment="0" applyProtection="0"/>
    <xf numFmtId="0" fontId="59" fillId="10" borderId="174" applyNumberFormat="0" applyAlignment="0" applyProtection="0"/>
    <xf numFmtId="0" fontId="59" fillId="10" borderId="174" applyNumberFormat="0" applyAlignment="0" applyProtection="0"/>
    <xf numFmtId="0" fontId="52" fillId="19" borderId="174" applyNumberFormat="0" applyAlignment="0" applyProtection="0"/>
    <xf numFmtId="0" fontId="22" fillId="7" borderId="175" applyNumberFormat="0" applyFont="0" applyAlignment="0" applyProtection="0"/>
    <xf numFmtId="0" fontId="62" fillId="19" borderId="176" applyNumberFormat="0" applyAlignment="0" applyProtection="0"/>
    <xf numFmtId="0" fontId="64" fillId="0" borderId="177" applyNumberFormat="0" applyFill="0" applyAlignment="0" applyProtection="0"/>
    <xf numFmtId="0" fontId="62" fillId="19" borderId="176" applyNumberFormat="0" applyAlignment="0" applyProtection="0"/>
    <xf numFmtId="0" fontId="62" fillId="19" borderId="176" applyNumberFormat="0" applyAlignment="0" applyProtection="0"/>
    <xf numFmtId="0" fontId="59" fillId="10" borderId="174" applyNumberFormat="0" applyAlignment="0" applyProtection="0"/>
    <xf numFmtId="0" fontId="22" fillId="7" borderId="175" applyNumberFormat="0" applyFont="0" applyAlignment="0" applyProtection="0"/>
    <xf numFmtId="0" fontId="62" fillId="19" borderId="176" applyNumberFormat="0" applyAlignment="0" applyProtection="0"/>
    <xf numFmtId="0" fontId="64" fillId="0" borderId="177" applyNumberFormat="0" applyFill="0" applyAlignment="0" applyProtection="0"/>
    <xf numFmtId="0" fontId="64" fillId="0" borderId="177" applyNumberFormat="0" applyFill="0" applyAlignment="0" applyProtection="0"/>
    <xf numFmtId="0" fontId="22" fillId="7" borderId="175" applyNumberFormat="0" applyFont="0" applyAlignment="0" applyProtection="0"/>
    <xf numFmtId="0" fontId="64" fillId="0" borderId="177" applyNumberFormat="0" applyFill="0" applyAlignment="0" applyProtection="0"/>
    <xf numFmtId="0" fontId="22" fillId="7" borderId="175" applyNumberFormat="0" applyFont="0" applyAlignment="0" applyProtection="0"/>
    <xf numFmtId="0" fontId="59" fillId="10" borderId="174" applyNumberFormat="0" applyAlignment="0" applyProtection="0"/>
    <xf numFmtId="0" fontId="62" fillId="19" borderId="176" applyNumberFormat="0" applyAlignment="0" applyProtection="0"/>
    <xf numFmtId="0" fontId="64" fillId="0" borderId="177" applyNumberFormat="0" applyFill="0" applyAlignment="0" applyProtection="0"/>
    <xf numFmtId="0" fontId="62" fillId="19" borderId="176" applyNumberFormat="0" applyAlignment="0" applyProtection="0"/>
    <xf numFmtId="0" fontId="59" fillId="10" borderId="174" applyNumberFormat="0" applyAlignment="0" applyProtection="0"/>
    <xf numFmtId="0" fontId="22" fillId="7" borderId="175" applyNumberFormat="0" applyFont="0" applyAlignment="0" applyProtection="0"/>
    <xf numFmtId="0" fontId="22" fillId="7" borderId="175" applyNumberFormat="0" applyFont="0" applyAlignment="0" applyProtection="0"/>
    <xf numFmtId="0" fontId="64" fillId="0" borderId="177" applyNumberFormat="0" applyFill="0" applyAlignment="0" applyProtection="0"/>
    <xf numFmtId="0" fontId="64" fillId="0" borderId="177" applyNumberFormat="0" applyFill="0" applyAlignment="0" applyProtection="0"/>
    <xf numFmtId="0" fontId="52" fillId="19" borderId="174" applyNumberFormat="0" applyAlignment="0" applyProtection="0"/>
    <xf numFmtId="0" fontId="59" fillId="10" borderId="174" applyNumberFormat="0" applyAlignment="0" applyProtection="0"/>
    <xf numFmtId="0" fontId="52" fillId="19" borderId="174" applyNumberFormat="0" applyAlignment="0" applyProtection="0"/>
    <xf numFmtId="0" fontId="52" fillId="19" borderId="174" applyNumberFormat="0" applyAlignment="0" applyProtection="0"/>
    <xf numFmtId="0" fontId="59" fillId="10" borderId="178" applyNumberFormat="0" applyAlignment="0" applyProtection="0"/>
    <xf numFmtId="0" fontId="64" fillId="0" borderId="193" applyNumberFormat="0" applyFill="0" applyAlignment="0" applyProtection="0"/>
    <xf numFmtId="0" fontId="62" fillId="19" borderId="176" applyNumberFormat="0" applyAlignment="0" applyProtection="0"/>
    <xf numFmtId="0" fontId="59" fillId="10" borderId="174" applyNumberFormat="0" applyAlignment="0" applyProtection="0"/>
    <xf numFmtId="0" fontId="22" fillId="7" borderId="175" applyNumberFormat="0" applyFont="0" applyAlignment="0" applyProtection="0"/>
    <xf numFmtId="0" fontId="62" fillId="19" borderId="184" applyNumberFormat="0" applyAlignment="0" applyProtection="0"/>
    <xf numFmtId="0" fontId="52" fillId="19" borderId="178" applyNumberFormat="0" applyAlignment="0" applyProtection="0"/>
    <xf numFmtId="0" fontId="22" fillId="7" borderId="179" applyNumberFormat="0" applyFont="0" applyAlignment="0" applyProtection="0"/>
    <xf numFmtId="0" fontId="22" fillId="7" borderId="191" applyNumberFormat="0" applyFont="0" applyAlignment="0" applyProtection="0"/>
    <xf numFmtId="0" fontId="22" fillId="7" borderId="183" applyNumberFormat="0" applyFont="0" applyAlignment="0" applyProtection="0"/>
    <xf numFmtId="0" fontId="62" fillId="19" borderId="192" applyNumberFormat="0" applyAlignment="0" applyProtection="0"/>
    <xf numFmtId="0" fontId="62" fillId="19" borderId="184" applyNumberFormat="0" applyAlignment="0" applyProtection="0"/>
    <xf numFmtId="0" fontId="59" fillId="10" borderId="178" applyNumberFormat="0" applyAlignment="0" applyProtection="0"/>
    <xf numFmtId="0" fontId="62" fillId="19" borderId="184" applyNumberFormat="0" applyAlignment="0" applyProtection="0"/>
    <xf numFmtId="0" fontId="22" fillId="7" borderId="191" applyNumberFormat="0" applyFont="0" applyAlignment="0" applyProtection="0"/>
    <xf numFmtId="0" fontId="52" fillId="19" borderId="182" applyNumberFormat="0" applyAlignment="0" applyProtection="0"/>
    <xf numFmtId="0" fontId="59" fillId="10" borderId="190" applyNumberFormat="0" applyAlignment="0" applyProtection="0"/>
    <xf numFmtId="0" fontId="62" fillId="19" borderId="184" applyNumberFormat="0" applyAlignment="0" applyProtection="0"/>
    <xf numFmtId="0" fontId="52" fillId="19" borderId="182" applyNumberFormat="0" applyAlignment="0" applyProtection="0"/>
    <xf numFmtId="0" fontId="62" fillId="19" borderId="180" applyNumberFormat="0" applyAlignment="0" applyProtection="0"/>
    <xf numFmtId="0" fontId="64" fillId="0" borderId="177" applyNumberFormat="0" applyFill="0" applyAlignment="0" applyProtection="0"/>
    <xf numFmtId="0" fontId="52" fillId="19" borderId="174" applyNumberFormat="0" applyAlignment="0" applyProtection="0"/>
    <xf numFmtId="0" fontId="52" fillId="19" borderId="174" applyNumberFormat="0" applyAlignment="0" applyProtection="0"/>
    <xf numFmtId="0" fontId="59" fillId="10" borderId="174" applyNumberFormat="0" applyAlignment="0" applyProtection="0"/>
    <xf numFmtId="0" fontId="22" fillId="7" borderId="175" applyNumberFormat="0" applyFont="0" applyAlignment="0" applyProtection="0"/>
    <xf numFmtId="0" fontId="64" fillId="0" borderId="177" applyNumberFormat="0" applyFill="0" applyAlignment="0" applyProtection="0"/>
    <xf numFmtId="0" fontId="62" fillId="19" borderId="192" applyNumberFormat="0" applyAlignment="0" applyProtection="0"/>
    <xf numFmtId="0" fontId="62" fillId="19" borderId="180" applyNumberFormat="0" applyAlignment="0" applyProtection="0"/>
    <xf numFmtId="0" fontId="22" fillId="7" borderId="179" applyNumberFormat="0" applyFont="0" applyAlignment="0" applyProtection="0"/>
    <xf numFmtId="0" fontId="22" fillId="7" borderId="183" applyNumberFormat="0" applyFont="0" applyAlignment="0" applyProtection="0"/>
    <xf numFmtId="0" fontId="52" fillId="19" borderId="182" applyNumberFormat="0" applyAlignment="0" applyProtection="0"/>
    <xf numFmtId="0" fontId="22" fillId="7" borderId="191" applyNumberFormat="0" applyFont="0" applyAlignment="0" applyProtection="0"/>
    <xf numFmtId="0" fontId="22" fillId="7" borderId="179" applyNumberFormat="0" applyFont="0" applyAlignment="0" applyProtection="0"/>
    <xf numFmtId="0" fontId="62" fillId="19" borderId="184" applyNumberFormat="0" applyAlignment="0" applyProtection="0"/>
    <xf numFmtId="0" fontId="22" fillId="7" borderId="183" applyNumberFormat="0" applyFont="0" applyAlignment="0" applyProtection="0"/>
    <xf numFmtId="0" fontId="64" fillId="0" borderId="185" applyNumberFormat="0" applyFill="0" applyAlignment="0" applyProtection="0"/>
    <xf numFmtId="0" fontId="22" fillId="7" borderId="179" applyNumberFormat="0" applyFont="0" applyAlignment="0" applyProtection="0"/>
    <xf numFmtId="0" fontId="64" fillId="0" borderId="181" applyNumberFormat="0" applyFill="0" applyAlignment="0" applyProtection="0"/>
    <xf numFmtId="0" fontId="62" fillId="19" borderId="192" applyNumberFormat="0" applyAlignment="0" applyProtection="0"/>
    <xf numFmtId="0" fontId="52" fillId="19" borderId="190" applyNumberFormat="0" applyAlignment="0" applyProtection="0"/>
    <xf numFmtId="0" fontId="59" fillId="10" borderId="178" applyNumberFormat="0" applyAlignment="0" applyProtection="0"/>
    <xf numFmtId="0" fontId="22" fillId="7" borderId="183" applyNumberFormat="0" applyFont="0" applyAlignment="0" applyProtection="0"/>
    <xf numFmtId="0" fontId="59" fillId="10" borderId="190" applyNumberFormat="0" applyAlignment="0" applyProtection="0"/>
    <xf numFmtId="0" fontId="64" fillId="0" borderId="185" applyNumberFormat="0" applyFill="0" applyAlignment="0" applyProtection="0"/>
    <xf numFmtId="0" fontId="62" fillId="19" borderId="184" applyNumberFormat="0" applyAlignment="0" applyProtection="0"/>
    <xf numFmtId="0" fontId="64" fillId="0" borderId="193" applyNumberFormat="0" applyFill="0" applyAlignment="0" applyProtection="0"/>
    <xf numFmtId="0" fontId="59" fillId="10" borderId="182" applyNumberFormat="0" applyAlignment="0" applyProtection="0"/>
    <xf numFmtId="0" fontId="62" fillId="19" borderId="192" applyNumberFormat="0" applyAlignment="0" applyProtection="0"/>
    <xf numFmtId="0" fontId="64" fillId="0" borderId="181" applyNumberFormat="0" applyFill="0" applyAlignment="0" applyProtection="0"/>
    <xf numFmtId="0" fontId="22" fillId="7" borderId="183" applyNumberFormat="0" applyFont="0" applyAlignment="0" applyProtection="0"/>
    <xf numFmtId="0" fontId="64" fillId="0" borderId="185" applyNumberFormat="0" applyFill="0" applyAlignment="0" applyProtection="0"/>
    <xf numFmtId="0" fontId="62" fillId="19" borderId="184" applyNumberFormat="0" applyAlignment="0" applyProtection="0"/>
    <xf numFmtId="0" fontId="52" fillId="19" borderId="182" applyNumberFormat="0" applyAlignment="0" applyProtection="0"/>
    <xf numFmtId="0" fontId="22" fillId="7" borderId="183" applyNumberFormat="0" applyFont="0" applyAlignment="0" applyProtection="0"/>
    <xf numFmtId="0" fontId="62" fillId="19" borderId="192" applyNumberFormat="0" applyAlignment="0" applyProtection="0"/>
    <xf numFmtId="0" fontId="64" fillId="0" borderId="189" applyNumberFormat="0" applyFill="0" applyAlignment="0" applyProtection="0"/>
    <xf numFmtId="0" fontId="62" fillId="19" borderId="184" applyNumberFormat="0" applyAlignment="0" applyProtection="0"/>
    <xf numFmtId="0" fontId="22" fillId="7" borderId="187" applyNumberFormat="0" applyFont="0" applyAlignment="0" applyProtection="0"/>
    <xf numFmtId="0" fontId="52" fillId="19" borderId="182" applyNumberFormat="0" applyAlignment="0" applyProtection="0"/>
    <xf numFmtId="0" fontId="52" fillId="19" borderId="182" applyNumberFormat="0" applyAlignment="0" applyProtection="0"/>
    <xf numFmtId="0" fontId="59" fillId="10" borderId="186" applyNumberFormat="0" applyAlignment="0" applyProtection="0"/>
    <xf numFmtId="0" fontId="64" fillId="0" borderId="193" applyNumberFormat="0" applyFill="0" applyAlignment="0" applyProtection="0"/>
    <xf numFmtId="0" fontId="59" fillId="10" borderId="190" applyNumberFormat="0" applyAlignment="0" applyProtection="0"/>
    <xf numFmtId="0" fontId="52" fillId="19" borderId="182" applyNumberFormat="0" applyAlignment="0" applyProtection="0"/>
    <xf numFmtId="0" fontId="22" fillId="7" borderId="179" applyNumberFormat="0" applyFont="0" applyAlignment="0" applyProtection="0"/>
    <xf numFmtId="0" fontId="22" fillId="7" borderId="191" applyNumberFormat="0" applyFont="0" applyAlignment="0" applyProtection="0"/>
    <xf numFmtId="0" fontId="59" fillId="10" borderId="190" applyNumberFormat="0" applyAlignment="0" applyProtection="0"/>
    <xf numFmtId="0" fontId="59" fillId="10" borderId="186" applyNumberFormat="0" applyAlignment="0" applyProtection="0"/>
    <xf numFmtId="0" fontId="22" fillId="7" borderId="179" applyNumberFormat="0" applyFont="0" applyAlignment="0" applyProtection="0"/>
    <xf numFmtId="0" fontId="59" fillId="10" borderId="186" applyNumberFormat="0" applyAlignment="0" applyProtection="0"/>
    <xf numFmtId="0" fontId="22" fillId="7" borderId="183" applyNumberFormat="0" applyFont="0" applyAlignment="0" applyProtection="0"/>
    <xf numFmtId="0" fontId="64" fillId="0" borderId="185" applyNumberFormat="0" applyFill="0" applyAlignment="0" applyProtection="0"/>
    <xf numFmtId="0" fontId="64" fillId="0" borderId="193" applyNumberFormat="0" applyFill="0" applyAlignment="0" applyProtection="0"/>
    <xf numFmtId="0" fontId="64" fillId="0" borderId="193" applyNumberFormat="0" applyFill="0" applyAlignment="0" applyProtection="0"/>
    <xf numFmtId="0" fontId="64" fillId="0" borderId="181" applyNumberFormat="0" applyFill="0" applyAlignment="0" applyProtection="0"/>
    <xf numFmtId="0" fontId="59" fillId="10" borderId="178" applyNumberFormat="0" applyAlignment="0" applyProtection="0"/>
    <xf numFmtId="0" fontId="22" fillId="7" borderId="179" applyNumberFormat="0" applyFont="0" applyAlignment="0" applyProtection="0"/>
    <xf numFmtId="0" fontId="64" fillId="0" borderId="185" applyNumberFormat="0" applyFill="0" applyAlignment="0" applyProtection="0"/>
    <xf numFmtId="0" fontId="59" fillId="10" borderId="178" applyNumberFormat="0" applyAlignment="0" applyProtection="0"/>
    <xf numFmtId="0" fontId="62" fillId="19" borderId="184" applyNumberFormat="0" applyAlignment="0" applyProtection="0"/>
    <xf numFmtId="0" fontId="62" fillId="19" borderId="180" applyNumberFormat="0" applyAlignment="0" applyProtection="0"/>
    <xf numFmtId="0" fontId="22" fillId="7" borderId="191" applyNumberFormat="0" applyFont="0" applyAlignment="0" applyProtection="0"/>
    <xf numFmtId="0" fontId="59" fillId="10" borderId="182" applyNumberFormat="0" applyAlignment="0" applyProtection="0"/>
    <xf numFmtId="0" fontId="22" fillId="7" borderId="191" applyNumberFormat="0" applyFont="0" applyAlignment="0" applyProtection="0"/>
    <xf numFmtId="0" fontId="62" fillId="19" borderId="192" applyNumberFormat="0" applyAlignment="0" applyProtection="0"/>
    <xf numFmtId="0" fontId="52" fillId="19" borderId="190" applyNumberFormat="0" applyAlignment="0" applyProtection="0"/>
    <xf numFmtId="0" fontId="52" fillId="19" borderId="178" applyNumberFormat="0" applyAlignment="0" applyProtection="0"/>
    <xf numFmtId="0" fontId="64" fillId="0" borderId="181"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4" fillId="0" borderId="181" applyNumberFormat="0" applyFill="0" applyAlignment="0" applyProtection="0"/>
    <xf numFmtId="0" fontId="52" fillId="19" borderId="178" applyNumberFormat="0" applyAlignment="0" applyProtection="0"/>
    <xf numFmtId="0" fontId="62" fillId="19" borderId="184" applyNumberFormat="0" applyAlignment="0" applyProtection="0"/>
    <xf numFmtId="0" fontId="64" fillId="0" borderId="185" applyNumberFormat="0" applyFill="0" applyAlignment="0" applyProtection="0"/>
    <xf numFmtId="0" fontId="64" fillId="0" borderId="189"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52" fillId="19" borderId="186" applyNumberFormat="0" applyAlignment="0" applyProtection="0"/>
    <xf numFmtId="0" fontId="52" fillId="19"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52" fillId="19" borderId="190" applyNumberFormat="0" applyAlignment="0" applyProtection="0"/>
    <xf numFmtId="0" fontId="64" fillId="0" borderId="181" applyNumberFormat="0" applyFill="0" applyAlignment="0" applyProtection="0"/>
    <xf numFmtId="0" fontId="52" fillId="19" borderId="178" applyNumberFormat="0" applyAlignment="0" applyProtection="0"/>
    <xf numFmtId="0" fontId="62" fillId="19" borderId="180" applyNumberFormat="0" applyAlignment="0" applyProtection="0"/>
    <xf numFmtId="0" fontId="64" fillId="0" borderId="185" applyNumberFormat="0" applyFill="0" applyAlignment="0" applyProtection="0"/>
    <xf numFmtId="0" fontId="64" fillId="0" borderId="181" applyNumberFormat="0" applyFill="0" applyAlignment="0" applyProtection="0"/>
    <xf numFmtId="0" fontId="62" fillId="19" borderId="184" applyNumberFormat="0" applyAlignment="0" applyProtection="0"/>
    <xf numFmtId="0" fontId="22" fillId="7" borderId="179" applyNumberFormat="0" applyFont="0" applyAlignment="0" applyProtection="0"/>
    <xf numFmtId="0" fontId="64" fillId="0" borderId="193" applyNumberFormat="0" applyFill="0" applyAlignment="0" applyProtection="0"/>
    <xf numFmtId="0" fontId="52" fillId="19" borderId="182" applyNumberFormat="0" applyAlignment="0" applyProtection="0"/>
    <xf numFmtId="0" fontId="59" fillId="10" borderId="178" applyNumberFormat="0" applyAlignment="0" applyProtection="0"/>
    <xf numFmtId="0" fontId="59" fillId="10" borderId="178" applyNumberFormat="0" applyAlignment="0" applyProtection="0"/>
    <xf numFmtId="0" fontId="62" fillId="19" borderId="180" applyNumberFormat="0" applyAlignment="0" applyProtection="0"/>
    <xf numFmtId="0" fontId="59" fillId="10" borderId="178" applyNumberFormat="0" applyAlignment="0" applyProtection="0"/>
    <xf numFmtId="0" fontId="22" fillId="7" borderId="183" applyNumberFormat="0" applyFont="0" applyAlignment="0" applyProtection="0"/>
    <xf numFmtId="0" fontId="22" fillId="7" borderId="191" applyNumberFormat="0" applyFont="0" applyAlignment="0" applyProtection="0"/>
    <xf numFmtId="0" fontId="22" fillId="7" borderId="183" applyNumberFormat="0" applyFont="0" applyAlignment="0" applyProtection="0"/>
    <xf numFmtId="0" fontId="62" fillId="19" borderId="180" applyNumberFormat="0" applyAlignment="0" applyProtection="0"/>
    <xf numFmtId="0" fontId="59" fillId="10" borderId="186" applyNumberFormat="0" applyAlignment="0" applyProtection="0"/>
    <xf numFmtId="0" fontId="52" fillId="19" borderId="190"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22" fillId="7" borderId="191" applyNumberFormat="0" applyFont="0" applyAlignment="0" applyProtection="0"/>
    <xf numFmtId="0" fontId="62" fillId="19" borderId="192" applyNumberFormat="0" applyAlignment="0" applyProtection="0"/>
    <xf numFmtId="0" fontId="22" fillId="7" borderId="183" applyNumberFormat="0" applyFont="0" applyAlignment="0" applyProtection="0"/>
    <xf numFmtId="0" fontId="52" fillId="19" borderId="190" applyNumberFormat="0" applyAlignment="0" applyProtection="0"/>
    <xf numFmtId="0" fontId="62" fillId="19" borderId="180" applyNumberFormat="0" applyAlignment="0" applyProtection="0"/>
    <xf numFmtId="0" fontId="62" fillId="19" borderId="180" applyNumberFormat="0" applyAlignment="0" applyProtection="0"/>
    <xf numFmtId="0" fontId="64" fillId="0" borderId="181" applyNumberFormat="0" applyFill="0" applyAlignment="0" applyProtection="0"/>
    <xf numFmtId="0" fontId="62" fillId="19" borderId="184" applyNumberFormat="0" applyAlignment="0" applyProtection="0"/>
    <xf numFmtId="0" fontId="52" fillId="19" borderId="190" applyNumberFormat="0" applyAlignment="0" applyProtection="0"/>
    <xf numFmtId="0" fontId="64" fillId="0" borderId="181" applyNumberFormat="0" applyFill="0" applyAlignment="0" applyProtection="0"/>
    <xf numFmtId="0" fontId="22" fillId="7" borderId="183" applyNumberFormat="0" applyFont="0" applyAlignment="0" applyProtection="0"/>
    <xf numFmtId="0" fontId="59" fillId="10" borderId="190" applyNumberFormat="0" applyAlignment="0" applyProtection="0"/>
    <xf numFmtId="0" fontId="62" fillId="19" borderId="180" applyNumberFormat="0" applyAlignment="0" applyProtection="0"/>
    <xf numFmtId="0" fontId="62" fillId="19" borderId="180" applyNumberFormat="0" applyAlignment="0" applyProtection="0"/>
    <xf numFmtId="0" fontId="59" fillId="10" borderId="182" applyNumberFormat="0" applyAlignment="0" applyProtection="0"/>
    <xf numFmtId="0" fontId="62" fillId="19" borderId="180" applyNumberFormat="0" applyAlignment="0" applyProtection="0"/>
    <xf numFmtId="0" fontId="64" fillId="0" borderId="181" applyNumberFormat="0" applyFill="0" applyAlignment="0" applyProtection="0"/>
    <xf numFmtId="0" fontId="52" fillId="19" borderId="178" applyNumberFormat="0" applyAlignment="0" applyProtection="0"/>
    <xf numFmtId="0" fontId="62" fillId="19" borderId="184" applyNumberFormat="0" applyAlignment="0" applyProtection="0"/>
    <xf numFmtId="0" fontId="59" fillId="10" borderId="178" applyNumberFormat="0" applyAlignment="0" applyProtection="0"/>
    <xf numFmtId="0" fontId="62" fillId="19" borderId="184" applyNumberFormat="0" applyAlignment="0" applyProtection="0"/>
    <xf numFmtId="0" fontId="62" fillId="19" borderId="184" applyNumberFormat="0" applyAlignment="0" applyProtection="0"/>
    <xf numFmtId="0" fontId="59" fillId="10" borderId="178" applyNumberFormat="0" applyAlignment="0" applyProtection="0"/>
    <xf numFmtId="0" fontId="52" fillId="19" borderId="178" applyNumberFormat="0" applyAlignment="0" applyProtection="0"/>
    <xf numFmtId="0" fontId="22" fillId="7" borderId="191" applyNumberFormat="0" applyFont="0" applyAlignment="0" applyProtection="0"/>
    <xf numFmtId="0" fontId="59" fillId="10" borderId="190" applyNumberFormat="0" applyAlignment="0" applyProtection="0"/>
    <xf numFmtId="0" fontId="59" fillId="10" borderId="186" applyNumberFormat="0" applyAlignment="0" applyProtection="0"/>
    <xf numFmtId="0" fontId="62" fillId="19" borderId="180" applyNumberFormat="0" applyAlignment="0" applyProtection="0"/>
    <xf numFmtId="0" fontId="62" fillId="19" borderId="184" applyNumberFormat="0" applyAlignment="0" applyProtection="0"/>
    <xf numFmtId="0" fontId="59" fillId="10" borderId="178" applyNumberFormat="0" applyAlignment="0" applyProtection="0"/>
    <xf numFmtId="0" fontId="52" fillId="19" borderId="178" applyNumberFormat="0" applyAlignment="0" applyProtection="0"/>
    <xf numFmtId="0" fontId="22" fillId="7" borderId="179" applyNumberFormat="0" applyFont="0" applyAlignment="0" applyProtection="0"/>
    <xf numFmtId="0" fontId="59" fillId="10" borderId="182" applyNumberFormat="0" applyAlignment="0" applyProtection="0"/>
    <xf numFmtId="0" fontId="62" fillId="19" borderId="192" applyNumberFormat="0" applyAlignment="0" applyProtection="0"/>
    <xf numFmtId="0" fontId="62" fillId="19" borderId="180" applyNumberFormat="0" applyAlignment="0" applyProtection="0"/>
    <xf numFmtId="0" fontId="22" fillId="7" borderId="183" applyNumberFormat="0" applyFont="0" applyAlignment="0" applyProtection="0"/>
    <xf numFmtId="0" fontId="59" fillId="10" borderId="178" applyNumberFormat="0" applyAlignment="0" applyProtection="0"/>
    <xf numFmtId="0" fontId="59" fillId="10" borderId="178" applyNumberFormat="0" applyAlignment="0" applyProtection="0"/>
    <xf numFmtId="0" fontId="62" fillId="19" borderId="188" applyNumberFormat="0" applyAlignment="0" applyProtection="0"/>
    <xf numFmtId="0" fontId="64" fillId="0" borderId="181" applyNumberFormat="0" applyFill="0" applyAlignment="0" applyProtection="0"/>
    <xf numFmtId="0" fontId="62" fillId="19" borderId="192" applyNumberFormat="0" applyAlignment="0" applyProtection="0"/>
    <xf numFmtId="0" fontId="62" fillId="19" borderId="180" applyNumberFormat="0" applyAlignment="0" applyProtection="0"/>
    <xf numFmtId="0" fontId="59" fillId="10" borderId="182" applyNumberFormat="0" applyAlignment="0" applyProtection="0"/>
    <xf numFmtId="0" fontId="52" fillId="19" borderId="186" applyNumberFormat="0" applyAlignment="0" applyProtection="0"/>
    <xf numFmtId="0" fontId="22" fillId="7" borderId="179" applyNumberFormat="0" applyFont="0" applyAlignment="0" applyProtection="0"/>
    <xf numFmtId="0" fontId="59" fillId="10" borderId="182" applyNumberFormat="0" applyAlignment="0" applyProtection="0"/>
    <xf numFmtId="0" fontId="62" fillId="19" borderId="192" applyNumberFormat="0" applyAlignment="0" applyProtection="0"/>
    <xf numFmtId="0" fontId="62" fillId="19" borderId="184" applyNumberFormat="0" applyAlignment="0" applyProtection="0"/>
    <xf numFmtId="0" fontId="52" fillId="19" borderId="178" applyNumberFormat="0" applyAlignment="0" applyProtection="0"/>
    <xf numFmtId="0" fontId="52" fillId="19" borderId="182" applyNumberFormat="0" applyAlignment="0" applyProtection="0"/>
    <xf numFmtId="0" fontId="52" fillId="19" borderId="178" applyNumberFormat="0" applyAlignment="0" applyProtection="0"/>
    <xf numFmtId="0" fontId="64" fillId="0" borderId="185" applyNumberFormat="0" applyFill="0" applyAlignment="0" applyProtection="0"/>
    <xf numFmtId="0" fontId="64" fillId="0" borderId="189" applyNumberFormat="0" applyFill="0" applyAlignment="0" applyProtection="0"/>
    <xf numFmtId="0" fontId="52" fillId="19" borderId="178" applyNumberFormat="0" applyAlignment="0" applyProtection="0"/>
    <xf numFmtId="0" fontId="64" fillId="0" borderId="189" applyNumberFormat="0" applyFill="0" applyAlignment="0" applyProtection="0"/>
    <xf numFmtId="0" fontId="22" fillId="7" borderId="183" applyNumberFormat="0" applyFont="0" applyAlignment="0" applyProtection="0"/>
    <xf numFmtId="0" fontId="52" fillId="19" borderId="190" applyNumberFormat="0" applyAlignment="0" applyProtection="0"/>
    <xf numFmtId="0" fontId="62" fillId="19" borderId="184" applyNumberFormat="0" applyAlignment="0" applyProtection="0"/>
    <xf numFmtId="0" fontId="62" fillId="19" borderId="184" applyNumberFormat="0" applyAlignment="0" applyProtection="0"/>
    <xf numFmtId="0" fontId="22" fillId="7" borderId="183" applyNumberFormat="0" applyFont="0" applyAlignment="0" applyProtection="0"/>
    <xf numFmtId="0" fontId="62" fillId="19" borderId="180" applyNumberFormat="0" applyAlignment="0" applyProtection="0"/>
    <xf numFmtId="0" fontId="59" fillId="10" borderId="190" applyNumberFormat="0" applyAlignment="0" applyProtection="0"/>
    <xf numFmtId="0" fontId="52" fillId="19" borderId="178" applyNumberFormat="0" applyAlignment="0" applyProtection="0"/>
    <xf numFmtId="0" fontId="59" fillId="10" borderId="178" applyNumberFormat="0" applyAlignment="0" applyProtection="0"/>
    <xf numFmtId="0" fontId="22" fillId="7" borderId="183" applyNumberFormat="0" applyFont="0" applyAlignment="0" applyProtection="0"/>
    <xf numFmtId="0" fontId="62" fillId="19" borderId="180" applyNumberFormat="0" applyAlignment="0" applyProtection="0"/>
    <xf numFmtId="0" fontId="22" fillId="7" borderId="183" applyNumberFormat="0" applyFont="0" applyAlignment="0" applyProtection="0"/>
    <xf numFmtId="0" fontId="52" fillId="19" borderId="190" applyNumberFormat="0" applyAlignment="0" applyProtection="0"/>
    <xf numFmtId="0" fontId="59" fillId="10" borderId="186" applyNumberFormat="0" applyAlignment="0" applyProtection="0"/>
    <xf numFmtId="0" fontId="62" fillId="19" borderId="184" applyNumberFormat="0" applyAlignment="0" applyProtection="0"/>
    <xf numFmtId="0" fontId="64" fillId="0" borderId="193" applyNumberFormat="0" applyFill="0" applyAlignment="0" applyProtection="0"/>
    <xf numFmtId="0" fontId="52" fillId="19" borderId="182" applyNumberFormat="0" applyAlignment="0" applyProtection="0"/>
    <xf numFmtId="0" fontId="52" fillId="19" borderId="178" applyNumberFormat="0" applyAlignment="0" applyProtection="0"/>
    <xf numFmtId="0" fontId="59" fillId="10" borderId="178" applyNumberFormat="0" applyAlignment="0" applyProtection="0"/>
    <xf numFmtId="0" fontId="52" fillId="19" borderId="178" applyNumberFormat="0" applyAlignment="0" applyProtection="0"/>
    <xf numFmtId="0" fontId="62" fillId="19" borderId="180" applyNumberFormat="0" applyAlignment="0" applyProtection="0"/>
    <xf numFmtId="0" fontId="64" fillId="0" borderId="181" applyNumberFormat="0" applyFill="0" applyAlignment="0" applyProtection="0"/>
    <xf numFmtId="0" fontId="59" fillId="10" borderId="178" applyNumberFormat="0" applyAlignment="0" applyProtection="0"/>
    <xf numFmtId="0" fontId="64" fillId="0" borderId="185" applyNumberFormat="0" applyFill="0" applyAlignment="0" applyProtection="0"/>
    <xf numFmtId="0" fontId="64" fillId="0" borderId="181" applyNumberFormat="0" applyFill="0" applyAlignment="0" applyProtection="0"/>
    <xf numFmtId="0" fontId="22" fillId="7" borderId="191" applyNumberFormat="0" applyFont="0" applyAlignment="0" applyProtection="0"/>
    <xf numFmtId="0" fontId="22" fillId="7" borderId="191" applyNumberFormat="0" applyFont="0" applyAlignment="0" applyProtection="0"/>
    <xf numFmtId="0" fontId="62" fillId="19" borderId="192" applyNumberFormat="0" applyAlignment="0" applyProtection="0"/>
    <xf numFmtId="0" fontId="62" fillId="19" borderId="180" applyNumberFormat="0" applyAlignment="0" applyProtection="0"/>
    <xf numFmtId="0" fontId="22" fillId="7" borderId="179" applyNumberFormat="0" applyFont="0" applyAlignment="0" applyProtection="0"/>
    <xf numFmtId="0" fontId="62" fillId="19" borderId="184" applyNumberFormat="0" applyAlignment="0" applyProtection="0"/>
    <xf numFmtId="0" fontId="62" fillId="19" borderId="180" applyNumberFormat="0" applyAlignment="0" applyProtection="0"/>
    <xf numFmtId="0" fontId="22" fillId="7" borderId="191" applyNumberFormat="0" applyFont="0" applyAlignment="0" applyProtection="0"/>
    <xf numFmtId="0" fontId="22" fillId="7" borderId="183" applyNumberFormat="0" applyFont="0" applyAlignment="0" applyProtection="0"/>
    <xf numFmtId="0" fontId="62" fillId="19" borderId="192" applyNumberFormat="0" applyAlignment="0" applyProtection="0"/>
    <xf numFmtId="0" fontId="62" fillId="19" borderId="184" applyNumberFormat="0" applyAlignment="0" applyProtection="0"/>
    <xf numFmtId="0" fontId="59" fillId="10" borderId="178" applyNumberFormat="0" applyAlignment="0" applyProtection="0"/>
    <xf numFmtId="0" fontId="59" fillId="10" borderId="178" applyNumberFormat="0" applyAlignment="0" applyProtection="0"/>
    <xf numFmtId="0" fontId="64" fillId="0" borderId="181" applyNumberFormat="0" applyFill="0" applyAlignment="0" applyProtection="0"/>
    <xf numFmtId="0" fontId="59" fillId="10" borderId="190" applyNumberFormat="0" applyAlignment="0" applyProtection="0"/>
    <xf numFmtId="0" fontId="52" fillId="19" borderId="190" applyNumberFormat="0" applyAlignment="0" applyProtection="0"/>
    <xf numFmtId="0" fontId="59" fillId="10" borderId="190" applyNumberFormat="0" applyAlignment="0" applyProtection="0"/>
    <xf numFmtId="0" fontId="52" fillId="19" borderId="178" applyNumberFormat="0" applyAlignment="0" applyProtection="0"/>
    <xf numFmtId="0" fontId="59" fillId="10" borderId="178" applyNumberFormat="0" applyAlignment="0" applyProtection="0"/>
    <xf numFmtId="0" fontId="22" fillId="7" borderId="183" applyNumberFormat="0" applyFont="0" applyAlignment="0" applyProtection="0"/>
    <xf numFmtId="0" fontId="64" fillId="0" borderId="193" applyNumberFormat="0" applyFill="0" applyAlignment="0" applyProtection="0"/>
    <xf numFmtId="0" fontId="62" fillId="19" borderId="188" applyNumberFormat="0" applyAlignment="0" applyProtection="0"/>
    <xf numFmtId="0" fontId="62" fillId="19" borderId="184" applyNumberFormat="0" applyAlignment="0" applyProtection="0"/>
    <xf numFmtId="0" fontId="52" fillId="19" borderId="182" applyNumberFormat="0" applyAlignment="0" applyProtection="0"/>
    <xf numFmtId="0" fontId="52" fillId="19" borderId="190" applyNumberFormat="0" applyAlignment="0" applyProtection="0"/>
    <xf numFmtId="0" fontId="52" fillId="19" borderId="178" applyNumberFormat="0" applyAlignment="0" applyProtection="0"/>
    <xf numFmtId="0" fontId="59" fillId="10" borderId="182" applyNumberFormat="0" applyAlignment="0" applyProtection="0"/>
    <xf numFmtId="0" fontId="22" fillId="7" borderId="183" applyNumberFormat="0" applyFont="0" applyAlignment="0" applyProtection="0"/>
    <xf numFmtId="0" fontId="52" fillId="19" borderId="186" applyNumberFormat="0" applyAlignment="0" applyProtection="0"/>
    <xf numFmtId="0" fontId="59" fillId="10" borderId="186" applyNumberFormat="0" applyAlignment="0" applyProtection="0"/>
    <xf numFmtId="0" fontId="22" fillId="7" borderId="187" applyNumberFormat="0" applyFont="0" applyAlignment="0" applyProtection="0"/>
    <xf numFmtId="0" fontId="62" fillId="19" borderId="188" applyNumberFormat="0" applyAlignment="0" applyProtection="0"/>
    <xf numFmtId="0" fontId="64" fillId="0" borderId="189" applyNumberFormat="0" applyFill="0" applyAlignment="0" applyProtection="0"/>
    <xf numFmtId="0" fontId="22" fillId="7" borderId="187" applyNumberFormat="0" applyFont="0" applyAlignment="0" applyProtection="0"/>
    <xf numFmtId="0" fontId="52" fillId="19" borderId="186" applyNumberFormat="0" applyAlignment="0" applyProtection="0"/>
    <xf numFmtId="0" fontId="62" fillId="19" borderId="188" applyNumberFormat="0" applyAlignment="0" applyProtection="0"/>
    <xf numFmtId="0" fontId="59" fillId="10" borderId="186" applyNumberFormat="0" applyAlignment="0" applyProtection="0"/>
    <xf numFmtId="0" fontId="52" fillId="19" borderId="186" applyNumberFormat="0" applyAlignment="0" applyProtection="0"/>
    <xf numFmtId="0" fontId="52" fillId="19" borderId="186" applyNumberFormat="0" applyAlignment="0" applyProtection="0"/>
    <xf numFmtId="0" fontId="59" fillId="10" borderId="186" applyNumberFormat="0" applyAlignment="0" applyProtection="0"/>
    <xf numFmtId="0" fontId="59" fillId="10" borderId="186" applyNumberFormat="0" applyAlignment="0" applyProtection="0"/>
    <xf numFmtId="0" fontId="52" fillId="19" borderId="186" applyNumberFormat="0" applyAlignment="0" applyProtection="0"/>
    <xf numFmtId="0" fontId="22" fillId="7" borderId="187" applyNumberFormat="0" applyFont="0" applyAlignment="0" applyProtection="0"/>
    <xf numFmtId="0" fontId="62" fillId="19" borderId="188" applyNumberFormat="0" applyAlignment="0" applyProtection="0"/>
    <xf numFmtId="0" fontId="64" fillId="0" borderId="189" applyNumberFormat="0" applyFill="0" applyAlignment="0" applyProtection="0"/>
    <xf numFmtId="0" fontId="62" fillId="19" borderId="188" applyNumberFormat="0" applyAlignment="0" applyProtection="0"/>
    <xf numFmtId="0" fontId="62" fillId="19" borderId="188" applyNumberFormat="0" applyAlignment="0" applyProtection="0"/>
    <xf numFmtId="0" fontId="59" fillId="10" borderId="186" applyNumberFormat="0" applyAlignment="0" applyProtection="0"/>
    <xf numFmtId="0" fontId="22" fillId="7" borderId="187" applyNumberFormat="0" applyFont="0" applyAlignment="0" applyProtection="0"/>
    <xf numFmtId="0" fontId="62" fillId="19" borderId="188" applyNumberFormat="0" applyAlignment="0" applyProtection="0"/>
    <xf numFmtId="0" fontId="64" fillId="0" borderId="189" applyNumberFormat="0" applyFill="0" applyAlignment="0" applyProtection="0"/>
    <xf numFmtId="0" fontId="64" fillId="0" borderId="189" applyNumberFormat="0" applyFill="0" applyAlignment="0" applyProtection="0"/>
    <xf numFmtId="0" fontId="22" fillId="7" borderId="187" applyNumberFormat="0" applyFont="0" applyAlignment="0" applyProtection="0"/>
    <xf numFmtId="0" fontId="64" fillId="0" borderId="189" applyNumberFormat="0" applyFill="0" applyAlignment="0" applyProtection="0"/>
    <xf numFmtId="0" fontId="22" fillId="7" borderId="187" applyNumberFormat="0" applyFont="0" applyAlignment="0" applyProtection="0"/>
    <xf numFmtId="0" fontId="59" fillId="10" borderId="186" applyNumberFormat="0" applyAlignment="0" applyProtection="0"/>
    <xf numFmtId="0" fontId="62" fillId="19" borderId="188" applyNumberFormat="0" applyAlignment="0" applyProtection="0"/>
    <xf numFmtId="0" fontId="64" fillId="0" borderId="189" applyNumberFormat="0" applyFill="0" applyAlignment="0" applyProtection="0"/>
    <xf numFmtId="0" fontId="62" fillId="19" borderId="188" applyNumberFormat="0" applyAlignment="0" applyProtection="0"/>
    <xf numFmtId="0" fontId="59" fillId="10" borderId="186" applyNumberFormat="0" applyAlignment="0" applyProtection="0"/>
    <xf numFmtId="0" fontId="22" fillId="7" borderId="187" applyNumberFormat="0" applyFont="0" applyAlignment="0" applyProtection="0"/>
    <xf numFmtId="0" fontId="22" fillId="7" borderId="187" applyNumberFormat="0" applyFont="0" applyAlignment="0" applyProtection="0"/>
    <xf numFmtId="0" fontId="64" fillId="0" borderId="189" applyNumberFormat="0" applyFill="0" applyAlignment="0" applyProtection="0"/>
    <xf numFmtId="0" fontId="64" fillId="0" borderId="189" applyNumberFormat="0" applyFill="0" applyAlignment="0" applyProtection="0"/>
    <xf numFmtId="0" fontId="52" fillId="19" borderId="186" applyNumberFormat="0" applyAlignment="0" applyProtection="0"/>
    <xf numFmtId="0" fontId="59" fillId="10" borderId="186" applyNumberFormat="0" applyAlignment="0" applyProtection="0"/>
    <xf numFmtId="0" fontId="52" fillId="19" borderId="186" applyNumberFormat="0" applyAlignment="0" applyProtection="0"/>
    <xf numFmtId="0" fontId="52" fillId="19" borderId="186" applyNumberFormat="0" applyAlignment="0" applyProtection="0"/>
    <xf numFmtId="0" fontId="52" fillId="19" borderId="186" applyNumberFormat="0" applyAlignment="0" applyProtection="0"/>
    <xf numFmtId="0" fontId="52" fillId="19" borderId="186" applyNumberFormat="0" applyAlignment="0" applyProtection="0"/>
    <xf numFmtId="0" fontId="59" fillId="10" borderId="186" applyNumberFormat="0" applyAlignment="0" applyProtection="0"/>
    <xf numFmtId="0" fontId="22" fillId="7" borderId="187" applyNumberFormat="0" applyFont="0" applyAlignment="0" applyProtection="0"/>
    <xf numFmtId="0" fontId="62" fillId="19" borderId="188" applyNumberFormat="0" applyAlignment="0" applyProtection="0"/>
    <xf numFmtId="0" fontId="64" fillId="0" borderId="189" applyNumberFormat="0" applyFill="0" applyAlignment="0" applyProtection="0"/>
    <xf numFmtId="0" fontId="59" fillId="10" borderId="190" applyNumberFormat="0" applyAlignment="0" applyProtection="0"/>
    <xf numFmtId="0" fontId="64" fillId="0" borderId="193" applyNumberFormat="0" applyFill="0" applyAlignment="0" applyProtection="0"/>
    <xf numFmtId="0" fontId="52" fillId="19" borderId="186" applyNumberFormat="0" applyAlignment="0" applyProtection="0"/>
    <xf numFmtId="0" fontId="59" fillId="10" borderId="186" applyNumberFormat="0" applyAlignment="0" applyProtection="0"/>
    <xf numFmtId="0" fontId="22" fillId="7" borderId="187" applyNumberFormat="0" applyFont="0" applyAlignment="0" applyProtection="0"/>
    <xf numFmtId="0" fontId="62" fillId="19" borderId="188" applyNumberFormat="0" applyAlignment="0" applyProtection="0"/>
    <xf numFmtId="0" fontId="64" fillId="0" borderId="189" applyNumberFormat="0" applyFill="0" applyAlignment="0" applyProtection="0"/>
    <xf numFmtId="0" fontId="22" fillId="7" borderId="187" applyNumberFormat="0" applyFont="0" applyAlignment="0" applyProtection="0"/>
    <xf numFmtId="0" fontId="52" fillId="19" borderId="186" applyNumberFormat="0" applyAlignment="0" applyProtection="0"/>
    <xf numFmtId="0" fontId="62" fillId="19" borderId="188" applyNumberFormat="0" applyAlignment="0" applyProtection="0"/>
    <xf numFmtId="0" fontId="59" fillId="10" borderId="186" applyNumberFormat="0" applyAlignment="0" applyProtection="0"/>
    <xf numFmtId="0" fontId="52" fillId="19" borderId="186" applyNumberFormat="0" applyAlignment="0" applyProtection="0"/>
    <xf numFmtId="0" fontId="52" fillId="19" borderId="186" applyNumberFormat="0" applyAlignment="0" applyProtection="0"/>
    <xf numFmtId="0" fontId="59" fillId="10" borderId="186" applyNumberFormat="0" applyAlignment="0" applyProtection="0"/>
    <xf numFmtId="0" fontId="59" fillId="10" borderId="186" applyNumberFormat="0" applyAlignment="0" applyProtection="0"/>
    <xf numFmtId="0" fontId="52" fillId="19" borderId="186" applyNumberFormat="0" applyAlignment="0" applyProtection="0"/>
    <xf numFmtId="0" fontId="22" fillId="7" borderId="187" applyNumberFormat="0" applyFont="0" applyAlignment="0" applyProtection="0"/>
    <xf numFmtId="0" fontId="62" fillId="19" borderId="188" applyNumberFormat="0" applyAlignment="0" applyProtection="0"/>
    <xf numFmtId="0" fontId="64" fillId="0" borderId="189" applyNumberFormat="0" applyFill="0" applyAlignment="0" applyProtection="0"/>
    <xf numFmtId="0" fontId="62" fillId="19" borderId="188" applyNumberFormat="0" applyAlignment="0" applyProtection="0"/>
    <xf numFmtId="0" fontId="62" fillId="19" borderId="188" applyNumberFormat="0" applyAlignment="0" applyProtection="0"/>
    <xf numFmtId="0" fontId="59" fillId="10" borderId="186" applyNumberFormat="0" applyAlignment="0" applyProtection="0"/>
    <xf numFmtId="0" fontId="22" fillId="7" borderId="187" applyNumberFormat="0" applyFont="0" applyAlignment="0" applyProtection="0"/>
    <xf numFmtId="0" fontId="62" fillId="19" borderId="188" applyNumberFormat="0" applyAlignment="0" applyProtection="0"/>
    <xf numFmtId="0" fontId="64" fillId="0" borderId="189" applyNumberFormat="0" applyFill="0" applyAlignment="0" applyProtection="0"/>
    <xf numFmtId="0" fontId="64" fillId="0" borderId="189" applyNumberFormat="0" applyFill="0" applyAlignment="0" applyProtection="0"/>
    <xf numFmtId="0" fontId="22" fillId="7" borderId="187" applyNumberFormat="0" applyFont="0" applyAlignment="0" applyProtection="0"/>
    <xf numFmtId="0" fontId="64" fillId="0" borderId="189" applyNumberFormat="0" applyFill="0" applyAlignment="0" applyProtection="0"/>
    <xf numFmtId="0" fontId="22" fillId="7" borderId="187" applyNumberFormat="0" applyFont="0" applyAlignment="0" applyProtection="0"/>
    <xf numFmtId="0" fontId="59" fillId="10" borderId="186" applyNumberFormat="0" applyAlignment="0" applyProtection="0"/>
    <xf numFmtId="0" fontId="62" fillId="19" borderId="188" applyNumberFormat="0" applyAlignment="0" applyProtection="0"/>
    <xf numFmtId="0" fontId="64" fillId="0" borderId="189" applyNumberFormat="0" applyFill="0" applyAlignment="0" applyProtection="0"/>
    <xf numFmtId="0" fontId="62" fillId="19" borderId="188" applyNumberFormat="0" applyAlignment="0" applyProtection="0"/>
    <xf numFmtId="0" fontId="59" fillId="10" borderId="186" applyNumberFormat="0" applyAlignment="0" applyProtection="0"/>
    <xf numFmtId="0" fontId="22" fillId="7" borderId="187" applyNumberFormat="0" applyFont="0" applyAlignment="0" applyProtection="0"/>
    <xf numFmtId="0" fontId="22" fillId="7" borderId="187" applyNumberFormat="0" applyFont="0" applyAlignment="0" applyProtection="0"/>
    <xf numFmtId="0" fontId="64" fillId="0" borderId="189" applyNumberFormat="0" applyFill="0" applyAlignment="0" applyProtection="0"/>
    <xf numFmtId="0" fontId="64" fillId="0" borderId="189" applyNumberFormat="0" applyFill="0" applyAlignment="0" applyProtection="0"/>
    <xf numFmtId="0" fontId="52" fillId="19" borderId="186" applyNumberFormat="0" applyAlignment="0" applyProtection="0"/>
    <xf numFmtId="0" fontId="59" fillId="10" borderId="186" applyNumberFormat="0" applyAlignment="0" applyProtection="0"/>
    <xf numFmtId="0" fontId="52" fillId="19" borderId="186" applyNumberFormat="0" applyAlignment="0" applyProtection="0"/>
    <xf numFmtId="0" fontId="52" fillId="19" borderId="186" applyNumberFormat="0" applyAlignment="0" applyProtection="0"/>
    <xf numFmtId="0" fontId="52" fillId="19" borderId="186" applyNumberFormat="0" applyAlignment="0" applyProtection="0"/>
    <xf numFmtId="0" fontId="59" fillId="10" borderId="186" applyNumberFormat="0" applyAlignment="0" applyProtection="0"/>
    <xf numFmtId="0" fontId="22" fillId="7" borderId="187" applyNumberFormat="0" applyFont="0" applyAlignment="0" applyProtection="0"/>
    <xf numFmtId="0" fontId="62" fillId="19" borderId="188" applyNumberFormat="0" applyAlignment="0" applyProtection="0"/>
    <xf numFmtId="0" fontId="64" fillId="0" borderId="189" applyNumberFormat="0" applyFill="0" applyAlignment="0" applyProtection="0"/>
    <xf numFmtId="0" fontId="22" fillId="7" borderId="191" applyNumberFormat="0" applyFont="0" applyAlignment="0" applyProtection="0"/>
    <xf numFmtId="0" fontId="52" fillId="19" borderId="186" applyNumberFormat="0" applyAlignment="0" applyProtection="0"/>
    <xf numFmtId="0" fontId="59" fillId="10" borderId="186" applyNumberFormat="0" applyAlignment="0" applyProtection="0"/>
    <xf numFmtId="0" fontId="22" fillId="7" borderId="187" applyNumberFormat="0" applyFont="0" applyAlignment="0" applyProtection="0"/>
    <xf numFmtId="0" fontId="62" fillId="19" borderId="188" applyNumberFormat="0" applyAlignment="0" applyProtection="0"/>
    <xf numFmtId="0" fontId="64" fillId="0" borderId="189" applyNumberFormat="0" applyFill="0" applyAlignment="0" applyProtection="0"/>
    <xf numFmtId="0" fontId="22" fillId="7" borderId="187" applyNumberFormat="0" applyFont="0" applyAlignment="0" applyProtection="0"/>
    <xf numFmtId="0" fontId="52" fillId="19" borderId="186" applyNumberFormat="0" applyAlignment="0" applyProtection="0"/>
    <xf numFmtId="0" fontId="62" fillId="19" borderId="188" applyNumberFormat="0" applyAlignment="0" applyProtection="0"/>
    <xf numFmtId="0" fontId="59" fillId="10" borderId="186" applyNumberFormat="0" applyAlignment="0" applyProtection="0"/>
    <xf numFmtId="0" fontId="52" fillId="19" borderId="186" applyNumberFormat="0" applyAlignment="0" applyProtection="0"/>
    <xf numFmtId="0" fontId="52" fillId="19" borderId="186" applyNumberFormat="0" applyAlignment="0" applyProtection="0"/>
    <xf numFmtId="0" fontId="59" fillId="10" borderId="186" applyNumberFormat="0" applyAlignment="0" applyProtection="0"/>
    <xf numFmtId="0" fontId="59" fillId="10" borderId="186" applyNumberFormat="0" applyAlignment="0" applyProtection="0"/>
    <xf numFmtId="0" fontId="52" fillId="19" borderId="186" applyNumberFormat="0" applyAlignment="0" applyProtection="0"/>
    <xf numFmtId="0" fontId="22" fillId="7" borderId="187" applyNumberFormat="0" applyFont="0" applyAlignment="0" applyProtection="0"/>
    <xf numFmtId="0" fontId="62" fillId="19" borderId="188" applyNumberFormat="0" applyAlignment="0" applyProtection="0"/>
    <xf numFmtId="0" fontId="64" fillId="0" borderId="189" applyNumberFormat="0" applyFill="0" applyAlignment="0" applyProtection="0"/>
    <xf numFmtId="0" fontId="62" fillId="19" borderId="188" applyNumberFormat="0" applyAlignment="0" applyProtection="0"/>
    <xf numFmtId="0" fontId="62" fillId="19" borderId="188" applyNumberFormat="0" applyAlignment="0" applyProtection="0"/>
    <xf numFmtId="0" fontId="59" fillId="10" borderId="186" applyNumberFormat="0" applyAlignment="0" applyProtection="0"/>
    <xf numFmtId="0" fontId="22" fillId="7" borderId="187" applyNumberFormat="0" applyFont="0" applyAlignment="0" applyProtection="0"/>
    <xf numFmtId="0" fontId="62" fillId="19" borderId="188" applyNumberFormat="0" applyAlignment="0" applyProtection="0"/>
    <xf numFmtId="0" fontId="64" fillId="0" borderId="189" applyNumberFormat="0" applyFill="0" applyAlignment="0" applyProtection="0"/>
    <xf numFmtId="0" fontId="64" fillId="0" borderId="189" applyNumberFormat="0" applyFill="0" applyAlignment="0" applyProtection="0"/>
    <xf numFmtId="0" fontId="22" fillId="7" borderId="187" applyNumberFormat="0" applyFont="0" applyAlignment="0" applyProtection="0"/>
    <xf numFmtId="0" fontId="64" fillId="0" borderId="189" applyNumberFormat="0" applyFill="0" applyAlignment="0" applyProtection="0"/>
    <xf numFmtId="0" fontId="22" fillId="7" borderId="187" applyNumberFormat="0" applyFont="0" applyAlignment="0" applyProtection="0"/>
    <xf numFmtId="0" fontId="59" fillId="10" borderId="186" applyNumberFormat="0" applyAlignment="0" applyProtection="0"/>
    <xf numFmtId="0" fontId="62" fillId="19" borderId="188" applyNumberFormat="0" applyAlignment="0" applyProtection="0"/>
    <xf numFmtId="0" fontId="64" fillId="0" borderId="189" applyNumberFormat="0" applyFill="0" applyAlignment="0" applyProtection="0"/>
    <xf numFmtId="0" fontId="62" fillId="19" borderId="188" applyNumberFormat="0" applyAlignment="0" applyProtection="0"/>
    <xf numFmtId="0" fontId="59" fillId="10" borderId="186" applyNumberFormat="0" applyAlignment="0" applyProtection="0"/>
    <xf numFmtId="0" fontId="22" fillId="7" borderId="187" applyNumberFormat="0" applyFont="0" applyAlignment="0" applyProtection="0"/>
    <xf numFmtId="0" fontId="22" fillId="7" borderId="187" applyNumberFormat="0" applyFont="0" applyAlignment="0" applyProtection="0"/>
    <xf numFmtId="0" fontId="64" fillId="0" borderId="189" applyNumberFormat="0" applyFill="0" applyAlignment="0" applyProtection="0"/>
    <xf numFmtId="0" fontId="64" fillId="0" borderId="189" applyNumberFormat="0" applyFill="0" applyAlignment="0" applyProtection="0"/>
    <xf numFmtId="0" fontId="52" fillId="19" borderId="186" applyNumberFormat="0" applyAlignment="0" applyProtection="0"/>
    <xf numFmtId="0" fontId="59" fillId="10" borderId="186" applyNumberFormat="0" applyAlignment="0" applyProtection="0"/>
    <xf numFmtId="0" fontId="52" fillId="19" borderId="186" applyNumberFormat="0" applyAlignment="0" applyProtection="0"/>
    <xf numFmtId="0" fontId="52" fillId="19" borderId="186" applyNumberFormat="0" applyAlignment="0" applyProtection="0"/>
    <xf numFmtId="0" fontId="52" fillId="19" borderId="186" applyNumberFormat="0" applyAlignment="0" applyProtection="0"/>
    <xf numFmtId="0" fontId="59" fillId="10" borderId="186" applyNumberFormat="0" applyAlignment="0" applyProtection="0"/>
    <xf numFmtId="0" fontId="22" fillId="7" borderId="187" applyNumberFormat="0" applyFont="0" applyAlignment="0" applyProtection="0"/>
    <xf numFmtId="0" fontId="62" fillId="19" borderId="188" applyNumberFormat="0" applyAlignment="0" applyProtection="0"/>
    <xf numFmtId="0" fontId="64" fillId="0" borderId="189" applyNumberFormat="0" applyFill="0" applyAlignment="0" applyProtection="0"/>
    <xf numFmtId="0" fontId="52" fillId="19" borderId="190" applyNumberFormat="0" applyAlignment="0" applyProtection="0"/>
    <xf numFmtId="0" fontId="52" fillId="19" borderId="186" applyNumberFormat="0" applyAlignment="0" applyProtection="0"/>
    <xf numFmtId="0" fontId="59" fillId="10" borderId="186" applyNumberFormat="0" applyAlignment="0" applyProtection="0"/>
    <xf numFmtId="0" fontId="22" fillId="7" borderId="187" applyNumberFormat="0" applyFont="0" applyAlignment="0" applyProtection="0"/>
    <xf numFmtId="0" fontId="62" fillId="19" borderId="188" applyNumberFormat="0" applyAlignment="0" applyProtection="0"/>
    <xf numFmtId="0" fontId="64" fillId="0" borderId="189" applyNumberFormat="0" applyFill="0" applyAlignment="0" applyProtection="0"/>
    <xf numFmtId="0" fontId="22" fillId="7" borderId="187" applyNumberFormat="0" applyFont="0" applyAlignment="0" applyProtection="0"/>
    <xf numFmtId="0" fontId="52" fillId="19" borderId="186" applyNumberFormat="0" applyAlignment="0" applyProtection="0"/>
    <xf numFmtId="0" fontId="62" fillId="19" borderId="188" applyNumberFormat="0" applyAlignment="0" applyProtection="0"/>
    <xf numFmtId="0" fontId="59" fillId="10" borderId="186" applyNumberFormat="0" applyAlignment="0" applyProtection="0"/>
    <xf numFmtId="0" fontId="52" fillId="19" borderId="186" applyNumberFormat="0" applyAlignment="0" applyProtection="0"/>
    <xf numFmtId="0" fontId="52" fillId="19" borderId="186" applyNumberFormat="0" applyAlignment="0" applyProtection="0"/>
    <xf numFmtId="0" fontId="59" fillId="10" borderId="186" applyNumberFormat="0" applyAlignment="0" applyProtection="0"/>
    <xf numFmtId="0" fontId="59" fillId="10" borderId="186" applyNumberFormat="0" applyAlignment="0" applyProtection="0"/>
    <xf numFmtId="0" fontId="52" fillId="19" borderId="186" applyNumberFormat="0" applyAlignment="0" applyProtection="0"/>
    <xf numFmtId="0" fontId="22" fillId="7" borderId="187" applyNumberFormat="0" applyFont="0" applyAlignment="0" applyProtection="0"/>
    <xf numFmtId="0" fontId="62" fillId="19" borderId="188" applyNumberFormat="0" applyAlignment="0" applyProtection="0"/>
    <xf numFmtId="0" fontId="64" fillId="0" borderId="189" applyNumberFormat="0" applyFill="0" applyAlignment="0" applyProtection="0"/>
    <xf numFmtId="0" fontId="62" fillId="19" borderId="188" applyNumberFormat="0" applyAlignment="0" applyProtection="0"/>
    <xf numFmtId="0" fontId="62" fillId="19" borderId="188" applyNumberFormat="0" applyAlignment="0" applyProtection="0"/>
    <xf numFmtId="0" fontId="59" fillId="10" borderId="186" applyNumberFormat="0" applyAlignment="0" applyProtection="0"/>
    <xf numFmtId="0" fontId="22" fillId="7" borderId="187" applyNumberFormat="0" applyFont="0" applyAlignment="0" applyProtection="0"/>
    <xf numFmtId="0" fontId="62" fillId="19" borderId="188" applyNumberFormat="0" applyAlignment="0" applyProtection="0"/>
    <xf numFmtId="0" fontId="64" fillId="0" borderId="189" applyNumberFormat="0" applyFill="0" applyAlignment="0" applyProtection="0"/>
    <xf numFmtId="0" fontId="64" fillId="0" borderId="189" applyNumberFormat="0" applyFill="0" applyAlignment="0" applyProtection="0"/>
    <xf numFmtId="0" fontId="22" fillId="7" borderId="187" applyNumberFormat="0" applyFont="0" applyAlignment="0" applyProtection="0"/>
    <xf numFmtId="0" fontId="64" fillId="0" borderId="189" applyNumberFormat="0" applyFill="0" applyAlignment="0" applyProtection="0"/>
    <xf numFmtId="0" fontId="22" fillId="7" borderId="187" applyNumberFormat="0" applyFont="0" applyAlignment="0" applyProtection="0"/>
    <xf numFmtId="0" fontId="59" fillId="10" borderId="186" applyNumberFormat="0" applyAlignment="0" applyProtection="0"/>
    <xf numFmtId="0" fontId="62" fillId="19" borderId="188" applyNumberFormat="0" applyAlignment="0" applyProtection="0"/>
    <xf numFmtId="0" fontId="64" fillId="0" borderId="189" applyNumberFormat="0" applyFill="0" applyAlignment="0" applyProtection="0"/>
    <xf numFmtId="0" fontId="62" fillId="19" borderId="188" applyNumberFormat="0" applyAlignment="0" applyProtection="0"/>
    <xf numFmtId="0" fontId="59" fillId="10" borderId="186" applyNumberFormat="0" applyAlignment="0" applyProtection="0"/>
    <xf numFmtId="0" fontId="22" fillId="7" borderId="187" applyNumberFormat="0" applyFont="0" applyAlignment="0" applyProtection="0"/>
    <xf numFmtId="0" fontId="22" fillId="7" borderId="187" applyNumberFormat="0" applyFont="0" applyAlignment="0" applyProtection="0"/>
    <xf numFmtId="0" fontId="64" fillId="0" borderId="189" applyNumberFormat="0" applyFill="0" applyAlignment="0" applyProtection="0"/>
    <xf numFmtId="0" fontId="64" fillId="0" borderId="189" applyNumberFormat="0" applyFill="0" applyAlignment="0" applyProtection="0"/>
    <xf numFmtId="0" fontId="52" fillId="19" borderId="186" applyNumberFormat="0" applyAlignment="0" applyProtection="0"/>
    <xf numFmtId="0" fontId="59" fillId="10" borderId="186" applyNumberFormat="0" applyAlignment="0" applyProtection="0"/>
    <xf numFmtId="0" fontId="52" fillId="19" borderId="186" applyNumberFormat="0" applyAlignment="0" applyProtection="0"/>
    <xf numFmtId="0" fontId="52" fillId="19" borderId="186" applyNumberFormat="0" applyAlignment="0" applyProtection="0"/>
    <xf numFmtId="0" fontId="59" fillId="10" borderId="186" applyNumberFormat="0" applyAlignment="0" applyProtection="0"/>
    <xf numFmtId="0" fontId="22" fillId="7" borderId="187" applyNumberFormat="0" applyFont="0" applyAlignment="0" applyProtection="0"/>
    <xf numFmtId="0" fontId="62" fillId="19" borderId="188" applyNumberFormat="0" applyAlignment="0" applyProtection="0"/>
    <xf numFmtId="0" fontId="64" fillId="0" borderId="189" applyNumberFormat="0" applyFill="0" applyAlignment="0" applyProtection="0"/>
    <xf numFmtId="0" fontId="52" fillId="19" borderId="186" applyNumberFormat="0" applyAlignment="0" applyProtection="0"/>
    <xf numFmtId="0" fontId="59" fillId="10" borderId="186" applyNumberFormat="0" applyAlignment="0" applyProtection="0"/>
    <xf numFmtId="0" fontId="22" fillId="7" borderId="187" applyNumberFormat="0" applyFont="0" applyAlignment="0" applyProtection="0"/>
    <xf numFmtId="0" fontId="62" fillId="19" borderId="188" applyNumberFormat="0" applyAlignment="0" applyProtection="0"/>
    <xf numFmtId="0" fontId="64" fillId="0" borderId="189" applyNumberFormat="0" applyFill="0" applyAlignment="0" applyProtection="0"/>
    <xf numFmtId="0" fontId="22" fillId="7" borderId="187" applyNumberFormat="0" applyFont="0" applyAlignment="0" applyProtection="0"/>
    <xf numFmtId="0" fontId="52" fillId="19" borderId="186" applyNumberFormat="0" applyAlignment="0" applyProtection="0"/>
    <xf numFmtId="0" fontId="62" fillId="19" borderId="188" applyNumberFormat="0" applyAlignment="0" applyProtection="0"/>
    <xf numFmtId="0" fontId="59" fillId="10" borderId="186" applyNumberFormat="0" applyAlignment="0" applyProtection="0"/>
    <xf numFmtId="0" fontId="52" fillId="19" borderId="186" applyNumberFormat="0" applyAlignment="0" applyProtection="0"/>
    <xf numFmtId="0" fontId="52" fillId="19" borderId="186" applyNumberFormat="0" applyAlignment="0" applyProtection="0"/>
    <xf numFmtId="0" fontId="59" fillId="10" borderId="186" applyNumberFormat="0" applyAlignment="0" applyProtection="0"/>
    <xf numFmtId="0" fontId="59" fillId="10" borderId="186" applyNumberFormat="0" applyAlignment="0" applyProtection="0"/>
    <xf numFmtId="0" fontId="52" fillId="19" borderId="186" applyNumberFormat="0" applyAlignment="0" applyProtection="0"/>
    <xf numFmtId="0" fontId="22" fillId="7" borderId="187" applyNumberFormat="0" applyFont="0" applyAlignment="0" applyProtection="0"/>
    <xf numFmtId="0" fontId="62" fillId="19" borderId="188" applyNumberFormat="0" applyAlignment="0" applyProtection="0"/>
    <xf numFmtId="0" fontId="64" fillId="0" borderId="189" applyNumberFormat="0" applyFill="0" applyAlignment="0" applyProtection="0"/>
    <xf numFmtId="0" fontId="62" fillId="19" borderId="188" applyNumberFormat="0" applyAlignment="0" applyProtection="0"/>
    <xf numFmtId="0" fontId="62" fillId="19" borderId="188" applyNumberFormat="0" applyAlignment="0" applyProtection="0"/>
    <xf numFmtId="0" fontId="59" fillId="10" borderId="186" applyNumberFormat="0" applyAlignment="0" applyProtection="0"/>
    <xf numFmtId="0" fontId="22" fillId="7" borderId="187" applyNumberFormat="0" applyFont="0" applyAlignment="0" applyProtection="0"/>
    <xf numFmtId="0" fontId="62" fillId="19" borderId="188" applyNumberFormat="0" applyAlignment="0" applyProtection="0"/>
    <xf numFmtId="0" fontId="64" fillId="0" borderId="189" applyNumberFormat="0" applyFill="0" applyAlignment="0" applyProtection="0"/>
    <xf numFmtId="0" fontId="64" fillId="0" borderId="189" applyNumberFormat="0" applyFill="0" applyAlignment="0" applyProtection="0"/>
    <xf numFmtId="0" fontId="22" fillId="7" borderId="187" applyNumberFormat="0" applyFont="0" applyAlignment="0" applyProtection="0"/>
    <xf numFmtId="0" fontId="64" fillId="0" borderId="189" applyNumberFormat="0" applyFill="0" applyAlignment="0" applyProtection="0"/>
    <xf numFmtId="0" fontId="22" fillId="7" borderId="187" applyNumberFormat="0" applyFont="0" applyAlignment="0" applyProtection="0"/>
    <xf numFmtId="0" fontId="59" fillId="10" borderId="186" applyNumberFormat="0" applyAlignment="0" applyProtection="0"/>
    <xf numFmtId="0" fontId="62" fillId="19" borderId="188" applyNumberFormat="0" applyAlignment="0" applyProtection="0"/>
    <xf numFmtId="0" fontId="64" fillId="0" borderId="189" applyNumberFormat="0" applyFill="0" applyAlignment="0" applyProtection="0"/>
    <xf numFmtId="0" fontId="62" fillId="19" borderId="188" applyNumberFormat="0" applyAlignment="0" applyProtection="0"/>
    <xf numFmtId="0" fontId="59" fillId="10" borderId="186" applyNumberFormat="0" applyAlignment="0" applyProtection="0"/>
    <xf numFmtId="0" fontId="22" fillId="7" borderId="187" applyNumberFormat="0" applyFont="0" applyAlignment="0" applyProtection="0"/>
    <xf numFmtId="0" fontId="22" fillId="7" borderId="187" applyNumberFormat="0" applyFont="0" applyAlignment="0" applyProtection="0"/>
    <xf numFmtId="0" fontId="64" fillId="0" borderId="189" applyNumberFormat="0" applyFill="0" applyAlignment="0" applyProtection="0"/>
    <xf numFmtId="0" fontId="64" fillId="0" borderId="189" applyNumberFormat="0" applyFill="0" applyAlignment="0" applyProtection="0"/>
    <xf numFmtId="0" fontId="52" fillId="19" borderId="186" applyNumberFormat="0" applyAlignment="0" applyProtection="0"/>
    <xf numFmtId="0" fontId="59" fillId="10" borderId="186" applyNumberFormat="0" applyAlignment="0" applyProtection="0"/>
    <xf numFmtId="0" fontId="52" fillId="19" borderId="186" applyNumberFormat="0" applyAlignment="0" applyProtection="0"/>
    <xf numFmtId="0" fontId="52" fillId="19" borderId="186" applyNumberFormat="0" applyAlignment="0" applyProtection="0"/>
    <xf numFmtId="0" fontId="22" fillId="7" borderId="191" applyNumberFormat="0" applyFont="0" applyAlignment="0" applyProtection="0"/>
    <xf numFmtId="0" fontId="59" fillId="10"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62" fillId="19" borderId="188" applyNumberFormat="0" applyAlignment="0" applyProtection="0"/>
    <xf numFmtId="0" fontId="59" fillId="10" borderId="186" applyNumberFormat="0" applyAlignment="0" applyProtection="0"/>
    <xf numFmtId="0" fontId="22" fillId="7" borderId="187" applyNumberFormat="0" applyFont="0" applyAlignment="0" applyProtection="0"/>
    <xf numFmtId="0" fontId="64" fillId="0" borderId="189" applyNumberFormat="0" applyFill="0" applyAlignment="0" applyProtection="0"/>
    <xf numFmtId="0" fontId="52" fillId="19" borderId="186" applyNumberFormat="0" applyAlignment="0" applyProtection="0"/>
    <xf numFmtId="0" fontId="52" fillId="19" borderId="186" applyNumberFormat="0" applyAlignment="0" applyProtection="0"/>
    <xf numFmtId="0" fontId="59" fillId="10" borderId="186" applyNumberFormat="0" applyAlignment="0" applyProtection="0"/>
    <xf numFmtId="0" fontId="22" fillId="7" borderId="187" applyNumberFormat="0" applyFont="0" applyAlignment="0" applyProtection="0"/>
    <xf numFmtId="0" fontId="64" fillId="0" borderId="189" applyNumberFormat="0" applyFill="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4" fillId="0" borderId="0"/>
    <xf numFmtId="44" fontId="4" fillId="0" borderId="0" applyFont="0" applyFill="0" applyBorder="0" applyAlignment="0" applyProtection="0"/>
    <xf numFmtId="0" fontId="125" fillId="0" borderId="0" applyNumberFormat="0" applyFill="0" applyBorder="0" applyAlignment="0" applyProtection="0"/>
    <xf numFmtId="0" fontId="123" fillId="0" borderId="0"/>
    <xf numFmtId="0" fontId="64" fillId="0" borderId="206" applyNumberFormat="0" applyFill="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1"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64" fillId="0" borderId="202" applyNumberFormat="0" applyFill="0" applyAlignment="0" applyProtection="0"/>
    <xf numFmtId="0" fontId="64" fillId="0" borderId="206"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199" applyNumberFormat="0" applyAlignment="0" applyProtection="0"/>
    <xf numFmtId="0" fontId="3" fillId="0" borderId="0"/>
    <xf numFmtId="0" fontId="59" fillId="10" borderId="199" applyNumberFormat="0" applyAlignment="0" applyProtection="0"/>
    <xf numFmtId="0" fontId="62" fillId="19" borderId="201" applyNumberFormat="0" applyAlignment="0" applyProtection="0"/>
    <xf numFmtId="0" fontId="62" fillId="19" borderId="205" applyNumberFormat="0" applyAlignment="0" applyProtection="0"/>
    <xf numFmtId="0" fontId="52" fillId="19" borderId="203"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0" applyNumberFormat="0" applyFont="0" applyAlignment="0" applyProtection="0"/>
    <xf numFmtId="0" fontId="64" fillId="0" borderId="210" applyNumberFormat="0" applyFill="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64" fillId="0" borderId="210" applyNumberFormat="0" applyFill="0" applyAlignment="0" applyProtection="0"/>
    <xf numFmtId="0" fontId="62" fillId="19" borderId="205" applyNumberFormat="0" applyAlignment="0" applyProtection="0"/>
    <xf numFmtId="0" fontId="62" fillId="19" borderId="209" applyNumberFormat="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9" applyNumberFormat="0" applyAlignment="0" applyProtection="0"/>
    <xf numFmtId="0" fontId="64" fillId="0" borderId="206" applyNumberFormat="0" applyFill="0" applyAlignment="0" applyProtection="0"/>
    <xf numFmtId="0" fontId="59" fillId="10" borderId="203" applyNumberFormat="0" applyAlignment="0" applyProtection="0"/>
    <xf numFmtId="0" fontId="62" fillId="19" borderId="205" applyNumberFormat="0" applyAlignment="0" applyProtection="0"/>
    <xf numFmtId="0" fontId="64" fillId="0" borderId="206" applyNumberFormat="0" applyFill="0" applyAlignment="0" applyProtection="0"/>
    <xf numFmtId="0" fontId="52" fillId="19" borderId="207"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62" fillId="19" borderId="201" applyNumberFormat="0" applyAlignment="0" applyProtection="0"/>
    <xf numFmtId="0" fontId="22" fillId="7" borderId="200" applyNumberFormat="0" applyFont="0" applyAlignment="0" applyProtection="0"/>
    <xf numFmtId="0" fontId="64" fillId="0" borderId="206"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52" fillId="19" borderId="207" applyNumberFormat="0" applyAlignment="0" applyProtection="0"/>
    <xf numFmtId="0" fontId="3" fillId="0" borderId="0"/>
    <xf numFmtId="0" fontId="3" fillId="0" borderId="0"/>
    <xf numFmtId="44" fontId="3" fillId="0" borderId="0" applyFont="0" applyFill="0" applyBorder="0" applyAlignment="0" applyProtection="0"/>
    <xf numFmtId="0" fontId="64" fillId="0" borderId="202" applyNumberFormat="0" applyFill="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62" fillId="19" borderId="205" applyNumberFormat="0" applyAlignment="0" applyProtection="0"/>
    <xf numFmtId="44" fontId="3" fillId="0" borderId="0" applyFont="0" applyFill="0" applyBorder="0" applyAlignment="0" applyProtection="0"/>
    <xf numFmtId="0" fontId="64" fillId="0" borderId="206" applyNumberFormat="0" applyFill="0" applyAlignment="0" applyProtection="0"/>
    <xf numFmtId="0" fontId="62" fillId="19" borderId="205" applyNumberFormat="0" applyAlignment="0" applyProtection="0"/>
    <xf numFmtId="0" fontId="52" fillId="19" borderId="207" applyNumberFormat="0" applyAlignment="0" applyProtection="0"/>
    <xf numFmtId="0" fontId="62" fillId="19" borderId="201" applyNumberFormat="0" applyAlignment="0" applyProtection="0"/>
    <xf numFmtId="0" fontId="3" fillId="0" borderId="0"/>
    <xf numFmtId="0" fontId="52" fillId="19" borderId="199" applyNumberFormat="0" applyAlignment="0" applyProtection="0"/>
    <xf numFmtId="0" fontId="62" fillId="19" borderId="201" applyNumberFormat="0" applyAlignment="0" applyProtection="0"/>
    <xf numFmtId="0" fontId="62" fillId="19" borderId="205" applyNumberFormat="0" applyAlignment="0" applyProtection="0"/>
    <xf numFmtId="0" fontId="62" fillId="19" borderId="209" applyNumberFormat="0" applyAlignment="0" applyProtection="0"/>
    <xf numFmtId="0" fontId="64" fillId="0" borderId="202" applyNumberFormat="0" applyFill="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64" fillId="0" borderId="206" applyNumberFormat="0" applyFill="0" applyAlignment="0" applyProtection="0"/>
    <xf numFmtId="0" fontId="64" fillId="0" borderId="202" applyNumberFormat="0" applyFill="0" applyAlignment="0" applyProtection="0"/>
    <xf numFmtId="0" fontId="62" fillId="19" borderId="205" applyNumberFormat="0" applyAlignment="0" applyProtection="0"/>
    <xf numFmtId="0" fontId="62" fillId="19" borderId="205" applyNumberFormat="0" applyAlignment="0" applyProtection="0"/>
    <xf numFmtId="0" fontId="3" fillId="0" borderId="0"/>
    <xf numFmtId="0" fontId="64" fillId="0" borderId="202" applyNumberFormat="0" applyFill="0" applyAlignment="0" applyProtection="0"/>
    <xf numFmtId="0" fontId="64" fillId="0" borderId="202"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52" fillId="19" borderId="199" applyNumberFormat="0" applyAlignment="0" applyProtection="0"/>
    <xf numFmtId="0" fontId="64" fillId="0" borderId="202" applyNumberFormat="0" applyFill="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64" fillId="0" borderId="206" applyNumberFormat="0" applyFill="0" applyAlignment="0" applyProtection="0"/>
    <xf numFmtId="0" fontId="62" fillId="19" borderId="201" applyNumberFormat="0" applyAlignment="0" applyProtection="0"/>
    <xf numFmtId="0" fontId="64" fillId="0" borderId="202" applyNumberFormat="0" applyFill="0" applyAlignment="0" applyProtection="0"/>
    <xf numFmtId="0" fontId="3" fillId="0" borderId="0"/>
    <xf numFmtId="0" fontId="64" fillId="0" borderId="202" applyNumberFormat="0" applyFill="0" applyAlignment="0" applyProtection="0"/>
    <xf numFmtId="0" fontId="62" fillId="19" borderId="201"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1" applyNumberFormat="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22" fillId="7" borderId="208" applyNumberFormat="0" applyFont="0" applyAlignment="0" applyProtection="0"/>
    <xf numFmtId="0" fontId="59" fillId="10" borderId="199" applyNumberFormat="0" applyAlignment="0" applyProtection="0"/>
    <xf numFmtId="0" fontId="62" fillId="19" borderId="201" applyNumberFormat="0" applyAlignment="0" applyProtection="0"/>
    <xf numFmtId="0" fontId="22" fillId="7" borderId="208" applyNumberFormat="0" applyFont="0" applyAlignment="0" applyProtection="0"/>
    <xf numFmtId="0" fontId="3" fillId="0" borderId="0"/>
    <xf numFmtId="0" fontId="22" fillId="7" borderId="200" applyNumberFormat="0" applyFont="0" applyAlignment="0" applyProtection="0"/>
    <xf numFmtId="0" fontId="22" fillId="7" borderId="200" applyNumberFormat="0" applyFont="0" applyAlignment="0" applyProtection="0"/>
    <xf numFmtId="0" fontId="62" fillId="19" borderId="205" applyNumberFormat="0" applyAlignment="0" applyProtection="0"/>
    <xf numFmtId="0" fontId="62" fillId="19" borderId="205" applyNumberFormat="0" applyAlignment="0" applyProtection="0"/>
    <xf numFmtId="0" fontId="52" fillId="19" borderId="199" applyNumberFormat="0" applyAlignment="0" applyProtection="0"/>
    <xf numFmtId="0" fontId="22" fillId="7" borderId="200" applyNumberFormat="0" applyFont="0" applyAlignment="0" applyProtection="0"/>
    <xf numFmtId="0" fontId="64" fillId="0" borderId="206" applyNumberFormat="0" applyFill="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22" fillId="7" borderId="208" applyNumberFormat="0" applyFont="0" applyAlignment="0" applyProtection="0"/>
    <xf numFmtId="0" fontId="22" fillId="7" borderId="200" applyNumberFormat="0" applyFont="0" applyAlignment="0" applyProtection="0"/>
    <xf numFmtId="0" fontId="22" fillId="7" borderId="200" applyNumberFormat="0" applyFont="0" applyAlignment="0" applyProtection="0"/>
    <xf numFmtId="0" fontId="3" fillId="0" borderId="0"/>
    <xf numFmtId="0" fontId="22" fillId="7" borderId="200" applyNumberFormat="0" applyFont="0" applyAlignment="0" applyProtection="0"/>
    <xf numFmtId="0" fontId="52" fillId="19" borderId="199" applyNumberFormat="0" applyAlignment="0" applyProtection="0"/>
    <xf numFmtId="0" fontId="52" fillId="19" borderId="203"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62" fillId="19" borderId="209" applyNumberFormat="0" applyAlignment="0" applyProtection="0"/>
    <xf numFmtId="0" fontId="52" fillId="19" borderId="199" applyNumberFormat="0" applyAlignment="0" applyProtection="0"/>
    <xf numFmtId="0" fontId="59" fillId="10" borderId="199" applyNumberFormat="0" applyAlignment="0" applyProtection="0"/>
    <xf numFmtId="0" fontId="62" fillId="19" borderId="209" applyNumberFormat="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64" fillId="0" borderId="206" applyNumberFormat="0" applyFill="0" applyAlignment="0" applyProtection="0"/>
    <xf numFmtId="0" fontId="59" fillId="10" borderId="207" applyNumberFormat="0" applyAlignment="0" applyProtection="0"/>
    <xf numFmtId="0" fontId="62" fillId="19" borderId="205" applyNumberFormat="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2" fillId="7" borderId="204" applyNumberFormat="0" applyFont="0" applyAlignment="0" applyProtection="0"/>
    <xf numFmtId="0" fontId="62" fillId="19" borderId="205" applyNumberFormat="0" applyAlignment="0" applyProtection="0"/>
    <xf numFmtId="0" fontId="64" fillId="0" borderId="210" applyNumberFormat="0" applyFill="0" applyAlignment="0" applyProtection="0"/>
    <xf numFmtId="0" fontId="3" fillId="0" borderId="0"/>
    <xf numFmtId="0" fontId="52" fillId="19" borderId="199" applyNumberFormat="0" applyAlignment="0" applyProtection="0"/>
    <xf numFmtId="44" fontId="22" fillId="0" borderId="0" applyFont="0" applyFill="0" applyBorder="0" applyAlignment="0" applyProtection="0"/>
    <xf numFmtId="0" fontId="59" fillId="10" borderId="199" applyNumberFormat="0" applyAlignment="0" applyProtection="0"/>
    <xf numFmtId="0" fontId="22" fillId="7" borderId="200" applyNumberFormat="0" applyFon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2" fillId="19" borderId="199" applyNumberFormat="0" applyAlignment="0" applyProtection="0"/>
    <xf numFmtId="0" fontId="59" fillId="10" borderId="199"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0" fontId="59" fillId="10" borderId="199"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62" fillId="19" borderId="209" applyNumberFormat="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64" fillId="0" borderId="210" applyNumberFormat="0" applyFill="0" applyAlignment="0" applyProtection="0"/>
    <xf numFmtId="0" fontId="3" fillId="0" borderId="0"/>
    <xf numFmtId="0" fontId="3" fillId="0" borderId="0"/>
    <xf numFmtId="44" fontId="3"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62" fillId="19" borderId="209" applyNumberFormat="0" applyAlignment="0" applyProtection="0"/>
    <xf numFmtId="44" fontId="3" fillId="0" borderId="0" applyFont="0" applyFill="0" applyBorder="0" applyAlignment="0" applyProtection="0"/>
    <xf numFmtId="0" fontId="62" fillId="19" borderId="209" applyNumberFormat="0" applyAlignment="0" applyProtection="0"/>
    <xf numFmtId="0" fontId="59" fillId="10" borderId="207"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0" fontId="52" fillId="19" borderId="199"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0" fontId="59" fillId="10" borderId="199"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0" fontId="52" fillId="19" borderId="199"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8" fontId="31" fillId="0" borderId="0" applyFont="0" applyFill="0" applyBorder="0" applyAlignment="0" applyProtection="0"/>
    <xf numFmtId="44" fontId="14" fillId="0" borderId="0" applyFont="0" applyFill="0" applyBorder="0" applyAlignment="0" applyProtection="0"/>
    <xf numFmtId="0" fontId="59" fillId="10" borderId="199" applyNumberFormat="0" applyAlignment="0" applyProtection="0"/>
    <xf numFmtId="0" fontId="64" fillId="0" borderId="210"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59" fillId="10" borderId="199" applyNumberFormat="0" applyAlignment="0" applyProtection="0"/>
    <xf numFmtId="0" fontId="64" fillId="0" borderId="206" applyNumberFormat="0" applyFill="0" applyAlignment="0" applyProtection="0"/>
    <xf numFmtId="0" fontId="62" fillId="19" borderId="205" applyNumberFormat="0" applyAlignment="0" applyProtection="0"/>
    <xf numFmtId="0" fontId="52" fillId="19" borderId="199" applyNumberFormat="0" applyAlignment="0" applyProtection="0"/>
    <xf numFmtId="0" fontId="62" fillId="19" borderId="205" applyNumberFormat="0" applyAlignment="0" applyProtection="0"/>
    <xf numFmtId="0" fontId="22" fillId="7" borderId="200"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62" fillId="19" borderId="209" applyNumberFormat="0" applyAlignment="0" applyProtection="0"/>
    <xf numFmtId="0" fontId="62" fillId="19" borderId="205" applyNumberFormat="0" applyAlignment="0" applyProtection="0"/>
    <xf numFmtId="0" fontId="52" fillId="19" borderId="199" applyNumberFormat="0" applyAlignment="0" applyProtection="0"/>
    <xf numFmtId="0" fontId="62" fillId="19" borderId="205" applyNumberFormat="0" applyAlignment="0" applyProtection="0"/>
    <xf numFmtId="0" fontId="62" fillId="19" borderId="205" applyNumberFormat="0" applyAlignment="0" applyProtection="0"/>
    <xf numFmtId="0" fontId="52" fillId="19" borderId="207" applyNumberFormat="0" applyAlignment="0" applyProtection="0"/>
    <xf numFmtId="0" fontId="64" fillId="0" borderId="206" applyNumberFormat="0" applyFill="0" applyAlignment="0" applyProtection="0"/>
    <xf numFmtId="0" fontId="62" fillId="19" borderId="201" applyNumberFormat="0" applyAlignment="0" applyProtection="0"/>
    <xf numFmtId="0" fontId="64" fillId="0" borderId="210" applyNumberFormat="0" applyFill="0" applyAlignment="0" applyProtection="0"/>
    <xf numFmtId="0" fontId="62" fillId="19" borderId="205" applyNumberFormat="0" applyAlignment="0" applyProtection="0"/>
    <xf numFmtId="0" fontId="62" fillId="19" borderId="205" applyNumberFormat="0" applyAlignment="0" applyProtection="0"/>
    <xf numFmtId="0" fontId="22" fillId="7" borderId="200" applyNumberFormat="0" applyFont="0" applyAlignment="0" applyProtection="0"/>
    <xf numFmtId="0" fontId="3" fillId="0" borderId="0"/>
    <xf numFmtId="0" fontId="3" fillId="0" borderId="0"/>
    <xf numFmtId="44" fontId="3"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62" fillId="19" borderId="205" applyNumberFormat="0" applyAlignment="0" applyProtection="0"/>
    <xf numFmtId="0" fontId="62" fillId="19" borderId="209" applyNumberFormat="0" applyAlignment="0" applyProtection="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8" fontId="31" fillId="0" borderId="0" applyFont="0" applyFill="0" applyBorder="0" applyAlignment="0" applyProtection="0"/>
    <xf numFmtId="0" fontId="62" fillId="19" borderId="205" applyNumberFormat="0" applyAlignment="0" applyProtection="0"/>
    <xf numFmtId="44" fontId="14" fillId="0" borderId="0" applyFont="0" applyFill="0" applyBorder="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59" fillId="10" borderId="207" applyNumberFormat="0" applyAlignment="0" applyProtection="0"/>
    <xf numFmtId="0" fontId="62" fillId="19" borderId="205" applyNumberFormat="0" applyAlignment="0" applyProtection="0"/>
    <xf numFmtId="0" fontId="59" fillId="10" borderId="207" applyNumberFormat="0" applyAlignment="0" applyProtection="0"/>
    <xf numFmtId="0" fontId="52" fillId="19" borderId="199"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62" fillId="19" borderId="205" applyNumberForma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52" fillId="19" borderId="199"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2"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4" fillId="0" borderId="202" applyNumberFormat="0" applyFill="0" applyAlignment="0" applyProtection="0"/>
    <xf numFmtId="44" fontId="22" fillId="0" borderId="0" applyFont="0" applyFill="0" applyBorder="0" applyAlignment="0" applyProtection="0"/>
    <xf numFmtId="0" fontId="52" fillId="19" borderId="199" applyNumberFormat="0" applyAlignment="0" applyProtection="0"/>
    <xf numFmtId="44" fontId="22" fillId="0" borderId="0" applyFont="0" applyFill="0" applyBorder="0" applyAlignment="0" applyProtection="0"/>
    <xf numFmtId="0" fontId="52" fillId="19" borderId="199" applyNumberFormat="0" applyAlignment="0" applyProtection="0"/>
    <xf numFmtId="0" fontId="52" fillId="19" borderId="199" applyNumberFormat="0" applyAlignment="0" applyProtection="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22" fillId="0" borderId="0" applyFont="0" applyFill="0" applyBorder="0" applyAlignment="0" applyProtection="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62" fillId="19" borderId="209" applyNumberFormat="0" applyAlignment="0" applyProtection="0"/>
    <xf numFmtId="44" fontId="3" fillId="0" borderId="0" applyFont="0" applyFill="0" applyBorder="0" applyAlignment="0" applyProtection="0"/>
    <xf numFmtId="0" fontId="64" fillId="0" borderId="206" applyNumberFormat="0" applyFill="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62" fillId="19" borderId="209" applyNumberFormat="0" applyAlignment="0" applyProtection="0"/>
    <xf numFmtId="44" fontId="22" fillId="0" borderId="0" applyFont="0" applyFill="0" applyBorder="0" applyAlignment="0" applyProtection="0"/>
    <xf numFmtId="43" fontId="22" fillId="0" borderId="0" applyFont="0" applyFill="0" applyBorder="0" applyAlignment="0" applyProtection="0"/>
    <xf numFmtId="0" fontId="62" fillId="19" borderId="205" applyNumberFormat="0" applyAlignment="0" applyProtection="0"/>
    <xf numFmtId="0" fontId="59" fillId="10" borderId="207" applyNumberFormat="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59" fillId="10" borderId="207" applyNumberFormat="0" applyAlignment="0" applyProtection="0"/>
    <xf numFmtId="0" fontId="52" fillId="19" borderId="207" applyNumberFormat="0" applyAlignment="0" applyProtection="0"/>
    <xf numFmtId="44" fontId="3" fillId="0" borderId="0" applyFont="0" applyFill="0" applyBorder="0" applyAlignment="0" applyProtection="0"/>
    <xf numFmtId="0" fontId="64" fillId="0" borderId="206" applyNumberFormat="0" applyFill="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22" fillId="7" borderId="200" applyNumberFormat="0" applyFont="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9" fillId="10" borderId="199" applyNumberFormat="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64" fillId="0" borderId="202" applyNumberFormat="0" applyFill="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8" fontId="31" fillId="0" borderId="0" applyFont="0" applyFill="0" applyBorder="0" applyAlignment="0" applyProtection="0"/>
    <xf numFmtId="44" fontId="22" fillId="0" borderId="0" applyFont="0" applyFill="0" applyBorder="0" applyAlignment="0" applyProtection="0"/>
    <xf numFmtId="0" fontId="59" fillId="10" borderId="207" applyNumberFormat="0" applyAlignment="0" applyProtection="0"/>
    <xf numFmtId="44" fontId="14" fillId="0" borderId="0" applyFont="0" applyFill="0" applyBorder="0" applyAlignment="0" applyProtection="0"/>
    <xf numFmtId="0" fontId="59" fillId="10" borderId="207" applyNumberFormat="0" applyAlignment="0" applyProtection="0"/>
    <xf numFmtId="43" fontId="22" fillId="0" borderId="0" applyFont="0" applyFill="0" applyBorder="0" applyAlignment="0" applyProtection="0"/>
    <xf numFmtId="0" fontId="64" fillId="0" borderId="206" applyNumberFormat="0" applyFill="0" applyAlignment="0" applyProtection="0"/>
    <xf numFmtId="0" fontId="62" fillId="19" borderId="205" applyNumberFormat="0" applyAlignment="0" applyProtection="0"/>
    <xf numFmtId="0" fontId="52" fillId="19" borderId="199"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1" applyNumberFormat="0" applyAlignment="0" applyProtection="0"/>
    <xf numFmtId="43" fontId="22" fillId="0" borderId="0" applyFont="0" applyFill="0" applyBorder="0" applyAlignment="0" applyProtection="0"/>
    <xf numFmtId="0" fontId="64" fillId="0" borderId="206" applyNumberFormat="0" applyFill="0" applyAlignment="0" applyProtection="0"/>
    <xf numFmtId="0" fontId="52" fillId="19" borderId="199" applyNumberFormat="0" applyAlignment="0" applyProtection="0"/>
    <xf numFmtId="0" fontId="59" fillId="10" borderId="203"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59" fillId="10" borderId="207" applyNumberFormat="0" applyAlignment="0" applyProtection="0"/>
    <xf numFmtId="0" fontId="52" fillId="19" borderId="207"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5" applyNumberFormat="0" applyAlignment="0" applyProtection="0"/>
    <xf numFmtId="0" fontId="52" fillId="19" borderId="207" applyNumberFormat="0" applyAlignment="0" applyProtection="0"/>
    <xf numFmtId="0" fontId="22" fillId="7" borderId="200" applyNumberFormat="0" applyFont="0" applyAlignment="0" applyProtection="0"/>
    <xf numFmtId="0" fontId="62" fillId="19" borderId="205"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06" applyNumberFormat="0" applyFill="0" applyAlignment="0" applyProtection="0"/>
    <xf numFmtId="0" fontId="22" fillId="7" borderId="208" applyNumberFormat="0" applyFont="0" applyAlignment="0" applyProtection="0"/>
    <xf numFmtId="0" fontId="64" fillId="0" borderId="202" applyNumberFormat="0" applyFill="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62" fillId="19" borderId="205" applyNumberFormat="0" applyAlignment="0" applyProtection="0"/>
    <xf numFmtId="43" fontId="22" fillId="0" borderId="0" applyFont="0" applyFill="0" applyBorder="0" applyAlignment="0" applyProtection="0"/>
    <xf numFmtId="0" fontId="64" fillId="0" borderId="206" applyNumberFormat="0" applyFill="0" applyAlignment="0" applyProtection="0"/>
    <xf numFmtId="43" fontId="22" fillId="0" borderId="0" applyFont="0" applyFill="0" applyBorder="0" applyAlignment="0" applyProtection="0"/>
    <xf numFmtId="44" fontId="22" fillId="0" borderId="0" applyFont="0" applyFill="0" applyBorder="0" applyAlignment="0" applyProtection="0"/>
    <xf numFmtId="0" fontId="62" fillId="19" borderId="205" applyNumberFormat="0" applyAlignment="0" applyProtection="0"/>
    <xf numFmtId="0" fontId="62" fillId="19" borderId="205" applyNumberFormat="0" applyAlignment="0" applyProtection="0"/>
    <xf numFmtId="43" fontId="22"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62" fillId="19" borderId="209" applyNumberFormat="0" applyAlignment="0" applyProtection="0"/>
    <xf numFmtId="0" fontId="64" fillId="0" borderId="206" applyNumberFormat="0" applyFill="0" applyAlignment="0" applyProtection="0"/>
    <xf numFmtId="0" fontId="64" fillId="0" borderId="206" applyNumberFormat="0" applyFill="0" applyAlignment="0" applyProtection="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9" fillId="10" borderId="199" applyNumberFormat="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64" fillId="0" borderId="202" applyNumberFormat="0" applyFill="0" applyAlignment="0" applyProtection="0"/>
    <xf numFmtId="44" fontId="22" fillId="0" borderId="0" applyFont="0" applyFill="0" applyBorder="0" applyAlignment="0" applyProtection="0"/>
    <xf numFmtId="0" fontId="62" fillId="19" borderId="201" applyNumberFormat="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8" fontId="31" fillId="0" borderId="0" applyFont="0" applyFill="0" applyBorder="0" applyAlignment="0" applyProtection="0"/>
    <xf numFmtId="44" fontId="22" fillId="0" borderId="0" applyFont="0" applyFill="0" applyBorder="0" applyAlignment="0" applyProtection="0"/>
    <xf numFmtId="44" fontId="14" fillId="0" borderId="0" applyFont="0" applyFill="0" applyBorder="0" applyAlignment="0" applyProtection="0"/>
    <xf numFmtId="0" fontId="62" fillId="19" borderId="205" applyNumberFormat="0" applyAlignment="0" applyProtection="0"/>
    <xf numFmtId="0" fontId="62" fillId="19" borderId="201" applyNumberFormat="0" applyAlignment="0" applyProtection="0"/>
    <xf numFmtId="0" fontId="22" fillId="7" borderId="208" applyNumberFormat="0" applyFont="0" applyAlignment="0" applyProtection="0"/>
    <xf numFmtId="0" fontId="62" fillId="19" borderId="205" applyNumberFormat="0" applyAlignment="0" applyProtection="0"/>
    <xf numFmtId="0" fontId="59" fillId="10" borderId="203" applyNumberFormat="0" applyAlignment="0" applyProtection="0"/>
    <xf numFmtId="0" fontId="62" fillId="19" borderId="201"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06" applyNumberFormat="0" applyFill="0" applyAlignment="0" applyProtection="0"/>
    <xf numFmtId="0" fontId="64" fillId="0" borderId="202" applyNumberFormat="0" applyFill="0" applyAlignment="0" applyProtection="0"/>
    <xf numFmtId="0" fontId="62" fillId="19" borderId="205" applyNumberFormat="0" applyAlignment="0" applyProtection="0"/>
    <xf numFmtId="0" fontId="64" fillId="0" borderId="202" applyNumberFormat="0" applyFill="0" applyAlignment="0" applyProtection="0"/>
    <xf numFmtId="0" fontId="59" fillId="10" borderId="199" applyNumberFormat="0" applyAlignment="0" applyProtection="0"/>
    <xf numFmtId="0" fontId="62" fillId="19" borderId="205" applyNumberFormat="0" applyAlignment="0" applyProtection="0"/>
    <xf numFmtId="0" fontId="59" fillId="10" borderId="199" applyNumberFormat="0" applyAlignment="0" applyProtection="0"/>
    <xf numFmtId="0" fontId="64" fillId="0" borderId="210" applyNumberFormat="0" applyFill="0" applyAlignment="0" applyProtection="0"/>
    <xf numFmtId="0" fontId="62" fillId="19" borderId="205" applyNumberFormat="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52" fillId="19" borderId="203" applyNumberFormat="0" applyAlignment="0" applyProtection="0"/>
    <xf numFmtId="0" fontId="64" fillId="0" borderId="202" applyNumberFormat="0" applyFill="0" applyAlignment="0" applyProtection="0"/>
    <xf numFmtId="0" fontId="22" fillId="7" borderId="204" applyNumberFormat="0" applyFont="0" applyAlignment="0" applyProtection="0"/>
    <xf numFmtId="0" fontId="22" fillId="7" borderId="208" applyNumberFormat="0" applyFont="0" applyAlignment="0" applyProtection="0"/>
    <xf numFmtId="0" fontId="62" fillId="19" borderId="205" applyNumberFormat="0" applyAlignment="0" applyProtection="0"/>
    <xf numFmtId="0" fontId="52" fillId="19" borderId="207" applyNumberFormat="0" applyAlignment="0" applyProtection="0"/>
    <xf numFmtId="0" fontId="59" fillId="10" borderId="199" applyNumberFormat="0" applyAlignment="0" applyProtection="0"/>
    <xf numFmtId="0" fontId="59" fillId="10" borderId="207" applyNumberFormat="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59" fillId="10" borderId="203"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3" fillId="0" borderId="0"/>
    <xf numFmtId="0" fontId="3" fillId="0" borderId="0"/>
    <xf numFmtId="44" fontId="3"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2" fillId="7" borderId="208"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2" fillId="7" borderId="208" applyNumberFormat="0" applyFont="0" applyAlignment="0" applyProtection="0"/>
    <xf numFmtId="0" fontId="62" fillId="19" borderId="205" applyNumberFormat="0" applyAlignment="0" applyProtection="0"/>
    <xf numFmtId="44" fontId="3" fillId="0" borderId="0" applyFont="0" applyFill="0" applyBorder="0" applyAlignment="0" applyProtection="0"/>
    <xf numFmtId="0" fontId="62" fillId="19" borderId="209" applyNumberFormat="0" applyAlignment="0" applyProtection="0"/>
    <xf numFmtId="0" fontId="64" fillId="0" borderId="206" applyNumberFormat="0" applyFill="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0" fontId="62" fillId="19" borderId="201"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8" fontId="31" fillId="0" borderId="0" applyFont="0" applyFill="0" applyBorder="0" applyAlignment="0" applyProtection="0"/>
    <xf numFmtId="44" fontId="22" fillId="0" borderId="0" applyFont="0" applyFill="0" applyBorder="0" applyAlignment="0" applyProtection="0"/>
    <xf numFmtId="0" fontId="59" fillId="10" borderId="207" applyNumberFormat="0" applyAlignment="0" applyProtection="0"/>
    <xf numFmtId="44" fontId="14" fillId="0" borderId="0" applyFont="0" applyFill="0" applyBorder="0" applyAlignment="0" applyProtection="0"/>
    <xf numFmtId="0" fontId="62" fillId="19" borderId="205" applyNumberFormat="0" applyAlignment="0" applyProtection="0"/>
    <xf numFmtId="0" fontId="64" fillId="0" borderId="202"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0"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59" fillId="10" borderId="199" applyNumberFormat="0" applyAlignment="0" applyProtection="0"/>
    <xf numFmtId="0" fontId="22" fillId="7" borderId="200" applyNumberFormat="0" applyFont="0" applyAlignment="0" applyProtection="0"/>
    <xf numFmtId="0" fontId="52" fillId="19" borderId="199" applyNumberFormat="0" applyAlignment="0" applyProtection="0"/>
    <xf numFmtId="0" fontId="59" fillId="10" borderId="207" applyNumberFormat="0" applyAlignment="0" applyProtection="0"/>
    <xf numFmtId="0" fontId="64" fillId="0" borderId="202"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59" fillId="10" borderId="207" applyNumberFormat="0" applyAlignment="0" applyProtection="0"/>
    <xf numFmtId="0" fontId="62" fillId="19" borderId="205" applyNumberFormat="0" applyAlignment="0" applyProtection="0"/>
    <xf numFmtId="0" fontId="59" fillId="10" borderId="207" applyNumberFormat="0" applyAlignment="0" applyProtection="0"/>
    <xf numFmtId="0" fontId="62" fillId="19" borderId="205" applyNumberFormat="0" applyAlignment="0" applyProtection="0"/>
    <xf numFmtId="0" fontId="62" fillId="19" borderId="201" applyNumberFormat="0" applyAlignment="0" applyProtection="0"/>
    <xf numFmtId="0" fontId="62" fillId="19" borderId="205" applyNumberFormat="0" applyAlignment="0" applyProtection="0"/>
    <xf numFmtId="0" fontId="22" fillId="7" borderId="200" applyNumberFormat="0" applyFont="0" applyAlignment="0" applyProtection="0"/>
    <xf numFmtId="0" fontId="52" fillId="19" borderId="19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3"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64" fillId="0" borderId="202" applyNumberFormat="0" applyFill="0" applyAlignment="0" applyProtection="0"/>
    <xf numFmtId="0" fontId="62" fillId="19" borderId="209" applyNumberFormat="0" applyAlignment="0" applyProtection="0"/>
    <xf numFmtId="0" fontId="62" fillId="19" borderId="209" applyNumberFormat="0" applyAlignment="0" applyProtection="0"/>
    <xf numFmtId="0" fontId="62" fillId="19" borderId="205" applyNumberFormat="0" applyAlignment="0" applyProtection="0"/>
    <xf numFmtId="0" fontId="3" fillId="0" borderId="0"/>
    <xf numFmtId="0" fontId="3" fillId="0" borderId="0"/>
    <xf numFmtId="44" fontId="3"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52" fillId="19" borderId="207" applyNumberFormat="0" applyAlignment="0" applyProtection="0"/>
    <xf numFmtId="44" fontId="3" fillId="0" borderId="0" applyFont="0" applyFill="0" applyBorder="0" applyAlignment="0" applyProtection="0"/>
    <xf numFmtId="0" fontId="62" fillId="19" borderId="205" applyNumberFormat="0" applyAlignment="0" applyProtection="0"/>
    <xf numFmtId="0" fontId="22" fillId="7" borderId="208" applyNumberFormat="0" applyFon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8" fontId="31" fillId="0" borderId="0" applyFont="0" applyFill="0" applyBorder="0" applyAlignment="0" applyProtection="0"/>
    <xf numFmtId="44" fontId="14" fillId="0" borderId="0" applyFont="0" applyFill="0" applyBorder="0" applyAlignment="0" applyProtection="0"/>
    <xf numFmtId="0" fontId="64" fillId="0" borderId="206" applyNumberFormat="0" applyFill="0" applyAlignment="0" applyProtection="0"/>
    <xf numFmtId="0" fontId="22" fillId="7" borderId="208" applyNumberFormat="0" applyFont="0" applyAlignment="0" applyProtection="0"/>
    <xf numFmtId="0" fontId="22" fillId="7" borderId="200" applyNumberFormat="0" applyFont="0" applyAlignment="0" applyProtection="0"/>
    <xf numFmtId="0" fontId="62" fillId="19" borderId="205" applyNumberFormat="0" applyAlignment="0" applyProtection="0"/>
    <xf numFmtId="0" fontId="22" fillId="7" borderId="200"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64" fillId="0" borderId="210" applyNumberFormat="0" applyFill="0" applyAlignment="0" applyProtection="0"/>
    <xf numFmtId="0" fontId="62" fillId="19" borderId="205" applyNumberFormat="0" applyAlignment="0" applyProtection="0"/>
    <xf numFmtId="0" fontId="22" fillId="7" borderId="204" applyNumberFormat="0" applyFont="0" applyAlignment="0" applyProtection="0"/>
    <xf numFmtId="0" fontId="64" fillId="0" borderId="206"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52" fillId="19"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62" fillId="19" borderId="201" applyNumberFormat="0" applyAlignment="0" applyProtection="0"/>
    <xf numFmtId="0" fontId="64" fillId="0" borderId="202" applyNumberFormat="0" applyFill="0" applyAlignment="0" applyProtection="0"/>
    <xf numFmtId="0" fontId="64" fillId="0" borderId="206" applyNumberFormat="0" applyFill="0" applyAlignment="0" applyProtection="0"/>
    <xf numFmtId="0" fontId="59" fillId="10" borderId="207" applyNumberFormat="0" applyAlignment="0" applyProtection="0"/>
    <xf numFmtId="0" fontId="52" fillId="19" borderId="199" applyNumberFormat="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59" fillId="10" borderId="207" applyNumberFormat="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62" fillId="19" borderId="205" applyNumberFormat="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59" fillId="10" borderId="199" applyNumberForma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22" fillId="7" borderId="208" applyNumberFormat="0" applyFont="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59" fillId="10" borderId="207" applyNumberFormat="0" applyAlignment="0" applyProtection="0"/>
    <xf numFmtId="0" fontId="64" fillId="0" borderId="206" applyNumberFormat="0" applyFill="0" applyAlignment="0" applyProtection="0"/>
    <xf numFmtId="0" fontId="64" fillId="0" borderId="202" applyNumberFormat="0" applyFill="0" applyAlignment="0" applyProtection="0"/>
    <xf numFmtId="0" fontId="22" fillId="7" borderId="208" applyNumberFormat="0" applyFont="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62" fillId="19" borderId="205" applyNumberFormat="0" applyAlignment="0" applyProtection="0"/>
    <xf numFmtId="0" fontId="62" fillId="19" borderId="205" applyNumberFormat="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52" fillId="19" borderId="207"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59" fillId="10" borderId="199" applyNumberFormat="0" applyAlignment="0" applyProtection="0"/>
    <xf numFmtId="0" fontId="64" fillId="0" borderId="206" applyNumberFormat="0" applyFill="0" applyAlignment="0" applyProtection="0"/>
    <xf numFmtId="0" fontId="52" fillId="19" borderId="199" applyNumberFormat="0" applyAlignment="0" applyProtection="0"/>
    <xf numFmtId="0" fontId="64" fillId="0" borderId="206" applyNumberFormat="0" applyFill="0" applyAlignment="0" applyProtection="0"/>
    <xf numFmtId="0" fontId="62" fillId="19" borderId="209" applyNumberFormat="0" applyAlignment="0" applyProtection="0"/>
    <xf numFmtId="0" fontId="22" fillId="7" borderId="200" applyNumberFormat="0" applyFont="0" applyAlignment="0" applyProtection="0"/>
    <xf numFmtId="0" fontId="52" fillId="19" borderId="199" applyNumberFormat="0" applyAlignment="0" applyProtection="0"/>
    <xf numFmtId="0" fontId="62" fillId="19" borderId="205" applyNumberFormat="0" applyAlignment="0" applyProtection="0"/>
    <xf numFmtId="0" fontId="52" fillId="19" borderId="199" applyNumberFormat="0" applyAlignment="0" applyProtection="0"/>
    <xf numFmtId="0" fontId="62" fillId="19" borderId="201"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59" fillId="10" borderId="207"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2" fillId="19" borderId="205"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52" fillId="19" borderId="203" applyNumberFormat="0" applyAlignment="0" applyProtection="0"/>
    <xf numFmtId="0" fontId="62" fillId="19" borderId="205" applyNumberFormat="0" applyAlignment="0" applyProtection="0"/>
    <xf numFmtId="0" fontId="64" fillId="0" borderId="206" applyNumberFormat="0" applyFill="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62" fillId="19" borderId="205"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06" applyNumberFormat="0" applyFill="0" applyAlignment="0" applyProtection="0"/>
    <xf numFmtId="0" fontId="59" fillId="10" borderId="207" applyNumberFormat="0" applyAlignment="0" applyProtection="0"/>
    <xf numFmtId="0" fontId="59" fillId="10" borderId="199"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62" fillId="19" borderId="209" applyNumberFormat="0" applyAlignment="0" applyProtection="0"/>
    <xf numFmtId="0" fontId="62" fillId="19" borderId="205" applyNumberFormat="0" applyAlignment="0" applyProtection="0"/>
    <xf numFmtId="0" fontId="64" fillId="0" borderId="210"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52" fillId="19" borderId="207" applyNumberFormat="0" applyAlignment="0" applyProtection="0"/>
    <xf numFmtId="0" fontId="62" fillId="19" borderId="205" applyNumberFormat="0" applyAlignment="0" applyProtection="0"/>
    <xf numFmtId="0" fontId="62" fillId="19" borderId="201"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22" fillId="7" borderId="200" applyNumberFormat="0" applyFont="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59" fillId="10" borderId="203" applyNumberFormat="0" applyAlignment="0" applyProtection="0"/>
    <xf numFmtId="0" fontId="59" fillId="10" borderId="207" applyNumberFormat="0" applyAlignment="0" applyProtection="0"/>
    <xf numFmtId="0" fontId="64" fillId="0" borderId="206" applyNumberFormat="0" applyFill="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199" applyNumberFormat="0" applyAlignment="0" applyProtection="0"/>
    <xf numFmtId="0" fontId="64" fillId="0" borderId="206" applyNumberFormat="0" applyFill="0" applyAlignment="0" applyProtection="0"/>
    <xf numFmtId="0" fontId="52" fillId="19" borderId="203" applyNumberFormat="0" applyAlignment="0" applyProtection="0"/>
    <xf numFmtId="0" fontId="52" fillId="19" borderId="199" applyNumberFormat="0" applyAlignment="0" applyProtection="0"/>
    <xf numFmtId="0" fontId="62" fillId="19" borderId="205" applyNumberFormat="0" applyAlignment="0" applyProtection="0"/>
    <xf numFmtId="0" fontId="22" fillId="7" borderId="200" applyNumberFormat="0" applyFont="0" applyAlignment="0" applyProtection="0"/>
    <xf numFmtId="0" fontId="52" fillId="19" borderId="199" applyNumberFormat="0" applyAlignment="0" applyProtection="0"/>
    <xf numFmtId="0" fontId="64" fillId="0" borderId="210" applyNumberFormat="0" applyFill="0" applyAlignment="0" applyProtection="0"/>
    <xf numFmtId="0" fontId="62" fillId="19" borderId="205" applyNumberFormat="0" applyAlignment="0" applyProtection="0"/>
    <xf numFmtId="0" fontId="22" fillId="7" borderId="204" applyNumberFormat="0" applyFont="0" applyAlignment="0" applyProtection="0"/>
    <xf numFmtId="0" fontId="62" fillId="19" borderId="205" applyNumberFormat="0" applyAlignment="0" applyProtection="0"/>
    <xf numFmtId="0" fontId="62" fillId="19" borderId="205"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62" fillId="19" borderId="201" applyNumberFormat="0" applyAlignment="0" applyProtection="0"/>
    <xf numFmtId="0" fontId="62" fillId="19" borderId="205" applyNumberFormat="0" applyAlignment="0" applyProtection="0"/>
    <xf numFmtId="0" fontId="52" fillId="19" borderId="207" applyNumberFormat="0" applyAlignment="0" applyProtection="0"/>
    <xf numFmtId="0" fontId="64" fillId="0" borderId="202" applyNumberFormat="0" applyFill="0" applyAlignment="0" applyProtection="0"/>
    <xf numFmtId="0" fontId="64" fillId="0" borderId="206" applyNumberFormat="0" applyFill="0" applyAlignment="0" applyProtection="0"/>
    <xf numFmtId="0" fontId="64" fillId="0" borderId="210" applyNumberFormat="0" applyFill="0" applyAlignment="0" applyProtection="0"/>
    <xf numFmtId="0" fontId="22" fillId="7" borderId="204" applyNumberFormat="0" applyFont="0" applyAlignment="0" applyProtection="0"/>
    <xf numFmtId="0" fontId="62" fillId="19" borderId="201" applyNumberFormat="0" applyAlignment="0" applyProtection="0"/>
    <xf numFmtId="0" fontId="64" fillId="0" borderId="206" applyNumberFormat="0" applyFill="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62" fillId="19" borderId="201" applyNumberFormat="0" applyAlignment="0" applyProtection="0"/>
    <xf numFmtId="0" fontId="64" fillId="0" borderId="206" applyNumberFormat="0" applyFill="0" applyAlignment="0" applyProtection="0"/>
    <xf numFmtId="0" fontId="62" fillId="19" borderId="205" applyNumberFormat="0" applyAlignment="0" applyProtection="0"/>
    <xf numFmtId="0" fontId="59" fillId="10" borderId="207" applyNumberFormat="0" applyAlignment="0" applyProtection="0"/>
    <xf numFmtId="0" fontId="62" fillId="19" borderId="201" applyNumberFormat="0" applyAlignment="0" applyProtection="0"/>
    <xf numFmtId="0" fontId="59" fillId="10" borderId="199" applyNumberFormat="0" applyAlignment="0" applyProtection="0"/>
    <xf numFmtId="0" fontId="62" fillId="19" borderId="201" applyNumberFormat="0" applyAlignment="0" applyProtection="0"/>
    <xf numFmtId="0" fontId="52" fillId="19" borderId="199" applyNumberFormat="0" applyAlignment="0" applyProtection="0"/>
    <xf numFmtId="0" fontId="22" fillId="7" borderId="208" applyNumberFormat="0" applyFont="0" applyAlignment="0" applyProtection="0"/>
    <xf numFmtId="0" fontId="52" fillId="19" borderId="199" applyNumberFormat="0" applyAlignment="0" applyProtection="0"/>
    <xf numFmtId="0" fontId="64" fillId="0" borderId="206" applyNumberFormat="0" applyFill="0" applyAlignment="0" applyProtection="0"/>
    <xf numFmtId="0" fontId="52" fillId="19"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10" applyNumberFormat="0" applyFill="0" applyAlignment="0" applyProtection="0"/>
    <xf numFmtId="0" fontId="62" fillId="19" borderId="205"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02" applyNumberFormat="0" applyFill="0" applyAlignment="0" applyProtection="0"/>
    <xf numFmtId="0" fontId="62" fillId="19" borderId="205" applyNumberFormat="0" applyAlignment="0" applyProtection="0"/>
    <xf numFmtId="0" fontId="52" fillId="19" borderId="207" applyNumberFormat="0" applyAlignment="0" applyProtection="0"/>
    <xf numFmtId="0" fontId="62" fillId="19" borderId="201" applyNumberFormat="0" applyAlignment="0" applyProtection="0"/>
    <xf numFmtId="0" fontId="52" fillId="19" borderId="203" applyNumberFormat="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62" fillId="19" borderId="205" applyNumberFormat="0" applyAlignment="0" applyProtection="0"/>
    <xf numFmtId="0" fontId="62" fillId="19" borderId="205" applyNumberFormat="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62" fillId="19" borderId="201" applyNumberFormat="0" applyAlignment="0" applyProtection="0"/>
    <xf numFmtId="0" fontId="64" fillId="0" borderId="206" applyNumberFormat="0" applyFill="0" applyAlignment="0" applyProtection="0"/>
    <xf numFmtId="0" fontId="52" fillId="19" borderId="207" applyNumberFormat="0" applyAlignment="0" applyProtection="0"/>
    <xf numFmtId="0" fontId="64" fillId="0" borderId="202" applyNumberFormat="0" applyFill="0" applyAlignment="0" applyProtection="0"/>
    <xf numFmtId="0" fontId="22" fillId="7" borderId="208" applyNumberFormat="0" applyFont="0" applyAlignment="0" applyProtection="0"/>
    <xf numFmtId="0" fontId="64" fillId="0" borderId="206"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59" fillId="10"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52" fillId="19" borderId="207" applyNumberFormat="0" applyAlignment="0" applyProtection="0"/>
    <xf numFmtId="0" fontId="52" fillId="19"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22" fillId="7" borderId="200" applyNumberFormat="0" applyFont="0" applyAlignment="0" applyProtection="0"/>
    <xf numFmtId="0" fontId="62" fillId="19" borderId="205" applyNumberFormat="0" applyAlignment="0" applyProtection="0"/>
    <xf numFmtId="0" fontId="59" fillId="10" borderId="199" applyNumberFormat="0" applyAlignment="0" applyProtection="0"/>
    <xf numFmtId="0" fontId="59" fillId="10" borderId="199" applyNumberFormat="0" applyAlignment="0" applyProtection="0"/>
    <xf numFmtId="0" fontId="59" fillId="10" borderId="207" applyNumberFormat="0" applyAlignment="0" applyProtection="0"/>
    <xf numFmtId="0" fontId="59" fillId="10" borderId="207" applyNumberFormat="0" applyAlignment="0" applyProtection="0"/>
    <xf numFmtId="0" fontId="62" fillId="19" borderId="205" applyNumberFormat="0" applyAlignment="0" applyProtection="0"/>
    <xf numFmtId="0" fontId="62" fillId="19" borderId="201" applyNumberFormat="0" applyAlignment="0" applyProtection="0"/>
    <xf numFmtId="0" fontId="64" fillId="0" borderId="206" applyNumberFormat="0" applyFill="0" applyAlignment="0" applyProtection="0"/>
    <xf numFmtId="0" fontId="62" fillId="19" borderId="205" applyNumberFormat="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52" fillId="19" borderId="199" applyNumberFormat="0" applyAlignment="0" applyProtection="0"/>
    <xf numFmtId="0" fontId="59" fillId="10" borderId="199" applyNumberFormat="0" applyAlignment="0" applyProtection="0"/>
    <xf numFmtId="0" fontId="62" fillId="19" borderId="205"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52" fillId="19" borderId="199" applyNumberFormat="0" applyAlignment="0" applyProtection="0"/>
    <xf numFmtId="0" fontId="22" fillId="7" borderId="208" applyNumberFormat="0" applyFont="0" applyAlignment="0" applyProtection="0"/>
    <xf numFmtId="0" fontId="62" fillId="19" borderId="201"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22" fillId="7" borderId="208"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62" fillId="19" borderId="205"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59" fillId="10" borderId="199" applyNumberFormat="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62" fillId="19" borderId="205" applyNumberForma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64" fillId="0" borderId="206" applyNumberFormat="0" applyFill="0" applyAlignment="0" applyProtection="0"/>
    <xf numFmtId="0" fontId="52" fillId="19" borderId="207" applyNumberFormat="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2" fillId="7" borderId="200" applyNumberFormat="0" applyFont="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22" fillId="7" borderId="200" applyNumberFormat="0" applyFont="0" applyAlignment="0" applyProtection="0"/>
    <xf numFmtId="0" fontId="22" fillId="7" borderId="200" applyNumberFormat="0" applyFont="0" applyAlignment="0" applyProtection="0"/>
    <xf numFmtId="44" fontId="3" fillId="0" borderId="0" applyFont="0" applyFill="0" applyBorder="0" applyAlignment="0" applyProtection="0"/>
    <xf numFmtId="0" fontId="62" fillId="19" borderId="205" applyNumberFormat="0" applyAlignment="0" applyProtection="0"/>
    <xf numFmtId="0" fontId="22" fillId="7" borderId="208" applyNumberFormat="0" applyFont="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62" fillId="19" borderId="201" applyNumberFormat="0" applyAlignment="0" applyProtection="0"/>
    <xf numFmtId="0" fontId="64" fillId="0" borderId="206" applyNumberFormat="0" applyFill="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59" fillId="10" borderId="190" applyNumberFormat="0" applyAlignment="0" applyProtection="0"/>
    <xf numFmtId="0" fontId="62" fillId="19" borderId="192" applyNumberFormat="0" applyAlignment="0" applyProtection="0"/>
    <xf numFmtId="0" fontId="52" fillId="19" borderId="190" applyNumberFormat="0" applyAlignment="0" applyProtection="0"/>
    <xf numFmtId="0" fontId="52" fillId="19" borderId="190" applyNumberFormat="0" applyAlignment="0" applyProtection="0"/>
    <xf numFmtId="0" fontId="62" fillId="19" borderId="192" applyNumberFormat="0" applyAlignment="0" applyProtection="0"/>
    <xf numFmtId="0" fontId="62" fillId="19" borderId="192"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2" fillId="19" borderId="192" applyNumberFormat="0" applyAlignment="0" applyProtection="0"/>
    <xf numFmtId="0" fontId="62" fillId="19" borderId="192" applyNumberFormat="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3" fillId="0" borderId="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52" fillId="19" borderId="190" applyNumberFormat="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62" fillId="19" borderId="192" applyNumberFormat="0" applyAlignment="0" applyProtection="0"/>
    <xf numFmtId="0" fontId="64" fillId="0" borderId="206"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62" fillId="19" borderId="192" applyNumberForma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59" fillId="10"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62" fillId="19" borderId="192" applyNumberFormat="0" applyAlignment="0" applyProtection="0"/>
    <xf numFmtId="0" fontId="62" fillId="19" borderId="192" applyNumberFormat="0" applyAlignment="0" applyProtection="0"/>
    <xf numFmtId="0" fontId="64" fillId="0" borderId="193" applyNumberFormat="0" applyFill="0" applyAlignment="0" applyProtection="0"/>
    <xf numFmtId="0" fontId="3" fillId="0" borderId="0"/>
    <xf numFmtId="0" fontId="3" fillId="0" borderId="0"/>
    <xf numFmtId="44" fontId="3" fillId="0" borderId="0" applyFont="0" applyFill="0" applyBorder="0" applyAlignment="0" applyProtection="0"/>
    <xf numFmtId="0" fontId="59" fillId="10" borderId="190" applyNumberFormat="0" applyAlignment="0" applyProtection="0"/>
    <xf numFmtId="0" fontId="62" fillId="19" borderId="192" applyNumberForma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64" fillId="0" borderId="193" applyNumberFormat="0" applyFill="0" applyAlignment="0" applyProtection="0"/>
    <xf numFmtId="0" fontId="64" fillId="0" borderId="206" applyNumberFormat="0" applyFill="0" applyAlignment="0" applyProtection="0"/>
    <xf numFmtId="44" fontId="3" fillId="0" borderId="0" applyFont="0" applyFill="0" applyBorder="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3" fillId="0" borderId="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62" fillId="19" borderId="205" applyNumberFormat="0" applyAlignment="0" applyProtection="0"/>
    <xf numFmtId="0" fontId="22" fillId="7" borderId="191" applyNumberFormat="0" applyFont="0" applyAlignment="0" applyProtection="0"/>
    <xf numFmtId="0" fontId="62" fillId="19" borderId="192" applyNumberFormat="0" applyAlignment="0" applyProtection="0"/>
    <xf numFmtId="0" fontId="52" fillId="19" borderId="190" applyNumberFormat="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3" fillId="0" borderId="0"/>
    <xf numFmtId="0" fontId="52" fillId="19" borderId="190" applyNumberFormat="0" applyAlignment="0" applyProtection="0"/>
    <xf numFmtId="0" fontId="64" fillId="0" borderId="193" applyNumberFormat="0" applyFill="0" applyAlignment="0" applyProtection="0"/>
    <xf numFmtId="0" fontId="52" fillId="19" borderId="190" applyNumberFormat="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59" fillId="10" borderId="190" applyNumberFormat="0" applyAlignment="0" applyProtection="0"/>
    <xf numFmtId="0" fontId="22" fillId="7" borderId="191" applyNumberFormat="0" applyFont="0" applyAlignment="0" applyProtection="0"/>
    <xf numFmtId="0" fontId="59" fillId="10" borderId="190" applyNumberFormat="0" applyAlignment="0" applyProtection="0"/>
    <xf numFmtId="0" fontId="3" fillId="0" borderId="0"/>
    <xf numFmtId="0" fontId="22" fillId="7" borderId="191" applyNumberFormat="0" applyFont="0" applyAlignment="0" applyProtection="0"/>
    <xf numFmtId="0" fontId="59" fillId="10" borderId="190" applyNumberFormat="0" applyAlignment="0" applyProtection="0"/>
    <xf numFmtId="0" fontId="52" fillId="19" borderId="190" applyNumberFormat="0" applyAlignment="0" applyProtection="0"/>
    <xf numFmtId="0" fontId="62" fillId="19" borderId="192" applyNumberFormat="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52" fillId="19" borderId="190" applyNumberFormat="0" applyAlignment="0" applyProtection="0"/>
    <xf numFmtId="0" fontId="22" fillId="7" borderId="191" applyNumberFormat="0" applyFont="0" applyAlignment="0" applyProtection="0"/>
    <xf numFmtId="0" fontId="3" fillId="0" borderId="0"/>
    <xf numFmtId="0" fontId="62" fillId="19" borderId="192" applyNumberFormat="0" applyAlignment="0" applyProtection="0"/>
    <xf numFmtId="0" fontId="64" fillId="0" borderId="193" applyNumberFormat="0" applyFill="0" applyAlignment="0" applyProtection="0"/>
    <xf numFmtId="0" fontId="52" fillId="19" borderId="190" applyNumberFormat="0" applyAlignment="0" applyProtection="0"/>
    <xf numFmtId="0" fontId="62" fillId="19" borderId="192" applyNumberFormat="0" applyAlignment="0" applyProtection="0"/>
    <xf numFmtId="0" fontId="52" fillId="19" borderId="190" applyNumberFormat="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62" fillId="19" borderId="192" applyNumberFormat="0" applyAlignment="0" applyProtection="0"/>
    <xf numFmtId="0" fontId="62" fillId="19" borderId="192" applyNumberFormat="0" applyAlignment="0" applyProtection="0"/>
    <xf numFmtId="0" fontId="22" fillId="7" borderId="191" applyNumberFormat="0" applyFont="0" applyAlignment="0" applyProtection="0"/>
    <xf numFmtId="0" fontId="52" fillId="19" borderId="190" applyNumberFormat="0" applyAlignment="0" applyProtection="0"/>
    <xf numFmtId="0" fontId="3" fillId="0" borderId="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59" fillId="10" borderId="207" applyNumberFormat="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64" fillId="0" borderId="193" applyNumberFormat="0" applyFill="0" applyAlignment="0" applyProtection="0"/>
    <xf numFmtId="0" fontId="22" fillId="7" borderId="191" applyNumberFormat="0" applyFont="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2" fillId="7" borderId="191" applyNumberFormat="0" applyFont="0" applyAlignment="0" applyProtection="0"/>
    <xf numFmtId="0" fontId="59" fillId="10" borderId="190" applyNumberFormat="0" applyAlignment="0" applyProtection="0"/>
    <xf numFmtId="0" fontId="52" fillId="19" borderId="190" applyNumberFormat="0" applyAlignment="0" applyProtection="0"/>
    <xf numFmtId="0" fontId="3" fillId="0" borderId="0"/>
    <xf numFmtId="0" fontId="59" fillId="10" borderId="190" applyNumberFormat="0" applyAlignment="0" applyProtection="0"/>
    <xf numFmtId="44" fontId="22" fillId="0" borderId="0" applyFont="0" applyFill="0" applyBorder="0" applyAlignment="0" applyProtection="0"/>
    <xf numFmtId="0" fontId="59" fillId="10" borderId="190"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64" fillId="0" borderId="193" applyNumberFormat="0" applyFill="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0" fontId="52" fillId="19" borderId="190"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52" fillId="19" borderId="190" applyNumberFormat="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59" fillId="10" borderId="190" applyNumberFormat="0" applyAlignment="0" applyProtection="0"/>
    <xf numFmtId="0" fontId="52" fillId="19"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3" fillId="0" borderId="0"/>
    <xf numFmtId="0" fontId="3" fillId="0" borderId="0"/>
    <xf numFmtId="44" fontId="3"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59" fillId="10" borderId="190" applyNumberFormat="0" applyAlignment="0" applyProtection="0"/>
    <xf numFmtId="0" fontId="64" fillId="0" borderId="193" applyNumberFormat="0" applyFill="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0" fontId="22" fillId="7" borderId="191" applyNumberFormat="0" applyFont="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8" fontId="31" fillId="0" borderId="0" applyFont="0" applyFill="0" applyBorder="0" applyAlignment="0" applyProtection="0"/>
    <xf numFmtId="44" fontId="14" fillId="0" borderId="0" applyFont="0" applyFill="0" applyBorder="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200"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64" fillId="0" borderId="193" applyNumberFormat="0" applyFill="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3" fillId="0" borderId="0"/>
    <xf numFmtId="0" fontId="3" fillId="0" borderId="0"/>
    <xf numFmtId="44" fontId="3"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2" fillId="7" borderId="191" applyNumberFormat="0" applyFont="0" applyAlignment="0" applyProtection="0"/>
    <xf numFmtId="0" fontId="59" fillId="10" borderId="190" applyNumberFormat="0" applyAlignment="0" applyProtection="0"/>
    <xf numFmtId="0" fontId="62" fillId="19" borderId="209" applyNumberFormat="0" applyAlignment="0" applyProtection="0"/>
    <xf numFmtId="44" fontId="3" fillId="0" borderId="0" applyFont="0" applyFill="0" applyBorder="0" applyAlignment="0" applyProtection="0"/>
    <xf numFmtId="0" fontId="59" fillId="10" borderId="190"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8" fontId="31" fillId="0" borderId="0" applyFont="0" applyFill="0" applyBorder="0" applyAlignment="0" applyProtection="0"/>
    <xf numFmtId="44" fontId="14" fillId="0" borderId="0" applyFont="0" applyFill="0" applyBorder="0" applyAlignment="0" applyProtection="0"/>
    <xf numFmtId="0" fontId="52" fillId="19" borderId="190" applyNumberForma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62" fillId="19" borderId="209" applyNumberForma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64" fillId="0" borderId="193" applyNumberFormat="0" applyFill="0" applyAlignment="0" applyProtection="0"/>
    <xf numFmtId="0" fontId="59" fillId="10" borderId="190" applyNumberForma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59" fillId="10" borderId="190"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44" fontId="22" fillId="0" borderId="0" applyFont="0" applyFill="0" applyBorder="0" applyAlignment="0" applyProtection="0"/>
    <xf numFmtId="0" fontId="62" fillId="19" borderId="192" applyNumberFormat="0" applyAlignment="0" applyProtection="0"/>
    <xf numFmtId="44" fontId="22" fillId="0" borderId="0" applyFont="0" applyFill="0" applyBorder="0" applyAlignment="0" applyProtection="0"/>
    <xf numFmtId="0" fontId="62" fillId="19" borderId="192" applyNumberFormat="0" applyAlignment="0" applyProtection="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52" fillId="19" borderId="190" applyNumberFormat="0" applyAlignment="0" applyProtection="0"/>
    <xf numFmtId="44" fontId="22" fillId="0" borderId="0" applyFont="0" applyFill="0" applyBorder="0" applyAlignment="0" applyProtection="0"/>
    <xf numFmtId="43" fontId="22" fillId="0" borderId="0" applyFont="0" applyFill="0" applyBorder="0" applyAlignment="0" applyProtection="0"/>
    <xf numFmtId="0" fontId="52" fillId="19" borderId="190"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22" fillId="0" borderId="0" applyFont="0" applyFill="0" applyBorder="0" applyAlignment="0" applyProtection="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52" fillId="19" borderId="190" applyNumberFormat="0" applyAlignment="0" applyProtection="0"/>
    <xf numFmtId="44" fontId="3" fillId="0" borderId="0" applyFont="0" applyFill="0" applyBorder="0" applyAlignment="0" applyProtection="0"/>
    <xf numFmtId="0" fontId="52" fillId="19" borderId="190" applyNumberFormat="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59" fillId="10" borderId="190" applyNumberFormat="0" applyAlignment="0" applyProtection="0"/>
    <xf numFmtId="44" fontId="22" fillId="0" borderId="0" applyFont="0" applyFill="0" applyBorder="0" applyAlignment="0" applyProtection="0"/>
    <xf numFmtId="43" fontId="22" fillId="0" borderId="0" applyFont="0" applyFill="0" applyBorder="0" applyAlignment="0" applyProtection="0"/>
    <xf numFmtId="0" fontId="62" fillId="19" borderId="192" applyNumberFormat="0" applyAlignment="0" applyProtection="0"/>
    <xf numFmtId="0" fontId="64" fillId="0" borderId="193" applyNumberFormat="0" applyFill="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2" fillId="7" borderId="191" applyNumberFormat="0" applyFont="0" applyAlignment="0" applyProtection="0"/>
    <xf numFmtId="44" fontId="3" fillId="0" borderId="0" applyFont="0" applyFill="0" applyBorder="0" applyAlignment="0" applyProtection="0"/>
    <xf numFmtId="0" fontId="52" fillId="19" borderId="190" applyNumberFormat="0" applyAlignment="0" applyProtection="0"/>
    <xf numFmtId="0" fontId="64" fillId="0" borderId="193" applyNumberFormat="0" applyFill="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64" fillId="0" borderId="193" applyNumberFormat="0" applyFill="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7" borderId="191" applyNumberFormat="0" applyFont="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8" fontId="31" fillId="0" borderId="0" applyFont="0" applyFill="0" applyBorder="0" applyAlignment="0" applyProtection="0"/>
    <xf numFmtId="44" fontId="22" fillId="0" borderId="0" applyFont="0" applyFill="0" applyBorder="0" applyAlignment="0" applyProtection="0"/>
    <xf numFmtId="44" fontId="14" fillId="0" borderId="0" applyFont="0" applyFill="0" applyBorder="0" applyAlignment="0" applyProtection="0"/>
    <xf numFmtId="0" fontId="52" fillId="19" borderId="190" applyNumberFormat="0" applyAlignment="0" applyProtection="0"/>
    <xf numFmtId="43" fontId="22" fillId="0" borderId="0" applyFont="0" applyFill="0" applyBorder="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43" fontId="22" fillId="0" borderId="0" applyFont="0" applyFill="0" applyBorder="0" applyAlignment="0" applyProtection="0"/>
    <xf numFmtId="0" fontId="59" fillId="10"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64" fillId="0" borderId="193" applyNumberFormat="0" applyFill="0" applyAlignment="0" applyProtection="0"/>
    <xf numFmtId="0" fontId="64" fillId="0" borderId="193" applyNumberFormat="0" applyFill="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44" fontId="22" fillId="0" borderId="0" applyFont="0" applyFill="0" applyBorder="0" applyAlignment="0" applyProtection="0"/>
    <xf numFmtId="0" fontId="52" fillId="19" borderId="190" applyNumberFormat="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64" fillId="0" borderId="193" applyNumberFormat="0" applyFill="0" applyAlignment="0" applyProtection="0"/>
    <xf numFmtId="43" fontId="22" fillId="0" borderId="0" applyFont="0" applyFill="0" applyBorder="0" applyAlignment="0" applyProtection="0"/>
    <xf numFmtId="0" fontId="59" fillId="10" borderId="190" applyNumberFormat="0" applyAlignment="0" applyProtection="0"/>
    <xf numFmtId="43" fontId="22" fillId="0" borderId="0" applyFont="0" applyFill="0" applyBorder="0" applyAlignment="0" applyProtection="0"/>
    <xf numFmtId="44" fontId="22" fillId="0" borderId="0" applyFont="0" applyFill="0" applyBorder="0" applyAlignment="0" applyProtection="0"/>
    <xf numFmtId="0" fontId="62" fillId="19" borderId="192" applyNumberFormat="0" applyAlignment="0" applyProtection="0"/>
    <xf numFmtId="0" fontId="64" fillId="0" borderId="193" applyNumberFormat="0" applyFill="0" applyAlignment="0" applyProtection="0"/>
    <xf numFmtId="43" fontId="22"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62" fillId="19" borderId="192" applyNumberFormat="0" applyAlignment="0" applyProtection="0"/>
    <xf numFmtId="0" fontId="59" fillId="10" borderId="190" applyNumberFormat="0" applyAlignment="0" applyProtection="0"/>
    <xf numFmtId="0" fontId="62" fillId="19" borderId="192" applyNumberFormat="0" applyAlignment="0" applyProtection="0"/>
    <xf numFmtId="44" fontId="3" fillId="0" borderId="0" applyFont="0" applyFill="0" applyBorder="0" applyAlignment="0" applyProtection="0"/>
    <xf numFmtId="0" fontId="52" fillId="19" borderId="190"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7" borderId="191" applyNumberFormat="0" applyFont="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62" fillId="19" borderId="192" applyNumberFormat="0" applyAlignment="0" applyProtection="0"/>
    <xf numFmtId="44" fontId="2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8" fontId="31" fillId="0" borderId="0" applyFont="0" applyFill="0" applyBorder="0" applyAlignment="0" applyProtection="0"/>
    <xf numFmtId="44" fontId="22" fillId="0" borderId="0" applyFont="0" applyFill="0" applyBorder="0" applyAlignment="0" applyProtection="0"/>
    <xf numFmtId="0" fontId="52" fillId="19" borderId="190" applyNumberFormat="0" applyAlignment="0" applyProtection="0"/>
    <xf numFmtId="44" fontId="14" fillId="0" borderId="0" applyFont="0" applyFill="0" applyBorder="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64" fillId="0" borderId="193" applyNumberFormat="0" applyFill="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62" fillId="19" borderId="192" applyNumberFormat="0" applyAlignment="0" applyProtection="0"/>
    <xf numFmtId="0" fontId="64" fillId="0" borderId="193" applyNumberFormat="0" applyFill="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44" fontId="3" fillId="0" borderId="0" applyFont="0" applyFill="0" applyBorder="0" applyAlignment="0" applyProtection="0"/>
    <xf numFmtId="44" fontId="3" fillId="0" borderId="0" applyFont="0" applyFill="0" applyBorder="0" applyAlignment="0" applyProtection="0"/>
    <xf numFmtId="0" fontId="62" fillId="19" borderId="192" applyNumberFormat="0" applyAlignment="0" applyProtection="0"/>
    <xf numFmtId="43" fontId="3" fillId="0" borderId="0" applyFont="0" applyFill="0" applyBorder="0" applyAlignment="0" applyProtection="0"/>
    <xf numFmtId="0" fontId="59" fillId="10" borderId="190" applyNumberFormat="0" applyAlignment="0" applyProtection="0"/>
    <xf numFmtId="0" fontId="62" fillId="19" borderId="192" applyNumberFormat="0" applyAlignment="0" applyProtection="0"/>
    <xf numFmtId="0" fontId="62" fillId="19" borderId="192" applyNumberFormat="0" applyAlignment="0" applyProtection="0"/>
    <xf numFmtId="0" fontId="64" fillId="0" borderId="193" applyNumberFormat="0" applyFill="0" applyAlignment="0" applyProtection="0"/>
    <xf numFmtId="0" fontId="3" fillId="0" borderId="0"/>
    <xf numFmtId="0" fontId="3" fillId="0" borderId="0"/>
    <xf numFmtId="44" fontId="3"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64" fillId="0" borderId="193" applyNumberFormat="0" applyFill="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59" fillId="10" borderId="190" applyNumberFormat="0" applyAlignment="0" applyProtection="0"/>
    <xf numFmtId="44" fontId="3" fillId="0" borderId="0" applyFont="0" applyFill="0" applyBorder="0" applyAlignment="0" applyProtection="0"/>
    <xf numFmtId="0" fontId="62" fillId="19" borderId="192"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0" fontId="59" fillId="10" borderId="190"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8" fontId="31" fillId="0" borderId="0" applyFont="0" applyFill="0" applyBorder="0" applyAlignment="0" applyProtection="0"/>
    <xf numFmtId="44" fontId="22" fillId="0" borderId="0" applyFont="0" applyFill="0" applyBorder="0" applyAlignment="0" applyProtection="0"/>
    <xf numFmtId="0" fontId="59" fillId="10" borderId="190" applyNumberFormat="0" applyAlignment="0" applyProtection="0"/>
    <xf numFmtId="44" fontId="14" fillId="0" borderId="0" applyFont="0" applyFill="0" applyBorder="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59" fillId="10" borderId="190" applyNumberForma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59" fillId="10"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59" fillId="10" borderId="190"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3" fillId="0" borderId="0"/>
    <xf numFmtId="0" fontId="3" fillId="0" borderId="0"/>
    <xf numFmtId="44" fontId="3"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2" fillId="7" borderId="191" applyNumberFormat="0" applyFont="0" applyAlignment="0" applyProtection="0"/>
    <xf numFmtId="44" fontId="3" fillId="0" borderId="0" applyFont="0" applyFill="0" applyBorder="0" applyAlignment="0" applyProtection="0"/>
    <xf numFmtId="0" fontId="22" fillId="7" borderId="191" applyNumberFormat="0" applyFont="0" applyAlignment="0" applyProtection="0"/>
    <xf numFmtId="0" fontId="22" fillId="7" borderId="191" applyNumberFormat="0" applyFon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 fillId="0" borderId="0"/>
    <xf numFmtId="4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8" fontId="31" fillId="0" borderId="0" applyFont="0" applyFill="0" applyBorder="0" applyAlignment="0" applyProtection="0"/>
    <xf numFmtId="0" fontId="59" fillId="10" borderId="190" applyNumberFormat="0" applyAlignment="0" applyProtection="0"/>
    <xf numFmtId="44" fontId="14" fillId="0" borderId="0" applyFont="0" applyFill="0" applyBorder="0" applyAlignment="0" applyProtection="0"/>
    <xf numFmtId="0" fontId="52" fillId="19"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62" fillId="19" borderId="192" applyNumberFormat="0" applyAlignment="0" applyProtection="0"/>
    <xf numFmtId="0" fontId="62" fillId="19" borderId="192" applyNumberFormat="0" applyAlignment="0" applyProtection="0"/>
    <xf numFmtId="0" fontId="64" fillId="0" borderId="193" applyNumberFormat="0" applyFill="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64" fillId="0" borderId="193" applyNumberFormat="0" applyFill="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64" fillId="0" borderId="193" applyNumberFormat="0" applyFill="0" applyAlignment="0" applyProtection="0"/>
    <xf numFmtId="0" fontId="64" fillId="0" borderId="193" applyNumberFormat="0" applyFill="0" applyAlignment="0" applyProtection="0"/>
    <xf numFmtId="0" fontId="64" fillId="0" borderId="193" applyNumberFormat="0" applyFill="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62" fillId="19" borderId="192" applyNumberFormat="0" applyAlignment="0" applyProtection="0"/>
    <xf numFmtId="0" fontId="3" fillId="0" borderId="0"/>
    <xf numFmtId="44" fontId="3" fillId="0" borderId="0" applyFont="0" applyFill="0" applyBorder="0" applyAlignment="0" applyProtection="0"/>
    <xf numFmtId="0" fontId="59" fillId="10" borderId="190" applyNumberFormat="0" applyAlignment="0" applyProtection="0"/>
    <xf numFmtId="9"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14"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64" fillId="0" borderId="193" applyNumberFormat="0" applyFill="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64" fillId="0" borderId="193" applyNumberFormat="0" applyFill="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4" fillId="0" borderId="0" applyFont="0" applyFill="0" applyBorder="0" applyAlignment="0" applyProtection="0"/>
    <xf numFmtId="0" fontId="59" fillId="10" borderId="207" applyNumberFormat="0" applyAlignment="0" applyProtection="0"/>
    <xf numFmtId="0" fontId="62" fillId="19" borderId="192" applyNumberFormat="0" applyAlignment="0" applyProtection="0"/>
    <xf numFmtId="43" fontId="22" fillId="0" borderId="0" applyFont="0" applyFill="0" applyBorder="0" applyAlignment="0" applyProtection="0"/>
    <xf numFmtId="44" fontId="22"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52" fillId="19" borderId="190" applyNumberFormat="0" applyAlignment="0" applyProtection="0"/>
    <xf numFmtId="44" fontId="3" fillId="0" borderId="0" applyFont="0" applyFill="0" applyBorder="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52" fillId="19" borderId="190" applyNumberFormat="0" applyAlignment="0" applyProtection="0"/>
    <xf numFmtId="0" fontId="64" fillId="0" borderId="206" applyNumberFormat="0" applyFill="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52" fillId="19"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62" fillId="19" borderId="192" applyNumberFormat="0" applyAlignment="0" applyProtection="0"/>
    <xf numFmtId="0" fontId="3" fillId="0" borderId="0"/>
    <xf numFmtId="44" fontId="3" fillId="0" borderId="0" applyFont="0" applyFill="0" applyBorder="0" applyAlignment="0" applyProtection="0"/>
    <xf numFmtId="0" fontId="59" fillId="10" borderId="190" applyNumberFormat="0" applyAlignment="0" applyProtection="0"/>
    <xf numFmtId="9" fontId="3" fillId="0" borderId="0" applyFont="0" applyFill="0" applyBorder="0" applyAlignment="0" applyProtection="0"/>
    <xf numFmtId="0" fontId="3" fillId="0" borderId="0"/>
    <xf numFmtId="0" fontId="22" fillId="7" borderId="191"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64" fillId="0" borderId="193" applyNumberFormat="0" applyFill="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59" fillId="10" borderId="199" applyNumberFormat="0" applyAlignment="0" applyProtection="0"/>
    <xf numFmtId="0" fontId="62" fillId="19" borderId="192" applyNumberFormat="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22" fillId="7" borderId="191" applyNumberFormat="0" applyFont="0" applyAlignment="0" applyProtection="0"/>
    <xf numFmtId="44" fontId="3" fillId="0" borderId="0" applyFont="0" applyFill="0" applyBorder="0" applyAlignment="0" applyProtection="0"/>
    <xf numFmtId="0" fontId="64" fillId="0" borderId="193" applyNumberFormat="0" applyFill="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64" fillId="0" borderId="202" applyNumberFormat="0" applyFill="0" applyAlignment="0" applyProtection="0"/>
    <xf numFmtId="44" fontId="22"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64" fillId="0" borderId="193" applyNumberFormat="0" applyFill="0" applyAlignment="0" applyProtection="0"/>
    <xf numFmtId="0" fontId="64" fillId="0" borderId="193" applyNumberFormat="0" applyFill="0" applyAlignment="0" applyProtection="0"/>
    <xf numFmtId="0" fontId="62" fillId="19" borderId="192" applyNumberFormat="0" applyAlignment="0" applyProtection="0"/>
    <xf numFmtId="0" fontId="22" fillId="7" borderId="191" applyNumberFormat="0" applyFont="0" applyAlignment="0" applyProtection="0"/>
    <xf numFmtId="0" fontId="62" fillId="19" borderId="192" applyNumberFormat="0" applyAlignment="0" applyProtection="0"/>
    <xf numFmtId="0" fontId="62" fillId="19" borderId="192" applyNumberFormat="0" applyAlignment="0" applyProtection="0"/>
    <xf numFmtId="0" fontId="52" fillId="19"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59" fillId="10" borderId="190"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52" fillId="19"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22" fillId="7" borderId="191" applyNumberFormat="0" applyFont="0" applyAlignment="0" applyProtection="0"/>
    <xf numFmtId="0" fontId="62" fillId="19" borderId="192" applyNumberFormat="0" applyAlignment="0" applyProtection="0"/>
    <xf numFmtId="0" fontId="59" fillId="10" borderId="190" applyNumberFormat="0" applyAlignment="0" applyProtection="0"/>
    <xf numFmtId="0" fontId="62" fillId="19" borderId="192"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202" applyNumberFormat="0" applyFill="0" applyAlignment="0" applyProtection="0"/>
    <xf numFmtId="0" fontId="64" fillId="0" borderId="193" applyNumberFormat="0" applyFill="0" applyAlignment="0" applyProtection="0"/>
    <xf numFmtId="0" fontId="62" fillId="19" borderId="192" applyNumberFormat="0" applyAlignment="0" applyProtection="0"/>
    <xf numFmtId="0" fontId="52" fillId="19" borderId="190" applyNumberFormat="0" applyAlignment="0" applyProtection="0"/>
    <xf numFmtId="0" fontId="22" fillId="7" borderId="191" applyNumberFormat="0" applyFon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62" fillId="19" borderId="192" applyNumberFormat="0" applyAlignment="0" applyProtection="0"/>
    <xf numFmtId="0" fontId="52" fillId="19"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208"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22" fillId="7" borderId="191" applyNumberFormat="0" applyFont="0" applyAlignment="0" applyProtection="0"/>
    <xf numFmtId="0" fontId="59" fillId="10" borderId="190" applyNumberFormat="0" applyAlignment="0" applyProtection="0"/>
    <xf numFmtId="0" fontId="59" fillId="10"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59" fillId="10"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52" fillId="19" borderId="190" applyNumberFormat="0" applyAlignment="0" applyProtection="0"/>
    <xf numFmtId="0" fontId="64" fillId="0" borderId="206" applyNumberFormat="0" applyFill="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59" fillId="10" borderId="190" applyNumberFormat="0" applyAlignment="0" applyProtection="0"/>
    <xf numFmtId="0" fontId="59" fillId="10" borderId="190" applyNumberFormat="0" applyAlignment="0" applyProtection="0"/>
    <xf numFmtId="0" fontId="62" fillId="19" borderId="192" applyNumberFormat="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62" fillId="19" borderId="192" applyNumberFormat="0" applyAlignment="0" applyProtection="0"/>
    <xf numFmtId="0" fontId="52" fillId="19" borderId="190"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9" fillId="10" borderId="190" applyNumberFormat="0" applyAlignment="0" applyProtection="0"/>
    <xf numFmtId="0" fontId="62" fillId="19" borderId="192" applyNumberFormat="0" applyAlignment="0" applyProtection="0"/>
    <xf numFmtId="0" fontId="59" fillId="10"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59" fillId="10" borderId="190" applyNumberFormat="0" applyAlignment="0" applyProtection="0"/>
    <xf numFmtId="0" fontId="59" fillId="10" borderId="190" applyNumberFormat="0" applyAlignment="0" applyProtection="0"/>
    <xf numFmtId="0" fontId="64" fillId="0" borderId="210" applyNumberFormat="0" applyFill="0" applyAlignment="0" applyProtection="0"/>
    <xf numFmtId="0" fontId="59" fillId="10" borderId="190" applyNumberFormat="0" applyAlignment="0" applyProtection="0"/>
    <xf numFmtId="0" fontId="59" fillId="10"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52" fillId="19" borderId="190" applyNumberFormat="0" applyAlignment="0" applyProtection="0"/>
    <xf numFmtId="0" fontId="22" fillId="7" borderId="191" applyNumberFormat="0" applyFont="0" applyAlignment="0" applyProtection="0"/>
    <xf numFmtId="0" fontId="59" fillId="10"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64" fillId="0" borderId="193" applyNumberFormat="0" applyFill="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52" fillId="19" borderId="190" applyNumberFormat="0" applyAlignment="0" applyProtection="0"/>
    <xf numFmtId="0" fontId="22" fillId="7" borderId="191" applyNumberFormat="0" applyFont="0" applyAlignment="0" applyProtection="0"/>
    <xf numFmtId="0" fontId="59" fillId="10"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52" fillId="19"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62" fillId="19" borderId="192" applyNumberFormat="0" applyAlignment="0" applyProtection="0"/>
    <xf numFmtId="0" fontId="62" fillId="19" borderId="192"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52" fillId="19" borderId="190" applyNumberFormat="0" applyAlignment="0" applyProtection="0"/>
    <xf numFmtId="0" fontId="59" fillId="10" borderId="190" applyNumberFormat="0" applyAlignment="0" applyProtection="0"/>
    <xf numFmtId="0" fontId="62" fillId="19" borderId="192" applyNumberFormat="0" applyAlignment="0" applyProtection="0"/>
    <xf numFmtId="0" fontId="64" fillId="0" borderId="206" applyNumberFormat="0" applyFill="0" applyAlignment="0" applyProtection="0"/>
    <xf numFmtId="0" fontId="64" fillId="0" borderId="193" applyNumberFormat="0" applyFill="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59" fillId="10"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59" fillId="10" borderId="190" applyNumberFormat="0" applyAlignment="0" applyProtection="0"/>
    <xf numFmtId="0" fontId="62" fillId="19" borderId="205" applyNumberFormat="0" applyAlignment="0" applyProtection="0"/>
    <xf numFmtId="0" fontId="64" fillId="0" borderId="193" applyNumberFormat="0" applyFill="0" applyAlignment="0" applyProtection="0"/>
    <xf numFmtId="0" fontId="52" fillId="19" borderId="190"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62" fillId="19" borderId="192" applyNumberFormat="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64" fillId="0" borderId="206" applyNumberFormat="0" applyFill="0" applyAlignment="0" applyProtection="0"/>
    <xf numFmtId="0" fontId="52" fillId="19"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59" fillId="10" borderId="190" applyNumberFormat="0" applyAlignment="0" applyProtection="0"/>
    <xf numFmtId="0" fontId="59" fillId="10" borderId="190" applyNumberFormat="0" applyAlignment="0" applyProtection="0"/>
    <xf numFmtId="0" fontId="62" fillId="19" borderId="192" applyNumberFormat="0" applyAlignment="0" applyProtection="0"/>
    <xf numFmtId="0" fontId="59" fillId="10" borderId="190" applyNumberFormat="0" applyAlignment="0" applyProtection="0"/>
    <xf numFmtId="0" fontId="62" fillId="19" borderId="192" applyNumberFormat="0" applyAlignment="0" applyProtection="0"/>
    <xf numFmtId="0" fontId="22" fillId="7" borderId="191" applyNumberFormat="0" applyFont="0" applyAlignment="0" applyProtection="0"/>
    <xf numFmtId="0" fontId="52" fillId="19"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59" fillId="10" borderId="190" applyNumberFormat="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9" fillId="10" borderId="190" applyNumberFormat="0" applyAlignment="0" applyProtection="0"/>
    <xf numFmtId="0" fontId="64" fillId="0" borderId="193" applyNumberFormat="0" applyFill="0" applyAlignment="0" applyProtection="0"/>
    <xf numFmtId="0" fontId="62" fillId="19" borderId="192" applyNumberFormat="0" applyAlignment="0" applyProtection="0"/>
    <xf numFmtId="0" fontId="52" fillId="19"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59" fillId="10" borderId="190"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205" applyNumberFormat="0" applyAlignment="0" applyProtection="0"/>
    <xf numFmtId="0" fontId="22" fillId="7" borderId="191" applyNumberFormat="0" applyFont="0" applyAlignment="0" applyProtection="0"/>
    <xf numFmtId="0" fontId="62" fillId="19" borderId="192" applyNumberFormat="0" applyAlignment="0" applyProtection="0"/>
    <xf numFmtId="0" fontId="52" fillId="19"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22" fillId="7" borderId="191" applyNumberFormat="0" applyFont="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62" fillId="19" borderId="192" applyNumberFormat="0" applyAlignment="0" applyProtection="0"/>
    <xf numFmtId="0" fontId="52" fillId="19"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52" fillId="19" borderId="190" applyNumberFormat="0" applyAlignment="0" applyProtection="0"/>
    <xf numFmtId="0" fontId="22" fillId="7" borderId="191" applyNumberFormat="0" applyFont="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62" fillId="19" borderId="192" applyNumberFormat="0" applyAlignment="0" applyProtection="0"/>
    <xf numFmtId="0" fontId="22" fillId="7" borderId="191" applyNumberFormat="0" applyFont="0" applyAlignment="0" applyProtection="0"/>
    <xf numFmtId="0" fontId="52" fillId="19" borderId="190" applyNumberForma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62" fillId="19" borderId="192" applyNumberFormat="0" applyAlignment="0" applyProtection="0"/>
    <xf numFmtId="0" fontId="22" fillId="7" borderId="191" applyNumberFormat="0" applyFon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59" fillId="10"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59" fillId="10" borderId="190" applyNumberFormat="0" applyAlignment="0" applyProtection="0"/>
    <xf numFmtId="0" fontId="59" fillId="10" borderId="190" applyNumberFormat="0" applyAlignment="0" applyProtection="0"/>
    <xf numFmtId="0" fontId="62" fillId="19" borderId="192" applyNumberFormat="0" applyAlignment="0" applyProtection="0"/>
    <xf numFmtId="0" fontId="62" fillId="19" borderId="192" applyNumberFormat="0" applyAlignment="0" applyProtection="0"/>
    <xf numFmtId="0" fontId="64" fillId="0" borderId="193" applyNumberFormat="0" applyFill="0" applyAlignment="0" applyProtection="0"/>
    <xf numFmtId="0" fontId="59" fillId="10" borderId="190" applyNumberFormat="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22" fillId="7" borderId="191" applyNumberFormat="0" applyFont="0" applyAlignment="0" applyProtection="0"/>
    <xf numFmtId="0" fontId="59" fillId="10" borderId="190"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59" fillId="10" borderId="207" applyNumberFormat="0" applyAlignment="0" applyProtection="0"/>
    <xf numFmtId="0" fontId="59" fillId="10"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22" fillId="7" borderId="191" applyNumberFormat="0" applyFont="0" applyAlignment="0" applyProtection="0"/>
    <xf numFmtId="0" fontId="22" fillId="7" borderId="191" applyNumberFormat="0" applyFon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64" fillId="0" borderId="193" applyNumberFormat="0" applyFill="0" applyAlignment="0" applyProtection="0"/>
    <xf numFmtId="0" fontId="62" fillId="19" borderId="192" applyNumberFormat="0" applyAlignment="0" applyProtection="0"/>
    <xf numFmtId="0" fontId="22" fillId="7" borderId="191" applyNumberFormat="0" applyFon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59" fillId="10" borderId="190" applyNumberFormat="0" applyAlignment="0" applyProtection="0"/>
    <xf numFmtId="0" fontId="52" fillId="19" borderId="190" applyNumberFormat="0" applyAlignment="0" applyProtection="0"/>
    <xf numFmtId="0" fontId="62" fillId="19" borderId="192"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62" fillId="19" borderId="192" applyNumberFormat="0" applyAlignment="0" applyProtection="0"/>
    <xf numFmtId="0" fontId="22" fillId="7" borderId="191" applyNumberFormat="0" applyFont="0" applyAlignment="0" applyProtection="0"/>
    <xf numFmtId="0" fontId="59" fillId="10" borderId="190"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64" fillId="0" borderId="193" applyNumberFormat="0" applyFill="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59" fillId="10" borderId="190"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62" fillId="19" borderId="192" applyNumberFormat="0" applyAlignment="0" applyProtection="0"/>
    <xf numFmtId="0" fontId="62" fillId="19" borderId="192" applyNumberFormat="0" applyAlignment="0" applyProtection="0"/>
    <xf numFmtId="0" fontId="62" fillId="19" borderId="192" applyNumberFormat="0" applyAlignment="0" applyProtection="0"/>
    <xf numFmtId="0" fontId="62" fillId="19" borderId="192" applyNumberFormat="0" applyAlignment="0" applyProtection="0"/>
    <xf numFmtId="0" fontId="52" fillId="19" borderId="190"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2" fillId="19" borderId="207"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52" fillId="19"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59" fillId="10"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59" fillId="10" borderId="190" applyNumberFormat="0" applyAlignment="0" applyProtection="0"/>
    <xf numFmtId="0" fontId="22" fillId="7" borderId="191" applyNumberFormat="0" applyFont="0" applyAlignment="0" applyProtection="0"/>
    <xf numFmtId="0" fontId="59" fillId="10" borderId="190" applyNumberForma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62" fillId="19" borderId="192"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62" fillId="19" borderId="192" applyNumberFormat="0" applyAlignment="0" applyProtection="0"/>
    <xf numFmtId="0" fontId="22" fillId="7" borderId="191" applyNumberFormat="0" applyFont="0" applyAlignment="0" applyProtection="0"/>
    <xf numFmtId="0" fontId="52" fillId="19"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62" fillId="19" borderId="192" applyNumberFormat="0" applyAlignment="0" applyProtection="0"/>
    <xf numFmtId="0" fontId="52" fillId="19"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59" fillId="10" borderId="190" applyNumberFormat="0" applyAlignment="0" applyProtection="0"/>
    <xf numFmtId="0" fontId="52" fillId="19" borderId="207" applyNumberFormat="0" applyAlignment="0" applyProtection="0"/>
    <xf numFmtId="0" fontId="59" fillId="10" borderId="190" applyNumberFormat="0" applyAlignment="0" applyProtection="0"/>
    <xf numFmtId="0" fontId="62" fillId="19" borderId="192" applyNumberFormat="0" applyAlignment="0" applyProtection="0"/>
    <xf numFmtId="0" fontId="22" fillId="7" borderId="191" applyNumberFormat="0" applyFont="0" applyAlignment="0" applyProtection="0"/>
    <xf numFmtId="0" fontId="59" fillId="10"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59" fillId="10"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52" fillId="19" borderId="207"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4" fillId="0" borderId="193" applyNumberFormat="0" applyFill="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52" fillId="19"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2" fillId="19" borderId="192" applyNumberFormat="0" applyAlignment="0" applyProtection="0"/>
    <xf numFmtId="0" fontId="62" fillId="19" borderId="192" applyNumberFormat="0" applyAlignment="0" applyProtection="0"/>
    <xf numFmtId="0" fontId="22" fillId="7" borderId="191" applyNumberFormat="0" applyFon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59" fillId="10" borderId="190" applyNumberForma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62" fillId="19" borderId="192" applyNumberFormat="0" applyAlignment="0" applyProtection="0"/>
    <xf numFmtId="0" fontId="62" fillId="19" borderId="192" applyNumberFormat="0" applyAlignment="0" applyProtection="0"/>
    <xf numFmtId="0" fontId="22" fillId="7" borderId="191" applyNumberFormat="0" applyFont="0" applyAlignment="0" applyProtection="0"/>
    <xf numFmtId="0" fontId="62" fillId="19" borderId="192" applyNumberFormat="0" applyAlignment="0" applyProtection="0"/>
    <xf numFmtId="0" fontId="62" fillId="19" borderId="209" applyNumberFormat="0" applyAlignment="0" applyProtection="0"/>
    <xf numFmtId="0" fontId="62" fillId="19" borderId="192" applyNumberFormat="0" applyAlignment="0" applyProtection="0"/>
    <xf numFmtId="0" fontId="62" fillId="19" borderId="192"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2" fillId="19" borderId="192" applyNumberFormat="0" applyAlignment="0" applyProtection="0"/>
    <xf numFmtId="0" fontId="59" fillId="10" borderId="190" applyNumberFormat="0" applyAlignment="0" applyProtection="0"/>
    <xf numFmtId="0" fontId="59" fillId="10"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62" fillId="19" borderId="192" applyNumberFormat="0" applyAlignment="0" applyProtection="0"/>
    <xf numFmtId="0" fontId="22" fillId="7" borderId="191" applyNumberFormat="0" applyFont="0" applyAlignment="0" applyProtection="0"/>
    <xf numFmtId="0" fontId="62" fillId="19" borderId="192"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52" fillId="19" borderId="190" applyNumberFormat="0" applyAlignment="0" applyProtection="0"/>
    <xf numFmtId="0" fontId="59" fillId="10" borderId="207" applyNumberFormat="0" applyAlignment="0" applyProtection="0"/>
    <xf numFmtId="0" fontId="52" fillId="19" borderId="190" applyNumberFormat="0" applyAlignment="0" applyProtection="0"/>
    <xf numFmtId="0" fontId="59" fillId="10" borderId="190" applyNumberFormat="0" applyAlignment="0" applyProtection="0"/>
    <xf numFmtId="0" fontId="62" fillId="19" borderId="192"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52" fillId="19"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62" fillId="19" borderId="192" applyNumberFormat="0" applyAlignment="0" applyProtection="0"/>
    <xf numFmtId="0" fontId="62" fillId="19" borderId="192" applyNumberFormat="0" applyAlignment="0" applyProtection="0"/>
    <xf numFmtId="0" fontId="62" fillId="19" borderId="192" applyNumberFormat="0" applyAlignment="0" applyProtection="0"/>
    <xf numFmtId="0" fontId="64" fillId="0" borderId="193" applyNumberFormat="0" applyFill="0" applyAlignment="0" applyProtection="0"/>
    <xf numFmtId="0" fontId="59" fillId="10" borderId="190" applyNumberFormat="0" applyAlignment="0" applyProtection="0"/>
    <xf numFmtId="0" fontId="22" fillId="7" borderId="191" applyNumberFormat="0" applyFon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22" fillId="7" borderId="191" applyNumberFormat="0" applyFon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2" fillId="19" borderId="192" applyNumberFormat="0" applyAlignment="0" applyProtection="0"/>
    <xf numFmtId="0" fontId="52" fillId="19" borderId="190" applyNumberFormat="0" applyAlignment="0" applyProtection="0"/>
    <xf numFmtId="0" fontId="59" fillId="10" borderId="190" applyNumberFormat="0" applyAlignment="0" applyProtection="0"/>
    <xf numFmtId="0" fontId="62" fillId="19" borderId="192" applyNumberFormat="0" applyAlignment="0" applyProtection="0"/>
    <xf numFmtId="0" fontId="22" fillId="7" borderId="191" applyNumberFormat="0" applyFon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64" fillId="0" borderId="193" applyNumberFormat="0" applyFill="0" applyAlignment="0" applyProtection="0"/>
    <xf numFmtId="0" fontId="62" fillId="19" borderId="192"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62" fillId="19" borderId="192" applyNumberFormat="0" applyAlignment="0" applyProtection="0"/>
    <xf numFmtId="0" fontId="52" fillId="19" borderId="190" applyNumberFormat="0" applyAlignment="0" applyProtection="0"/>
    <xf numFmtId="0" fontId="62" fillId="19" borderId="192" applyNumberForma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52" fillId="19" borderId="190"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52" fillId="19"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62" fillId="19" borderId="192" applyNumberFormat="0" applyAlignment="0" applyProtection="0"/>
    <xf numFmtId="0" fontId="22" fillId="7" borderId="191" applyNumberFormat="0" applyFont="0" applyAlignment="0" applyProtection="0"/>
    <xf numFmtId="0" fontId="62" fillId="19" borderId="192" applyNumberFormat="0" applyAlignment="0" applyProtection="0"/>
    <xf numFmtId="0" fontId="62" fillId="19" borderId="192" applyNumberFormat="0" applyAlignment="0" applyProtection="0"/>
    <xf numFmtId="0" fontId="62" fillId="19" borderId="192" applyNumberFormat="0" applyAlignment="0" applyProtection="0"/>
    <xf numFmtId="0" fontId="22" fillId="7" borderId="191" applyNumberFormat="0" applyFont="0" applyAlignment="0" applyProtection="0"/>
    <xf numFmtId="0" fontId="52" fillId="19" borderId="190"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52" fillId="19"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64" fillId="0" borderId="193" applyNumberFormat="0" applyFill="0" applyAlignment="0" applyProtection="0"/>
    <xf numFmtId="0" fontId="59" fillId="10"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62" fillId="19" borderId="192" applyNumberFormat="0" applyAlignment="0" applyProtection="0"/>
    <xf numFmtId="0" fontId="59" fillId="10" borderId="207" applyNumberFormat="0" applyAlignment="0" applyProtection="0"/>
    <xf numFmtId="0" fontId="22" fillId="7" borderId="191" applyNumberFormat="0" applyFont="0" applyAlignment="0" applyProtection="0"/>
    <xf numFmtId="0" fontId="52" fillId="19" borderId="207" applyNumberFormat="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62" fillId="19" borderId="192"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205" applyNumberFormat="0" applyAlignment="0" applyProtection="0"/>
    <xf numFmtId="0" fontId="62" fillId="19" borderId="192" applyNumberFormat="0" applyAlignment="0" applyProtection="0"/>
    <xf numFmtId="0" fontId="64" fillId="0" borderId="193" applyNumberFormat="0" applyFill="0" applyAlignment="0" applyProtection="0"/>
    <xf numFmtId="0" fontId="59" fillId="10" borderId="190" applyNumberFormat="0" applyAlignment="0" applyProtection="0"/>
    <xf numFmtId="0" fontId="64" fillId="0" borderId="193" applyNumberFormat="0" applyFill="0" applyAlignment="0" applyProtection="0"/>
    <xf numFmtId="0" fontId="62" fillId="19" borderId="192" applyNumberFormat="0" applyAlignment="0" applyProtection="0"/>
    <xf numFmtId="0" fontId="22" fillId="7" borderId="191" applyNumberFormat="0" applyFont="0" applyAlignment="0" applyProtection="0"/>
    <xf numFmtId="0" fontId="52" fillId="19"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22" fillId="7" borderId="191" applyNumberFormat="0" applyFont="0" applyAlignment="0" applyProtection="0"/>
    <xf numFmtId="0" fontId="62" fillId="19" borderId="192"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2" fillId="19" borderId="205" applyNumberFormat="0" applyAlignment="0" applyProtection="0"/>
    <xf numFmtId="0" fontId="64" fillId="0" borderId="210"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52" fillId="19"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22" fillId="7" borderId="191" applyNumberFormat="0" applyFont="0" applyAlignment="0" applyProtection="0"/>
    <xf numFmtId="0" fontId="52" fillId="19" borderId="190" applyNumberFormat="0" applyAlignment="0" applyProtection="0"/>
    <xf numFmtId="0" fontId="22" fillId="7" borderId="191" applyNumberFormat="0" applyFon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22" fillId="7" borderId="200" applyNumberFormat="0" applyFont="0" applyAlignment="0" applyProtection="0"/>
    <xf numFmtId="0" fontId="62" fillId="19" borderId="192" applyNumberFormat="0" applyAlignment="0" applyProtection="0"/>
    <xf numFmtId="0" fontId="59" fillId="10" borderId="190" applyNumberFormat="0" applyAlignment="0" applyProtection="0"/>
    <xf numFmtId="0" fontId="62" fillId="19" borderId="192" applyNumberFormat="0" applyAlignment="0" applyProtection="0"/>
    <xf numFmtId="0" fontId="59" fillId="10" borderId="190"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52" fillId="19"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52" fillId="19" borderId="190" applyNumberFormat="0" applyAlignment="0" applyProtection="0"/>
    <xf numFmtId="0" fontId="64" fillId="0" borderId="193" applyNumberFormat="0" applyFill="0" applyAlignment="0" applyProtection="0"/>
    <xf numFmtId="0" fontId="62" fillId="19" borderId="192" applyNumberFormat="0" applyAlignment="0" applyProtection="0"/>
    <xf numFmtId="0" fontId="52" fillId="19"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64" fillId="0" borderId="193" applyNumberFormat="0" applyFill="0" applyAlignment="0" applyProtection="0"/>
    <xf numFmtId="0" fontId="62" fillId="19" borderId="192" applyNumberFormat="0" applyAlignment="0" applyProtection="0"/>
    <xf numFmtId="0" fontId="64" fillId="0" borderId="193" applyNumberFormat="0" applyFill="0" applyAlignment="0" applyProtection="0"/>
    <xf numFmtId="0" fontId="59" fillId="10" borderId="190"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59" fillId="10" borderId="190" applyNumberFormat="0" applyAlignment="0" applyProtection="0"/>
    <xf numFmtId="0" fontId="59" fillId="10"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52" fillId="19"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22" fillId="7" borderId="191" applyNumberFormat="0" applyFont="0" applyAlignment="0" applyProtection="0"/>
    <xf numFmtId="0" fontId="59" fillId="10"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59" fillId="10" borderId="190" applyNumberFormat="0" applyAlignment="0" applyProtection="0"/>
    <xf numFmtId="0" fontId="52" fillId="19" borderId="190" applyNumberFormat="0" applyAlignment="0" applyProtection="0"/>
    <xf numFmtId="0" fontId="59" fillId="10"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22" fillId="7" borderId="191" applyNumberFormat="0" applyFont="0" applyAlignment="0" applyProtection="0"/>
    <xf numFmtId="0" fontId="52" fillId="19" borderId="190" applyNumberFormat="0" applyAlignment="0" applyProtection="0"/>
    <xf numFmtId="0" fontId="64" fillId="0" borderId="193" applyNumberFormat="0" applyFill="0" applyAlignment="0" applyProtection="0"/>
    <xf numFmtId="0" fontId="62" fillId="19" borderId="192"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2" fillId="19" borderId="192" applyNumberFormat="0" applyAlignment="0" applyProtection="0"/>
    <xf numFmtId="0" fontId="52" fillId="19"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59" fillId="10" borderId="190" applyNumberFormat="0" applyAlignment="0" applyProtection="0"/>
    <xf numFmtId="0" fontId="64" fillId="0" borderId="193" applyNumberFormat="0" applyFill="0" applyAlignment="0" applyProtection="0"/>
    <xf numFmtId="0" fontId="64" fillId="0" borderId="210" applyNumberFormat="0" applyFill="0" applyAlignment="0" applyProtection="0"/>
    <xf numFmtId="0" fontId="52" fillId="19"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2" fillId="19" borderId="192" applyNumberFormat="0" applyAlignment="0" applyProtection="0"/>
    <xf numFmtId="0" fontId="59" fillId="10" borderId="190"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22" fillId="7" borderId="191" applyNumberFormat="0" applyFont="0" applyAlignment="0" applyProtection="0"/>
    <xf numFmtId="0" fontId="62" fillId="19" borderId="192"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62" fillId="19" borderId="192" applyNumberFormat="0" applyAlignment="0" applyProtection="0"/>
    <xf numFmtId="0" fontId="52" fillId="19" borderId="190" applyNumberFormat="0" applyAlignment="0" applyProtection="0"/>
    <xf numFmtId="0" fontId="64" fillId="0" borderId="210" applyNumberFormat="0" applyFill="0" applyAlignment="0" applyProtection="0"/>
    <xf numFmtId="0" fontId="64" fillId="0" borderId="202" applyNumberFormat="0" applyFill="0" applyAlignment="0" applyProtection="0"/>
    <xf numFmtId="0" fontId="62" fillId="19" borderId="192" applyNumberFormat="0" applyAlignment="0" applyProtection="0"/>
    <xf numFmtId="0" fontId="64" fillId="0" borderId="193" applyNumberFormat="0" applyFill="0" applyAlignment="0" applyProtection="0"/>
    <xf numFmtId="0" fontId="59" fillId="10" borderId="190"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59" fillId="10"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52" fillId="19" borderId="190" applyNumberFormat="0" applyAlignment="0" applyProtection="0"/>
    <xf numFmtId="0" fontId="22" fillId="7" borderId="191" applyNumberFormat="0" applyFon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62" fillId="19" borderId="192" applyNumberFormat="0" applyAlignment="0" applyProtection="0"/>
    <xf numFmtId="0" fontId="62" fillId="19" borderId="205" applyNumberFormat="0" applyAlignment="0" applyProtection="0"/>
    <xf numFmtId="0" fontId="59" fillId="10" borderId="190" applyNumberFormat="0" applyAlignment="0" applyProtection="0"/>
    <xf numFmtId="0" fontId="62" fillId="19" borderId="192" applyNumberFormat="0" applyAlignment="0" applyProtection="0"/>
    <xf numFmtId="0" fontId="59" fillId="10" borderId="190" applyNumberFormat="0" applyAlignment="0" applyProtection="0"/>
    <xf numFmtId="0" fontId="62" fillId="19" borderId="192"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22" fillId="7" borderId="191" applyNumberFormat="0" applyFont="0" applyAlignment="0" applyProtection="0"/>
    <xf numFmtId="0" fontId="64" fillId="0" borderId="206"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52" fillId="19" borderId="190" applyNumberForma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62" fillId="19" borderId="205" applyNumberFormat="0" applyAlignment="0" applyProtection="0"/>
    <xf numFmtId="0" fontId="52" fillId="19" borderId="190"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62" fillId="19" borderId="192" applyNumberFormat="0" applyAlignment="0" applyProtection="0"/>
    <xf numFmtId="0" fontId="62" fillId="19" borderId="192" applyNumberFormat="0" applyAlignment="0" applyProtection="0"/>
    <xf numFmtId="0" fontId="52" fillId="19" borderId="207" applyNumberFormat="0" applyAlignment="0" applyProtection="0"/>
    <xf numFmtId="0" fontId="59" fillId="10"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59" fillId="10"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2" fillId="19"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64" fillId="0" borderId="193" applyNumberFormat="0" applyFill="0" applyAlignment="0" applyProtection="0"/>
    <xf numFmtId="0" fontId="64" fillId="0" borderId="193" applyNumberFormat="0" applyFill="0" applyAlignment="0" applyProtection="0"/>
    <xf numFmtId="0" fontId="62" fillId="19" borderId="192"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62" fillId="19" borderId="192" applyNumberFormat="0" applyAlignment="0" applyProtection="0"/>
    <xf numFmtId="0" fontId="52" fillId="19" borderId="190" applyNumberFormat="0" applyAlignment="0" applyProtection="0"/>
    <xf numFmtId="0" fontId="59" fillId="10"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22" fillId="7" borderId="191" applyNumberFormat="0" applyFont="0" applyAlignment="0" applyProtection="0"/>
    <xf numFmtId="0" fontId="62" fillId="19" borderId="192"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52" fillId="19" borderId="190" applyNumberFormat="0" applyAlignment="0" applyProtection="0"/>
    <xf numFmtId="0" fontId="52" fillId="19" borderId="190" applyNumberFormat="0" applyAlignment="0" applyProtection="0"/>
    <xf numFmtId="0" fontId="62" fillId="19" borderId="192"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4" fillId="0" borderId="193" applyNumberFormat="0" applyFill="0" applyAlignment="0" applyProtection="0"/>
    <xf numFmtId="0" fontId="64" fillId="0" borderId="206" applyNumberFormat="0" applyFill="0" applyAlignment="0" applyProtection="0"/>
    <xf numFmtId="0" fontId="64" fillId="0" borderId="193" applyNumberFormat="0" applyFill="0" applyAlignment="0" applyProtection="0"/>
    <xf numFmtId="0" fontId="59" fillId="10" borderId="190" applyNumberFormat="0" applyAlignment="0" applyProtection="0"/>
    <xf numFmtId="0" fontId="52" fillId="19" borderId="190" applyNumberFormat="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4" fillId="0" borderId="193" applyNumberFormat="0" applyFill="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207" applyNumberForma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205" applyNumberFormat="0" applyAlignment="0" applyProtection="0"/>
    <xf numFmtId="0" fontId="52" fillId="19"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59" fillId="10" borderId="190" applyNumberFormat="0" applyAlignment="0" applyProtection="0"/>
    <xf numFmtId="0" fontId="52" fillId="19" borderId="190" applyNumberFormat="0" applyAlignment="0" applyProtection="0"/>
    <xf numFmtId="0" fontId="59" fillId="10" borderId="190" applyNumberFormat="0" applyAlignment="0" applyProtection="0"/>
    <xf numFmtId="0" fontId="64" fillId="0" borderId="193" applyNumberFormat="0" applyFill="0" applyAlignment="0" applyProtection="0"/>
    <xf numFmtId="0" fontId="62" fillId="19" borderId="205" applyNumberFormat="0" applyAlignment="0" applyProtection="0"/>
    <xf numFmtId="0" fontId="52" fillId="19" borderId="190"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201"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22" fillId="7" borderId="191" applyNumberFormat="0" applyFont="0" applyAlignment="0" applyProtection="0"/>
    <xf numFmtId="0" fontId="52" fillId="19" borderId="190" applyNumberFormat="0" applyAlignment="0" applyProtection="0"/>
    <xf numFmtId="0" fontId="52" fillId="19" borderId="190" applyNumberFormat="0" applyAlignment="0" applyProtection="0"/>
    <xf numFmtId="0" fontId="59" fillId="10" borderId="207" applyNumberFormat="0" applyAlignment="0" applyProtection="0"/>
    <xf numFmtId="0" fontId="64" fillId="0" borderId="193" applyNumberFormat="0" applyFill="0" applyAlignment="0" applyProtection="0"/>
    <xf numFmtId="0" fontId="52" fillId="19" borderId="190" applyNumberFormat="0" applyAlignment="0" applyProtection="0"/>
    <xf numFmtId="0" fontId="62" fillId="19" borderId="192" applyNumberFormat="0" applyAlignment="0" applyProtection="0"/>
    <xf numFmtId="0" fontId="52" fillId="19"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2" fillId="19" borderId="192"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200" applyNumberFormat="0" applyFont="0" applyAlignment="0" applyProtection="0"/>
    <xf numFmtId="0" fontId="22" fillId="7" borderId="191" applyNumberFormat="0" applyFon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22" fillId="7" borderId="200" applyNumberFormat="0" applyFont="0" applyAlignment="0" applyProtection="0"/>
    <xf numFmtId="0" fontId="62" fillId="19" borderId="192" applyNumberFormat="0" applyAlignment="0" applyProtection="0"/>
    <xf numFmtId="0" fontId="52" fillId="19" borderId="203" applyNumberFormat="0" applyAlignment="0" applyProtection="0"/>
    <xf numFmtId="0" fontId="59" fillId="10" borderId="190"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62" fillId="19" borderId="205" applyNumberFormat="0" applyAlignment="0" applyProtection="0"/>
    <xf numFmtId="0" fontId="52" fillId="19"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59" fillId="10"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62" fillId="19" borderId="192"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52" fillId="19"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52" fillId="19" borderId="190" applyNumberFormat="0" applyAlignment="0" applyProtection="0"/>
    <xf numFmtId="0" fontId="64" fillId="0" borderId="206"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64" fillId="0" borderId="210" applyNumberFormat="0" applyFill="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59" fillId="10"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62" fillId="19" borderId="192"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52" fillId="19"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62" fillId="19" borderId="209" applyNumberFormat="0" applyAlignment="0" applyProtection="0"/>
    <xf numFmtId="0" fontId="59" fillId="10" borderId="190" applyNumberFormat="0" applyAlignment="0" applyProtection="0"/>
    <xf numFmtId="0" fontId="64" fillId="0" borderId="193" applyNumberFormat="0" applyFill="0" applyAlignment="0" applyProtection="0"/>
    <xf numFmtId="0" fontId="62" fillId="19" borderId="192" applyNumberFormat="0" applyAlignment="0" applyProtection="0"/>
    <xf numFmtId="0" fontId="52" fillId="19" borderId="190" applyNumberFormat="0" applyAlignment="0" applyProtection="0"/>
    <xf numFmtId="0" fontId="59" fillId="10"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22" fillId="7" borderId="191" applyNumberFormat="0" applyFont="0" applyAlignment="0" applyProtection="0"/>
    <xf numFmtId="0" fontId="64" fillId="0" borderId="206" applyNumberFormat="0" applyFill="0" applyAlignment="0" applyProtection="0"/>
    <xf numFmtId="0" fontId="52" fillId="19"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62" fillId="19" borderId="192"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4" fillId="0" borderId="202" applyNumberFormat="0" applyFill="0" applyAlignment="0" applyProtection="0"/>
    <xf numFmtId="0" fontId="59" fillId="10" borderId="190" applyNumberFormat="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59" fillId="10" borderId="190"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9" applyNumberFormat="0" applyAlignment="0" applyProtection="0"/>
    <xf numFmtId="0" fontId="22" fillId="7" borderId="191" applyNumberFormat="0" applyFont="0" applyAlignment="0" applyProtection="0"/>
    <xf numFmtId="0" fontId="62" fillId="19" borderId="192"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62" fillId="19" borderId="192" applyNumberFormat="0" applyAlignment="0" applyProtection="0"/>
    <xf numFmtId="0" fontId="52" fillId="19" borderId="190" applyNumberFormat="0" applyAlignment="0" applyProtection="0"/>
    <xf numFmtId="0" fontId="64" fillId="0" borderId="193" applyNumberFormat="0" applyFill="0" applyAlignment="0" applyProtection="0"/>
    <xf numFmtId="0" fontId="62" fillId="19" borderId="209" applyNumberFormat="0" applyAlignment="0" applyProtection="0"/>
    <xf numFmtId="0" fontId="59" fillId="10" borderId="207" applyNumberFormat="0" applyAlignment="0" applyProtection="0"/>
    <xf numFmtId="0" fontId="64" fillId="0" borderId="193" applyNumberFormat="0" applyFill="0" applyAlignment="0" applyProtection="0"/>
    <xf numFmtId="0" fontId="52" fillId="19"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59" fillId="10" borderId="190"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59" fillId="10" borderId="190" applyNumberFormat="0" applyAlignment="0" applyProtection="0"/>
    <xf numFmtId="0" fontId="64" fillId="0" borderId="193" applyNumberFormat="0" applyFill="0" applyAlignment="0" applyProtection="0"/>
    <xf numFmtId="0" fontId="52" fillId="19"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22" fillId="7" borderId="191" applyNumberFormat="0" applyFon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2" fillId="19" borderId="190" applyNumberFormat="0" applyAlignment="0" applyProtection="0"/>
    <xf numFmtId="0" fontId="62" fillId="19" borderId="192"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59" fillId="10" borderId="190" applyNumberFormat="0" applyAlignment="0" applyProtection="0"/>
    <xf numFmtId="0" fontId="64" fillId="0" borderId="193" applyNumberFormat="0" applyFill="0" applyAlignment="0" applyProtection="0"/>
    <xf numFmtId="0" fontId="59" fillId="10" borderId="190" applyNumberFormat="0" applyAlignment="0" applyProtection="0"/>
    <xf numFmtId="0" fontId="64" fillId="0" borderId="210" applyNumberFormat="0" applyFill="0" applyAlignment="0" applyProtection="0"/>
    <xf numFmtId="0" fontId="64" fillId="0" borderId="193" applyNumberFormat="0" applyFill="0" applyAlignment="0" applyProtection="0"/>
    <xf numFmtId="0" fontId="62" fillId="19" borderId="192" applyNumberFormat="0" applyAlignment="0" applyProtection="0"/>
    <xf numFmtId="0" fontId="52" fillId="19" borderId="190" applyNumberFormat="0" applyAlignment="0" applyProtection="0"/>
    <xf numFmtId="0" fontId="64" fillId="0" borderId="210"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22" fillId="7" borderId="191" applyNumberFormat="0" applyFon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2" fillId="19" borderId="199"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209" applyNumberFormat="0" applyAlignment="0" applyProtection="0"/>
    <xf numFmtId="0" fontId="22" fillId="7" borderId="191" applyNumberFormat="0" applyFont="0" applyAlignment="0" applyProtection="0"/>
    <xf numFmtId="0" fontId="62" fillId="19" borderId="205" applyNumberFormat="0" applyAlignment="0" applyProtection="0"/>
    <xf numFmtId="0" fontId="62" fillId="19" borderId="192" applyNumberFormat="0" applyAlignment="0" applyProtection="0"/>
    <xf numFmtId="0" fontId="59" fillId="10" borderId="190" applyNumberFormat="0" applyAlignment="0" applyProtection="0"/>
    <xf numFmtId="0" fontId="62" fillId="19" borderId="192" applyNumberFormat="0" applyAlignment="0" applyProtection="0"/>
    <xf numFmtId="0" fontId="59" fillId="10" borderId="199" applyNumberFormat="0" applyAlignment="0" applyProtection="0"/>
    <xf numFmtId="0" fontId="52" fillId="19" borderId="190" applyNumberFormat="0" applyAlignment="0" applyProtection="0"/>
    <xf numFmtId="0" fontId="64" fillId="0" borderId="206" applyNumberFormat="0" applyFill="0" applyAlignment="0" applyProtection="0"/>
    <xf numFmtId="0" fontId="62" fillId="19" borderId="192" applyNumberFormat="0" applyAlignment="0" applyProtection="0"/>
    <xf numFmtId="0" fontId="52" fillId="19"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62" fillId="19" borderId="205" applyNumberFormat="0" applyAlignment="0" applyProtection="0"/>
    <xf numFmtId="0" fontId="62" fillId="19" borderId="192"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52" fillId="19" borderId="190" applyNumberFormat="0" applyAlignment="0" applyProtection="0"/>
    <xf numFmtId="0" fontId="59" fillId="10" borderId="207" applyNumberFormat="0" applyAlignment="0" applyProtection="0"/>
    <xf numFmtId="0" fontId="22" fillId="7" borderId="191" applyNumberFormat="0" applyFont="0" applyAlignment="0" applyProtection="0"/>
    <xf numFmtId="0" fontId="62" fillId="19" borderId="192"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206" applyNumberFormat="0" applyFill="0" applyAlignment="0" applyProtection="0"/>
    <xf numFmtId="0" fontId="59" fillId="10"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52" fillId="19" borderId="207"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62" fillId="19" borderId="192" applyNumberFormat="0" applyAlignment="0" applyProtection="0"/>
    <xf numFmtId="0" fontId="52" fillId="19"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62" fillId="19" borderId="192" applyNumberFormat="0" applyAlignment="0" applyProtection="0"/>
    <xf numFmtId="0" fontId="22" fillId="7" borderId="191" applyNumberFormat="0" applyFon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4" fillId="0" borderId="206" applyNumberFormat="0" applyFill="0" applyAlignment="0" applyProtection="0"/>
    <xf numFmtId="0" fontId="59" fillId="10" borderId="190" applyNumberFormat="0" applyAlignment="0" applyProtection="0"/>
    <xf numFmtId="0" fontId="22" fillId="7" borderId="191" applyNumberFormat="0" applyFont="0" applyAlignment="0" applyProtection="0"/>
    <xf numFmtId="0" fontId="59" fillId="10"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4" fillId="0" borderId="193" applyNumberFormat="0" applyFill="0" applyAlignment="0" applyProtection="0"/>
    <xf numFmtId="0" fontId="59" fillId="10"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59" fillId="10" borderId="190" applyNumberFormat="0" applyAlignment="0" applyProtection="0"/>
    <xf numFmtId="0" fontId="62" fillId="19" borderId="192" applyNumberFormat="0" applyAlignment="0" applyProtection="0"/>
    <xf numFmtId="0" fontId="62" fillId="19" borderId="192" applyNumberFormat="0" applyAlignment="0" applyProtection="0"/>
    <xf numFmtId="0" fontId="22" fillId="7" borderId="204" applyNumberFormat="0" applyFont="0" applyAlignment="0" applyProtection="0"/>
    <xf numFmtId="0" fontId="59" fillId="10"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59" fillId="10" borderId="199" applyNumberFormat="0" applyAlignment="0" applyProtection="0"/>
    <xf numFmtId="0" fontId="59" fillId="10" borderId="199" applyNumberFormat="0" applyAlignment="0" applyProtection="0"/>
    <xf numFmtId="0" fontId="64" fillId="0" borderId="193" applyNumberFormat="0" applyFill="0" applyAlignment="0" applyProtection="0"/>
    <xf numFmtId="0" fontId="52" fillId="19"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62" fillId="19" borderId="205" applyNumberFormat="0" applyAlignment="0" applyProtection="0"/>
    <xf numFmtId="0" fontId="52" fillId="19" borderId="190" applyNumberFormat="0" applyAlignment="0" applyProtection="0"/>
    <xf numFmtId="0" fontId="59" fillId="10" borderId="207" applyNumberFormat="0" applyAlignment="0" applyProtection="0"/>
    <xf numFmtId="0" fontId="64" fillId="0" borderId="193" applyNumberFormat="0" applyFill="0" applyAlignment="0" applyProtection="0"/>
    <xf numFmtId="0" fontId="52" fillId="19"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62" fillId="19" borderId="192" applyNumberFormat="0" applyAlignment="0" applyProtection="0"/>
    <xf numFmtId="0" fontId="22" fillId="7" borderId="191" applyNumberFormat="0" applyFon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59" fillId="10" borderId="199" applyNumberFormat="0" applyAlignment="0" applyProtection="0"/>
    <xf numFmtId="0" fontId="22" fillId="7" borderId="191" applyNumberFormat="0" applyFont="0" applyAlignment="0" applyProtection="0"/>
    <xf numFmtId="0" fontId="62" fillId="19" borderId="192" applyNumberFormat="0" applyAlignment="0" applyProtection="0"/>
    <xf numFmtId="0" fontId="59" fillId="10" borderId="190" applyNumberFormat="0" applyAlignment="0" applyProtection="0"/>
    <xf numFmtId="0" fontId="59" fillId="10" borderId="199" applyNumberFormat="0" applyAlignment="0" applyProtection="0"/>
    <xf numFmtId="0" fontId="62" fillId="19" borderId="205" applyNumberFormat="0" applyAlignment="0" applyProtection="0"/>
    <xf numFmtId="0" fontId="62" fillId="19" borderId="205" applyNumberFormat="0" applyAlignment="0" applyProtection="0"/>
    <xf numFmtId="0" fontId="64" fillId="0" borderId="210" applyNumberFormat="0" applyFill="0" applyAlignment="0" applyProtection="0"/>
    <xf numFmtId="0" fontId="22" fillId="7" borderId="191" applyNumberFormat="0" applyFont="0" applyAlignment="0" applyProtection="0"/>
    <xf numFmtId="0" fontId="59" fillId="10" borderId="199" applyNumberFormat="0" applyAlignment="0" applyProtection="0"/>
    <xf numFmtId="0" fontId="62" fillId="19" borderId="192"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2" fillId="19" borderId="199"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64" fillId="0" borderId="202" applyNumberFormat="0" applyFill="0" applyAlignment="0" applyProtection="0"/>
    <xf numFmtId="0" fontId="59" fillId="10" borderId="190" applyNumberFormat="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22" fillId="7" borderId="191" applyNumberFormat="0" applyFont="0" applyAlignment="0" applyProtection="0"/>
    <xf numFmtId="0" fontId="59" fillId="10" borderId="190" applyNumberForma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62" fillId="19" borderId="192" applyNumberFormat="0" applyAlignment="0" applyProtection="0"/>
    <xf numFmtId="0" fontId="62" fillId="19" borderId="192" applyNumberFormat="0" applyAlignment="0" applyProtection="0"/>
    <xf numFmtId="0" fontId="22" fillId="7" borderId="191" applyNumberFormat="0" applyFont="0" applyAlignment="0" applyProtection="0"/>
    <xf numFmtId="0" fontId="62" fillId="19" borderId="192"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22" fillId="7" borderId="191" applyNumberFormat="0" applyFont="0" applyAlignment="0" applyProtection="0"/>
    <xf numFmtId="0" fontId="64" fillId="0" borderId="206" applyNumberFormat="0" applyFill="0" applyAlignment="0" applyProtection="0"/>
    <xf numFmtId="0" fontId="59" fillId="10" borderId="190" applyNumberFormat="0" applyAlignment="0" applyProtection="0"/>
    <xf numFmtId="0" fontId="62" fillId="19" borderId="192"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59" fillId="10" borderId="190"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9" applyNumberFormat="0" applyAlignment="0" applyProtection="0"/>
    <xf numFmtId="0" fontId="59" fillId="10" borderId="199" applyNumberFormat="0" applyAlignment="0" applyProtection="0"/>
    <xf numFmtId="0" fontId="64" fillId="0" borderId="206" applyNumberFormat="0" applyFill="0" applyAlignment="0" applyProtection="0"/>
    <xf numFmtId="0" fontId="62" fillId="19" borderId="192" applyNumberFormat="0" applyAlignment="0" applyProtection="0"/>
    <xf numFmtId="0" fontId="22" fillId="7" borderId="191" applyNumberFormat="0" applyFont="0" applyAlignment="0" applyProtection="0"/>
    <xf numFmtId="0" fontId="62" fillId="19" borderId="192" applyNumberFormat="0" applyAlignment="0" applyProtection="0"/>
    <xf numFmtId="0" fontId="62" fillId="19" borderId="192" applyNumberFormat="0" applyAlignment="0" applyProtection="0"/>
    <xf numFmtId="0" fontId="22" fillId="7" borderId="191" applyNumberFormat="0" applyFont="0" applyAlignment="0" applyProtection="0"/>
    <xf numFmtId="0" fontId="52" fillId="19" borderId="207" applyNumberFormat="0" applyAlignment="0" applyProtection="0"/>
    <xf numFmtId="0" fontId="62" fillId="19" borderId="192" applyNumberFormat="0" applyAlignment="0" applyProtection="0"/>
    <xf numFmtId="0" fontId="59" fillId="10" borderId="190" applyNumberFormat="0" applyAlignment="0" applyProtection="0"/>
    <xf numFmtId="0" fontId="59" fillId="10" borderId="190" applyNumberFormat="0" applyAlignment="0" applyProtection="0"/>
    <xf numFmtId="0" fontId="64" fillId="0" borderId="193" applyNumberFormat="0" applyFill="0" applyAlignment="0" applyProtection="0"/>
    <xf numFmtId="0" fontId="62" fillId="19" borderId="205"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52" fillId="19" borderId="207" applyNumberFormat="0" applyAlignment="0" applyProtection="0"/>
    <xf numFmtId="0" fontId="62" fillId="19" borderId="192" applyNumberFormat="0" applyAlignment="0" applyProtection="0"/>
    <xf numFmtId="0" fontId="62" fillId="19" borderId="192"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59" fillId="10" borderId="207"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210" applyNumberFormat="0" applyFill="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22" fillId="7" borderId="191" applyNumberFormat="0" applyFont="0" applyAlignment="0" applyProtection="0"/>
    <xf numFmtId="0" fontId="52" fillId="19" borderId="190" applyNumberFormat="0" applyAlignment="0" applyProtection="0"/>
    <xf numFmtId="0" fontId="62" fillId="19" borderId="192"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59" fillId="10" borderId="190" applyNumberFormat="0" applyAlignment="0" applyProtection="0"/>
    <xf numFmtId="0" fontId="52" fillId="19"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2" fillId="19" borderId="192" applyNumberFormat="0" applyAlignment="0" applyProtection="0"/>
    <xf numFmtId="0" fontId="64" fillId="0" borderId="193" applyNumberFormat="0" applyFill="0" applyAlignment="0" applyProtection="0"/>
    <xf numFmtId="0" fontId="64" fillId="0" borderId="193" applyNumberFormat="0" applyFill="0" applyAlignment="0" applyProtection="0"/>
    <xf numFmtId="0" fontId="22" fillId="7" borderId="191" applyNumberFormat="0" applyFont="0" applyAlignment="0" applyProtection="0"/>
    <xf numFmtId="0" fontId="64" fillId="0" borderId="193" applyNumberFormat="0" applyFill="0" applyAlignment="0" applyProtection="0"/>
    <xf numFmtId="0" fontId="22" fillId="7" borderId="191" applyNumberFormat="0" applyFont="0" applyAlignment="0" applyProtection="0"/>
    <xf numFmtId="0" fontId="59" fillId="10" borderId="190" applyNumberFormat="0" applyAlignment="0" applyProtection="0"/>
    <xf numFmtId="0" fontId="62" fillId="19" borderId="192" applyNumberFormat="0" applyAlignment="0" applyProtection="0"/>
    <xf numFmtId="0" fontId="64" fillId="0" borderId="193" applyNumberFormat="0" applyFill="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22" fillId="7" borderId="191" applyNumberFormat="0" applyFont="0" applyAlignment="0" applyProtection="0"/>
    <xf numFmtId="0" fontId="64" fillId="0" borderId="193" applyNumberFormat="0" applyFill="0" applyAlignment="0" applyProtection="0"/>
    <xf numFmtId="0" fontId="64" fillId="0" borderId="193" applyNumberFormat="0" applyFill="0" applyAlignment="0" applyProtection="0"/>
    <xf numFmtId="0" fontId="52" fillId="19" borderId="190" applyNumberFormat="0" applyAlignment="0" applyProtection="0"/>
    <xf numFmtId="0" fontId="59" fillId="10" borderId="190" applyNumberFormat="0" applyAlignment="0" applyProtection="0"/>
    <xf numFmtId="0" fontId="52" fillId="19" borderId="190" applyNumberFormat="0" applyAlignment="0" applyProtection="0"/>
    <xf numFmtId="0" fontId="52" fillId="19" borderId="190"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22" fillId="7" borderId="200" applyNumberFormat="0" applyFont="0" applyAlignment="0" applyProtection="0"/>
    <xf numFmtId="0" fontId="52" fillId="19" borderId="207" applyNumberFormat="0" applyAlignment="0" applyProtection="0"/>
    <xf numFmtId="0" fontId="62" fillId="19" borderId="192" applyNumberFormat="0" applyAlignment="0" applyProtection="0"/>
    <xf numFmtId="0" fontId="59" fillId="10"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52" fillId="19" borderId="190" applyNumberFormat="0" applyAlignment="0" applyProtection="0"/>
    <xf numFmtId="0" fontId="52" fillId="19" borderId="190" applyNumberFormat="0" applyAlignment="0" applyProtection="0"/>
    <xf numFmtId="0" fontId="59" fillId="10" borderId="190" applyNumberFormat="0" applyAlignment="0" applyProtection="0"/>
    <xf numFmtId="0" fontId="22" fillId="7" borderId="191" applyNumberFormat="0" applyFont="0" applyAlignment="0" applyProtection="0"/>
    <xf numFmtId="0" fontId="64" fillId="0" borderId="193" applyNumberFormat="0" applyFill="0" applyAlignment="0" applyProtection="0"/>
    <xf numFmtId="0" fontId="52" fillId="19" borderId="199" applyNumberFormat="0" applyAlignment="0" applyProtection="0"/>
    <xf numFmtId="0" fontId="62" fillId="19" borderId="205" applyNumberFormat="0" applyAlignment="0" applyProtection="0"/>
    <xf numFmtId="0" fontId="59" fillId="10" borderId="199" applyNumberFormat="0" applyAlignment="0" applyProtection="0"/>
    <xf numFmtId="0" fontId="64" fillId="0" borderId="202" applyNumberFormat="0" applyFill="0" applyAlignment="0" applyProtection="0"/>
    <xf numFmtId="0" fontId="52" fillId="19" borderId="207" applyNumberFormat="0" applyAlignment="0" applyProtection="0"/>
    <xf numFmtId="0" fontId="62" fillId="19" borderId="201" applyNumberFormat="0" applyAlignment="0" applyProtection="0"/>
    <xf numFmtId="0" fontId="52" fillId="19" borderId="199" applyNumberFormat="0" applyAlignment="0" applyProtection="0"/>
    <xf numFmtId="0" fontId="62" fillId="19" borderId="205" applyNumberFormat="0" applyAlignment="0" applyProtection="0"/>
    <xf numFmtId="0" fontId="52" fillId="19" borderId="207" applyNumberFormat="0" applyAlignment="0" applyProtection="0"/>
    <xf numFmtId="0" fontId="64" fillId="0" borderId="206" applyNumberFormat="0" applyFill="0" applyAlignment="0" applyProtection="0"/>
    <xf numFmtId="0" fontId="62" fillId="19" borderId="201"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9" fillId="10" borderId="203" applyNumberFormat="0" applyAlignment="0" applyProtection="0"/>
    <xf numFmtId="0" fontId="62" fillId="19" borderId="201" applyNumberFormat="0" applyAlignment="0" applyProtection="0"/>
    <xf numFmtId="0" fontId="64" fillId="0" borderId="206" applyNumberFormat="0" applyFill="0" applyAlignment="0" applyProtection="0"/>
    <xf numFmtId="0" fontId="62" fillId="19" borderId="209" applyNumberFormat="0" applyAlignment="0" applyProtection="0"/>
    <xf numFmtId="0" fontId="52" fillId="19" borderId="199" applyNumberFormat="0" applyAlignment="0" applyProtection="0"/>
    <xf numFmtId="0" fontId="64" fillId="0" borderId="210" applyNumberFormat="0" applyFill="0" applyAlignment="0" applyProtection="0"/>
    <xf numFmtId="0" fontId="62" fillId="19" borderId="205" applyNumberFormat="0" applyAlignment="0" applyProtection="0"/>
    <xf numFmtId="0" fontId="22" fillId="7" borderId="200" applyNumberFormat="0" applyFont="0" applyAlignment="0" applyProtection="0"/>
    <xf numFmtId="0" fontId="64" fillId="0" borderId="206" applyNumberFormat="0" applyFill="0" applyAlignment="0" applyProtection="0"/>
    <xf numFmtId="0" fontId="64" fillId="0" borderId="210"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62" fillId="19" borderId="209" applyNumberFormat="0" applyAlignment="0" applyProtection="0"/>
    <xf numFmtId="0" fontId="52" fillId="19" borderId="207" applyNumberFormat="0" applyAlignment="0" applyProtection="0"/>
    <xf numFmtId="0" fontId="22" fillId="7" borderId="204" applyNumberFormat="0" applyFont="0" applyAlignment="0" applyProtection="0"/>
    <xf numFmtId="0" fontId="64" fillId="0" borderId="206" applyNumberFormat="0" applyFill="0" applyAlignment="0" applyProtection="0"/>
    <xf numFmtId="0" fontId="59" fillId="10" borderId="199" applyNumberFormat="0" applyAlignment="0" applyProtection="0"/>
    <xf numFmtId="0" fontId="64" fillId="0" borderId="210" applyNumberFormat="0" applyFill="0" applyAlignment="0" applyProtection="0"/>
    <xf numFmtId="0" fontId="62" fillId="19" borderId="201" applyNumberFormat="0" applyAlignment="0" applyProtection="0"/>
    <xf numFmtId="0" fontId="52" fillId="19" borderId="199" applyNumberFormat="0" applyAlignment="0" applyProtection="0"/>
    <xf numFmtId="0" fontId="64" fillId="0" borderId="206" applyNumberFormat="0" applyFill="0" applyAlignment="0" applyProtection="0"/>
    <xf numFmtId="0" fontId="59" fillId="10" borderId="207" applyNumberFormat="0" applyAlignment="0" applyProtection="0"/>
    <xf numFmtId="0" fontId="62" fillId="19" borderId="205" applyNumberFormat="0" applyAlignment="0" applyProtection="0"/>
    <xf numFmtId="0" fontId="62" fillId="19" borderId="209" applyNumberFormat="0" applyAlignment="0" applyProtection="0"/>
    <xf numFmtId="0" fontId="22" fillId="7" borderId="200" applyNumberFormat="0" applyFont="0" applyAlignment="0" applyProtection="0"/>
    <xf numFmtId="0" fontId="62" fillId="19" borderId="205" applyNumberFormat="0" applyAlignment="0" applyProtection="0"/>
    <xf numFmtId="0" fontId="64" fillId="0" borderId="210" applyNumberFormat="0" applyFill="0" applyAlignment="0" applyProtection="0"/>
    <xf numFmtId="0" fontId="22" fillId="7" borderId="204" applyNumberFormat="0" applyFont="0" applyAlignment="0" applyProtection="0"/>
    <xf numFmtId="0" fontId="22" fillId="7" borderId="204"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2" fillId="19" borderId="201" applyNumberFormat="0" applyAlignment="0" applyProtection="0"/>
    <xf numFmtId="0" fontId="64" fillId="0" borderId="210" applyNumberFormat="0" applyFill="0" applyAlignment="0" applyProtection="0"/>
    <xf numFmtId="0" fontId="64" fillId="0" borderId="202"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62" fillId="19" borderId="201" applyNumberFormat="0" applyAlignment="0" applyProtection="0"/>
    <xf numFmtId="0" fontId="22" fillId="7" borderId="200" applyNumberFormat="0" applyFont="0" applyAlignment="0" applyProtection="0"/>
    <xf numFmtId="0" fontId="64" fillId="0" borderId="206" applyNumberFormat="0" applyFill="0" applyAlignment="0" applyProtection="0"/>
    <xf numFmtId="0" fontId="62" fillId="19" borderId="205" applyNumberFormat="0" applyAlignment="0" applyProtection="0"/>
    <xf numFmtId="0" fontId="62" fillId="19" borderId="209" applyNumberFormat="0" applyAlignment="0" applyProtection="0"/>
    <xf numFmtId="0" fontId="62" fillId="19" borderId="205" applyNumberFormat="0" applyAlignment="0" applyProtection="0"/>
    <xf numFmtId="0" fontId="64" fillId="0" borderId="206"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64" fillId="0" borderId="206"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59" fillId="10"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22" fillId="7" borderId="208" applyNumberFormat="0" applyFont="0" applyAlignment="0" applyProtection="0"/>
    <xf numFmtId="0" fontId="64" fillId="0" borderId="206" applyNumberFormat="0" applyFill="0" applyAlignment="0" applyProtection="0"/>
    <xf numFmtId="0" fontId="64" fillId="0" borderId="206" applyNumberFormat="0" applyFill="0" applyAlignment="0" applyProtection="0"/>
    <xf numFmtId="0" fontId="59" fillId="10" borderId="207" applyNumberFormat="0" applyAlignment="0" applyProtection="0"/>
    <xf numFmtId="0" fontId="62" fillId="19" borderId="205"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5" applyNumberFormat="0" applyAlignment="0" applyProtection="0"/>
    <xf numFmtId="0" fontId="62" fillId="19" borderId="205" applyNumberFormat="0" applyAlignment="0" applyProtection="0"/>
    <xf numFmtId="0" fontId="62" fillId="19" borderId="205"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64" fillId="0" borderId="206" applyNumberFormat="0" applyFill="0" applyAlignment="0" applyProtection="0"/>
    <xf numFmtId="0" fontId="52" fillId="19" borderId="199" applyNumberFormat="0" applyAlignment="0" applyProtection="0"/>
    <xf numFmtId="0" fontId="64" fillId="0" borderId="206" applyNumberFormat="0" applyFill="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4" fillId="0" borderId="206" applyNumberFormat="0" applyFill="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64" fillId="0" borderId="210" applyNumberFormat="0" applyFill="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64" fillId="0" borderId="206" applyNumberFormat="0" applyFill="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59" fillId="10" borderId="207" applyNumberFormat="0" applyAlignment="0" applyProtection="0"/>
    <xf numFmtId="0" fontId="52" fillId="19"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22" fillId="7" borderId="208" applyNumberFormat="0" applyFont="0" applyAlignment="0" applyProtection="0"/>
    <xf numFmtId="0" fontId="62" fillId="19" borderId="205" applyNumberFormat="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3"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10" applyNumberFormat="0" applyFill="0" applyAlignment="0" applyProtection="0"/>
    <xf numFmtId="0" fontId="64" fillId="0" borderId="206"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62" fillId="19" borderId="209"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59" fillId="10" borderId="207" applyNumberFormat="0" applyAlignment="0" applyProtection="0"/>
    <xf numFmtId="0" fontId="62" fillId="19" borderId="209"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9"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22" fillId="7" borderId="208" applyNumberFormat="0" applyFont="0" applyAlignment="0" applyProtection="0"/>
    <xf numFmtId="0" fontId="64" fillId="0" borderId="206"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62" fillId="19" borderId="205" applyNumberFormat="0" applyAlignment="0" applyProtection="0"/>
    <xf numFmtId="0" fontId="64" fillId="0" borderId="210" applyNumberFormat="0" applyFill="0" applyAlignment="0" applyProtection="0"/>
    <xf numFmtId="0" fontId="62" fillId="19" borderId="205" applyNumberFormat="0" applyAlignment="0" applyProtection="0"/>
    <xf numFmtId="0" fontId="64" fillId="0" borderId="210" applyNumberFormat="0" applyFill="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22" fillId="7" borderId="208" applyNumberFormat="0" applyFon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62" fillId="19" borderId="205" applyNumberFormat="0" applyAlignment="0" applyProtection="0"/>
    <xf numFmtId="0" fontId="64" fillId="0" borderId="210" applyNumberFormat="0" applyFill="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207" applyNumberFormat="0" applyAlignment="0" applyProtection="0"/>
    <xf numFmtId="0" fontId="62" fillId="19" borderId="205" applyNumberFormat="0" applyAlignment="0" applyProtection="0"/>
    <xf numFmtId="0" fontId="52" fillId="19" borderId="207"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1" applyNumberFormat="0" applyAlignment="0" applyProtection="0"/>
    <xf numFmtId="0" fontId="59" fillId="10" borderId="207" applyNumberFormat="0" applyAlignment="0" applyProtection="0"/>
    <xf numFmtId="0" fontId="59" fillId="10" borderId="199" applyNumberFormat="0" applyAlignment="0" applyProtection="0"/>
    <xf numFmtId="0" fontId="22" fillId="7" borderId="204" applyNumberFormat="0" applyFont="0" applyAlignment="0" applyProtection="0"/>
    <xf numFmtId="0" fontId="22" fillId="7" borderId="200" applyNumberFormat="0" applyFont="0" applyAlignment="0" applyProtection="0"/>
    <xf numFmtId="0" fontId="64" fillId="0" borderId="206"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62" fillId="19" borderId="205" applyNumberFormat="0" applyAlignment="0" applyProtection="0"/>
    <xf numFmtId="0" fontId="62" fillId="19" borderId="205" applyNumberFormat="0" applyAlignment="0" applyProtection="0"/>
    <xf numFmtId="0" fontId="59" fillId="10"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04" applyNumberFormat="0" applyFont="0" applyAlignment="0" applyProtection="0"/>
    <xf numFmtId="0" fontId="62" fillId="19" borderId="205" applyNumberFormat="0" applyAlignment="0" applyProtection="0"/>
    <xf numFmtId="0" fontId="64" fillId="0" borderId="206"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6" applyNumberFormat="0" applyFill="0" applyAlignment="0" applyProtection="0"/>
    <xf numFmtId="0" fontId="52" fillId="19" borderId="203" applyNumberFormat="0" applyAlignment="0" applyProtection="0"/>
    <xf numFmtId="0" fontId="59" fillId="10" borderId="207" applyNumberFormat="0" applyAlignment="0" applyProtection="0"/>
    <xf numFmtId="0" fontId="62" fillId="19" borderId="205" applyNumberFormat="0" applyAlignment="0" applyProtection="0"/>
    <xf numFmtId="0" fontId="59" fillId="10" borderId="203"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5" applyNumberFormat="0" applyAlignment="0" applyProtection="0"/>
    <xf numFmtId="0" fontId="64" fillId="0" borderId="210" applyNumberFormat="0" applyFill="0" applyAlignment="0" applyProtection="0"/>
    <xf numFmtId="0" fontId="62" fillId="19" borderId="205" applyNumberFormat="0" applyAlignment="0" applyProtection="0"/>
    <xf numFmtId="0" fontId="52" fillId="19"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52" fillId="19" borderId="207" applyNumberFormat="0" applyAlignment="0" applyProtection="0"/>
    <xf numFmtId="0" fontId="64" fillId="0" borderId="206" applyNumberFormat="0" applyFill="0" applyAlignment="0" applyProtection="0"/>
    <xf numFmtId="0" fontId="59" fillId="10" borderId="203" applyNumberFormat="0" applyAlignment="0" applyProtection="0"/>
    <xf numFmtId="0" fontId="62" fillId="19" borderId="205"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4" fillId="0" borderId="210" applyNumberFormat="0" applyFill="0" applyAlignment="0" applyProtection="0"/>
    <xf numFmtId="0" fontId="62" fillId="19" borderId="205" applyNumberFormat="0" applyAlignment="0" applyProtection="0"/>
    <xf numFmtId="0" fontId="62" fillId="19" borderId="205"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2" fillId="19" borderId="205" applyNumberFormat="0" applyAlignment="0" applyProtection="0"/>
    <xf numFmtId="0" fontId="59" fillId="10" borderId="207" applyNumberFormat="0" applyAlignment="0" applyProtection="0"/>
    <xf numFmtId="0" fontId="62" fillId="19" borderId="205" applyNumberFormat="0" applyAlignment="0" applyProtection="0"/>
    <xf numFmtId="0" fontId="62" fillId="19" borderId="205"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06" applyNumberFormat="0" applyFill="0" applyAlignment="0" applyProtection="0"/>
    <xf numFmtId="0" fontId="62" fillId="19" borderId="205" applyNumberFormat="0" applyAlignment="0" applyProtection="0"/>
    <xf numFmtId="0" fontId="64" fillId="0" borderId="210" applyNumberFormat="0" applyFill="0" applyAlignment="0" applyProtection="0"/>
    <xf numFmtId="0" fontId="52" fillId="19"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59" fillId="10" borderId="207" applyNumberFormat="0" applyAlignment="0" applyProtection="0"/>
    <xf numFmtId="0" fontId="52" fillId="19" borderId="207" applyNumberFormat="0" applyAlignment="0" applyProtection="0"/>
    <xf numFmtId="0" fontId="62" fillId="19" borderId="205"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06" applyNumberFormat="0" applyFill="0" applyAlignment="0" applyProtection="0"/>
    <xf numFmtId="0" fontId="52" fillId="19" borderId="207"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22" fillId="7" borderId="208" applyNumberFormat="0" applyFont="0" applyAlignment="0" applyProtection="0"/>
    <xf numFmtId="0" fontId="62" fillId="19" borderId="205" applyNumberFormat="0" applyAlignment="0" applyProtection="0"/>
    <xf numFmtId="0" fontId="52" fillId="19" borderId="199" applyNumberFormat="0" applyAlignment="0" applyProtection="0"/>
    <xf numFmtId="0" fontId="62" fillId="19" borderId="205"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64" fillId="0" borderId="206" applyNumberFormat="0" applyFill="0" applyAlignment="0" applyProtection="0"/>
    <xf numFmtId="0" fontId="62" fillId="19" borderId="205"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207" applyNumberFormat="0" applyAlignment="0" applyProtection="0"/>
    <xf numFmtId="0" fontId="59" fillId="10" borderId="203" applyNumberFormat="0" applyAlignment="0" applyProtection="0"/>
    <xf numFmtId="0" fontId="52" fillId="19" borderId="207" applyNumberFormat="0" applyAlignment="0" applyProtection="0"/>
    <xf numFmtId="0" fontId="62" fillId="19" borderId="205"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62" fillId="19" borderId="209" applyNumberFormat="0" applyAlignment="0" applyProtection="0"/>
    <xf numFmtId="0" fontId="62" fillId="19" borderId="205" applyNumberFormat="0" applyAlignment="0" applyProtection="0"/>
    <xf numFmtId="0" fontId="52" fillId="19"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22" fillId="7" borderId="208" applyNumberFormat="0" applyFont="0" applyAlignment="0" applyProtection="0"/>
    <xf numFmtId="0" fontId="62" fillId="19" borderId="205"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59" fillId="10" borderId="203"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5" applyNumberFormat="0" applyAlignment="0" applyProtection="0"/>
    <xf numFmtId="0" fontId="62" fillId="19" borderId="205" applyNumberFormat="0" applyAlignment="0" applyProtection="0"/>
    <xf numFmtId="0" fontId="64" fillId="0" borderId="210" applyNumberFormat="0" applyFill="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5" applyNumberFormat="0" applyAlignment="0" applyProtection="0"/>
    <xf numFmtId="0" fontId="52" fillId="19" borderId="207"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52" fillId="19" borderId="207" applyNumberFormat="0" applyAlignment="0" applyProtection="0"/>
    <xf numFmtId="0" fontId="52" fillId="19" borderId="207" applyNumberFormat="0" applyAlignment="0" applyProtection="0"/>
    <xf numFmtId="0" fontId="22" fillId="7" borderId="204" applyNumberFormat="0" applyFont="0" applyAlignment="0" applyProtection="0"/>
    <xf numFmtId="0" fontId="62" fillId="19" borderId="205" applyNumberFormat="0" applyAlignment="0" applyProtection="0"/>
    <xf numFmtId="0" fontId="62" fillId="19" borderId="209" applyNumberFormat="0" applyAlignment="0" applyProtection="0"/>
    <xf numFmtId="0" fontId="52" fillId="19" borderId="207" applyNumberFormat="0" applyAlignment="0" applyProtection="0"/>
    <xf numFmtId="0" fontId="62" fillId="19" borderId="205"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5" applyNumberFormat="0" applyAlignment="0" applyProtection="0"/>
    <xf numFmtId="0" fontId="52" fillId="19" borderId="207" applyNumberFormat="0" applyAlignment="0" applyProtection="0"/>
    <xf numFmtId="0" fontId="64" fillId="0" borderId="206" applyNumberFormat="0" applyFill="0" applyAlignment="0" applyProtection="0"/>
    <xf numFmtId="0" fontId="52" fillId="19" borderId="207" applyNumberFormat="0" applyAlignment="0" applyProtection="0"/>
    <xf numFmtId="0" fontId="59" fillId="10" borderId="207" applyNumberFormat="0" applyAlignment="0" applyProtection="0"/>
    <xf numFmtId="0" fontId="62" fillId="19" borderId="205" applyNumberFormat="0" applyAlignment="0" applyProtection="0"/>
    <xf numFmtId="0" fontId="62" fillId="19" borderId="205" applyNumberFormat="0" applyAlignment="0" applyProtection="0"/>
    <xf numFmtId="0" fontId="59" fillId="10" borderId="207" applyNumberFormat="0" applyAlignment="0" applyProtection="0"/>
    <xf numFmtId="0" fontId="62" fillId="19" borderId="205"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52" fillId="19" borderId="207" applyNumberFormat="0" applyAlignment="0" applyProtection="0"/>
    <xf numFmtId="0" fontId="62" fillId="19" borderId="205" applyNumberFormat="0" applyAlignment="0" applyProtection="0"/>
    <xf numFmtId="0" fontId="22" fillId="7" borderId="208" applyNumberFormat="0" applyFont="0" applyAlignment="0" applyProtection="0"/>
    <xf numFmtId="0" fontId="59" fillId="10" borderId="207" applyNumberFormat="0" applyAlignment="0" applyProtection="0"/>
    <xf numFmtId="0" fontId="62" fillId="19" borderId="205" applyNumberFormat="0" applyAlignment="0" applyProtection="0"/>
    <xf numFmtId="0" fontId="52" fillId="19" borderId="207" applyNumberFormat="0" applyAlignment="0" applyProtection="0"/>
    <xf numFmtId="0" fontId="22" fillId="7" borderId="208" applyNumberFormat="0" applyFon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4" fillId="0" borderId="206" applyNumberFormat="0" applyFill="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207"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59" fillId="10" borderId="207" applyNumberFormat="0" applyAlignment="0" applyProtection="0"/>
    <xf numFmtId="0" fontId="62" fillId="19" borderId="209" applyNumberFormat="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5" applyNumberFormat="0" applyAlignment="0" applyProtection="0"/>
    <xf numFmtId="0" fontId="62" fillId="19" borderId="209" applyNumberFormat="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22" fillId="7" borderId="208" applyNumberFormat="0" applyFont="0" applyAlignment="0" applyProtection="0"/>
    <xf numFmtId="0" fontId="62" fillId="19" borderId="205" applyNumberFormat="0" applyAlignment="0" applyProtection="0"/>
    <xf numFmtId="0" fontId="62" fillId="19" borderId="205" applyNumberFormat="0" applyAlignment="0" applyProtection="0"/>
    <xf numFmtId="0" fontId="59" fillId="10" borderId="207" applyNumberFormat="0" applyAlignment="0" applyProtection="0"/>
    <xf numFmtId="0" fontId="22" fillId="7" borderId="204" applyNumberFormat="0" applyFon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3"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52" fillId="19" borderId="199" applyNumberFormat="0" applyAlignment="0" applyProtection="0"/>
    <xf numFmtId="0" fontId="64" fillId="0" borderId="210" applyNumberFormat="0" applyFill="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207" applyNumberFormat="0" applyAlignment="0" applyProtection="0"/>
    <xf numFmtId="0" fontId="64" fillId="0" borderId="206" applyNumberFormat="0" applyFill="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64" fillId="0" borderId="206" applyNumberFormat="0" applyFill="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52" fillId="19" borderId="207" applyNumberFormat="0" applyAlignment="0" applyProtection="0"/>
    <xf numFmtId="0" fontId="59" fillId="10" borderId="207" applyNumberFormat="0" applyAlignment="0" applyProtection="0"/>
    <xf numFmtId="0" fontId="62" fillId="19" borderId="205"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06" applyNumberFormat="0" applyFill="0" applyAlignment="0" applyProtection="0"/>
    <xf numFmtId="0" fontId="62" fillId="19" borderId="205"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05" applyNumberFormat="0" applyAlignment="0" applyProtection="0"/>
    <xf numFmtId="0" fontId="62" fillId="19" borderId="205" applyNumberFormat="0" applyAlignment="0" applyProtection="0"/>
    <xf numFmtId="0" fontId="64" fillId="0" borderId="210" applyNumberFormat="0" applyFill="0" applyAlignment="0" applyProtection="0"/>
    <xf numFmtId="0" fontId="22" fillId="7" borderId="204" applyNumberFormat="0" applyFont="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59" fillId="10" borderId="207" applyNumberFormat="0" applyAlignment="0" applyProtection="0"/>
    <xf numFmtId="0" fontId="62" fillId="19" borderId="205" applyNumberFormat="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62" fillId="19" borderId="205"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62" fillId="19" borderId="205"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52" fillId="19"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3" applyNumberFormat="0" applyAlignment="0" applyProtection="0"/>
    <xf numFmtId="0" fontId="52" fillId="19"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59" fillId="10" borderId="207" applyNumberFormat="0" applyAlignment="0" applyProtection="0"/>
    <xf numFmtId="0" fontId="62" fillId="19" borderId="205" applyNumberFormat="0" applyAlignment="0" applyProtection="0"/>
    <xf numFmtId="0" fontId="22" fillId="7" borderId="208" applyNumberFormat="0" applyFont="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52" fillId="19" borderId="199" applyNumberFormat="0" applyAlignment="0" applyProtection="0"/>
    <xf numFmtId="0" fontId="64" fillId="0" borderId="206" applyNumberFormat="0" applyFill="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64" fillId="0" borderId="206" applyNumberFormat="0" applyFill="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64" fillId="0" borderId="206"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2" fillId="19" borderId="205" applyNumberFormat="0" applyAlignment="0" applyProtection="0"/>
    <xf numFmtId="0" fontId="62" fillId="19" borderId="201" applyNumberFormat="0" applyAlignment="0" applyProtection="0"/>
    <xf numFmtId="0" fontId="64" fillId="0" borderId="206" applyNumberFormat="0" applyFill="0" applyAlignment="0" applyProtection="0"/>
    <xf numFmtId="0" fontId="22" fillId="7" borderId="204" applyNumberFormat="0" applyFont="0" applyAlignment="0" applyProtection="0"/>
    <xf numFmtId="0" fontId="59" fillId="10" borderId="199" applyNumberFormat="0" applyAlignment="0" applyProtection="0"/>
    <xf numFmtId="0" fontId="22" fillId="7" borderId="200" applyNumberFormat="0" applyFont="0" applyAlignment="0" applyProtection="0"/>
    <xf numFmtId="0" fontId="59" fillId="10"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9" applyNumberFormat="0" applyAlignment="0" applyProtection="0"/>
    <xf numFmtId="0" fontId="62" fillId="19" borderId="205" applyNumberFormat="0" applyAlignment="0" applyProtection="0"/>
    <xf numFmtId="0" fontId="64" fillId="0" borderId="206" applyNumberFormat="0" applyFill="0" applyAlignment="0" applyProtection="0"/>
    <xf numFmtId="0" fontId="59" fillId="10" borderId="207" applyNumberFormat="0" applyAlignment="0" applyProtection="0"/>
    <xf numFmtId="0" fontId="62" fillId="19" borderId="205" applyNumberFormat="0" applyAlignment="0" applyProtection="0"/>
    <xf numFmtId="0" fontId="62" fillId="19" borderId="209" applyNumberFormat="0" applyAlignment="0" applyProtection="0"/>
    <xf numFmtId="0" fontId="62" fillId="19" borderId="205" applyNumberFormat="0" applyAlignment="0" applyProtection="0"/>
    <xf numFmtId="0" fontId="64" fillId="0" borderId="210" applyNumberFormat="0" applyFill="0" applyAlignment="0" applyProtection="0"/>
    <xf numFmtId="0" fontId="62" fillId="19" borderId="205" applyNumberFormat="0" applyAlignment="0" applyProtection="0"/>
    <xf numFmtId="0" fontId="59" fillId="10"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62" fillId="19" borderId="205"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5" applyNumberFormat="0" applyAlignment="0" applyProtection="0"/>
    <xf numFmtId="0" fontId="52" fillId="19"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6"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9" applyNumberFormat="0" applyAlignment="0" applyProtection="0"/>
    <xf numFmtId="0" fontId="62" fillId="19" borderId="205" applyNumberFormat="0" applyAlignment="0" applyProtection="0"/>
    <xf numFmtId="0" fontId="59" fillId="10" borderId="207" applyNumberFormat="0" applyAlignment="0" applyProtection="0"/>
    <xf numFmtId="0" fontId="59" fillId="10" borderId="207" applyNumberFormat="0" applyAlignment="0" applyProtection="0"/>
    <xf numFmtId="0" fontId="62" fillId="19" borderId="205" applyNumberFormat="0" applyAlignment="0" applyProtection="0"/>
    <xf numFmtId="0" fontId="52" fillId="19" borderId="207"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59" fillId="10" borderId="203"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59" fillId="10" borderId="199" applyNumberFormat="0" applyAlignment="0" applyProtection="0"/>
    <xf numFmtId="0" fontId="62" fillId="19" borderId="201" applyNumberFormat="0" applyAlignment="0" applyProtection="0"/>
    <xf numFmtId="0" fontId="52" fillId="19" borderId="199" applyNumberFormat="0" applyAlignment="0" applyProtection="0"/>
    <xf numFmtId="0" fontId="52" fillId="19" borderId="199" applyNumberFormat="0" applyAlignment="0" applyProtection="0"/>
    <xf numFmtId="0" fontId="62" fillId="19" borderId="201" applyNumberFormat="0" applyAlignment="0" applyProtection="0"/>
    <xf numFmtId="0" fontId="62" fillId="19" borderId="201"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2" fillId="19" borderId="201" applyNumberFormat="0" applyAlignment="0" applyProtection="0"/>
    <xf numFmtId="0" fontId="62" fillId="19" borderId="201" applyNumberFormat="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52" fillId="19" borderId="199"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62" fillId="19" borderId="201"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59" fillId="10" borderId="199"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62" fillId="19" borderId="201" applyNumberForma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59" fillId="10"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62" fillId="19" borderId="201" applyNumberFormat="0" applyAlignment="0" applyProtection="0"/>
    <xf numFmtId="0" fontId="62" fillId="19" borderId="201" applyNumberFormat="0" applyAlignment="0" applyProtection="0"/>
    <xf numFmtId="0" fontId="64" fillId="0" borderId="202" applyNumberFormat="0" applyFill="0" applyAlignment="0" applyProtection="0"/>
    <xf numFmtId="0" fontId="59" fillId="10" borderId="203" applyNumberFormat="0" applyAlignment="0" applyProtection="0"/>
    <xf numFmtId="0" fontId="22" fillId="7" borderId="208"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52" fillId="19" borderId="199" applyNumberFormat="0" applyAlignment="0" applyProtection="0"/>
    <xf numFmtId="0" fontId="62" fillId="19" borderId="205" applyNumberFormat="0" applyAlignment="0" applyProtection="0"/>
    <xf numFmtId="0" fontId="52" fillId="19" borderId="207"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22" fillId="7" borderId="208" applyNumberFormat="0" applyFont="0" applyAlignment="0" applyProtection="0"/>
    <xf numFmtId="0" fontId="52" fillId="19"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62" fillId="19" borderId="205" applyNumberFormat="0" applyAlignment="0" applyProtection="0"/>
    <xf numFmtId="0" fontId="22" fillId="7" borderId="208" applyNumberFormat="0" applyFont="0" applyAlignment="0" applyProtection="0"/>
    <xf numFmtId="0" fontId="59" fillId="10"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52" fillId="19" borderId="199" applyNumberFormat="0" applyAlignment="0" applyProtection="0"/>
    <xf numFmtId="0" fontId="62" fillId="19" borderId="201"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52" fillId="19" borderId="199" applyNumberFormat="0" applyAlignment="0" applyProtection="0"/>
    <xf numFmtId="0" fontId="22" fillId="7" borderId="200" applyNumberFormat="0" applyFont="0" applyAlignment="0" applyProtection="0"/>
    <xf numFmtId="0" fontId="52" fillId="19" borderId="207" applyNumberFormat="0" applyAlignment="0" applyProtection="0"/>
    <xf numFmtId="0" fontId="62" fillId="19" borderId="201" applyNumberFormat="0" applyAlignment="0" applyProtection="0"/>
    <xf numFmtId="0" fontId="64" fillId="0" borderId="202" applyNumberFormat="0" applyFill="0" applyAlignment="0" applyProtection="0"/>
    <xf numFmtId="0" fontId="52" fillId="19" borderId="199" applyNumberFormat="0" applyAlignment="0" applyProtection="0"/>
    <xf numFmtId="0" fontId="62" fillId="19" borderId="201" applyNumberFormat="0" applyAlignment="0" applyProtection="0"/>
    <xf numFmtId="0" fontId="52" fillId="19" borderId="199"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1" applyNumberFormat="0" applyAlignment="0" applyProtection="0"/>
    <xf numFmtId="0" fontId="62" fillId="19" borderId="201" applyNumberFormat="0" applyAlignment="0" applyProtection="0"/>
    <xf numFmtId="0" fontId="22" fillId="7" borderId="200" applyNumberFormat="0" applyFont="0" applyAlignment="0" applyProtection="0"/>
    <xf numFmtId="0" fontId="52" fillId="19" borderId="199" applyNumberFormat="0" applyAlignment="0" applyProtection="0"/>
    <xf numFmtId="0" fontId="22" fillId="7" borderId="208" applyNumberFormat="0" applyFon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6" applyNumberFormat="0" applyFill="0" applyAlignment="0" applyProtection="0"/>
    <xf numFmtId="0" fontId="62" fillId="19" borderId="205"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00" applyNumberFormat="0" applyFont="0" applyAlignment="0" applyProtection="0"/>
    <xf numFmtId="0" fontId="59" fillId="10" borderId="199" applyNumberFormat="0" applyAlignment="0" applyProtection="0"/>
    <xf numFmtId="0" fontId="52" fillId="19" borderId="199" applyNumberFormat="0" applyAlignment="0" applyProtection="0"/>
    <xf numFmtId="0" fontId="64" fillId="0" borderId="206" applyNumberFormat="0" applyFill="0" applyAlignment="0" applyProtection="0"/>
    <xf numFmtId="0" fontId="59" fillId="10" borderId="199" applyNumberFormat="0" applyAlignment="0" applyProtection="0"/>
    <xf numFmtId="0" fontId="64" fillId="0" borderId="206" applyNumberFormat="0" applyFill="0" applyAlignment="0" applyProtection="0"/>
    <xf numFmtId="0" fontId="59" fillId="10" borderId="199" applyNumberFormat="0" applyAlignment="0" applyProtection="0"/>
    <xf numFmtId="0" fontId="62" fillId="19" borderId="205" applyNumberFormat="0" applyAlignment="0" applyProtection="0"/>
    <xf numFmtId="0" fontId="62" fillId="19" borderId="205"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59" fillId="10" borderId="207" applyNumberFormat="0" applyAlignment="0" applyProtection="0"/>
    <xf numFmtId="0" fontId="22" fillId="7" borderId="204" applyNumberFormat="0" applyFont="0" applyAlignment="0" applyProtection="0"/>
    <xf numFmtId="0" fontId="62" fillId="19" borderId="205" applyNumberFormat="0" applyAlignment="0" applyProtection="0"/>
    <xf numFmtId="0" fontId="64" fillId="0" borderId="202"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4" fillId="0" borderId="206"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59" fillId="10" borderId="207" applyNumberFormat="0" applyAlignment="0" applyProtection="0"/>
    <xf numFmtId="0" fontId="59" fillId="10" borderId="207" applyNumberFormat="0" applyAlignment="0" applyProtection="0"/>
    <xf numFmtId="0" fontId="64" fillId="0" borderId="206" applyNumberFormat="0" applyFill="0" applyAlignment="0" applyProtection="0"/>
    <xf numFmtId="0" fontId="52" fillId="19" borderId="199" applyNumberFormat="0" applyAlignment="0" applyProtection="0"/>
    <xf numFmtId="0" fontId="52" fillId="19" borderId="203" applyNumberFormat="0" applyAlignment="0" applyProtection="0"/>
    <xf numFmtId="0" fontId="22" fillId="7" borderId="204" applyNumberFormat="0" applyFont="0" applyAlignment="0" applyProtection="0"/>
    <xf numFmtId="0" fontId="22" fillId="7" borderId="208" applyNumberFormat="0" applyFont="0" applyAlignment="0" applyProtection="0"/>
    <xf numFmtId="0" fontId="64" fillId="0" borderId="206"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64" fillId="0" borderId="206" applyNumberFormat="0" applyFill="0" applyAlignment="0" applyProtection="0"/>
    <xf numFmtId="0" fontId="52" fillId="19" borderId="199" applyNumberFormat="0" applyAlignment="0" applyProtection="0"/>
    <xf numFmtId="0" fontId="59" fillId="10"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199" applyNumberFormat="0" applyAlignment="0" applyProtection="0"/>
    <xf numFmtId="0" fontId="52" fillId="19"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4" fillId="0" borderId="210" applyNumberFormat="0" applyFill="0" applyAlignment="0" applyProtection="0"/>
    <xf numFmtId="0" fontId="64" fillId="0" borderId="206"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199" applyNumberFormat="0" applyAlignment="0" applyProtection="0"/>
    <xf numFmtId="0" fontId="64" fillId="0" borderId="202"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52" fillId="19"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52" fillId="19" borderId="203" applyNumberFormat="0" applyAlignment="0" applyProtection="0"/>
    <xf numFmtId="0" fontId="62" fillId="19" borderId="205"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52" fillId="19"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10" applyNumberFormat="0" applyFill="0" applyAlignment="0" applyProtection="0"/>
    <xf numFmtId="0" fontId="64" fillId="0" borderId="206"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22" fillId="7" borderId="204"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22" fillId="7" borderId="204" applyNumberFormat="0" applyFont="0" applyAlignment="0" applyProtection="0"/>
    <xf numFmtId="0" fontId="22" fillId="7" borderId="200" applyNumberFormat="0" applyFont="0" applyAlignment="0" applyProtection="0"/>
    <xf numFmtId="0" fontId="22" fillId="7" borderId="204" applyNumberFormat="0" applyFont="0" applyAlignment="0" applyProtection="0"/>
    <xf numFmtId="0" fontId="52" fillId="19" borderId="207" applyNumberFormat="0" applyAlignment="0" applyProtection="0"/>
    <xf numFmtId="0" fontId="62" fillId="19" borderId="205"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62" fillId="19" borderId="205"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52" fillId="19" borderId="207" applyNumberFormat="0" applyAlignment="0" applyProtection="0"/>
    <xf numFmtId="0" fontId="62" fillId="19" borderId="205"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5" applyNumberForma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64" fillId="0" borderId="202" applyNumberFormat="0" applyFill="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5" applyNumberFormat="0" applyAlignment="0" applyProtection="0"/>
    <xf numFmtId="0" fontId="52" fillId="19" borderId="207" applyNumberFormat="0" applyAlignment="0" applyProtection="0"/>
    <xf numFmtId="0" fontId="22" fillId="7" borderId="200" applyNumberFormat="0" applyFont="0" applyAlignment="0" applyProtection="0"/>
    <xf numFmtId="0" fontId="59" fillId="10"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62" fillId="19" borderId="205" applyNumberFormat="0" applyAlignment="0" applyProtection="0"/>
    <xf numFmtId="0" fontId="52" fillId="19" borderId="207" applyNumberFormat="0" applyAlignment="0" applyProtection="0"/>
    <xf numFmtId="0" fontId="62" fillId="19" borderId="205"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22" fillId="7" borderId="204"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06"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62" fillId="19" borderId="205" applyNumberFormat="0" applyAlignment="0" applyProtection="0"/>
    <xf numFmtId="0" fontId="62" fillId="19" borderId="205"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06" applyNumberFormat="0" applyFill="0" applyAlignment="0" applyProtection="0"/>
    <xf numFmtId="0" fontId="62" fillId="19" borderId="209"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62" fillId="19" borderId="205" applyNumberFormat="0" applyAlignment="0" applyProtection="0"/>
    <xf numFmtId="0" fontId="52" fillId="19" borderId="207" applyNumberFormat="0" applyAlignment="0" applyProtection="0"/>
    <xf numFmtId="0" fontId="52" fillId="19" borderId="199" applyNumberForma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64" fillId="0" borderId="202" applyNumberFormat="0" applyFill="0" applyAlignment="0" applyProtection="0"/>
    <xf numFmtId="0" fontId="59" fillId="10" borderId="199" applyNumberForma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62" fillId="19" borderId="201" applyNumberFormat="0" applyAlignment="0" applyProtection="0"/>
    <xf numFmtId="0" fontId="62" fillId="19" borderId="205" applyNumberFormat="0" applyAlignment="0" applyProtection="0"/>
    <xf numFmtId="0" fontId="62" fillId="19" borderId="201"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5" applyNumberFormat="0" applyAlignment="0" applyProtection="0"/>
    <xf numFmtId="0" fontId="22" fillId="7" borderId="208" applyNumberFormat="0" applyFont="0" applyAlignment="0" applyProtection="0"/>
    <xf numFmtId="0" fontId="52" fillId="19" borderId="203" applyNumberFormat="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52" fillId="19" borderId="207" applyNumberFormat="0" applyAlignment="0" applyProtection="0"/>
    <xf numFmtId="0" fontId="52" fillId="19" borderId="199" applyNumberFormat="0" applyAlignment="0" applyProtection="0"/>
    <xf numFmtId="0" fontId="59" fillId="10" borderId="207" applyNumberFormat="0" applyAlignment="0" applyProtection="0"/>
    <xf numFmtId="0" fontId="52" fillId="19" borderId="199" applyNumberFormat="0" applyAlignment="0" applyProtection="0"/>
    <xf numFmtId="0" fontId="52" fillId="19" borderId="203" applyNumberFormat="0" applyAlignment="0" applyProtection="0"/>
    <xf numFmtId="0" fontId="59" fillId="10" borderId="207" applyNumberFormat="0" applyAlignment="0" applyProtection="0"/>
    <xf numFmtId="0" fontId="52" fillId="19"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59" fillId="10"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62" fillId="19" borderId="209" applyNumberFormat="0" applyAlignment="0" applyProtection="0"/>
    <xf numFmtId="0" fontId="64" fillId="0" borderId="206" applyNumberFormat="0" applyFill="0" applyAlignment="0" applyProtection="0"/>
    <xf numFmtId="0" fontId="52" fillId="19" borderId="199" applyNumberFormat="0" applyAlignment="0" applyProtection="0"/>
    <xf numFmtId="0" fontId="64" fillId="0" borderId="210" applyNumberFormat="0" applyFill="0" applyAlignment="0" applyProtection="0"/>
    <xf numFmtId="0" fontId="52" fillId="19" borderId="199" applyNumberFormat="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59" fillId="10" borderId="207" applyNumberFormat="0" applyAlignment="0" applyProtection="0"/>
    <xf numFmtId="0" fontId="59" fillId="10" borderId="199" applyNumberFormat="0" applyAlignment="0" applyProtection="0"/>
    <xf numFmtId="0" fontId="62" fillId="19" borderId="205"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9" applyNumberFormat="0" applyAlignment="0" applyProtection="0"/>
    <xf numFmtId="0" fontId="52" fillId="19"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52" fillId="19"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22" fillId="7" borderId="200" applyNumberFormat="0" applyFont="0" applyAlignment="0" applyProtection="0"/>
    <xf numFmtId="0" fontId="62" fillId="19" borderId="205" applyNumberFormat="0" applyAlignment="0" applyProtection="0"/>
    <xf numFmtId="0" fontId="52" fillId="19" borderId="199" applyNumberFormat="0" applyAlignment="0" applyProtection="0"/>
    <xf numFmtId="0" fontId="64" fillId="0" borderId="202" applyNumberFormat="0" applyFill="0" applyAlignment="0" applyProtection="0"/>
    <xf numFmtId="0" fontId="64" fillId="0" borderId="206" applyNumberFormat="0" applyFill="0" applyAlignment="0" applyProtection="0"/>
    <xf numFmtId="0" fontId="64" fillId="0" borderId="210"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62" fillId="19" borderId="209" applyNumberFormat="0" applyAlignment="0" applyProtection="0"/>
    <xf numFmtId="0" fontId="62" fillId="19" borderId="205"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06" applyNumberFormat="0" applyFill="0" applyAlignment="0" applyProtection="0"/>
    <xf numFmtId="0" fontId="52" fillId="19" borderId="203" applyNumberFormat="0" applyAlignment="0" applyProtection="0"/>
    <xf numFmtId="0" fontId="59" fillId="10" borderId="207"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5"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2" applyNumberFormat="0" applyFill="0" applyAlignment="0" applyProtection="0"/>
    <xf numFmtId="0" fontId="62" fillId="19" borderId="205" applyNumberFormat="0" applyAlignment="0" applyProtection="0"/>
    <xf numFmtId="0" fontId="22" fillId="7" borderId="208" applyNumberFormat="0" applyFont="0" applyAlignment="0" applyProtection="0"/>
    <xf numFmtId="0" fontId="52" fillId="19"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4"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62" fillId="19" borderId="205" applyNumberFormat="0" applyAlignment="0" applyProtection="0"/>
    <xf numFmtId="0" fontId="62" fillId="19" borderId="205"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9" fillId="10" borderId="203" applyNumberFormat="0" applyAlignment="0" applyProtection="0"/>
    <xf numFmtId="0" fontId="59" fillId="10" borderId="203"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59" fillId="10" borderId="203" applyNumberFormat="0" applyAlignment="0" applyProtection="0"/>
    <xf numFmtId="0" fontId="59" fillId="10" borderId="207" applyNumberFormat="0" applyAlignment="0" applyProtection="0"/>
    <xf numFmtId="0" fontId="52" fillId="19"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62" fillId="19" borderId="205" applyNumberFormat="0" applyAlignment="0" applyProtection="0"/>
    <xf numFmtId="0" fontId="22" fillId="7" borderId="200" applyNumberFormat="0" applyFont="0" applyAlignment="0" applyProtection="0"/>
    <xf numFmtId="0" fontId="64" fillId="0" borderId="206" applyNumberFormat="0" applyFill="0" applyAlignment="0" applyProtection="0"/>
    <xf numFmtId="0" fontId="52" fillId="19" borderId="207" applyNumberForma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64" fillId="0" borderId="206" applyNumberFormat="0" applyFill="0" applyAlignment="0" applyProtection="0"/>
    <xf numFmtId="0" fontId="52" fillId="19" borderId="199" applyNumberFormat="0" applyAlignment="0" applyProtection="0"/>
    <xf numFmtId="0" fontId="22" fillId="7" borderId="204"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64" fillId="0" borderId="202" applyNumberFormat="0" applyFill="0" applyAlignment="0" applyProtection="0"/>
    <xf numFmtId="0" fontId="64" fillId="0" borderId="202" applyNumberFormat="0" applyFill="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02" applyNumberFormat="0" applyFill="0" applyAlignment="0" applyProtection="0"/>
    <xf numFmtId="0" fontId="64" fillId="0" borderId="206" applyNumberFormat="0" applyFill="0" applyAlignment="0" applyProtection="0"/>
    <xf numFmtId="0" fontId="59" fillId="10" borderId="199" applyNumberFormat="0" applyAlignment="0" applyProtection="0"/>
    <xf numFmtId="0" fontId="22" fillId="7" borderId="208"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62" fillId="19" borderId="201" applyNumberFormat="0" applyAlignment="0" applyProtection="0"/>
    <xf numFmtId="0" fontId="59" fillId="10" borderId="199" applyNumberFormat="0" applyAlignment="0" applyProtection="0"/>
    <xf numFmtId="0" fontId="62" fillId="19" borderId="201" applyNumberFormat="0" applyAlignment="0" applyProtection="0"/>
    <xf numFmtId="0" fontId="64" fillId="0" borderId="206" applyNumberFormat="0" applyFill="0" applyAlignment="0" applyProtection="0"/>
    <xf numFmtId="0" fontId="52" fillId="19" borderId="199" applyNumberFormat="0" applyAlignment="0" applyProtection="0"/>
    <xf numFmtId="0" fontId="62" fillId="19" borderId="205" applyNumberFormat="0" applyAlignment="0" applyProtection="0"/>
    <xf numFmtId="0" fontId="62" fillId="19" borderId="209" applyNumberFormat="0" applyAlignment="0" applyProtection="0"/>
    <xf numFmtId="0" fontId="64" fillId="0" borderId="206" applyNumberFormat="0" applyFill="0" applyAlignment="0" applyProtection="0"/>
    <xf numFmtId="0" fontId="59" fillId="10" borderId="203" applyNumberFormat="0" applyAlignment="0" applyProtection="0"/>
    <xf numFmtId="0" fontId="52" fillId="19" borderId="207"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52" fillId="19" borderId="203"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9" applyNumberFormat="0" applyAlignment="0" applyProtection="0"/>
    <xf numFmtId="0" fontId="52" fillId="19" borderId="207" applyNumberFormat="0" applyAlignment="0" applyProtection="0"/>
    <xf numFmtId="0" fontId="62" fillId="19" borderId="205"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06" applyNumberFormat="0" applyFill="0" applyAlignment="0" applyProtection="0"/>
    <xf numFmtId="0" fontId="22" fillId="7" borderId="204" applyNumberFormat="0" applyFont="0" applyAlignment="0" applyProtection="0"/>
    <xf numFmtId="0" fontId="62" fillId="19" borderId="209" applyNumberFormat="0" applyAlignment="0" applyProtection="0"/>
    <xf numFmtId="0" fontId="62" fillId="19" borderId="209" applyNumberFormat="0" applyAlignment="0" applyProtection="0"/>
    <xf numFmtId="0" fontId="62" fillId="19" borderId="205" applyNumberFormat="0" applyAlignment="0" applyProtection="0"/>
    <xf numFmtId="0" fontId="62" fillId="19" borderId="205"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62" fillId="19" borderId="205"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4" applyNumberFormat="0" applyFont="0" applyAlignment="0" applyProtection="0"/>
    <xf numFmtId="0" fontId="59" fillId="10"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62" fillId="19" borderId="205" applyNumberFormat="0" applyAlignment="0" applyProtection="0"/>
    <xf numFmtId="0" fontId="22" fillId="7" borderId="200" applyNumberFormat="0" applyFont="0" applyAlignment="0" applyProtection="0"/>
    <xf numFmtId="0" fontId="62" fillId="19" borderId="205"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1" applyNumberFormat="0" applyAlignment="0" applyProtection="0"/>
    <xf numFmtId="0" fontId="59" fillId="10"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62" fillId="19" borderId="209" applyNumberFormat="0" applyAlignment="0" applyProtection="0"/>
    <xf numFmtId="0" fontId="52" fillId="19" borderId="199" applyNumberFormat="0" applyAlignment="0" applyProtection="0"/>
    <xf numFmtId="0" fontId="52" fillId="19" borderId="207" applyNumberForma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64" fillId="0" borderId="202" applyNumberFormat="0" applyFill="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62" fillId="19" borderId="201" applyNumberFormat="0" applyAlignment="0" applyProtection="0"/>
    <xf numFmtId="0" fontId="64" fillId="0" borderId="202" applyNumberFormat="0" applyFill="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64" fillId="0" borderId="206" applyNumberFormat="0" applyFill="0" applyAlignment="0" applyProtection="0"/>
    <xf numFmtId="0" fontId="62" fillId="19" borderId="201" applyNumberFormat="0" applyAlignment="0" applyProtection="0"/>
    <xf numFmtId="0" fontId="62" fillId="19" borderId="205" applyNumberFormat="0" applyAlignment="0" applyProtection="0"/>
    <xf numFmtId="0" fontId="59" fillId="10" borderId="199" applyNumberFormat="0" applyAlignment="0" applyProtection="0"/>
    <xf numFmtId="0" fontId="62" fillId="19" borderId="201"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5" applyNumberFormat="0" applyAlignment="0" applyProtection="0"/>
    <xf numFmtId="0" fontId="64" fillId="0" borderId="202"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59" fillId="10" borderId="207" applyNumberFormat="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6" applyNumberFormat="0" applyFill="0" applyAlignment="0" applyProtection="0"/>
    <xf numFmtId="0" fontId="59" fillId="10" borderId="207" applyNumberFormat="0" applyAlignment="0" applyProtection="0"/>
    <xf numFmtId="0" fontId="62" fillId="19" borderId="205"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62" fillId="19" borderId="205" applyNumberFormat="0" applyAlignment="0" applyProtection="0"/>
    <xf numFmtId="0" fontId="22" fillId="7" borderId="208" applyNumberFormat="0" applyFont="0" applyAlignment="0" applyProtection="0"/>
    <xf numFmtId="0" fontId="62" fillId="19" borderId="205" applyNumberFormat="0" applyAlignment="0" applyProtection="0"/>
    <xf numFmtId="0" fontId="59" fillId="10" borderId="207" applyNumberFormat="0" applyAlignment="0" applyProtection="0"/>
    <xf numFmtId="0" fontId="64" fillId="0" borderId="206" applyNumberFormat="0" applyFill="0" applyAlignment="0" applyProtection="0"/>
    <xf numFmtId="0" fontId="59" fillId="10"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9"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5" applyNumberFormat="0" applyAlignment="0" applyProtection="0"/>
    <xf numFmtId="0" fontId="59" fillId="10" borderId="203" applyNumberFormat="0" applyAlignment="0" applyProtection="0"/>
    <xf numFmtId="0" fontId="64" fillId="0" borderId="206"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64" fillId="0" borderId="206" applyNumberFormat="0" applyFill="0" applyAlignment="0" applyProtection="0"/>
    <xf numFmtId="0" fontId="59" fillId="10" borderId="199" applyNumberFormat="0" applyAlignment="0" applyProtection="0"/>
    <xf numFmtId="0" fontId="62" fillId="19" borderId="205" applyNumberFormat="0" applyAlignment="0" applyProtection="0"/>
    <xf numFmtId="0" fontId="64" fillId="0" borderId="206" applyNumberFormat="0" applyFill="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22" fillId="7" borderId="208" applyNumberFormat="0" applyFont="0" applyAlignment="0" applyProtection="0"/>
    <xf numFmtId="0" fontId="59" fillId="10" borderId="199" applyNumberForma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59" fillId="10" borderId="199" applyNumberForma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59" fillId="10"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52" fillId="19"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22" fillId="7" borderId="204" applyNumberFormat="0" applyFont="0" applyAlignment="0" applyProtection="0"/>
    <xf numFmtId="0" fontId="64" fillId="0" borderId="210" applyNumberFormat="0" applyFill="0" applyAlignment="0" applyProtection="0"/>
    <xf numFmtId="0" fontId="64" fillId="0" borderId="206" applyNumberFormat="0" applyFill="0" applyAlignment="0" applyProtection="0"/>
    <xf numFmtId="0" fontId="22" fillId="7" borderId="200" applyNumberFormat="0" applyFont="0" applyAlignment="0" applyProtection="0"/>
    <xf numFmtId="0" fontId="64" fillId="0" borderId="206" applyNumberFormat="0" applyFill="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6" applyNumberFormat="0" applyFill="0" applyAlignment="0" applyProtection="0"/>
    <xf numFmtId="0" fontId="64" fillId="0" borderId="206" applyNumberFormat="0" applyFill="0" applyAlignment="0" applyProtection="0"/>
    <xf numFmtId="0" fontId="59" fillId="10" borderId="207" applyNumberFormat="0" applyAlignment="0" applyProtection="0"/>
    <xf numFmtId="0" fontId="62" fillId="19" borderId="209" applyNumberFormat="0" applyAlignment="0" applyProtection="0"/>
    <xf numFmtId="0" fontId="62" fillId="19" borderId="205" applyNumberFormat="0" applyAlignment="0" applyProtection="0"/>
    <xf numFmtId="0" fontId="59" fillId="10" borderId="207" applyNumberFormat="0" applyAlignment="0" applyProtection="0"/>
    <xf numFmtId="0" fontId="59" fillId="10"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59" fillId="10" borderId="203" applyNumberFormat="0" applyAlignment="0" applyProtection="0"/>
    <xf numFmtId="0" fontId="64" fillId="0" borderId="206" applyNumberFormat="0" applyFill="0" applyAlignment="0" applyProtection="0"/>
    <xf numFmtId="0" fontId="59" fillId="10" borderId="207" applyNumberFormat="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62" fillId="19" borderId="209" applyNumberFormat="0" applyAlignment="0" applyProtection="0"/>
    <xf numFmtId="0" fontId="59" fillId="10"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52" fillId="19" borderId="207" applyNumberFormat="0" applyAlignment="0" applyProtection="0"/>
    <xf numFmtId="0" fontId="62" fillId="19" borderId="209" applyNumberFormat="0" applyAlignment="0" applyProtection="0"/>
    <xf numFmtId="0" fontId="62" fillId="19" borderId="205"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5" applyNumberFormat="0" applyAlignment="0" applyProtection="0"/>
    <xf numFmtId="0" fontId="64" fillId="0" borderId="206" applyNumberFormat="0" applyFill="0" applyAlignment="0" applyProtection="0"/>
    <xf numFmtId="0" fontId="59" fillId="10" borderId="207" applyNumberFormat="0" applyAlignment="0" applyProtection="0"/>
    <xf numFmtId="0" fontId="59" fillId="10" borderId="207" applyNumberFormat="0" applyAlignment="0" applyProtection="0"/>
    <xf numFmtId="0" fontId="64" fillId="0" borderId="206" applyNumberFormat="0" applyFill="0" applyAlignment="0" applyProtection="0"/>
    <xf numFmtId="0" fontId="52" fillId="19" borderId="207" applyNumberFormat="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52" fillId="19" borderId="207" applyNumberFormat="0" applyAlignment="0" applyProtection="0"/>
    <xf numFmtId="0" fontId="52" fillId="19" borderId="203" applyNumberFormat="0" applyAlignment="0" applyProtection="0"/>
    <xf numFmtId="0" fontId="62" fillId="19" borderId="205" applyNumberFormat="0" applyAlignment="0" applyProtection="0"/>
    <xf numFmtId="0" fontId="62" fillId="19" borderId="205" applyNumberFormat="0" applyAlignment="0" applyProtection="0"/>
    <xf numFmtId="0" fontId="52" fillId="19" borderId="207" applyNumberFormat="0" applyAlignment="0" applyProtection="0"/>
    <xf numFmtId="0" fontId="64" fillId="0" borderId="206" applyNumberFormat="0" applyFill="0" applyAlignment="0" applyProtection="0"/>
    <xf numFmtId="0" fontId="52" fillId="19"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59" fillId="10" borderId="199" applyNumberFormat="0" applyAlignment="0" applyProtection="0"/>
    <xf numFmtId="0" fontId="64" fillId="0" borderId="206" applyNumberFormat="0" applyFill="0" applyAlignment="0" applyProtection="0"/>
    <xf numFmtId="0" fontId="52" fillId="19"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62" fillId="19" borderId="201" applyNumberFormat="0" applyAlignment="0" applyProtection="0"/>
    <xf numFmtId="0" fontId="62" fillId="19" borderId="201" applyNumberFormat="0" applyAlignment="0" applyProtection="0"/>
    <xf numFmtId="0" fontId="64" fillId="0" borderId="202" applyNumberFormat="0" applyFill="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64" fillId="0" borderId="202" applyNumberFormat="0" applyFill="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64" fillId="0" borderId="202" applyNumberFormat="0" applyFill="0" applyAlignment="0" applyProtection="0"/>
    <xf numFmtId="0" fontId="64" fillId="0" borderId="202" applyNumberFormat="0" applyFill="0" applyAlignment="0" applyProtection="0"/>
    <xf numFmtId="0" fontId="64" fillId="0" borderId="202" applyNumberFormat="0" applyFill="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59" fillId="10" borderId="207" applyNumberFormat="0" applyAlignment="0" applyProtection="0"/>
    <xf numFmtId="0" fontId="62" fillId="19" borderId="205" applyNumberFormat="0" applyAlignment="0" applyProtection="0"/>
    <xf numFmtId="0" fontId="62" fillId="19" borderId="201" applyNumberFormat="0" applyAlignment="0" applyProtection="0"/>
    <xf numFmtId="0" fontId="59" fillId="10" borderId="19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5" applyNumberFormat="0" applyAlignment="0" applyProtection="0"/>
    <xf numFmtId="0" fontId="59" fillId="10" borderId="207" applyNumberFormat="0" applyAlignment="0" applyProtection="0"/>
    <xf numFmtId="0" fontId="59" fillId="10" borderId="207" applyNumberFormat="0" applyAlignment="0" applyProtection="0"/>
    <xf numFmtId="0" fontId="59" fillId="10" borderId="203" applyNumberFormat="0" applyAlignment="0" applyProtection="0"/>
    <xf numFmtId="0" fontId="59" fillId="10" borderId="203"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9" applyNumberFormat="0" applyAlignment="0" applyProtection="0"/>
    <xf numFmtId="0" fontId="62" fillId="19" borderId="205"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06" applyNumberFormat="0" applyFill="0" applyAlignment="0" applyProtection="0"/>
    <xf numFmtId="0" fontId="52" fillId="19" borderId="203" applyNumberFormat="0" applyAlignment="0" applyProtection="0"/>
    <xf numFmtId="0" fontId="64" fillId="0" borderId="206" applyNumberFormat="0" applyFill="0" applyAlignment="0" applyProtection="0"/>
    <xf numFmtId="0" fontId="62" fillId="19" borderId="209" applyNumberFormat="0" applyAlignment="0" applyProtection="0"/>
    <xf numFmtId="0" fontId="59" fillId="10" borderId="203"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52" fillId="19" borderId="207" applyNumberFormat="0" applyAlignment="0" applyProtection="0"/>
    <xf numFmtId="0" fontId="62" fillId="19" borderId="205" applyNumberFormat="0" applyAlignment="0" applyProtection="0"/>
    <xf numFmtId="0" fontId="59" fillId="10" borderId="207" applyNumberFormat="0" applyAlignment="0" applyProtection="0"/>
    <xf numFmtId="0" fontId="62" fillId="19" borderId="205" applyNumberFormat="0" applyAlignment="0" applyProtection="0"/>
    <xf numFmtId="0" fontId="62" fillId="19" borderId="201" applyNumberFormat="0" applyAlignment="0" applyProtection="0"/>
    <xf numFmtId="0" fontId="62" fillId="19" borderId="205" applyNumberForma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5"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64" fillId="0" borderId="210" applyNumberFormat="0" applyFill="0" applyAlignment="0" applyProtection="0"/>
    <xf numFmtId="0" fontId="64" fillId="0" borderId="206" applyNumberFormat="0" applyFill="0" applyAlignment="0" applyProtection="0"/>
    <xf numFmtId="0" fontId="59" fillId="10" borderId="207" applyNumberFormat="0" applyAlignment="0" applyProtection="0"/>
    <xf numFmtId="0" fontId="62" fillId="19" borderId="205"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59" fillId="10" borderId="207" applyNumberFormat="0" applyAlignment="0" applyProtection="0"/>
    <xf numFmtId="0" fontId="62" fillId="19" borderId="205" applyNumberFormat="0" applyAlignment="0" applyProtection="0"/>
    <xf numFmtId="0" fontId="22" fillId="7" borderId="208" applyNumberFormat="0" applyFont="0" applyAlignment="0" applyProtection="0"/>
    <xf numFmtId="0" fontId="52" fillId="19"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62" fillId="19" borderId="205"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22" fillId="7" borderId="204" applyNumberFormat="0" applyFon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59" fillId="10" borderId="207" applyNumberFormat="0" applyAlignment="0" applyProtection="0"/>
    <xf numFmtId="0" fontId="59" fillId="10" borderId="203" applyNumberFormat="0" applyAlignment="0" applyProtection="0"/>
    <xf numFmtId="0" fontId="52" fillId="19"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5"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9"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62" fillId="19" borderId="209" applyNumberFormat="0" applyAlignment="0" applyProtection="0"/>
    <xf numFmtId="0" fontId="62" fillId="19" borderId="205"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10"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10" applyNumberFormat="0" applyFill="0" applyAlignment="0" applyProtection="0"/>
    <xf numFmtId="0" fontId="52" fillId="19" borderId="199" applyNumberFormat="0" applyAlignment="0" applyProtection="0"/>
    <xf numFmtId="0" fontId="64" fillId="0" borderId="206" applyNumberFormat="0" applyFill="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64" fillId="0" borderId="210"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9" applyNumberFormat="0" applyAlignment="0" applyProtection="0"/>
    <xf numFmtId="0" fontId="62" fillId="19" borderId="205" applyNumberFormat="0" applyAlignment="0" applyProtection="0"/>
    <xf numFmtId="0" fontId="64" fillId="0" borderId="206" applyNumberFormat="0" applyFill="0" applyAlignment="0" applyProtection="0"/>
    <xf numFmtId="0" fontId="62" fillId="19" borderId="209" applyNumberFormat="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10" applyNumberFormat="0" applyFill="0" applyAlignment="0" applyProtection="0"/>
    <xf numFmtId="0" fontId="52" fillId="19" borderId="203"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5" applyNumberFormat="0" applyAlignment="0" applyProtection="0"/>
    <xf numFmtId="0" fontId="59" fillId="10"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62" fillId="19" borderId="209" applyNumberFormat="0" applyAlignment="0" applyProtection="0"/>
    <xf numFmtId="0" fontId="64" fillId="0" borderId="206" applyNumberFormat="0" applyFill="0" applyAlignment="0" applyProtection="0"/>
    <xf numFmtId="0" fontId="52" fillId="19" borderId="203"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5"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59" fillId="10"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59" fillId="10" borderId="207" applyNumberFormat="0" applyAlignment="0" applyProtection="0"/>
    <xf numFmtId="0" fontId="52" fillId="19" borderId="207" applyNumberFormat="0" applyAlignment="0" applyProtection="0"/>
    <xf numFmtId="0" fontId="59" fillId="10" borderId="203" applyNumberFormat="0" applyAlignment="0" applyProtection="0"/>
    <xf numFmtId="0" fontId="62" fillId="19" borderId="205" applyNumberFormat="0" applyAlignment="0" applyProtection="0"/>
    <xf numFmtId="0" fontId="52" fillId="19" borderId="207"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59" fillId="10" borderId="203" applyNumberFormat="0" applyAlignment="0" applyProtection="0"/>
    <xf numFmtId="0" fontId="64" fillId="0" borderId="206"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62" fillId="19" borderId="205" applyNumberFormat="0" applyAlignment="0" applyProtection="0"/>
    <xf numFmtId="0" fontId="62" fillId="19" borderId="209" applyNumberFormat="0" applyAlignment="0" applyProtection="0"/>
    <xf numFmtId="0" fontId="62" fillId="19" borderId="205" applyNumberFormat="0" applyAlignment="0" applyProtection="0"/>
    <xf numFmtId="0" fontId="22" fillId="7" borderId="204" applyNumberFormat="0" applyFont="0" applyAlignment="0" applyProtection="0"/>
    <xf numFmtId="0" fontId="62" fillId="19" borderId="205" applyNumberFormat="0" applyAlignment="0" applyProtection="0"/>
    <xf numFmtId="0" fontId="64" fillId="0" borderId="206" applyNumberFormat="0" applyFill="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5" applyNumberFormat="0" applyAlignment="0" applyProtection="0"/>
    <xf numFmtId="0" fontId="62" fillId="19" borderId="205"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64" fillId="0" borderId="210" applyNumberFormat="0" applyFill="0" applyAlignment="0" applyProtection="0"/>
    <xf numFmtId="0" fontId="62" fillId="19" borderId="205"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52" fillId="19" borderId="207" applyNumberFormat="0" applyAlignment="0" applyProtection="0"/>
    <xf numFmtId="0" fontId="62" fillId="19" borderId="209" applyNumberFormat="0" applyAlignment="0" applyProtection="0"/>
    <xf numFmtId="0" fontId="64" fillId="0" borderId="206" applyNumberFormat="0" applyFill="0" applyAlignment="0" applyProtection="0"/>
    <xf numFmtId="0" fontId="62" fillId="19" borderId="205" applyNumberFormat="0" applyAlignment="0" applyProtection="0"/>
    <xf numFmtId="0" fontId="22" fillId="7" borderId="208" applyNumberFormat="0" applyFont="0" applyAlignment="0" applyProtection="0"/>
    <xf numFmtId="0" fontId="52" fillId="19"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64" fillId="0" borderId="206" applyNumberFormat="0" applyFill="0" applyAlignment="0" applyProtection="0"/>
    <xf numFmtId="0" fontId="52" fillId="19" borderId="207" applyNumberFormat="0" applyAlignment="0" applyProtection="0"/>
    <xf numFmtId="0" fontId="62" fillId="19" borderId="205" applyNumberFormat="0" applyAlignment="0" applyProtection="0"/>
    <xf numFmtId="0" fontId="62" fillId="19" borderId="205" applyNumberFormat="0" applyAlignment="0" applyProtection="0"/>
    <xf numFmtId="0" fontId="64" fillId="0" borderId="210" applyNumberFormat="0" applyFill="0" applyAlignment="0" applyProtection="0"/>
    <xf numFmtId="0" fontId="62" fillId="19" borderId="201" applyNumberFormat="0" applyAlignment="0" applyProtection="0"/>
    <xf numFmtId="0" fontId="59" fillId="10" borderId="207" applyNumberFormat="0" applyAlignment="0" applyProtection="0"/>
    <xf numFmtId="0" fontId="62" fillId="19" borderId="205"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5" applyNumberFormat="0" applyAlignment="0" applyProtection="0"/>
    <xf numFmtId="0" fontId="62" fillId="19" borderId="209" applyNumberFormat="0" applyAlignment="0" applyProtection="0"/>
    <xf numFmtId="0" fontId="62" fillId="19" borderId="205"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05"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59" fillId="10" borderId="207" applyNumberFormat="0" applyAlignment="0" applyProtection="0"/>
    <xf numFmtId="0" fontId="52" fillId="19"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59" fillId="10" borderId="203"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22" fillId="7" borderId="208" applyNumberFormat="0" applyFont="0" applyAlignment="0" applyProtection="0"/>
    <xf numFmtId="0" fontId="62" fillId="19" borderId="201" applyNumberFormat="0" applyAlignment="0" applyProtection="0"/>
    <xf numFmtId="0" fontId="22" fillId="7" borderId="200" applyNumberFormat="0" applyFont="0" applyAlignment="0" applyProtection="0"/>
    <xf numFmtId="0" fontId="64" fillId="0" borderId="206" applyNumberFormat="0" applyFill="0" applyAlignment="0" applyProtection="0"/>
    <xf numFmtId="0" fontId="64" fillId="0" borderId="202"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52" fillId="19" borderId="207" applyNumberFormat="0" applyAlignment="0" applyProtection="0"/>
    <xf numFmtId="0" fontId="22" fillId="7" borderId="204" applyNumberFormat="0" applyFont="0" applyAlignment="0" applyProtection="0"/>
    <xf numFmtId="0" fontId="52" fillId="19" borderId="207"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62" fillId="19" borderId="201" applyNumberFormat="0" applyAlignment="0" applyProtection="0"/>
    <xf numFmtId="0" fontId="22" fillId="7" borderId="200" applyNumberFormat="0" applyFont="0" applyAlignment="0" applyProtection="0"/>
    <xf numFmtId="0" fontId="62" fillId="19" borderId="201" applyNumberFormat="0" applyAlignment="0" applyProtection="0"/>
    <xf numFmtId="0" fontId="62" fillId="19" borderId="201" applyNumberFormat="0" applyAlignment="0" applyProtection="0"/>
    <xf numFmtId="0" fontId="52" fillId="19"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59" fillId="10" borderId="199"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2" fillId="19" borderId="201" applyNumberFormat="0" applyAlignment="0" applyProtection="0"/>
    <xf numFmtId="0" fontId="52" fillId="19"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22" fillId="7" borderId="200" applyNumberFormat="0" applyFont="0" applyAlignment="0" applyProtection="0"/>
    <xf numFmtId="0" fontId="62" fillId="19" borderId="201" applyNumberFormat="0" applyAlignment="0" applyProtection="0"/>
    <xf numFmtId="0" fontId="59" fillId="10" borderId="199" applyNumberFormat="0" applyAlignment="0" applyProtection="0"/>
    <xf numFmtId="0" fontId="62" fillId="19" borderId="201"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62" fillId="19" borderId="201" applyNumberFormat="0" applyAlignment="0" applyProtection="0"/>
    <xf numFmtId="0" fontId="52" fillId="19"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62" fillId="19" borderId="201" applyNumberFormat="0" applyAlignment="0" applyProtection="0"/>
    <xf numFmtId="0" fontId="52" fillId="19"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22" fillId="7" borderId="200" applyNumberFormat="0" applyFont="0" applyAlignment="0" applyProtection="0"/>
    <xf numFmtId="0" fontId="59" fillId="10"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59" fillId="10" borderId="199" applyNumberFormat="0" applyAlignment="0" applyProtection="0"/>
    <xf numFmtId="0" fontId="59" fillId="10" borderId="199" applyNumberFormat="0" applyAlignment="0" applyProtection="0"/>
    <xf numFmtId="0" fontId="62" fillId="19" borderId="201" applyNumberFormat="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62" fillId="19" borderId="201" applyNumberFormat="0" applyAlignment="0" applyProtection="0"/>
    <xf numFmtId="0" fontId="52" fillId="19" borderId="199"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9" fillId="10" borderId="199" applyNumberFormat="0" applyAlignment="0" applyProtection="0"/>
    <xf numFmtId="0" fontId="62" fillId="19" borderId="201" applyNumberFormat="0" applyAlignment="0" applyProtection="0"/>
    <xf numFmtId="0" fontId="59" fillId="10"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52" fillId="19"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64" fillId="0" borderId="202" applyNumberFormat="0" applyFill="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2" fillId="19"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52" fillId="19"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62" fillId="19" borderId="201" applyNumberFormat="0" applyAlignment="0" applyProtection="0"/>
    <xf numFmtId="0" fontId="62" fillId="19" borderId="201"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52" fillId="19" borderId="199" applyNumberForma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52" fillId="19" borderId="199"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2" fillId="19" borderId="201" applyNumberFormat="0" applyAlignment="0" applyProtection="0"/>
    <xf numFmtId="0" fontId="62" fillId="19" borderId="201" applyNumberFormat="0" applyAlignment="0" applyProtection="0"/>
    <xf numFmtId="0" fontId="62" fillId="19" borderId="201" applyNumberFormat="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52" fillId="19"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62" fillId="19" borderId="201" applyNumberFormat="0" applyAlignment="0" applyProtection="0"/>
    <xf numFmtId="0" fontId="22" fillId="7" borderId="200" applyNumberFormat="0" applyFont="0" applyAlignment="0" applyProtection="0"/>
    <xf numFmtId="0" fontId="52" fillId="19"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59" fillId="10" borderId="199" applyNumberFormat="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62" fillId="19" borderId="201" applyNumberFormat="0" applyAlignment="0" applyProtection="0"/>
    <xf numFmtId="0" fontId="52" fillId="19"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59" fillId="10" borderId="199"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52" fillId="19"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22" fillId="7" borderId="200" applyNumberFormat="0" applyFont="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62" fillId="19" borderId="201" applyNumberFormat="0" applyAlignment="0" applyProtection="0"/>
    <xf numFmtId="0" fontId="52" fillId="19"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52" fillId="19" borderId="199" applyNumberFormat="0" applyAlignment="0" applyProtection="0"/>
    <xf numFmtId="0" fontId="22" fillId="7" borderId="200" applyNumberFormat="0" applyFont="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62" fillId="19" borderId="201" applyNumberFormat="0" applyAlignment="0" applyProtection="0"/>
    <xf numFmtId="0" fontId="22" fillId="7" borderId="200" applyNumberFormat="0" applyFont="0" applyAlignment="0" applyProtection="0"/>
    <xf numFmtId="0" fontId="52" fillId="19" borderId="199" applyNumberForma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62" fillId="19" borderId="201" applyNumberFormat="0" applyAlignment="0" applyProtection="0"/>
    <xf numFmtId="0" fontId="22" fillId="7" borderId="200" applyNumberFormat="0" applyFon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59" fillId="10"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59" fillId="10" borderId="199" applyNumberFormat="0" applyAlignment="0" applyProtection="0"/>
    <xf numFmtId="0" fontId="62" fillId="19" borderId="201" applyNumberFormat="0" applyAlignment="0" applyProtection="0"/>
    <xf numFmtId="0" fontId="62" fillId="19" borderId="201" applyNumberFormat="0" applyAlignment="0" applyProtection="0"/>
    <xf numFmtId="0" fontId="64" fillId="0" borderId="202" applyNumberFormat="0" applyFill="0" applyAlignment="0" applyProtection="0"/>
    <xf numFmtId="0" fontId="59" fillId="10" borderId="199" applyNumberFormat="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22" fillId="7" borderId="200" applyNumberFormat="0" applyFont="0" applyAlignment="0" applyProtection="0"/>
    <xf numFmtId="0" fontId="59" fillId="10" borderId="199"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62" fillId="19" borderId="201" applyNumberFormat="0" applyAlignment="0" applyProtection="0"/>
    <xf numFmtId="0" fontId="22" fillId="7" borderId="200" applyNumberFormat="0" applyFont="0" applyAlignment="0" applyProtection="0"/>
    <xf numFmtId="0" fontId="62" fillId="19" borderId="201"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22" fillId="7" borderId="200" applyNumberFormat="0" applyFont="0" applyAlignment="0" applyProtection="0"/>
    <xf numFmtId="0" fontId="22" fillId="7" borderId="200" applyNumberFormat="0" applyFon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62" fillId="19" borderId="201" applyNumberFormat="0" applyAlignment="0" applyProtection="0"/>
    <xf numFmtId="0" fontId="22" fillId="7" borderId="200" applyNumberFormat="0" applyFon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59" fillId="10" borderId="199" applyNumberFormat="0" applyAlignment="0" applyProtection="0"/>
    <xf numFmtId="0" fontId="52" fillId="19" borderId="199" applyNumberFormat="0" applyAlignment="0" applyProtection="0"/>
    <xf numFmtId="0" fontId="62" fillId="19" borderId="201"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62" fillId="19" borderId="201" applyNumberFormat="0" applyAlignment="0" applyProtection="0"/>
    <xf numFmtId="0" fontId="22" fillId="7" borderId="200" applyNumberFormat="0" applyFont="0" applyAlignment="0" applyProtection="0"/>
    <xf numFmtId="0" fontId="59" fillId="10" borderId="199"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64" fillId="0" borderId="202" applyNumberFormat="0" applyFill="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59" fillId="10" borderId="199"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62" fillId="19" borderId="201" applyNumberFormat="0" applyAlignment="0" applyProtection="0"/>
    <xf numFmtId="0" fontId="62" fillId="19" borderId="201" applyNumberFormat="0" applyAlignment="0" applyProtection="0"/>
    <xf numFmtId="0" fontId="62" fillId="19" borderId="201" applyNumberFormat="0" applyAlignment="0" applyProtection="0"/>
    <xf numFmtId="0" fontId="62" fillId="19" borderId="201" applyNumberFormat="0" applyAlignment="0" applyProtection="0"/>
    <xf numFmtId="0" fontId="52" fillId="19"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52" fillId="19"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59" fillId="10"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59" fillId="10"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9" fillId="10" borderId="199" applyNumberFormat="0" applyAlignment="0" applyProtection="0"/>
    <xf numFmtId="0" fontId="62" fillId="19" borderId="201"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62" fillId="19" borderId="201" applyNumberFormat="0" applyAlignment="0" applyProtection="0"/>
    <xf numFmtId="0" fontId="22" fillId="7" borderId="200" applyNumberFormat="0" applyFont="0" applyAlignment="0" applyProtection="0"/>
    <xf numFmtId="0" fontId="52" fillId="19"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62" fillId="19" borderId="201" applyNumberFormat="0" applyAlignment="0" applyProtection="0"/>
    <xf numFmtId="0" fontId="52" fillId="19"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59" fillId="10" borderId="199" applyNumberFormat="0" applyAlignment="0" applyProtection="0"/>
    <xf numFmtId="0" fontId="62" fillId="19" borderId="201" applyNumberFormat="0" applyAlignment="0" applyProtection="0"/>
    <xf numFmtId="0" fontId="59" fillId="10" borderId="199" applyNumberFormat="0" applyAlignment="0" applyProtection="0"/>
    <xf numFmtId="0" fontId="62" fillId="19" borderId="201" applyNumberFormat="0" applyAlignment="0" applyProtection="0"/>
    <xf numFmtId="0" fontId="22" fillId="7" borderId="200" applyNumberFormat="0" applyFont="0" applyAlignment="0" applyProtection="0"/>
    <xf numFmtId="0" fontId="59" fillId="10"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59" fillId="10"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52" fillId="19"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2" fillId="19" borderId="201" applyNumberFormat="0" applyAlignment="0" applyProtection="0"/>
    <xf numFmtId="0" fontId="62" fillId="19" borderId="201" applyNumberFormat="0" applyAlignment="0" applyProtection="0"/>
    <xf numFmtId="0" fontId="22" fillId="7" borderId="200" applyNumberFormat="0" applyFon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59" fillId="10" borderId="199" applyNumberForma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62" fillId="19" borderId="201" applyNumberFormat="0" applyAlignment="0" applyProtection="0"/>
    <xf numFmtId="0" fontId="62" fillId="19" borderId="201" applyNumberFormat="0" applyAlignment="0" applyProtection="0"/>
    <xf numFmtId="0" fontId="22" fillId="7" borderId="200" applyNumberFormat="0" applyFont="0" applyAlignment="0" applyProtection="0"/>
    <xf numFmtId="0" fontId="62" fillId="19" borderId="201" applyNumberFormat="0" applyAlignment="0" applyProtection="0"/>
    <xf numFmtId="0" fontId="59" fillId="10" borderId="199" applyNumberFormat="0" applyAlignment="0" applyProtection="0"/>
    <xf numFmtId="0" fontId="62" fillId="19" borderId="201" applyNumberFormat="0" applyAlignment="0" applyProtection="0"/>
    <xf numFmtId="0" fontId="62" fillId="19" borderId="201"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2" fillId="19" borderId="201" applyNumberFormat="0" applyAlignment="0" applyProtection="0"/>
    <xf numFmtId="0" fontId="59" fillId="10" borderId="199" applyNumberFormat="0" applyAlignment="0" applyProtection="0"/>
    <xf numFmtId="0" fontId="59" fillId="10"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62" fillId="19" borderId="201" applyNumberFormat="0" applyAlignment="0" applyProtection="0"/>
    <xf numFmtId="0" fontId="22" fillId="7" borderId="200" applyNumberFormat="0" applyFont="0" applyAlignment="0" applyProtection="0"/>
    <xf numFmtId="0" fontId="62" fillId="19" borderId="201"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9" fillId="10" borderId="199" applyNumberFormat="0" applyAlignment="0" applyProtection="0"/>
    <xf numFmtId="0" fontId="62" fillId="19" borderId="201"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52" fillId="19"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62" fillId="19" borderId="201" applyNumberFormat="0" applyAlignment="0" applyProtection="0"/>
    <xf numFmtId="0" fontId="62" fillId="19" borderId="201" applyNumberFormat="0" applyAlignment="0" applyProtection="0"/>
    <xf numFmtId="0" fontId="62" fillId="19" borderId="201" applyNumberFormat="0" applyAlignment="0" applyProtection="0"/>
    <xf numFmtId="0" fontId="64" fillId="0" borderId="202" applyNumberFormat="0" applyFill="0" applyAlignment="0" applyProtection="0"/>
    <xf numFmtId="0" fontId="59" fillId="10"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22" fillId="7" borderId="200" applyNumberFormat="0" applyFon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2" fillId="19" borderId="201" applyNumberFormat="0" applyAlignment="0" applyProtection="0"/>
    <xf numFmtId="0" fontId="52" fillId="19" borderId="199" applyNumberFormat="0" applyAlignment="0" applyProtection="0"/>
    <xf numFmtId="0" fontId="59" fillId="10" borderId="199" applyNumberFormat="0" applyAlignment="0" applyProtection="0"/>
    <xf numFmtId="0" fontId="62" fillId="19" borderId="201" applyNumberFormat="0" applyAlignment="0" applyProtection="0"/>
    <xf numFmtId="0" fontId="22" fillId="7" borderId="200" applyNumberFormat="0" applyFon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64" fillId="0" borderId="202" applyNumberFormat="0" applyFill="0" applyAlignment="0" applyProtection="0"/>
    <xf numFmtId="0" fontId="62" fillId="19" borderId="201"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62" fillId="19" borderId="201" applyNumberFormat="0" applyAlignment="0" applyProtection="0"/>
    <xf numFmtId="0" fontId="52" fillId="19" borderId="199" applyNumberFormat="0" applyAlignment="0" applyProtection="0"/>
    <xf numFmtId="0" fontId="62" fillId="19" borderId="201" applyNumberForma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52" fillId="19" borderId="199"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52" fillId="19"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62" fillId="19" borderId="201" applyNumberFormat="0" applyAlignment="0" applyProtection="0"/>
    <xf numFmtId="0" fontId="22" fillId="7" borderId="200" applyNumberFormat="0" applyFont="0" applyAlignment="0" applyProtection="0"/>
    <xf numFmtId="0" fontId="62" fillId="19" borderId="201" applyNumberFormat="0" applyAlignment="0" applyProtection="0"/>
    <xf numFmtId="0" fontId="22" fillId="7" borderId="200" applyNumberFormat="0" applyFont="0" applyAlignment="0" applyProtection="0"/>
    <xf numFmtId="0" fontId="62" fillId="19" borderId="201" applyNumberFormat="0" applyAlignment="0" applyProtection="0"/>
    <xf numFmtId="0" fontId="62" fillId="19" borderId="201" applyNumberFormat="0" applyAlignment="0" applyProtection="0"/>
    <xf numFmtId="0" fontId="22" fillId="7" borderId="200" applyNumberFormat="0" applyFont="0" applyAlignment="0" applyProtection="0"/>
    <xf numFmtId="0" fontId="52" fillId="19" borderId="199"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52" fillId="19"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64" fillId="0" borderId="202" applyNumberFormat="0" applyFill="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62" fillId="19" borderId="201" applyNumberFormat="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2" fillId="19" borderId="201" applyNumberFormat="0" applyAlignment="0" applyProtection="0"/>
    <xf numFmtId="0" fontId="64" fillId="0" borderId="202" applyNumberFormat="0" applyFill="0" applyAlignment="0" applyProtection="0"/>
    <xf numFmtId="0" fontId="59" fillId="10" borderId="199" applyNumberFormat="0" applyAlignment="0" applyProtection="0"/>
    <xf numFmtId="0" fontId="64" fillId="0" borderId="202" applyNumberFormat="0" applyFill="0" applyAlignment="0" applyProtection="0"/>
    <xf numFmtId="0" fontId="62" fillId="19" borderId="201" applyNumberFormat="0" applyAlignment="0" applyProtection="0"/>
    <xf numFmtId="0" fontId="22" fillId="7" borderId="200" applyNumberFormat="0" applyFont="0" applyAlignment="0" applyProtection="0"/>
    <xf numFmtId="0" fontId="52" fillId="19"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22" fillId="7" borderId="200" applyNumberFormat="0" applyFont="0" applyAlignment="0" applyProtection="0"/>
    <xf numFmtId="0" fontId="62" fillId="19" borderId="201"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52" fillId="19"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22" fillId="7" borderId="200" applyNumberFormat="0" applyFont="0" applyAlignment="0" applyProtection="0"/>
    <xf numFmtId="0" fontId="52" fillId="19" borderId="199" applyNumberFormat="0" applyAlignment="0" applyProtection="0"/>
    <xf numFmtId="0" fontId="22" fillId="7" borderId="200" applyNumberFormat="0" applyFon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62" fillId="19" borderId="201" applyNumberFormat="0" applyAlignment="0" applyProtection="0"/>
    <xf numFmtId="0" fontId="59" fillId="10" borderId="199" applyNumberFormat="0" applyAlignment="0" applyProtection="0"/>
    <xf numFmtId="0" fontId="62" fillId="19" borderId="201" applyNumberFormat="0" applyAlignment="0" applyProtection="0"/>
    <xf numFmtId="0" fontId="59" fillId="10"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52" fillId="19" borderId="199" applyNumberFormat="0" applyAlignment="0" applyProtection="0"/>
    <xf numFmtId="0" fontId="64" fillId="0" borderId="202" applyNumberFormat="0" applyFill="0" applyAlignment="0" applyProtection="0"/>
    <xf numFmtId="0" fontId="62" fillId="19" borderId="201" applyNumberFormat="0" applyAlignment="0" applyProtection="0"/>
    <xf numFmtId="0" fontId="52" fillId="19"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64" fillId="0" borderId="202" applyNumberFormat="0" applyFill="0" applyAlignment="0" applyProtection="0"/>
    <xf numFmtId="0" fontId="62" fillId="19" borderId="201" applyNumberFormat="0" applyAlignment="0" applyProtection="0"/>
    <xf numFmtId="0" fontId="64" fillId="0" borderId="202" applyNumberFormat="0" applyFill="0" applyAlignment="0" applyProtection="0"/>
    <xf numFmtId="0" fontId="59" fillId="10" borderId="199"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59" fillId="10" borderId="199" applyNumberFormat="0" applyAlignment="0" applyProtection="0"/>
    <xf numFmtId="0" fontId="59" fillId="10"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52" fillId="19"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22" fillId="7" borderId="200" applyNumberFormat="0" applyFont="0" applyAlignment="0" applyProtection="0"/>
    <xf numFmtId="0" fontId="59" fillId="10"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52" fillId="19"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22" fillId="7" borderId="200" applyNumberFormat="0" applyFont="0" applyAlignment="0" applyProtection="0"/>
    <xf numFmtId="0" fontId="52" fillId="19" borderId="199" applyNumberFormat="0" applyAlignment="0" applyProtection="0"/>
    <xf numFmtId="0" fontId="64" fillId="0" borderId="202" applyNumberFormat="0" applyFill="0" applyAlignment="0" applyProtection="0"/>
    <xf numFmtId="0" fontId="62" fillId="19" borderId="201"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2" fillId="19" borderId="201" applyNumberFormat="0" applyAlignment="0" applyProtection="0"/>
    <xf numFmtId="0" fontId="52" fillId="19"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62" fillId="19" borderId="201" applyNumberFormat="0" applyAlignment="0" applyProtection="0"/>
    <xf numFmtId="0" fontId="52" fillId="19"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2" fillId="19" borderId="201" applyNumberFormat="0" applyAlignment="0" applyProtection="0"/>
    <xf numFmtId="0" fontId="59" fillId="10" borderId="199"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22" fillId="7" borderId="200" applyNumberFormat="0" applyFont="0" applyAlignment="0" applyProtection="0"/>
    <xf numFmtId="0" fontId="62" fillId="19" borderId="201"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62" fillId="19" borderId="201" applyNumberFormat="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59" fillId="10" borderId="199"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59" fillId="10" borderId="199" applyNumberFormat="0" applyAlignment="0" applyProtection="0"/>
    <xf numFmtId="0" fontId="59" fillId="10" borderId="199" applyNumberFormat="0" applyAlignment="0" applyProtection="0"/>
    <xf numFmtId="0" fontId="62" fillId="19" borderId="201" applyNumberFormat="0" applyAlignment="0" applyProtection="0"/>
    <xf numFmtId="0" fontId="22" fillId="7" borderId="200" applyNumberFormat="0" applyFont="0" applyAlignment="0" applyProtection="0"/>
    <xf numFmtId="0" fontId="52" fillId="19" borderId="199" applyNumberFormat="0" applyAlignment="0" applyProtection="0"/>
    <xf numFmtId="0" fontId="22" fillId="7" borderId="200" applyNumberFormat="0" applyFon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62" fillId="19" borderId="201" applyNumberFormat="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59" fillId="10" borderId="199" applyNumberFormat="0" applyAlignment="0" applyProtection="0"/>
    <xf numFmtId="0" fontId="62" fillId="19" borderId="201"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59" fillId="10" borderId="199" applyNumberFormat="0" applyAlignment="0" applyProtection="0"/>
    <xf numFmtId="0" fontId="62" fillId="19" borderId="201" applyNumberFormat="0" applyAlignment="0" applyProtection="0"/>
    <xf numFmtId="0" fontId="22" fillId="7" borderId="200" applyNumberFormat="0" applyFont="0" applyAlignment="0" applyProtection="0"/>
    <xf numFmtId="0" fontId="59" fillId="10" borderId="199"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52" fillId="19" borderId="199" applyNumberForma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62" fillId="19" borderId="201" applyNumberFormat="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2" fillId="19"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64" fillId="0" borderId="202" applyNumberFormat="0" applyFill="0" applyAlignment="0" applyProtection="0"/>
    <xf numFmtId="0" fontId="64" fillId="0" borderId="202" applyNumberFormat="0" applyFill="0" applyAlignment="0" applyProtection="0"/>
    <xf numFmtId="0" fontId="62" fillId="19" borderId="201"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62" fillId="19" borderId="201" applyNumberFormat="0" applyAlignment="0" applyProtection="0"/>
    <xf numFmtId="0" fontId="52" fillId="19"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22" fillId="7" borderId="200" applyNumberFormat="0" applyFont="0" applyAlignment="0" applyProtection="0"/>
    <xf numFmtId="0" fontId="62" fillId="19" borderId="201"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52" fillId="19" borderId="199" applyNumberFormat="0" applyAlignment="0" applyProtection="0"/>
    <xf numFmtId="0" fontId="52" fillId="19" borderId="199" applyNumberFormat="0" applyAlignment="0" applyProtection="0"/>
    <xf numFmtId="0" fontId="62" fillId="19" borderId="201" applyNumberFormat="0" applyAlignment="0" applyProtection="0"/>
    <xf numFmtId="0" fontId="22" fillId="7" borderId="200" applyNumberFormat="0" applyFont="0" applyAlignment="0" applyProtection="0"/>
    <xf numFmtId="0" fontId="59" fillId="10" borderId="199"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4" fillId="0" borderId="202" applyNumberFormat="0" applyFill="0" applyAlignment="0" applyProtection="0"/>
    <xf numFmtId="0" fontId="62" fillId="19" borderId="201" applyNumberFormat="0" applyAlignment="0" applyProtection="0"/>
    <xf numFmtId="0" fontId="64" fillId="0" borderId="202" applyNumberFormat="0" applyFill="0" applyAlignment="0" applyProtection="0"/>
    <xf numFmtId="0" fontId="59" fillId="10" borderId="199" applyNumberFormat="0" applyAlignment="0" applyProtection="0"/>
    <xf numFmtId="0" fontId="52" fillId="19" borderId="199" applyNumberFormat="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52" fillId="19"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4" fillId="0" borderId="202" applyNumberFormat="0" applyFill="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62" fillId="19" borderId="201" applyNumberFormat="0" applyAlignment="0" applyProtection="0"/>
    <xf numFmtId="0" fontId="64" fillId="0" borderId="202" applyNumberFormat="0" applyFill="0" applyAlignment="0" applyProtection="0"/>
    <xf numFmtId="0" fontId="59" fillId="10" borderId="199" applyNumberFormat="0" applyAlignment="0" applyProtection="0"/>
    <xf numFmtId="0" fontId="52" fillId="19" borderId="199" applyNumberForma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59" fillId="10" borderId="199" applyNumberFormat="0" applyAlignment="0" applyProtection="0"/>
    <xf numFmtId="0" fontId="52" fillId="19"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22" fillId="7" borderId="200" applyNumberFormat="0" applyFon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62" fillId="19" borderId="201" applyNumberFormat="0" applyAlignment="0" applyProtection="0"/>
    <xf numFmtId="0" fontId="52" fillId="19"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2" fillId="19" borderId="201"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59" fillId="10"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59" fillId="10"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62" fillId="19" borderId="201"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52" fillId="19"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52" fillId="19" borderId="199" applyNumberFormat="0" applyAlignment="0" applyProtection="0"/>
    <xf numFmtId="0" fontId="62" fillId="19" borderId="201" applyNumberFormat="0" applyAlignment="0" applyProtection="0"/>
    <xf numFmtId="0" fontId="22" fillId="7" borderId="200" applyNumberFormat="0" applyFon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59" fillId="10"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62" fillId="19" borderId="201"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52" fillId="19"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9" fillId="10" borderId="199" applyNumberFormat="0" applyAlignment="0" applyProtection="0"/>
    <xf numFmtId="0" fontId="64" fillId="0" borderId="202" applyNumberFormat="0" applyFill="0" applyAlignment="0" applyProtection="0"/>
    <xf numFmtId="0" fontId="62" fillId="19" borderId="201" applyNumberFormat="0" applyAlignment="0" applyProtection="0"/>
    <xf numFmtId="0" fontId="52" fillId="19"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22" fillId="7" borderId="200" applyNumberFormat="0" applyFon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62" fillId="19" borderId="201"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64" fillId="0" borderId="202" applyNumberFormat="0" applyFill="0" applyAlignment="0" applyProtection="0"/>
    <xf numFmtId="0" fontId="62" fillId="19" borderId="201" applyNumberFormat="0" applyAlignment="0" applyProtection="0"/>
    <xf numFmtId="0" fontId="22" fillId="7" borderId="200" applyNumberFormat="0" applyFont="0" applyAlignment="0" applyProtection="0"/>
    <xf numFmtId="0" fontId="62" fillId="19" borderId="201" applyNumberFormat="0" applyAlignment="0" applyProtection="0"/>
    <xf numFmtId="0" fontId="62" fillId="19" borderId="201"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62" fillId="19" borderId="201" applyNumberFormat="0" applyAlignment="0" applyProtection="0"/>
    <xf numFmtId="0" fontId="62" fillId="19" borderId="201" applyNumberFormat="0" applyAlignment="0" applyProtection="0"/>
    <xf numFmtId="0" fontId="52" fillId="19" borderId="199"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59" fillId="10" borderId="199"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59" fillId="10"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2" fillId="19" borderId="199" applyNumberFormat="0" applyAlignment="0" applyProtection="0"/>
    <xf numFmtId="0" fontId="62" fillId="19" borderId="201"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59" fillId="10"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2" fillId="19"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52" fillId="19"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52" fillId="19"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22" fillId="7" borderId="200" applyNumberFormat="0" applyFont="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62" fillId="19" borderId="201" applyNumberFormat="0" applyAlignment="0" applyProtection="0"/>
    <xf numFmtId="0" fontId="22" fillId="7" borderId="200" applyNumberFormat="0" applyFont="0" applyAlignment="0" applyProtection="0"/>
    <xf numFmtId="0" fontId="52" fillId="19" borderId="199" applyNumberFormat="0" applyAlignment="0" applyProtection="0"/>
    <xf numFmtId="0" fontId="59" fillId="10" borderId="199" applyNumberFormat="0" applyAlignment="0" applyProtection="0"/>
    <xf numFmtId="0" fontId="62" fillId="19" borderId="201" applyNumberFormat="0" applyAlignment="0" applyProtection="0"/>
    <xf numFmtId="0" fontId="52" fillId="19"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52" fillId="19"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2" fillId="19" borderId="201"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62" fillId="19" borderId="201"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64" fillId="0" borderId="202" applyNumberFormat="0" applyFill="0" applyAlignment="0" applyProtection="0"/>
    <xf numFmtId="0" fontId="62" fillId="19" borderId="201" applyNumberFormat="0" applyAlignment="0" applyProtection="0"/>
    <xf numFmtId="0" fontId="64" fillId="0" borderId="202" applyNumberFormat="0" applyFill="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62" fillId="19" borderId="201"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22" fillId="7" borderId="200" applyNumberFormat="0" applyFon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59" fillId="10"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64" fillId="0" borderId="202" applyNumberFormat="0" applyFill="0" applyAlignment="0" applyProtection="0"/>
    <xf numFmtId="0" fontId="64" fillId="0" borderId="202" applyNumberFormat="0" applyFill="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59" fillId="10" borderId="199" applyNumberFormat="0" applyAlignment="0" applyProtection="0"/>
    <xf numFmtId="0" fontId="62" fillId="19" borderId="201" applyNumberFormat="0" applyAlignment="0" applyProtection="0"/>
    <xf numFmtId="0" fontId="62" fillId="19" borderId="201" applyNumberFormat="0" applyAlignment="0" applyProtection="0"/>
    <xf numFmtId="0" fontId="22" fillId="7" borderId="200" applyNumberFormat="0" applyFon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52" fillId="19"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62" fillId="19" borderId="201"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22" fillId="7" borderId="200" applyNumberFormat="0" applyFon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22" fillId="7" borderId="200" applyNumberFormat="0" applyFont="0" applyAlignment="0" applyProtection="0"/>
    <xf numFmtId="0" fontId="62" fillId="19" borderId="201" applyNumberFormat="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2" fillId="19" borderId="199"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59" fillId="10" borderId="199" applyNumberFormat="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2" fillId="19" borderId="201" applyNumberFormat="0" applyAlignment="0" applyProtection="0"/>
    <xf numFmtId="0" fontId="22" fillId="7" borderId="200" applyNumberFormat="0" applyFont="0" applyAlignment="0" applyProtection="0"/>
    <xf numFmtId="0" fontId="59" fillId="10" borderId="199" applyNumberForma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2" fillId="19" borderId="201"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62" fillId="19" borderId="201" applyNumberFormat="0" applyAlignment="0" applyProtection="0"/>
    <xf numFmtId="0" fontId="22" fillId="7" borderId="200" applyNumberFormat="0" applyFon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22" fillId="7" borderId="200" applyNumberFormat="0" applyFont="0" applyAlignment="0" applyProtection="0"/>
    <xf numFmtId="0" fontId="52" fillId="19" borderId="199" applyNumberForma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59" fillId="10" borderId="199"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22" fillId="7" borderId="200" applyNumberFormat="0" applyFont="0" applyAlignment="0" applyProtection="0"/>
    <xf numFmtId="0" fontId="62" fillId="19" borderId="201" applyNumberFormat="0" applyAlignment="0" applyProtection="0"/>
    <xf numFmtId="0" fontId="62" fillId="19" borderId="201" applyNumberFormat="0" applyAlignment="0" applyProtection="0"/>
    <xf numFmtId="0" fontId="22" fillId="7" borderId="200" applyNumberFormat="0" applyFont="0" applyAlignment="0" applyProtection="0"/>
    <xf numFmtId="0" fontId="62" fillId="19" borderId="201" applyNumberFormat="0" applyAlignment="0" applyProtection="0"/>
    <xf numFmtId="0" fontId="62" fillId="19" borderId="201"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59" fillId="10"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59" fillId="10" borderId="199" applyNumberFormat="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59" fillId="10" borderId="199" applyNumberFormat="0" applyAlignment="0" applyProtection="0"/>
    <xf numFmtId="0" fontId="64" fillId="0" borderId="202" applyNumberFormat="0" applyFill="0" applyAlignment="0" applyProtection="0"/>
    <xf numFmtId="0" fontId="59" fillId="10" borderId="199"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22" fillId="7" borderId="200" applyNumberFormat="0" applyFon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59" fillId="10" borderId="199" applyNumberFormat="0" applyAlignment="0" applyProtection="0"/>
    <xf numFmtId="0" fontId="52" fillId="19"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2" fillId="19" borderId="201" applyNumberFormat="0" applyAlignment="0" applyProtection="0"/>
    <xf numFmtId="0" fontId="64" fillId="0" borderId="202" applyNumberFormat="0" applyFill="0" applyAlignment="0" applyProtection="0"/>
    <xf numFmtId="0" fontId="64" fillId="0" borderId="202" applyNumberFormat="0" applyFill="0" applyAlignment="0" applyProtection="0"/>
    <xf numFmtId="0" fontId="22" fillId="7" borderId="200" applyNumberFormat="0" applyFont="0" applyAlignment="0" applyProtection="0"/>
    <xf numFmtId="0" fontId="64" fillId="0" borderId="202" applyNumberFormat="0" applyFill="0" applyAlignment="0" applyProtection="0"/>
    <xf numFmtId="0" fontId="22" fillId="7" borderId="200" applyNumberFormat="0" applyFont="0" applyAlignment="0" applyProtection="0"/>
    <xf numFmtId="0" fontId="59" fillId="10" borderId="199" applyNumberFormat="0" applyAlignment="0" applyProtection="0"/>
    <xf numFmtId="0" fontId="62" fillId="19" borderId="201" applyNumberFormat="0" applyAlignment="0" applyProtection="0"/>
    <xf numFmtId="0" fontId="64" fillId="0" borderId="202" applyNumberFormat="0" applyFill="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02" applyNumberFormat="0" applyFill="0" applyAlignment="0" applyProtection="0"/>
    <xf numFmtId="0" fontId="52" fillId="19" borderId="199" applyNumberFormat="0" applyAlignment="0" applyProtection="0"/>
    <xf numFmtId="0" fontId="59" fillId="10" borderId="199" applyNumberFormat="0" applyAlignment="0" applyProtection="0"/>
    <xf numFmtId="0" fontId="52" fillId="19" borderId="199" applyNumberFormat="0" applyAlignment="0" applyProtection="0"/>
    <xf numFmtId="0" fontId="52" fillId="19" borderId="199" applyNumberFormat="0" applyAlignment="0" applyProtection="0"/>
    <xf numFmtId="0" fontId="62" fillId="19" borderId="201" applyNumberFormat="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52" fillId="19" borderId="199" applyNumberFormat="0" applyAlignment="0" applyProtection="0"/>
    <xf numFmtId="0" fontId="52" fillId="19" borderId="199" applyNumberFormat="0" applyAlignment="0" applyProtection="0"/>
    <xf numFmtId="0" fontId="59" fillId="10" borderId="199" applyNumberFormat="0" applyAlignment="0" applyProtection="0"/>
    <xf numFmtId="0" fontId="22" fillId="7" borderId="200" applyNumberFormat="0" applyFont="0" applyAlignment="0" applyProtection="0"/>
    <xf numFmtId="0" fontId="64" fillId="0" borderId="202"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22" fillId="7" borderId="208" applyNumberFormat="0" applyFont="0" applyAlignment="0" applyProtection="0"/>
    <xf numFmtId="0" fontId="62" fillId="19" borderId="205"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5" applyNumberFormat="0" applyAlignment="0" applyProtection="0"/>
    <xf numFmtId="0" fontId="62" fillId="19" borderId="205"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5" applyNumberFormat="0" applyAlignment="0" applyProtection="0"/>
    <xf numFmtId="0" fontId="62" fillId="19" borderId="205" applyNumberFormat="0" applyAlignment="0" applyProtection="0"/>
    <xf numFmtId="0" fontId="52" fillId="19"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62" fillId="19" borderId="205"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3"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2" fillId="19" borderId="203" applyNumberFormat="0" applyAlignment="0" applyProtection="0"/>
    <xf numFmtId="0" fontId="52" fillId="19" borderId="203"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5" applyNumberFormat="0" applyAlignment="0" applyProtection="0"/>
    <xf numFmtId="0" fontId="59" fillId="10" borderId="207"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3" applyNumberFormat="0" applyAlignment="0" applyProtection="0"/>
    <xf numFmtId="0" fontId="62" fillId="19" borderId="205" applyNumberFormat="0" applyAlignment="0" applyProtection="0"/>
    <xf numFmtId="0" fontId="59" fillId="10"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22" fillId="7" borderId="208" applyNumberFormat="0" applyFon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62" fillId="19" borderId="205"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10"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59" fillId="10" borderId="207" applyNumberFormat="0" applyAlignment="0" applyProtection="0"/>
    <xf numFmtId="0" fontId="62" fillId="19" borderId="205"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10" applyNumberFormat="0" applyFill="0" applyAlignment="0" applyProtection="0"/>
    <xf numFmtId="0" fontId="62" fillId="19" borderId="205" applyNumberFormat="0" applyAlignment="0" applyProtection="0"/>
    <xf numFmtId="0" fontId="59" fillId="10"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62" fillId="19" borderId="205" applyNumberFormat="0" applyAlignment="0" applyProtection="0"/>
    <xf numFmtId="0" fontId="52" fillId="19" borderId="207" applyNumberFormat="0" applyAlignment="0" applyProtection="0"/>
    <xf numFmtId="0" fontId="62" fillId="19" borderId="205" applyNumberFormat="0" applyAlignment="0" applyProtection="0"/>
    <xf numFmtId="0" fontId="52" fillId="19" borderId="207" applyNumberFormat="0" applyAlignment="0" applyProtection="0"/>
    <xf numFmtId="0" fontId="64" fillId="0" borderId="206" applyNumberFormat="0" applyFill="0" applyAlignment="0" applyProtection="0"/>
    <xf numFmtId="0" fontId="52" fillId="19" borderId="203" applyNumberFormat="0" applyAlignment="0" applyProtection="0"/>
    <xf numFmtId="0" fontId="62" fillId="19" borderId="209" applyNumberFormat="0" applyAlignment="0" applyProtection="0"/>
    <xf numFmtId="0" fontId="62" fillId="19" borderId="205" applyNumberFormat="0" applyAlignment="0" applyProtection="0"/>
    <xf numFmtId="0" fontId="64" fillId="0" borderId="206" applyNumberFormat="0" applyFill="0" applyAlignment="0" applyProtection="0"/>
    <xf numFmtId="0" fontId="22" fillId="7" borderId="204"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62" fillId="19" borderId="205" applyNumberFormat="0" applyAlignment="0" applyProtection="0"/>
    <xf numFmtId="0" fontId="22" fillId="7" borderId="204" applyNumberFormat="0" applyFont="0" applyAlignment="0" applyProtection="0"/>
    <xf numFmtId="0" fontId="62" fillId="19" borderId="205"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5" applyNumberFormat="0" applyAlignment="0" applyProtection="0"/>
    <xf numFmtId="0" fontId="62" fillId="19" borderId="205" applyNumberFormat="0" applyAlignment="0" applyProtection="0"/>
    <xf numFmtId="0" fontId="22" fillId="7" borderId="204" applyNumberFormat="0" applyFon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52" fillId="19" borderId="203"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5" applyNumberFormat="0" applyAlignment="0" applyProtection="0"/>
    <xf numFmtId="0" fontId="22" fillId="7" borderId="208" applyNumberFormat="0" applyFont="0" applyAlignment="0" applyProtection="0"/>
    <xf numFmtId="0" fontId="62" fillId="19" borderId="205" applyNumberFormat="0" applyAlignment="0" applyProtection="0"/>
    <xf numFmtId="0" fontId="64" fillId="0" borderId="206" applyNumberFormat="0" applyFill="0" applyAlignment="0" applyProtection="0"/>
    <xf numFmtId="0" fontId="52" fillId="19" borderId="203" applyNumberFormat="0" applyAlignment="0" applyProtection="0"/>
    <xf numFmtId="0" fontId="59" fillId="10"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62" fillId="19" borderId="205" applyNumberFormat="0" applyAlignment="0" applyProtection="0"/>
    <xf numFmtId="0" fontId="52" fillId="19" borderId="207"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59" fillId="10" borderId="207" applyNumberFormat="0" applyAlignment="0" applyProtection="0"/>
    <xf numFmtId="0" fontId="52" fillId="19"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59" fillId="10" borderId="207" applyNumberFormat="0" applyAlignment="0" applyProtection="0"/>
    <xf numFmtId="0" fontId="62" fillId="19" borderId="205" applyNumberFormat="0" applyAlignment="0" applyProtection="0"/>
    <xf numFmtId="0" fontId="62" fillId="19" borderId="205"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06" applyNumberFormat="0" applyFill="0" applyAlignment="0" applyProtection="0"/>
    <xf numFmtId="0" fontId="62" fillId="19" borderId="209" applyNumberFormat="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2" fillId="19" borderId="209" applyNumberFormat="0" applyAlignment="0" applyProtection="0"/>
    <xf numFmtId="0" fontId="64" fillId="0" borderId="206"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64" fillId="0" borderId="206" applyNumberFormat="0" applyFill="0" applyAlignment="0" applyProtection="0"/>
    <xf numFmtId="0" fontId="59" fillId="10" borderId="203"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52" fillId="19" borderId="207" applyNumberFormat="0" applyAlignment="0" applyProtection="0"/>
    <xf numFmtId="0" fontId="62" fillId="19" borderId="205" applyNumberFormat="0" applyAlignment="0" applyProtection="0"/>
    <xf numFmtId="0" fontId="64" fillId="0" borderId="210"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59" fillId="10" borderId="203"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22" fillId="7" borderId="204" applyNumberFormat="0" applyFont="0" applyAlignment="0" applyProtection="0"/>
    <xf numFmtId="0" fontId="22" fillId="7" borderId="204" applyNumberFormat="0" applyFont="0" applyAlignment="0" applyProtection="0"/>
    <xf numFmtId="0" fontId="62" fillId="19" borderId="205" applyNumberFormat="0" applyAlignment="0" applyProtection="0"/>
    <xf numFmtId="0" fontId="59" fillId="10" borderId="207" applyNumberFormat="0" applyAlignment="0" applyProtection="0"/>
    <xf numFmtId="0" fontId="59" fillId="10" borderId="207" applyNumberFormat="0" applyAlignment="0" applyProtection="0"/>
    <xf numFmtId="0" fontId="62" fillId="19" borderId="205" applyNumberFormat="0" applyAlignment="0" applyProtection="0"/>
    <xf numFmtId="0" fontId="62" fillId="19" borderId="209"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3" applyNumberFormat="0" applyAlignment="0" applyProtection="0"/>
    <xf numFmtId="0" fontId="62" fillId="19" borderId="205" applyNumberFormat="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62" fillId="19" borderId="205"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62" fillId="19" borderId="205" applyNumberFormat="0" applyAlignment="0" applyProtection="0"/>
    <xf numFmtId="0" fontId="52" fillId="19"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06" applyNumberFormat="0" applyFill="0" applyAlignment="0" applyProtection="0"/>
    <xf numFmtId="0" fontId="62" fillId="19" borderId="205" applyNumberFormat="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62" fillId="19" borderId="205" applyNumberFormat="0" applyAlignment="0" applyProtection="0"/>
    <xf numFmtId="0" fontId="62" fillId="19" borderId="209" applyNumberFormat="0" applyAlignment="0" applyProtection="0"/>
    <xf numFmtId="0" fontId="52" fillId="19" borderId="207"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62" fillId="19" borderId="209" applyNumberFormat="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64" fillId="0" borderId="206" applyNumberFormat="0" applyFill="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52" fillId="19" borderId="203"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59" fillId="10" borderId="207" applyNumberFormat="0" applyAlignment="0" applyProtection="0"/>
    <xf numFmtId="0" fontId="59" fillId="10" borderId="207" applyNumberFormat="0" applyAlignment="0" applyProtection="0"/>
    <xf numFmtId="0" fontId="62" fillId="19" borderId="205" applyNumberFormat="0" applyAlignment="0" applyProtection="0"/>
    <xf numFmtId="0" fontId="22" fillId="7" borderId="208" applyNumberFormat="0" applyFont="0" applyAlignment="0" applyProtection="0"/>
    <xf numFmtId="0" fontId="62" fillId="19" borderId="205" applyNumberFormat="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2" fillId="19" borderId="205" applyNumberFormat="0" applyAlignment="0" applyProtection="0"/>
    <xf numFmtId="0" fontId="52" fillId="19" borderId="207" applyNumberFormat="0" applyAlignment="0" applyProtection="0"/>
    <xf numFmtId="0" fontId="64" fillId="0" borderId="206"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5"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5" applyNumberFormat="0" applyAlignment="0" applyProtection="0"/>
    <xf numFmtId="0" fontId="64" fillId="0" borderId="210" applyNumberFormat="0" applyFill="0" applyAlignment="0" applyProtection="0"/>
    <xf numFmtId="0" fontId="62" fillId="19" borderId="205" applyNumberFormat="0" applyAlignment="0" applyProtection="0"/>
    <xf numFmtId="0" fontId="62" fillId="19" borderId="205" applyNumberFormat="0" applyAlignment="0" applyProtection="0"/>
    <xf numFmtId="0" fontId="62" fillId="19" borderId="205"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2" fillId="19" borderId="205" applyNumberForma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64" fillId="0" borderId="206" applyNumberFormat="0" applyFill="0" applyAlignment="0" applyProtection="0"/>
    <xf numFmtId="0" fontId="62" fillId="19" borderId="209" applyNumberFormat="0" applyAlignment="0" applyProtection="0"/>
    <xf numFmtId="0" fontId="62" fillId="19" borderId="209" applyNumberFormat="0" applyAlignment="0" applyProtection="0"/>
    <xf numFmtId="0" fontId="62" fillId="19" borderId="205"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64" fillId="0" borderId="206" applyNumberFormat="0" applyFill="0" applyAlignment="0" applyProtection="0"/>
    <xf numFmtId="0" fontId="22" fillId="7" borderId="204"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2" fillId="19" borderId="205"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62" fillId="19" borderId="209" applyNumberFormat="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10"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52" fillId="19"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59" fillId="10" borderId="203" applyNumberFormat="0" applyAlignment="0" applyProtection="0"/>
    <xf numFmtId="0" fontId="62" fillId="19" borderId="205" applyNumberFormat="0" applyAlignment="0" applyProtection="0"/>
    <xf numFmtId="0" fontId="22" fillId="7" borderId="204" applyNumberFormat="0" applyFont="0" applyAlignment="0" applyProtection="0"/>
    <xf numFmtId="0" fontId="62" fillId="19" borderId="205" applyNumberFormat="0" applyAlignment="0" applyProtection="0"/>
    <xf numFmtId="0" fontId="22" fillId="7" borderId="208" applyNumberFormat="0" applyFont="0" applyAlignment="0" applyProtection="0"/>
    <xf numFmtId="0" fontId="52" fillId="19" borderId="207" applyNumberFormat="0" applyAlignment="0" applyProtection="0"/>
    <xf numFmtId="0" fontId="64" fillId="0" borderId="206" applyNumberFormat="0" applyFill="0" applyAlignment="0" applyProtection="0"/>
    <xf numFmtId="0" fontId="52" fillId="19" borderId="203" applyNumberFormat="0" applyAlignment="0" applyProtection="0"/>
    <xf numFmtId="0" fontId="62" fillId="19" borderId="205"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52" fillId="19" borderId="203" applyNumberFormat="0" applyAlignment="0" applyProtection="0"/>
    <xf numFmtId="0" fontId="59" fillId="10" borderId="203" applyNumberFormat="0" applyAlignment="0" applyProtection="0"/>
    <xf numFmtId="0" fontId="22" fillId="7" borderId="204" applyNumberFormat="0" applyFont="0" applyAlignment="0" applyProtection="0"/>
    <xf numFmtId="0" fontId="64" fillId="0" borderId="206" applyNumberFormat="0" applyFill="0" applyAlignment="0" applyProtection="0"/>
    <xf numFmtId="0" fontId="62" fillId="19" borderId="205" applyNumberFormat="0" applyAlignment="0" applyProtection="0"/>
    <xf numFmtId="0" fontId="22" fillId="7" borderId="204" applyNumberFormat="0" applyFon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5" applyNumberFormat="0" applyAlignment="0" applyProtection="0"/>
    <xf numFmtId="0" fontId="64" fillId="0" borderId="210" applyNumberFormat="0" applyFill="0" applyAlignment="0" applyProtection="0"/>
    <xf numFmtId="0" fontId="62" fillId="19" borderId="205" applyNumberFormat="0" applyAlignment="0" applyProtection="0"/>
    <xf numFmtId="0" fontId="62" fillId="19" borderId="205"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62" fillId="19" borderId="205" applyNumberFormat="0" applyAlignment="0" applyProtection="0"/>
    <xf numFmtId="0" fontId="59" fillId="10" borderId="207" applyNumberFormat="0" applyAlignment="0" applyProtection="0"/>
    <xf numFmtId="0" fontId="64" fillId="0" borderId="206" applyNumberFormat="0" applyFill="0" applyAlignment="0" applyProtection="0"/>
    <xf numFmtId="0" fontId="59" fillId="10" borderId="207" applyNumberFormat="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59" fillId="10" borderId="207" applyNumberFormat="0" applyAlignment="0" applyProtection="0"/>
    <xf numFmtId="0" fontId="52" fillId="19" borderId="207" applyNumberFormat="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10" applyNumberFormat="0" applyFill="0" applyAlignment="0" applyProtection="0"/>
    <xf numFmtId="0" fontId="62" fillId="19" borderId="205" applyNumberFormat="0" applyAlignment="0" applyProtection="0"/>
    <xf numFmtId="0" fontId="62" fillId="19" borderId="209"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3"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4" applyNumberFormat="0" applyFon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59" fillId="10" borderId="207" applyNumberFormat="0" applyAlignment="0" applyProtection="0"/>
    <xf numFmtId="0" fontId="62" fillId="19" borderId="205" applyNumberFormat="0" applyAlignment="0" applyProtection="0"/>
    <xf numFmtId="0" fontId="62" fillId="19" borderId="209" applyNumberFormat="0" applyAlignment="0" applyProtection="0"/>
    <xf numFmtId="0" fontId="62" fillId="19" borderId="205" applyNumberFormat="0" applyAlignment="0" applyProtection="0"/>
    <xf numFmtId="0" fontId="62" fillId="19" borderId="209" applyNumberFormat="0" applyAlignment="0" applyProtection="0"/>
    <xf numFmtId="0" fontId="52" fillId="19" borderId="203" applyNumberFormat="0" applyAlignment="0" applyProtection="0"/>
    <xf numFmtId="0" fontId="59" fillId="10" borderId="203" applyNumberFormat="0" applyAlignment="0" applyProtection="0"/>
    <xf numFmtId="0" fontId="62" fillId="19" borderId="205"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5"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06" applyNumberFormat="0" applyFill="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5"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62" fillId="19" borderId="205" applyNumberFormat="0" applyAlignment="0" applyProtection="0"/>
    <xf numFmtId="0" fontId="62" fillId="19" borderId="209" applyNumberFormat="0" applyAlignment="0" applyProtection="0"/>
    <xf numFmtId="0" fontId="62" fillId="19" borderId="205" applyNumberFormat="0" applyAlignment="0" applyProtection="0"/>
    <xf numFmtId="0" fontId="52" fillId="19"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5"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52" fillId="19" borderId="203" applyNumberFormat="0" applyAlignment="0" applyProtection="0"/>
    <xf numFmtId="0" fontId="22" fillId="7" borderId="204" applyNumberFormat="0" applyFont="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3" applyNumberFormat="0" applyAlignment="0" applyProtection="0"/>
    <xf numFmtId="0" fontId="52" fillId="19" borderId="207" applyNumberFormat="0" applyAlignment="0" applyProtection="0"/>
    <xf numFmtId="0" fontId="64" fillId="0" borderId="206"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62" fillId="19" borderId="205" applyNumberForma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64" fillId="0" borderId="206"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59" fillId="10" borderId="207" applyNumberFormat="0" applyAlignment="0" applyProtection="0"/>
    <xf numFmtId="0" fontId="62" fillId="19" borderId="205" applyNumberFormat="0" applyAlignment="0" applyProtection="0"/>
    <xf numFmtId="0" fontId="62" fillId="19" borderId="205"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05" applyNumberFormat="0" applyAlignment="0" applyProtection="0"/>
    <xf numFmtId="0" fontId="62" fillId="19" borderId="205"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59" fillId="10"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52" fillId="19" borderId="207" applyNumberFormat="0" applyAlignment="0" applyProtection="0"/>
    <xf numFmtId="0" fontId="62" fillId="19" borderId="205" applyNumberFormat="0" applyAlignment="0" applyProtection="0"/>
    <xf numFmtId="0" fontId="52" fillId="19" borderId="207" applyNumberFormat="0" applyAlignment="0" applyProtection="0"/>
    <xf numFmtId="0" fontId="62" fillId="19" borderId="205" applyNumberFormat="0" applyAlignment="0" applyProtection="0"/>
    <xf numFmtId="0" fontId="62" fillId="19" borderId="205"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3" applyNumberFormat="0" applyAlignment="0" applyProtection="0"/>
    <xf numFmtId="0" fontId="22" fillId="7" borderId="204" applyNumberFormat="0" applyFont="0" applyAlignment="0" applyProtection="0"/>
    <xf numFmtId="0" fontId="62" fillId="19" borderId="205" applyNumberFormat="0" applyAlignment="0" applyProtection="0"/>
    <xf numFmtId="0" fontId="64" fillId="0" borderId="206"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22" fillId="7" borderId="204"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22" fillId="7" borderId="204" applyNumberFormat="0" applyFont="0" applyAlignment="0" applyProtection="0"/>
    <xf numFmtId="0" fontId="64" fillId="0" borderId="206"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52" fillId="19" borderId="207"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59" fillId="10"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59" fillId="10" borderId="207" applyNumberFormat="0" applyAlignment="0" applyProtection="0"/>
    <xf numFmtId="0" fontId="52" fillId="19" borderId="203" applyNumberFormat="0" applyAlignment="0" applyProtection="0"/>
    <xf numFmtId="0" fontId="62" fillId="19" borderId="205" applyNumberFormat="0" applyAlignment="0" applyProtection="0"/>
    <xf numFmtId="0" fontId="59" fillId="10" borderId="203" applyNumberFormat="0" applyAlignment="0" applyProtection="0"/>
    <xf numFmtId="0" fontId="62" fillId="19" borderId="205" applyNumberFormat="0" applyAlignment="0" applyProtection="0"/>
    <xf numFmtId="0" fontId="52" fillId="19" borderId="203" applyNumberFormat="0" applyAlignment="0" applyProtection="0"/>
    <xf numFmtId="0" fontId="52" fillId="19" borderId="203" applyNumberFormat="0" applyAlignment="0" applyProtection="0"/>
    <xf numFmtId="0" fontId="52" fillId="19" borderId="207"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9"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22" fillId="7" borderId="204" applyNumberFormat="0" applyFont="0" applyAlignment="0" applyProtection="0"/>
    <xf numFmtId="0" fontId="52" fillId="19" borderId="207" applyNumberFormat="0" applyAlignment="0" applyProtection="0"/>
    <xf numFmtId="0" fontId="59" fillId="10" borderId="203" applyNumberFormat="0" applyAlignment="0" applyProtection="0"/>
    <xf numFmtId="0" fontId="62" fillId="19" borderId="205" applyNumberFormat="0" applyAlignment="0" applyProtection="0"/>
    <xf numFmtId="0" fontId="59" fillId="10" borderId="207" applyNumberFormat="0" applyAlignment="0" applyProtection="0"/>
    <xf numFmtId="0" fontId="59" fillId="10" borderId="203" applyNumberFormat="0" applyAlignment="0" applyProtection="0"/>
    <xf numFmtId="0" fontId="64" fillId="0" borderId="206" applyNumberFormat="0" applyFill="0" applyAlignment="0" applyProtection="0"/>
    <xf numFmtId="0" fontId="59" fillId="10" borderId="203" applyNumberFormat="0" applyAlignment="0" applyProtection="0"/>
    <xf numFmtId="0" fontId="62" fillId="19" borderId="209" applyNumberFormat="0" applyAlignment="0" applyProtection="0"/>
    <xf numFmtId="0" fontId="59" fillId="10" borderId="203" applyNumberFormat="0" applyAlignment="0" applyProtection="0"/>
    <xf numFmtId="0" fontId="62" fillId="19" borderId="205" applyNumberFormat="0" applyAlignment="0" applyProtection="0"/>
    <xf numFmtId="0" fontId="22" fillId="7" borderId="208" applyNumberFormat="0" applyFont="0" applyAlignment="0" applyProtection="0"/>
    <xf numFmtId="0" fontId="52" fillId="19"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22" fillId="7" borderId="204" applyNumberFormat="0" applyFont="0" applyAlignment="0" applyProtection="0"/>
    <xf numFmtId="0" fontId="62" fillId="19" borderId="205" applyNumberFormat="0" applyAlignment="0" applyProtection="0"/>
    <xf numFmtId="0" fontId="64" fillId="0" borderId="206" applyNumberFormat="0" applyFill="0" applyAlignment="0" applyProtection="0"/>
    <xf numFmtId="0" fontId="52" fillId="19" borderId="207"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62" fillId="19" borderId="205" applyNumberFormat="0" applyAlignment="0" applyProtection="0"/>
    <xf numFmtId="0" fontId="64" fillId="0" borderId="210" applyNumberFormat="0" applyFill="0" applyAlignment="0" applyProtection="0"/>
    <xf numFmtId="0" fontId="62" fillId="19" borderId="205"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5" applyNumberFormat="0" applyAlignment="0" applyProtection="0"/>
    <xf numFmtId="0" fontId="62" fillId="19" borderId="205" applyNumberFormat="0" applyAlignment="0" applyProtection="0"/>
    <xf numFmtId="0" fontId="22" fillId="7" borderId="208" applyNumberFormat="0" applyFont="0" applyAlignment="0" applyProtection="0"/>
    <xf numFmtId="0" fontId="62" fillId="19" borderId="205"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5"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64" fillId="0" borderId="206"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06"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5"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5"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9" applyNumberFormat="0" applyAlignment="0" applyProtection="0"/>
    <xf numFmtId="0" fontId="62" fillId="19" borderId="205"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59" fillId="10" borderId="203" applyNumberFormat="0" applyAlignment="0" applyProtection="0"/>
    <xf numFmtId="0" fontId="62" fillId="19" borderId="205"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2" fillId="19" borderId="209" applyNumberFormat="0" applyAlignment="0" applyProtection="0"/>
    <xf numFmtId="0" fontId="59" fillId="10"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06" applyNumberFormat="0" applyFill="0" applyAlignment="0" applyProtection="0"/>
    <xf numFmtId="0" fontId="52" fillId="19" borderId="203"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06" applyNumberFormat="0" applyFill="0" applyAlignment="0" applyProtection="0"/>
    <xf numFmtId="0" fontId="22" fillId="7" borderId="204" applyNumberFormat="0" applyFont="0" applyAlignment="0" applyProtection="0"/>
    <xf numFmtId="0" fontId="64" fillId="0" borderId="206"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59" fillId="10" borderId="207" applyNumberFormat="0" applyAlignment="0" applyProtection="0"/>
    <xf numFmtId="0" fontId="62" fillId="19" borderId="209" applyNumberFormat="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52" fillId="19" borderId="207"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9" applyNumberFormat="0" applyAlignment="0" applyProtection="0"/>
    <xf numFmtId="0" fontId="62" fillId="19" borderId="205" applyNumberFormat="0" applyAlignment="0" applyProtection="0"/>
    <xf numFmtId="0" fontId="64" fillId="0" borderId="210" applyNumberFormat="0" applyFill="0" applyAlignment="0" applyProtection="0"/>
    <xf numFmtId="0" fontId="52" fillId="19" borderId="203" applyNumberFormat="0" applyAlignment="0" applyProtection="0"/>
    <xf numFmtId="0" fontId="22" fillId="7" borderId="204"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10"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52" fillId="19" borderId="207" applyNumberFormat="0" applyAlignment="0" applyProtection="0"/>
    <xf numFmtId="0" fontId="52" fillId="19" borderId="203" applyNumberForma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52" fillId="19" borderId="203"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52" fillId="19" borderId="203" applyNumberFormat="0" applyAlignment="0" applyProtection="0"/>
    <xf numFmtId="0" fontId="59" fillId="10" borderId="203" applyNumberFormat="0" applyAlignment="0" applyProtection="0"/>
    <xf numFmtId="0" fontId="62" fillId="19" borderId="205" applyNumberFormat="0" applyAlignment="0" applyProtection="0"/>
    <xf numFmtId="0" fontId="52" fillId="19" borderId="203" applyNumberFormat="0" applyAlignment="0" applyProtection="0"/>
    <xf numFmtId="0" fontId="62" fillId="19" borderId="205" applyNumberFormat="0" applyAlignment="0" applyProtection="0"/>
    <xf numFmtId="0" fontId="64" fillId="0" borderId="206" applyNumberFormat="0" applyFill="0" applyAlignment="0" applyProtection="0"/>
    <xf numFmtId="0" fontId="59" fillId="10" borderId="203" applyNumberFormat="0" applyAlignment="0" applyProtection="0"/>
    <xf numFmtId="0" fontId="22" fillId="7" borderId="204" applyNumberFormat="0" applyFont="0" applyAlignment="0" applyProtection="0"/>
    <xf numFmtId="0" fontId="62" fillId="19" borderId="205" applyNumberFormat="0" applyAlignment="0" applyProtection="0"/>
    <xf numFmtId="0" fontId="52" fillId="19" borderId="207"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5"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64" fillId="0" borderId="206" applyNumberFormat="0" applyFill="0" applyAlignment="0" applyProtection="0"/>
    <xf numFmtId="0" fontId="52" fillId="19"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9" applyNumberFormat="0" applyAlignment="0" applyProtection="0"/>
    <xf numFmtId="0" fontId="22" fillId="7" borderId="208" applyNumberFormat="0" applyFont="0" applyAlignment="0" applyProtection="0"/>
    <xf numFmtId="0" fontId="62" fillId="19" borderId="205" applyNumberFormat="0" applyAlignment="0" applyProtection="0"/>
    <xf numFmtId="0" fontId="62" fillId="19" borderId="209" applyNumberFormat="0" applyAlignment="0" applyProtection="0"/>
    <xf numFmtId="0" fontId="64" fillId="0" borderId="206" applyNumberFormat="0" applyFill="0" applyAlignment="0" applyProtection="0"/>
    <xf numFmtId="0" fontId="62" fillId="19" borderId="209" applyNumberFormat="0" applyAlignment="0" applyProtection="0"/>
    <xf numFmtId="0" fontId="62" fillId="19" borderId="205" applyNumberFormat="0" applyAlignment="0" applyProtection="0"/>
    <xf numFmtId="0" fontId="59" fillId="10" borderId="207" applyNumberFormat="0" applyAlignment="0" applyProtection="0"/>
    <xf numFmtId="0" fontId="62" fillId="19" borderId="205" applyNumberFormat="0" applyAlignment="0" applyProtection="0"/>
    <xf numFmtId="0" fontId="62" fillId="19" borderId="209" applyNumberFormat="0" applyAlignment="0" applyProtection="0"/>
    <xf numFmtId="0" fontId="52" fillId="19" borderId="203"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22" fillId="7" borderId="204" applyNumberFormat="0" applyFont="0" applyAlignment="0" applyProtection="0"/>
    <xf numFmtId="0" fontId="59" fillId="10" borderId="203" applyNumberFormat="0" applyAlignment="0" applyProtection="0"/>
    <xf numFmtId="0" fontId="62" fillId="19" borderId="209" applyNumberFormat="0" applyAlignment="0" applyProtection="0"/>
    <xf numFmtId="0" fontId="62" fillId="19" borderId="205"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22" fillId="7" borderId="204" applyNumberFormat="0" applyFont="0" applyAlignment="0" applyProtection="0"/>
    <xf numFmtId="0" fontId="64" fillId="0" borderId="206"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62" fillId="19" borderId="205"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5"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10" applyNumberFormat="0" applyFill="0" applyAlignment="0" applyProtection="0"/>
    <xf numFmtId="0" fontId="59" fillId="10" borderId="203" applyNumberFormat="0" applyAlignment="0" applyProtection="0"/>
    <xf numFmtId="0" fontId="64" fillId="0" borderId="206" applyNumberFormat="0" applyFill="0" applyAlignment="0" applyProtection="0"/>
    <xf numFmtId="0" fontId="52" fillId="19" borderId="203"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06" applyNumberFormat="0" applyFill="0" applyAlignment="0" applyProtection="0"/>
    <xf numFmtId="0" fontId="59" fillId="10" borderId="203" applyNumberFormat="0" applyAlignment="0" applyProtection="0"/>
    <xf numFmtId="0" fontId="64" fillId="0" borderId="206" applyNumberFormat="0" applyFill="0" applyAlignment="0" applyProtection="0"/>
    <xf numFmtId="0" fontId="62" fillId="19" borderId="205" applyNumberFormat="0" applyAlignment="0" applyProtection="0"/>
    <xf numFmtId="0" fontId="52" fillId="19" borderId="203" applyNumberFormat="0" applyAlignment="0" applyProtection="0"/>
    <xf numFmtId="0" fontId="52" fillId="19" borderId="207"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5"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9" fillId="10" borderId="203" applyNumberFormat="0" applyAlignment="0" applyProtection="0"/>
    <xf numFmtId="0" fontId="64" fillId="0" borderId="206"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62" fillId="19" borderId="205"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22" fillId="7" borderId="204"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64" fillId="0" borderId="206"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3" applyNumberFormat="0" applyAlignment="0" applyProtection="0"/>
    <xf numFmtId="0" fontId="52" fillId="19" borderId="203" applyNumberFormat="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62" fillId="19" borderId="209" applyNumberFormat="0" applyAlignment="0" applyProtection="0"/>
    <xf numFmtId="0" fontId="62" fillId="19" borderId="205" applyNumberFormat="0" applyAlignment="0" applyProtection="0"/>
    <xf numFmtId="0" fontId="22" fillId="7" borderId="208" applyNumberFormat="0" applyFont="0" applyAlignment="0" applyProtection="0"/>
    <xf numFmtId="0" fontId="62" fillId="19" borderId="205" applyNumberFormat="0" applyAlignment="0" applyProtection="0"/>
    <xf numFmtId="0" fontId="62" fillId="19" borderId="209" applyNumberFormat="0" applyAlignment="0" applyProtection="0"/>
    <xf numFmtId="0" fontId="52" fillId="19" borderId="203"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5" applyNumberFormat="0" applyAlignment="0" applyProtection="0"/>
    <xf numFmtId="0" fontId="64" fillId="0" borderId="210" applyNumberFormat="0" applyFill="0" applyAlignment="0" applyProtection="0"/>
    <xf numFmtId="0" fontId="62" fillId="19" borderId="205" applyNumberFormat="0" applyAlignment="0" applyProtection="0"/>
    <xf numFmtId="0" fontId="62" fillId="19" borderId="209" applyNumberFormat="0" applyAlignment="0" applyProtection="0"/>
    <xf numFmtId="0" fontId="62" fillId="19" borderId="205"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06" applyNumberFormat="0" applyFill="0" applyAlignment="0" applyProtection="0"/>
    <xf numFmtId="0" fontId="62" fillId="19" borderId="205" applyNumberFormat="0" applyAlignment="0" applyProtection="0"/>
    <xf numFmtId="0" fontId="59" fillId="10" borderId="207" applyNumberFormat="0" applyAlignment="0" applyProtection="0"/>
    <xf numFmtId="0" fontId="62" fillId="19" borderId="205" applyNumberFormat="0" applyAlignment="0" applyProtection="0"/>
    <xf numFmtId="0" fontId="52" fillId="19" borderId="203"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52" fillId="19" borderId="203" applyNumberFormat="0" applyAlignment="0" applyProtection="0"/>
    <xf numFmtId="0" fontId="52" fillId="19" borderId="203"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22" fillId="7" borderId="204"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06"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59" fillId="10" borderId="207" applyNumberFormat="0" applyAlignment="0" applyProtection="0"/>
    <xf numFmtId="0" fontId="59" fillId="10"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52" fillId="19" borderId="207" applyNumberFormat="0" applyAlignment="0" applyProtection="0"/>
    <xf numFmtId="0" fontId="52" fillId="19" borderId="203" applyNumberFormat="0" applyAlignment="0" applyProtection="0"/>
    <xf numFmtId="0" fontId="64" fillId="0" borderId="206" applyNumberFormat="0" applyFill="0" applyAlignment="0" applyProtection="0"/>
    <xf numFmtId="0" fontId="59" fillId="10" borderId="203" applyNumberFormat="0" applyAlignment="0" applyProtection="0"/>
    <xf numFmtId="0" fontId="62" fillId="19" borderId="209" applyNumberFormat="0" applyAlignment="0" applyProtection="0"/>
    <xf numFmtId="0" fontId="64" fillId="0" borderId="206" applyNumberFormat="0" applyFill="0" applyAlignment="0" applyProtection="0"/>
    <xf numFmtId="0" fontId="52" fillId="19" borderId="203" applyNumberFormat="0" applyAlignment="0" applyProtection="0"/>
    <xf numFmtId="0" fontId="62" fillId="19" borderId="209" applyNumberFormat="0" applyAlignment="0" applyProtection="0"/>
    <xf numFmtId="0" fontId="22" fillId="7" borderId="204" applyNumberFormat="0" applyFont="0" applyAlignment="0" applyProtection="0"/>
    <xf numFmtId="0" fontId="22" fillId="7" borderId="208" applyNumberFormat="0" applyFont="0" applyAlignment="0" applyProtection="0"/>
    <xf numFmtId="0" fontId="64" fillId="0" borderId="206" applyNumberFormat="0" applyFill="0" applyAlignment="0" applyProtection="0"/>
    <xf numFmtId="0" fontId="62" fillId="19" borderId="205"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5" applyNumberFormat="0" applyAlignment="0" applyProtection="0"/>
    <xf numFmtId="0" fontId="64" fillId="0" borderId="210" applyNumberFormat="0" applyFill="0" applyAlignment="0" applyProtection="0"/>
    <xf numFmtId="0" fontId="52" fillId="19" borderId="203" applyNumberFormat="0" applyAlignment="0" applyProtection="0"/>
    <xf numFmtId="0" fontId="62" fillId="19" borderId="209" applyNumberFormat="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59" fillId="10"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62" fillId="19" borderId="205"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06" applyNumberFormat="0" applyFill="0" applyAlignment="0" applyProtection="0"/>
    <xf numFmtId="0" fontId="59" fillId="10" borderId="203" applyNumberFormat="0" applyAlignment="0" applyProtection="0"/>
    <xf numFmtId="0" fontId="62" fillId="19" borderId="209" applyNumberFormat="0" applyAlignment="0" applyProtection="0"/>
    <xf numFmtId="0" fontId="62" fillId="19" borderId="205" applyNumberFormat="0" applyAlignment="0" applyProtection="0"/>
    <xf numFmtId="0" fontId="59" fillId="10"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64" fillId="0" borderId="206"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22" fillId="7" borderId="204"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59" fillId="10" borderId="203" applyNumberFormat="0" applyAlignment="0" applyProtection="0"/>
    <xf numFmtId="0" fontId="52" fillId="19" borderId="207" applyNumberFormat="0" applyAlignment="0" applyProtection="0"/>
    <xf numFmtId="0" fontId="62" fillId="19" borderId="205" applyNumberFormat="0" applyAlignment="0" applyProtection="0"/>
    <xf numFmtId="0" fontId="52" fillId="19" borderId="207" applyNumberFormat="0" applyAlignment="0" applyProtection="0"/>
    <xf numFmtId="0" fontId="64" fillId="0" borderId="206"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52" fillId="19" borderId="203" applyNumberFormat="0" applyAlignment="0" applyProtection="0"/>
    <xf numFmtId="0" fontId="62" fillId="19" borderId="205" applyNumberFormat="0" applyAlignment="0" applyProtection="0"/>
    <xf numFmtId="0" fontId="52" fillId="19" borderId="203"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59" fillId="10" borderId="207" applyNumberFormat="0" applyAlignment="0" applyProtection="0"/>
    <xf numFmtId="0" fontId="52" fillId="19" borderId="207" applyNumberFormat="0" applyAlignment="0" applyProtection="0"/>
    <xf numFmtId="0" fontId="62" fillId="19" borderId="205"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3" applyNumberFormat="0" applyAlignment="0" applyProtection="0"/>
    <xf numFmtId="0" fontId="62" fillId="19" borderId="205" applyNumberFormat="0" applyAlignment="0" applyProtection="0"/>
    <xf numFmtId="0" fontId="52" fillId="19"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59" fillId="10" borderId="203" applyNumberFormat="0" applyAlignment="0" applyProtection="0"/>
    <xf numFmtId="0" fontId="62" fillId="19" borderId="205" applyNumberFormat="0" applyAlignment="0" applyProtection="0"/>
    <xf numFmtId="0" fontId="52" fillId="19" borderId="203"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03" applyNumberFormat="0" applyAlignment="0" applyProtection="0"/>
    <xf numFmtId="0" fontId="62" fillId="19" borderId="205" applyNumberFormat="0" applyAlignment="0" applyProtection="0"/>
    <xf numFmtId="0" fontId="59" fillId="10" borderId="207" applyNumberFormat="0" applyAlignment="0" applyProtection="0"/>
    <xf numFmtId="0" fontId="22" fillId="7" borderId="204" applyNumberFormat="0" applyFont="0" applyAlignment="0" applyProtection="0"/>
    <xf numFmtId="0" fontId="64" fillId="0" borderId="206" applyNumberFormat="0" applyFill="0" applyAlignment="0" applyProtection="0"/>
    <xf numFmtId="0" fontId="64" fillId="0" borderId="210" applyNumberFormat="0" applyFill="0" applyAlignment="0" applyProtection="0"/>
    <xf numFmtId="0" fontId="59" fillId="10" borderId="203" applyNumberFormat="0" applyAlignment="0" applyProtection="0"/>
    <xf numFmtId="0" fontId="59" fillId="10" borderId="207" applyNumberFormat="0" applyAlignment="0" applyProtection="0"/>
    <xf numFmtId="0" fontId="64" fillId="0" borderId="206"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64" fillId="0" borderId="206" applyNumberFormat="0" applyFill="0" applyAlignment="0" applyProtection="0"/>
    <xf numFmtId="0" fontId="52" fillId="19" borderId="203" applyNumberFormat="0" applyAlignment="0" applyProtection="0"/>
    <xf numFmtId="0" fontId="59" fillId="10" borderId="207" applyNumberFormat="0" applyAlignment="0" applyProtection="0"/>
    <xf numFmtId="0" fontId="62" fillId="19" borderId="205"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62" fillId="19" borderId="205" applyNumberFormat="0" applyAlignment="0" applyProtection="0"/>
    <xf numFmtId="0" fontId="59" fillId="10"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3" applyNumberFormat="0" applyAlignment="0" applyProtection="0"/>
    <xf numFmtId="0" fontId="59" fillId="10" borderId="207" applyNumberFormat="0" applyAlignment="0" applyProtection="0"/>
    <xf numFmtId="0" fontId="62" fillId="19" borderId="205"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04" applyNumberFormat="0" applyFont="0" applyAlignment="0" applyProtection="0"/>
    <xf numFmtId="0" fontId="62" fillId="19" borderId="205" applyNumberFormat="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22" fillId="7" borderId="204"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62" fillId="19" borderId="205" applyNumberFormat="0" applyAlignment="0" applyProtection="0"/>
    <xf numFmtId="0" fontId="62" fillId="19" borderId="205" applyNumberFormat="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62" fillId="19" borderId="205"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5"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59" fillId="10" borderId="207" applyNumberFormat="0" applyAlignment="0" applyProtection="0"/>
    <xf numFmtId="0" fontId="62" fillId="19" borderId="205" applyNumberFormat="0" applyAlignment="0" applyProtection="0"/>
    <xf numFmtId="0" fontId="59" fillId="10" borderId="207" applyNumberFormat="0" applyAlignment="0" applyProtection="0"/>
    <xf numFmtId="0" fontId="62" fillId="19" borderId="205"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59" fillId="10" borderId="207" applyNumberFormat="0" applyAlignment="0" applyProtection="0"/>
    <xf numFmtId="0" fontId="22" fillId="7" borderId="204" applyNumberFormat="0" applyFont="0" applyAlignment="0" applyProtection="0"/>
    <xf numFmtId="0" fontId="64" fillId="0" borderId="210" applyNumberFormat="0" applyFill="0" applyAlignment="0" applyProtection="0"/>
    <xf numFmtId="0" fontId="52" fillId="19" borderId="203" applyNumberFormat="0" applyAlignment="0" applyProtection="0"/>
    <xf numFmtId="0" fontId="52" fillId="19" borderId="207" applyNumberFormat="0" applyAlignment="0" applyProtection="0"/>
    <xf numFmtId="0" fontId="22" fillId="7" borderId="204" applyNumberFormat="0" applyFont="0" applyAlignment="0" applyProtection="0"/>
    <xf numFmtId="0" fontId="52" fillId="19" borderId="207" applyNumberFormat="0" applyAlignment="0" applyProtection="0"/>
    <xf numFmtId="0" fontId="52" fillId="19"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22" fillId="7" borderId="204" applyNumberFormat="0" applyFont="0" applyAlignment="0" applyProtection="0"/>
    <xf numFmtId="0" fontId="52" fillId="19" borderId="203" applyNumberFormat="0" applyAlignment="0" applyProtection="0"/>
    <xf numFmtId="0" fontId="62" fillId="19" borderId="205" applyNumberFormat="0" applyAlignment="0" applyProtection="0"/>
    <xf numFmtId="0" fontId="22" fillId="7" borderId="208" applyNumberFormat="0" applyFont="0" applyAlignment="0" applyProtection="0"/>
    <xf numFmtId="0" fontId="52" fillId="19" borderId="203" applyNumberFormat="0" applyAlignment="0" applyProtection="0"/>
    <xf numFmtId="0" fontId="64" fillId="0" borderId="210" applyNumberFormat="0" applyFill="0" applyAlignment="0" applyProtection="0"/>
    <xf numFmtId="0" fontId="59" fillId="10" borderId="203" applyNumberForma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4" applyNumberFormat="0" applyFon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62" fillId="19" borderId="205" applyNumberFormat="0" applyAlignment="0" applyProtection="0"/>
    <xf numFmtId="0" fontId="59" fillId="10" borderId="203" applyNumberFormat="0" applyAlignment="0" applyProtection="0"/>
    <xf numFmtId="0" fontId="22" fillId="7" borderId="208" applyNumberFormat="0" applyFont="0" applyAlignment="0" applyProtection="0"/>
    <xf numFmtId="0" fontId="62" fillId="19" borderId="205" applyNumberFormat="0" applyAlignment="0" applyProtection="0"/>
    <xf numFmtId="0" fontId="64" fillId="0" borderId="206"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05" applyNumberFormat="0" applyAlignment="0" applyProtection="0"/>
    <xf numFmtId="0" fontId="59" fillId="10" borderId="207" applyNumberFormat="0" applyAlignment="0" applyProtection="0"/>
    <xf numFmtId="0" fontId="64" fillId="0" borderId="210" applyNumberFormat="0" applyFill="0" applyAlignment="0" applyProtection="0"/>
    <xf numFmtId="0" fontId="22" fillId="7" borderId="204" applyNumberFormat="0" applyFont="0" applyAlignment="0" applyProtection="0"/>
    <xf numFmtId="0" fontId="62" fillId="19" borderId="205" applyNumberFormat="0" applyAlignment="0" applyProtection="0"/>
    <xf numFmtId="0" fontId="59" fillId="10" borderId="203" applyNumberFormat="0" applyAlignment="0" applyProtection="0"/>
    <xf numFmtId="0" fontId="52" fillId="19" borderId="203"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59" fillId="10" borderId="203"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5" applyNumberFormat="0" applyAlignment="0" applyProtection="0"/>
    <xf numFmtId="0" fontId="64" fillId="0" borderId="210" applyNumberFormat="0" applyFill="0" applyAlignment="0" applyProtection="0"/>
    <xf numFmtId="0" fontId="59" fillId="10" borderId="203" applyNumberFormat="0" applyAlignment="0" applyProtection="0"/>
    <xf numFmtId="0" fontId="62" fillId="19" borderId="205" applyNumberFormat="0" applyAlignment="0" applyProtection="0"/>
    <xf numFmtId="0" fontId="62" fillId="19" borderId="205" applyNumberFormat="0" applyAlignment="0" applyProtection="0"/>
    <xf numFmtId="0" fontId="59" fillId="10" borderId="203" applyNumberFormat="0" applyAlignment="0" applyProtection="0"/>
    <xf numFmtId="0" fontId="22" fillId="7" borderId="204" applyNumberFormat="0" applyFont="0" applyAlignment="0" applyProtection="0"/>
    <xf numFmtId="0" fontId="62" fillId="19" borderId="205" applyNumberFormat="0" applyAlignment="0" applyProtection="0"/>
    <xf numFmtId="0" fontId="64" fillId="0" borderId="206" applyNumberFormat="0" applyFill="0" applyAlignment="0" applyProtection="0"/>
    <xf numFmtId="0" fontId="52" fillId="19" borderId="203" applyNumberFormat="0" applyAlignment="0" applyProtection="0"/>
    <xf numFmtId="0" fontId="62" fillId="19" borderId="205"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22" fillId="7" borderId="204" applyNumberFormat="0" applyFont="0" applyAlignment="0" applyProtection="0"/>
    <xf numFmtId="0" fontId="62" fillId="19" borderId="205" applyNumberFormat="0" applyAlignment="0" applyProtection="0"/>
    <xf numFmtId="0" fontId="52" fillId="19" borderId="207"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62" fillId="19" borderId="209" applyNumberFormat="0" applyAlignment="0" applyProtection="0"/>
    <xf numFmtId="0" fontId="62" fillId="19" borderId="205"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59" fillId="10" borderId="203" applyNumberFormat="0" applyAlignment="0" applyProtection="0"/>
    <xf numFmtId="0" fontId="62" fillId="19" borderId="205" applyNumberFormat="0" applyAlignment="0" applyProtection="0"/>
    <xf numFmtId="0" fontId="62" fillId="19" borderId="205" applyNumberFormat="0" applyAlignment="0" applyProtection="0"/>
    <xf numFmtId="0" fontId="22" fillId="7" borderId="204" applyNumberFormat="0" applyFont="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9" applyNumberFormat="0" applyAlignment="0" applyProtection="0"/>
    <xf numFmtId="0" fontId="52" fillId="19" borderId="207" applyNumberFormat="0" applyAlignment="0" applyProtection="0"/>
    <xf numFmtId="0" fontId="64" fillId="0" borderId="206" applyNumberFormat="0" applyFill="0" applyAlignment="0" applyProtection="0"/>
    <xf numFmtId="0" fontId="52" fillId="19" borderId="203" applyNumberFormat="0" applyAlignment="0" applyProtection="0"/>
    <xf numFmtId="0" fontId="52" fillId="19" borderId="207" applyNumberFormat="0" applyAlignment="0" applyProtection="0"/>
    <xf numFmtId="0" fontId="52" fillId="19" borderId="203"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3" applyNumberFormat="0" applyAlignment="0" applyProtection="0"/>
    <xf numFmtId="0" fontId="62" fillId="19" borderId="205"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59" fillId="10" borderId="203"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4"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5" applyNumberFormat="0" applyAlignment="0" applyProtection="0"/>
    <xf numFmtId="0" fontId="62" fillId="19" borderId="209" applyNumberFormat="0" applyAlignment="0" applyProtection="0"/>
    <xf numFmtId="0" fontId="22" fillId="7" borderId="208" applyNumberFormat="0" applyFont="0" applyAlignment="0" applyProtection="0"/>
    <xf numFmtId="0" fontId="62" fillId="19" borderId="205" applyNumberFormat="0" applyAlignment="0" applyProtection="0"/>
    <xf numFmtId="0" fontId="62" fillId="19" borderId="209" applyNumberFormat="0" applyAlignment="0" applyProtection="0"/>
    <xf numFmtId="0" fontId="64" fillId="0" borderId="206"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5" applyNumberFormat="0" applyAlignment="0" applyProtection="0"/>
    <xf numFmtId="0" fontId="52" fillId="19" borderId="203" applyNumberFormat="0" applyAlignment="0" applyProtection="0"/>
    <xf numFmtId="0" fontId="62" fillId="19" borderId="205" applyNumberFormat="0" applyAlignment="0" applyProtection="0"/>
    <xf numFmtId="0" fontId="52" fillId="19"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59" fillId="10" borderId="203" applyNumberFormat="0" applyAlignment="0" applyProtection="0"/>
    <xf numFmtId="0" fontId="62" fillId="19" borderId="205" applyNumberFormat="0" applyAlignment="0" applyProtection="0"/>
    <xf numFmtId="0" fontId="22" fillId="7" borderId="204" applyNumberFormat="0" applyFont="0" applyAlignment="0" applyProtection="0"/>
    <xf numFmtId="0" fontId="64" fillId="0" borderId="206" applyNumberFormat="0" applyFill="0" applyAlignment="0" applyProtection="0"/>
    <xf numFmtId="0" fontId="64" fillId="0" borderId="210" applyNumberFormat="0" applyFill="0" applyAlignment="0" applyProtection="0"/>
    <xf numFmtId="0" fontId="62" fillId="19" borderId="205" applyNumberFormat="0" applyAlignment="0" applyProtection="0"/>
    <xf numFmtId="0" fontId="62" fillId="19" borderId="205" applyNumberFormat="0" applyAlignment="0" applyProtection="0"/>
    <xf numFmtId="0" fontId="22" fillId="7" borderId="204"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52" fillId="19" borderId="203"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59" fillId="10" borderId="207" applyNumberFormat="0" applyAlignment="0" applyProtection="0"/>
    <xf numFmtId="0" fontId="62" fillId="19" borderId="205" applyNumberFormat="0" applyAlignment="0" applyProtection="0"/>
    <xf numFmtId="0" fontId="62" fillId="19" borderId="205" applyNumberFormat="0" applyAlignment="0" applyProtection="0"/>
    <xf numFmtId="0" fontId="64" fillId="0" borderId="210" applyNumberFormat="0" applyFill="0" applyAlignment="0" applyProtection="0"/>
    <xf numFmtId="0" fontId="62" fillId="19" borderId="205" applyNumberFormat="0" applyAlignment="0" applyProtection="0"/>
    <xf numFmtId="0" fontId="62" fillId="19" borderId="209" applyNumberFormat="0" applyAlignment="0" applyProtection="0"/>
    <xf numFmtId="0" fontId="22" fillId="7" borderId="204" applyNumberFormat="0" applyFont="0" applyAlignment="0" applyProtection="0"/>
    <xf numFmtId="0" fontId="64" fillId="0" borderId="206" applyNumberFormat="0" applyFill="0" applyAlignment="0" applyProtection="0"/>
    <xf numFmtId="0" fontId="59" fillId="10" borderId="203" applyNumberFormat="0" applyAlignment="0" applyProtection="0"/>
    <xf numFmtId="0" fontId="62" fillId="19" borderId="205"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5" applyNumberFormat="0" applyAlignment="0" applyProtection="0"/>
    <xf numFmtId="0" fontId="62" fillId="19" borderId="209" applyNumberFormat="0" applyAlignment="0" applyProtection="0"/>
    <xf numFmtId="0" fontId="64" fillId="0" borderId="206" applyNumberFormat="0" applyFill="0" applyAlignment="0" applyProtection="0"/>
    <xf numFmtId="0" fontId="22" fillId="7" borderId="204" applyNumberFormat="0" applyFont="0" applyAlignment="0" applyProtection="0"/>
    <xf numFmtId="0" fontId="59" fillId="10" borderId="203"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06" applyNumberFormat="0" applyFill="0" applyAlignment="0" applyProtection="0"/>
    <xf numFmtId="0" fontId="22" fillId="7" borderId="204" applyNumberFormat="0" applyFont="0" applyAlignment="0" applyProtection="0"/>
    <xf numFmtId="0" fontId="59" fillId="10"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9" applyNumberFormat="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22" fillId="7" borderId="208" applyNumberFormat="0" applyFont="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62" fillId="19" borderId="205" applyNumberFormat="0" applyAlignment="0" applyProtection="0"/>
    <xf numFmtId="0" fontId="62" fillId="19" borderId="205" applyNumberFormat="0" applyAlignment="0" applyProtection="0"/>
    <xf numFmtId="0" fontId="59" fillId="10" borderId="203" applyNumberFormat="0" applyAlignment="0" applyProtection="0"/>
    <xf numFmtId="0" fontId="59" fillId="10"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5" applyNumberFormat="0" applyAlignment="0" applyProtection="0"/>
    <xf numFmtId="0" fontId="62" fillId="19" borderId="209" applyNumberFormat="0" applyAlignment="0" applyProtection="0"/>
    <xf numFmtId="0" fontId="64" fillId="0" borderId="206" applyNumberFormat="0" applyFill="0" applyAlignment="0" applyProtection="0"/>
    <xf numFmtId="0" fontId="52" fillId="19" borderId="207" applyNumberFormat="0" applyAlignment="0" applyProtection="0"/>
    <xf numFmtId="0" fontId="62" fillId="19" borderId="205" applyNumberFormat="0" applyAlignment="0" applyProtection="0"/>
    <xf numFmtId="0" fontId="22" fillId="7" borderId="208" applyNumberFormat="0" applyFont="0" applyAlignment="0" applyProtection="0"/>
    <xf numFmtId="0" fontId="59" fillId="10" borderId="207" applyNumberFormat="0" applyAlignment="0" applyProtection="0"/>
    <xf numFmtId="0" fontId="59" fillId="10" borderId="203" applyNumberFormat="0" applyAlignment="0" applyProtection="0"/>
    <xf numFmtId="0" fontId="52" fillId="19" borderId="203"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22" fillId="7" borderId="204" applyNumberFormat="0" applyFont="0" applyAlignment="0" applyProtection="0"/>
    <xf numFmtId="0" fontId="59" fillId="10" borderId="203" applyNumberFormat="0" applyAlignment="0" applyProtection="0"/>
    <xf numFmtId="0" fontId="52" fillId="19" borderId="207"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64" fillId="0" borderId="206"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59" fillId="10" borderId="207" applyNumberFormat="0" applyAlignment="0" applyProtection="0"/>
    <xf numFmtId="0" fontId="62" fillId="19" borderId="205"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06"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52" fillId="19" borderId="207" applyNumberFormat="0" applyAlignment="0" applyProtection="0"/>
    <xf numFmtId="0" fontId="62" fillId="19" borderId="205" applyNumberFormat="0" applyAlignment="0" applyProtection="0"/>
    <xf numFmtId="0" fontId="52" fillId="19" borderId="207" applyNumberFormat="0" applyAlignment="0" applyProtection="0"/>
    <xf numFmtId="0" fontId="52" fillId="19" borderId="203"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3"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22" fillId="7" borderId="204" applyNumberFormat="0" applyFont="0" applyAlignment="0" applyProtection="0"/>
    <xf numFmtId="0" fontId="64" fillId="0" borderId="210" applyNumberFormat="0" applyFill="0" applyAlignment="0" applyProtection="0"/>
    <xf numFmtId="0" fontId="62" fillId="19" borderId="205"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04"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62" fillId="19" borderId="209" applyNumberFormat="0" applyAlignment="0" applyProtection="0"/>
    <xf numFmtId="0" fontId="52" fillId="19" borderId="207" applyNumberFormat="0" applyAlignment="0" applyProtection="0"/>
    <xf numFmtId="0" fontId="62" fillId="19" borderId="205" applyNumberFormat="0" applyAlignment="0" applyProtection="0"/>
    <xf numFmtId="0" fontId="59" fillId="10" borderId="203"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62" fillId="19" borderId="205"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5" applyNumberFormat="0" applyAlignment="0" applyProtection="0"/>
    <xf numFmtId="0" fontId="62" fillId="19" borderId="209" applyNumberFormat="0" applyAlignment="0" applyProtection="0"/>
    <xf numFmtId="0" fontId="52" fillId="19" borderId="207" applyNumberFormat="0" applyAlignment="0" applyProtection="0"/>
    <xf numFmtId="0" fontId="62" fillId="19" borderId="209" applyNumberFormat="0" applyAlignment="0" applyProtection="0"/>
    <xf numFmtId="0" fontId="62" fillId="19" borderId="205" applyNumberFormat="0" applyAlignment="0" applyProtection="0"/>
    <xf numFmtId="0" fontId="62" fillId="19" borderId="209" applyNumberFormat="0" applyAlignment="0" applyProtection="0"/>
    <xf numFmtId="0" fontId="22" fillId="7" borderId="204" applyNumberFormat="0" applyFont="0" applyAlignment="0" applyProtection="0"/>
    <xf numFmtId="0" fontId="22" fillId="7" borderId="204" applyNumberFormat="0" applyFont="0" applyAlignment="0" applyProtection="0"/>
    <xf numFmtId="0" fontId="59" fillId="10" borderId="203"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4" applyNumberFormat="0" applyFont="0" applyAlignment="0" applyProtection="0"/>
    <xf numFmtId="0" fontId="64" fillId="0" borderId="210" applyNumberFormat="0" applyFill="0" applyAlignment="0" applyProtection="0"/>
    <xf numFmtId="0" fontId="62" fillId="19" borderId="205" applyNumberFormat="0" applyAlignment="0" applyProtection="0"/>
    <xf numFmtId="0" fontId="59" fillId="10" borderId="203" applyNumberFormat="0" applyAlignment="0" applyProtection="0"/>
    <xf numFmtId="0" fontId="52" fillId="19" borderId="203" applyNumberFormat="0" applyAlignment="0" applyProtection="0"/>
    <xf numFmtId="0" fontId="62" fillId="19" borderId="205" applyNumberFormat="0" applyAlignment="0" applyProtection="0"/>
    <xf numFmtId="0" fontId="62" fillId="19" borderId="209" applyNumberFormat="0" applyAlignment="0" applyProtection="0"/>
    <xf numFmtId="0" fontId="59" fillId="10" borderId="207" applyNumberFormat="0" applyAlignment="0" applyProtection="0"/>
    <xf numFmtId="0" fontId="64" fillId="0" borderId="206"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9" applyNumberFormat="0" applyAlignment="0" applyProtection="0"/>
    <xf numFmtId="0" fontId="62" fillId="19" borderId="205" applyNumberFormat="0" applyAlignment="0" applyProtection="0"/>
    <xf numFmtId="0" fontId="64" fillId="0" borderId="206" applyNumberFormat="0" applyFill="0" applyAlignment="0" applyProtection="0"/>
    <xf numFmtId="0" fontId="59" fillId="10" borderId="207" applyNumberFormat="0" applyAlignment="0" applyProtection="0"/>
    <xf numFmtId="0" fontId="59" fillId="10" borderId="207" applyNumberFormat="0" applyAlignment="0" applyProtection="0"/>
    <xf numFmtId="0" fontId="62" fillId="19" borderId="205" applyNumberFormat="0" applyAlignment="0" applyProtection="0"/>
    <xf numFmtId="0" fontId="22" fillId="7" borderId="208" applyNumberFormat="0" applyFont="0" applyAlignment="0" applyProtection="0"/>
    <xf numFmtId="0" fontId="52" fillId="19" borderId="207" applyNumberFormat="0" applyAlignment="0" applyProtection="0"/>
    <xf numFmtId="0" fontId="64" fillId="0" borderId="206" applyNumberFormat="0" applyFill="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3"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62" fillId="19" borderId="209" applyNumberFormat="0" applyAlignment="0" applyProtection="0"/>
    <xf numFmtId="0" fontId="52" fillId="19" borderId="207" applyNumberFormat="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62" fillId="19" borderId="205" applyNumberFormat="0" applyAlignment="0" applyProtection="0"/>
    <xf numFmtId="0" fontId="59" fillId="10" borderId="207" applyNumberFormat="0" applyAlignment="0" applyProtection="0"/>
    <xf numFmtId="0" fontId="64" fillId="0" borderId="206"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06" applyNumberFormat="0" applyFill="0" applyAlignment="0" applyProtection="0"/>
    <xf numFmtId="0" fontId="59" fillId="10" borderId="207" applyNumberFormat="0" applyAlignment="0" applyProtection="0"/>
    <xf numFmtId="0" fontId="22" fillId="7" borderId="204" applyNumberFormat="0" applyFont="0" applyAlignment="0" applyProtection="0"/>
    <xf numFmtId="0" fontId="64" fillId="0" borderId="210"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59" fillId="10" borderId="207" applyNumberFormat="0" applyAlignment="0" applyProtection="0"/>
    <xf numFmtId="0" fontId="59" fillId="10" borderId="207" applyNumberFormat="0" applyAlignment="0" applyProtection="0"/>
    <xf numFmtId="0" fontId="64" fillId="0" borderId="206"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59" fillId="10" borderId="203" applyNumberFormat="0" applyAlignment="0" applyProtection="0"/>
    <xf numFmtId="0" fontId="62" fillId="19" borderId="205" applyNumberFormat="0" applyAlignment="0" applyProtection="0"/>
    <xf numFmtId="0" fontId="59" fillId="10" borderId="207" applyNumberFormat="0" applyAlignment="0" applyProtection="0"/>
    <xf numFmtId="0" fontId="59" fillId="10" borderId="207" applyNumberFormat="0" applyAlignment="0" applyProtection="0"/>
    <xf numFmtId="0" fontId="62" fillId="19" borderId="205" applyNumberFormat="0" applyAlignment="0" applyProtection="0"/>
    <xf numFmtId="0" fontId="59" fillId="10" borderId="207" applyNumberFormat="0" applyAlignment="0" applyProtection="0"/>
    <xf numFmtId="0" fontId="64" fillId="0" borderId="206" applyNumberFormat="0" applyFill="0" applyAlignment="0" applyProtection="0"/>
    <xf numFmtId="0" fontId="59" fillId="10" borderId="203"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3"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5" applyNumberFormat="0" applyAlignment="0" applyProtection="0"/>
    <xf numFmtId="0" fontId="59" fillId="10" borderId="207" applyNumberFormat="0" applyAlignment="0" applyProtection="0"/>
    <xf numFmtId="0" fontId="59" fillId="10" borderId="203" applyNumberFormat="0" applyAlignment="0" applyProtection="0"/>
    <xf numFmtId="0" fontId="59" fillId="10" borderId="203" applyNumberFormat="0" applyAlignment="0" applyProtection="0"/>
    <xf numFmtId="0" fontId="64" fillId="0" borderId="206" applyNumberFormat="0" applyFill="0" applyAlignment="0" applyProtection="0"/>
    <xf numFmtId="0" fontId="59" fillId="10" borderId="207" applyNumberFormat="0" applyAlignment="0" applyProtection="0"/>
    <xf numFmtId="0" fontId="59" fillId="10" borderId="207" applyNumberFormat="0" applyAlignment="0" applyProtection="0"/>
    <xf numFmtId="0" fontId="64" fillId="0" borderId="206" applyNumberFormat="0" applyFill="0" applyAlignment="0" applyProtection="0"/>
    <xf numFmtId="0" fontId="52" fillId="19" borderId="203" applyNumberFormat="0" applyAlignment="0" applyProtection="0"/>
    <xf numFmtId="0" fontId="52" fillId="19" borderId="203" applyNumberFormat="0" applyAlignment="0" applyProtection="0"/>
    <xf numFmtId="0" fontId="62" fillId="19" borderId="205"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4" applyNumberFormat="0" applyFont="0" applyAlignment="0" applyProtection="0"/>
    <xf numFmtId="0" fontId="52" fillId="19" borderId="207" applyNumberForma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06" applyNumberFormat="0" applyFill="0" applyAlignment="0" applyProtection="0"/>
    <xf numFmtId="0" fontId="52" fillId="19" borderId="203" applyNumberFormat="0" applyAlignment="0" applyProtection="0"/>
    <xf numFmtId="0" fontId="59" fillId="10" borderId="203" applyNumberFormat="0" applyAlignment="0" applyProtection="0"/>
    <xf numFmtId="0" fontId="64" fillId="0" borderId="206" applyNumberFormat="0" applyFill="0" applyAlignment="0" applyProtection="0"/>
    <xf numFmtId="0" fontId="22" fillId="7" borderId="204"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62" fillId="19" borderId="205" applyNumberFormat="0" applyAlignment="0" applyProtection="0"/>
    <xf numFmtId="0" fontId="59" fillId="10" borderId="203" applyNumberFormat="0" applyAlignment="0" applyProtection="0"/>
    <xf numFmtId="0" fontId="62" fillId="19" borderId="205" applyNumberFormat="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4" applyNumberFormat="0" applyFont="0" applyAlignment="0" applyProtection="0"/>
    <xf numFmtId="0" fontId="59" fillId="10" borderId="203"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62" fillId="19" borderId="205" applyNumberFormat="0" applyAlignment="0" applyProtection="0"/>
    <xf numFmtId="0" fontId="22" fillId="7" borderId="204" applyNumberFormat="0" applyFont="0" applyAlignment="0" applyProtection="0"/>
    <xf numFmtId="0" fontId="64" fillId="0" borderId="210"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5" applyNumberFormat="0" applyAlignment="0" applyProtection="0"/>
    <xf numFmtId="0" fontId="62" fillId="19" borderId="209" applyNumberFormat="0" applyAlignment="0" applyProtection="0"/>
    <xf numFmtId="0" fontId="64" fillId="0" borderId="206" applyNumberFormat="0" applyFill="0" applyAlignment="0" applyProtection="0"/>
    <xf numFmtId="0" fontId="62" fillId="19" borderId="209" applyNumberFormat="0" applyAlignment="0" applyProtection="0"/>
    <xf numFmtId="0" fontId="62" fillId="19" borderId="205"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62" fillId="19" borderId="205" applyNumberFormat="0" applyAlignment="0" applyProtection="0"/>
    <xf numFmtId="0" fontId="64" fillId="0" borderId="210" applyNumberFormat="0" applyFill="0" applyAlignment="0" applyProtection="0"/>
    <xf numFmtId="0" fontId="62" fillId="19" borderId="205" applyNumberFormat="0" applyAlignment="0" applyProtection="0"/>
    <xf numFmtId="0" fontId="59" fillId="10" borderId="207" applyNumberFormat="0" applyAlignment="0" applyProtection="0"/>
    <xf numFmtId="0" fontId="59" fillId="10" borderId="203"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3"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62" fillId="19" borderId="205" applyNumberFormat="0" applyAlignment="0" applyProtection="0"/>
    <xf numFmtId="0" fontId="59" fillId="10"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22" fillId="7" borderId="208" applyNumberFormat="0" applyFont="0" applyAlignment="0" applyProtection="0"/>
    <xf numFmtId="0" fontId="64" fillId="0" borderId="206" applyNumberFormat="0" applyFill="0" applyAlignment="0" applyProtection="0"/>
    <xf numFmtId="0" fontId="52" fillId="19" borderId="203" applyNumberFormat="0" applyAlignment="0" applyProtection="0"/>
    <xf numFmtId="0" fontId="62" fillId="19" borderId="205" applyNumberFormat="0" applyAlignment="0" applyProtection="0"/>
    <xf numFmtId="0" fontId="62" fillId="19" borderId="205"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3" applyNumberFormat="0" applyAlignment="0" applyProtection="0"/>
    <xf numFmtId="0" fontId="52" fillId="19" borderId="203" applyNumberFormat="0" applyAlignment="0" applyProtection="0"/>
    <xf numFmtId="0" fontId="64" fillId="0" borderId="210" applyNumberFormat="0" applyFill="0" applyAlignment="0" applyProtection="0"/>
    <xf numFmtId="0" fontId="52" fillId="19" borderId="203"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3" applyNumberFormat="0" applyAlignment="0" applyProtection="0"/>
    <xf numFmtId="0" fontId="64" fillId="0" borderId="206" applyNumberFormat="0" applyFill="0" applyAlignment="0" applyProtection="0"/>
    <xf numFmtId="0" fontId="62" fillId="19" borderId="209" applyNumberFormat="0" applyAlignment="0" applyProtection="0"/>
    <xf numFmtId="0" fontId="62" fillId="19" borderId="205" applyNumberFormat="0" applyAlignment="0" applyProtection="0"/>
    <xf numFmtId="0" fontId="62" fillId="19" borderId="205" applyNumberForma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3" applyNumberFormat="0" applyAlignment="0" applyProtection="0"/>
    <xf numFmtId="0" fontId="64" fillId="0" borderId="206" applyNumberFormat="0" applyFill="0" applyAlignment="0" applyProtection="0"/>
    <xf numFmtId="0" fontId="22" fillId="7" borderId="204" applyNumberFormat="0" applyFont="0" applyAlignment="0" applyProtection="0"/>
    <xf numFmtId="0" fontId="64" fillId="0" borderId="206" applyNumberFormat="0" applyFill="0" applyAlignment="0" applyProtection="0"/>
    <xf numFmtId="0" fontId="62" fillId="19" borderId="205" applyNumberFormat="0" applyAlignment="0" applyProtection="0"/>
    <xf numFmtId="0" fontId="59" fillId="10" borderId="203"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59" fillId="10" borderId="207" applyNumberFormat="0" applyAlignment="0" applyProtection="0"/>
    <xf numFmtId="0" fontId="62" fillId="19" borderId="205" applyNumberFormat="0" applyAlignment="0" applyProtection="0"/>
    <xf numFmtId="0" fontId="62" fillId="19" borderId="209" applyNumberFormat="0" applyAlignment="0" applyProtection="0"/>
    <xf numFmtId="0" fontId="62" fillId="19" borderId="205" applyNumberFormat="0" applyAlignment="0" applyProtection="0"/>
    <xf numFmtId="0" fontId="52" fillId="19" borderId="203" applyNumberFormat="0" applyAlignment="0" applyProtection="0"/>
    <xf numFmtId="0" fontId="22" fillId="7" borderId="208" applyNumberFormat="0" applyFont="0" applyAlignment="0" applyProtection="0"/>
    <xf numFmtId="0" fontId="22" fillId="7" borderId="204" applyNumberFormat="0" applyFont="0" applyAlignment="0" applyProtection="0"/>
    <xf numFmtId="0" fontId="62" fillId="19" borderId="205" applyNumberFormat="0" applyAlignment="0" applyProtection="0"/>
    <xf numFmtId="0" fontId="64" fillId="0" borderId="206"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64" fillId="0" borderId="206"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62" fillId="19" borderId="205" applyNumberFormat="0" applyAlignment="0" applyProtection="0"/>
    <xf numFmtId="0" fontId="64" fillId="0" borderId="210" applyNumberFormat="0" applyFill="0" applyAlignment="0" applyProtection="0"/>
    <xf numFmtId="0" fontId="62" fillId="19" borderId="205"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5"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3" applyNumberFormat="0" applyAlignment="0" applyProtection="0"/>
    <xf numFmtId="0" fontId="52" fillId="19"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2" fillId="19" borderId="209" applyNumberFormat="0" applyAlignment="0" applyProtection="0"/>
    <xf numFmtId="0" fontId="62" fillId="19" borderId="205" applyNumberFormat="0" applyAlignment="0" applyProtection="0"/>
    <xf numFmtId="0" fontId="64" fillId="0" borderId="206" applyNumberFormat="0" applyFill="0" applyAlignment="0" applyProtection="0"/>
    <xf numFmtId="0" fontId="59" fillId="10" borderId="203" applyNumberFormat="0" applyAlignment="0" applyProtection="0"/>
    <xf numFmtId="0" fontId="52" fillId="19" borderId="203" applyNumberFormat="0" applyAlignment="0" applyProtection="0"/>
    <xf numFmtId="0" fontId="59" fillId="10" borderId="207" applyNumberFormat="0" applyAlignment="0" applyProtection="0"/>
    <xf numFmtId="0" fontId="62" fillId="19" borderId="205" applyNumberFormat="0" applyAlignment="0" applyProtection="0"/>
    <xf numFmtId="0" fontId="22" fillId="7" borderId="204" applyNumberFormat="0" applyFont="0" applyAlignment="0" applyProtection="0"/>
    <xf numFmtId="0" fontId="59" fillId="10"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9"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59" fillId="10" borderId="207" applyNumberFormat="0" applyAlignment="0" applyProtection="0"/>
    <xf numFmtId="0" fontId="62" fillId="19" borderId="205"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4" applyNumberFormat="0" applyFont="0" applyAlignment="0" applyProtection="0"/>
    <xf numFmtId="0" fontId="59" fillId="10" borderId="203" applyNumberForma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4" applyNumberFormat="0" applyFont="0" applyAlignment="0" applyProtection="0"/>
    <xf numFmtId="0" fontId="52" fillId="19" borderId="207" applyNumberFormat="0" applyAlignment="0" applyProtection="0"/>
    <xf numFmtId="0" fontId="62" fillId="19" borderId="205" applyNumberFormat="0" applyAlignment="0" applyProtection="0"/>
    <xf numFmtId="0" fontId="22" fillId="7" borderId="208" applyNumberFormat="0" applyFont="0" applyAlignment="0" applyProtection="0"/>
    <xf numFmtId="0" fontId="62" fillId="19" borderId="209" applyNumberFormat="0" applyAlignment="0" applyProtection="0"/>
    <xf numFmtId="0" fontId="22" fillId="7" borderId="204" applyNumberFormat="0" applyFont="0" applyAlignment="0" applyProtection="0"/>
    <xf numFmtId="0" fontId="62" fillId="19" borderId="205"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59" fillId="10" borderId="207" applyNumberFormat="0" applyAlignment="0" applyProtection="0"/>
    <xf numFmtId="0" fontId="62" fillId="19" borderId="205" applyNumberFormat="0" applyAlignment="0" applyProtection="0"/>
    <xf numFmtId="0" fontId="62" fillId="19" borderId="209" applyNumberFormat="0" applyAlignment="0" applyProtection="0"/>
    <xf numFmtId="0" fontId="62" fillId="19" borderId="209" applyNumberFormat="0" applyAlignment="0" applyProtection="0"/>
    <xf numFmtId="0" fontId="52" fillId="19" borderId="203" applyNumberFormat="0" applyAlignment="0" applyProtection="0"/>
    <xf numFmtId="0" fontId="64" fillId="0" borderId="206" applyNumberFormat="0" applyFill="0" applyAlignment="0" applyProtection="0"/>
    <xf numFmtId="0" fontId="62" fillId="19" borderId="209" applyNumberFormat="0" applyAlignment="0" applyProtection="0"/>
    <xf numFmtId="0" fontId="52" fillId="19" borderId="203" applyNumberFormat="0" applyAlignment="0" applyProtection="0"/>
    <xf numFmtId="0" fontId="59" fillId="10" borderId="207" applyNumberFormat="0" applyAlignment="0" applyProtection="0"/>
    <xf numFmtId="0" fontId="59" fillId="10" borderId="207" applyNumberFormat="0" applyAlignment="0" applyProtection="0"/>
    <xf numFmtId="0" fontId="64" fillId="0" borderId="206" applyNumberFormat="0" applyFill="0" applyAlignment="0" applyProtection="0"/>
    <xf numFmtId="0" fontId="52" fillId="19" borderId="203"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9" applyNumberFormat="0" applyAlignment="0" applyProtection="0"/>
    <xf numFmtId="0" fontId="52" fillId="19" borderId="207" applyNumberFormat="0" applyAlignment="0" applyProtection="0"/>
    <xf numFmtId="0" fontId="64" fillId="0" borderId="206" applyNumberFormat="0" applyFill="0" applyAlignment="0" applyProtection="0"/>
    <xf numFmtId="0" fontId="22" fillId="7" borderId="204" applyNumberFormat="0" applyFont="0" applyAlignment="0" applyProtection="0"/>
    <xf numFmtId="0" fontId="64" fillId="0" borderId="206"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06" applyNumberFormat="0" applyFill="0" applyAlignment="0" applyProtection="0"/>
    <xf numFmtId="0" fontId="22" fillId="7" borderId="204" applyNumberFormat="0" applyFon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22" fillId="7" borderId="204" applyNumberFormat="0" applyFont="0" applyAlignment="0" applyProtection="0"/>
    <xf numFmtId="0" fontId="64" fillId="0" borderId="210" applyNumberFormat="0" applyFill="0" applyAlignment="0" applyProtection="0"/>
    <xf numFmtId="0" fontId="22" fillId="7" borderId="204" applyNumberFormat="0" applyFont="0" applyAlignment="0" applyProtection="0"/>
    <xf numFmtId="0" fontId="64" fillId="0" borderId="206"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5" applyNumberFormat="0" applyAlignment="0" applyProtection="0"/>
    <xf numFmtId="0" fontId="59" fillId="10" borderId="203" applyNumberFormat="0" applyAlignment="0" applyProtection="0"/>
    <xf numFmtId="0" fontId="64" fillId="0" borderId="210"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59" fillId="10" borderId="207" applyNumberFormat="0" applyAlignment="0" applyProtection="0"/>
    <xf numFmtId="0" fontId="62" fillId="19" borderId="205" applyNumberFormat="0" applyAlignment="0" applyProtection="0"/>
    <xf numFmtId="0" fontId="64" fillId="0" borderId="210" applyNumberFormat="0" applyFill="0" applyAlignment="0" applyProtection="0"/>
    <xf numFmtId="0" fontId="62" fillId="19" borderId="205"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3" applyNumberFormat="0" applyAlignment="0" applyProtection="0"/>
    <xf numFmtId="0" fontId="59" fillId="10" borderId="203" applyNumberFormat="0" applyAlignment="0" applyProtection="0"/>
    <xf numFmtId="0" fontId="62" fillId="19" borderId="209"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64" fillId="0" borderId="206"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22" fillId="7" borderId="208" applyNumberFormat="0" applyFont="0" applyAlignment="0" applyProtection="0"/>
    <xf numFmtId="0" fontId="52" fillId="19" borderId="203"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06" applyNumberFormat="0" applyFill="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3" applyNumberFormat="0" applyAlignment="0" applyProtection="0"/>
    <xf numFmtId="0" fontId="62" fillId="19" borderId="205"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64" fillId="0" borderId="210" applyNumberFormat="0" applyFill="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52" fillId="19" borderId="203"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62" fillId="19" borderId="205"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4" applyNumberFormat="0" applyFont="0" applyAlignment="0" applyProtection="0"/>
    <xf numFmtId="0" fontId="62" fillId="19" borderId="205"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4" applyNumberFormat="0" applyFont="0" applyAlignment="0" applyProtection="0"/>
    <xf numFmtId="0" fontId="62" fillId="19" borderId="209"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3"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59" fillId="10" borderId="207" applyNumberFormat="0" applyAlignment="0" applyProtection="0"/>
    <xf numFmtId="0" fontId="59" fillId="10" borderId="207" applyNumberFormat="0" applyAlignment="0" applyProtection="0"/>
    <xf numFmtId="0" fontId="64" fillId="0" borderId="206" applyNumberFormat="0" applyFill="0" applyAlignment="0" applyProtection="0"/>
    <xf numFmtId="0" fontId="59" fillId="10" borderId="207" applyNumberFormat="0" applyAlignment="0" applyProtection="0"/>
    <xf numFmtId="0" fontId="22" fillId="7" borderId="204" applyNumberFormat="0" applyFont="0" applyAlignment="0" applyProtection="0"/>
    <xf numFmtId="0" fontId="62" fillId="19" borderId="205" applyNumberFormat="0" applyAlignment="0" applyProtection="0"/>
    <xf numFmtId="0" fontId="59" fillId="10" borderId="207" applyNumberFormat="0" applyAlignment="0" applyProtection="0"/>
    <xf numFmtId="0" fontId="52" fillId="19" borderId="203" applyNumberFormat="0" applyAlignment="0" applyProtection="0"/>
    <xf numFmtId="0" fontId="64" fillId="0" borderId="206" applyNumberFormat="0" applyFill="0" applyAlignment="0" applyProtection="0"/>
    <xf numFmtId="0" fontId="62" fillId="19" borderId="209" applyNumberFormat="0" applyAlignment="0" applyProtection="0"/>
    <xf numFmtId="0" fontId="22" fillId="7" borderId="204"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3" applyNumberFormat="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06"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62" fillId="19" borderId="205" applyNumberFormat="0" applyAlignment="0" applyProtection="0"/>
    <xf numFmtId="0" fontId="52" fillId="19" borderId="207" applyNumberFormat="0" applyAlignment="0" applyProtection="0"/>
    <xf numFmtId="0" fontId="62" fillId="19" borderId="205" applyNumberFormat="0" applyAlignment="0" applyProtection="0"/>
    <xf numFmtId="0" fontId="62" fillId="19" borderId="209" applyNumberFormat="0" applyAlignment="0" applyProtection="0"/>
    <xf numFmtId="0" fontId="22" fillId="7" borderId="208" applyNumberFormat="0" applyFont="0" applyAlignment="0" applyProtection="0"/>
    <xf numFmtId="0" fontId="59" fillId="10" borderId="203" applyNumberFormat="0" applyAlignment="0" applyProtection="0"/>
    <xf numFmtId="0" fontId="59" fillId="10" borderId="203" applyNumberFormat="0" applyAlignment="0" applyProtection="0"/>
    <xf numFmtId="0" fontId="59" fillId="10" borderId="203" applyNumberFormat="0" applyAlignment="0" applyProtection="0"/>
    <xf numFmtId="0" fontId="52" fillId="19"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22" fillId="7" borderId="204" applyNumberFormat="0" applyFont="0" applyAlignment="0" applyProtection="0"/>
    <xf numFmtId="0" fontId="52" fillId="19" borderId="207" applyNumberFormat="0" applyAlignment="0" applyProtection="0"/>
    <xf numFmtId="0" fontId="64" fillId="0" borderId="206" applyNumberFormat="0" applyFill="0" applyAlignment="0" applyProtection="0"/>
    <xf numFmtId="0" fontId="22" fillId="7" borderId="204" applyNumberFormat="0" applyFont="0" applyAlignment="0" applyProtection="0"/>
    <xf numFmtId="0" fontId="52" fillId="19"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52" fillId="19" borderId="203"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52" fillId="19" borderId="203"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64" fillId="0" borderId="206"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06"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22" fillId="7" borderId="204" applyNumberFormat="0" applyFont="0" applyAlignment="0" applyProtection="0"/>
    <xf numFmtId="0" fontId="59" fillId="10" borderId="207" applyNumberFormat="0" applyAlignment="0" applyProtection="0"/>
    <xf numFmtId="0" fontId="62" fillId="19" borderId="209" applyNumberFormat="0" applyAlignment="0" applyProtection="0"/>
    <xf numFmtId="0" fontId="62" fillId="19" borderId="205" applyNumberFormat="0" applyAlignment="0" applyProtection="0"/>
    <xf numFmtId="0" fontId="62" fillId="19" borderId="205" applyNumberFormat="0" applyAlignment="0" applyProtection="0"/>
    <xf numFmtId="0" fontId="59" fillId="10" borderId="203"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62" fillId="19" borderId="205" applyNumberFormat="0" applyAlignment="0" applyProtection="0"/>
    <xf numFmtId="0" fontId="62" fillId="19" borderId="205" applyNumberFormat="0" applyAlignment="0" applyProtection="0"/>
    <xf numFmtId="0" fontId="52" fillId="19" borderId="203"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52" fillId="19" borderId="207" applyNumberFormat="0" applyAlignment="0" applyProtection="0"/>
    <xf numFmtId="0" fontId="52" fillId="19" borderId="203" applyNumberFormat="0" applyAlignment="0" applyProtection="0"/>
    <xf numFmtId="0" fontId="22" fillId="7" borderId="204" applyNumberFormat="0" applyFont="0" applyAlignment="0" applyProtection="0"/>
    <xf numFmtId="0" fontId="64" fillId="0" borderId="206" applyNumberFormat="0" applyFill="0" applyAlignment="0" applyProtection="0"/>
    <xf numFmtId="0" fontId="64" fillId="0" borderId="210" applyNumberFormat="0" applyFill="0" applyAlignment="0" applyProtection="0"/>
    <xf numFmtId="0" fontId="59" fillId="10" borderId="203" applyNumberFormat="0" applyAlignment="0" applyProtection="0"/>
    <xf numFmtId="0" fontId="62" fillId="19" borderId="205" applyNumberFormat="0" applyAlignment="0" applyProtection="0"/>
    <xf numFmtId="0" fontId="52" fillId="19" borderId="203"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5" applyNumberFormat="0" applyAlignment="0" applyProtection="0"/>
    <xf numFmtId="0" fontId="22" fillId="7" borderId="208" applyNumberFormat="0" applyFont="0" applyAlignment="0" applyProtection="0"/>
    <xf numFmtId="0" fontId="52" fillId="19" borderId="203" applyNumberFormat="0" applyAlignment="0" applyProtection="0"/>
    <xf numFmtId="0" fontId="62" fillId="19" borderId="209" applyNumberFormat="0" applyAlignment="0" applyProtection="0"/>
    <xf numFmtId="0" fontId="62" fillId="19" borderId="205" applyNumberFormat="0" applyAlignment="0" applyProtection="0"/>
    <xf numFmtId="0" fontId="52" fillId="19" borderId="203" applyNumberFormat="0" applyAlignment="0" applyProtection="0"/>
    <xf numFmtId="0" fontId="52" fillId="19" borderId="203"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5" applyNumberFormat="0" applyAlignment="0" applyProtection="0"/>
    <xf numFmtId="0" fontId="59" fillId="10" borderId="203" applyNumberFormat="0" applyAlignment="0" applyProtection="0"/>
    <xf numFmtId="0" fontId="62" fillId="19" borderId="209" applyNumberFormat="0" applyAlignment="0" applyProtection="0"/>
    <xf numFmtId="0" fontId="52" fillId="19" borderId="203" applyNumberFormat="0" applyAlignment="0" applyProtection="0"/>
    <xf numFmtId="0" fontId="62" fillId="19" borderId="205" applyNumberFormat="0" applyAlignment="0" applyProtection="0"/>
    <xf numFmtId="0" fontId="59" fillId="10" borderId="207" applyNumberFormat="0" applyAlignment="0" applyProtection="0"/>
    <xf numFmtId="0" fontId="62" fillId="19" borderId="205" applyNumberFormat="0" applyAlignment="0" applyProtection="0"/>
    <xf numFmtId="0" fontId="22" fillId="7" borderId="208" applyNumberFormat="0" applyFont="0" applyAlignment="0" applyProtection="0"/>
    <xf numFmtId="0" fontId="64" fillId="0" borderId="206" applyNumberFormat="0" applyFill="0" applyAlignment="0" applyProtection="0"/>
    <xf numFmtId="0" fontId="52" fillId="19" borderId="203"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52" fillId="19" borderId="203" applyNumberFormat="0" applyAlignment="0" applyProtection="0"/>
    <xf numFmtId="0" fontId="22" fillId="7" borderId="208" applyNumberFormat="0" applyFont="0" applyAlignment="0" applyProtection="0"/>
    <xf numFmtId="0" fontId="62" fillId="19" borderId="205" applyNumberFormat="0" applyAlignment="0" applyProtection="0"/>
    <xf numFmtId="0" fontId="64" fillId="0" borderId="210" applyNumberFormat="0" applyFill="0" applyAlignment="0" applyProtection="0"/>
    <xf numFmtId="0" fontId="59" fillId="10" borderId="203"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5" applyNumberFormat="0" applyAlignment="0" applyProtection="0"/>
    <xf numFmtId="0" fontId="52" fillId="19" borderId="207" applyNumberFormat="0" applyAlignment="0" applyProtection="0"/>
    <xf numFmtId="0" fontId="22" fillId="7" borderId="208" applyNumberFormat="0" applyFont="0" applyAlignment="0" applyProtection="0"/>
    <xf numFmtId="0" fontId="22" fillId="7" borderId="204" applyNumberFormat="0" applyFont="0" applyAlignment="0" applyProtection="0"/>
    <xf numFmtId="0" fontId="59" fillId="10" borderId="207" applyNumberFormat="0" applyAlignment="0" applyProtection="0"/>
    <xf numFmtId="0" fontId="62" fillId="19" borderId="205"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06"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52" fillId="19" borderId="203"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22" fillId="7" borderId="204" applyNumberFormat="0" applyFont="0" applyAlignment="0" applyProtection="0"/>
    <xf numFmtId="0" fontId="52" fillId="19" borderId="207" applyNumberFormat="0" applyAlignment="0" applyProtection="0"/>
    <xf numFmtId="0" fontId="59" fillId="10" borderId="203" applyNumberFormat="0" applyAlignment="0" applyProtection="0"/>
    <xf numFmtId="0" fontId="64" fillId="0" borderId="210" applyNumberFormat="0" applyFill="0" applyAlignment="0" applyProtection="0"/>
    <xf numFmtId="0" fontId="59" fillId="10" borderId="203"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64" fillId="0" borderId="210" applyNumberFormat="0" applyFill="0" applyAlignment="0" applyProtection="0"/>
    <xf numFmtId="0" fontId="52" fillId="19" borderId="203" applyNumberFormat="0" applyAlignment="0" applyProtection="0"/>
    <xf numFmtId="0" fontId="62" fillId="19" borderId="205" applyNumberFormat="0" applyAlignment="0" applyProtection="0"/>
    <xf numFmtId="0" fontId="64" fillId="0" borderId="210" applyNumberFormat="0" applyFill="0" applyAlignment="0" applyProtection="0"/>
    <xf numFmtId="0" fontId="62" fillId="19" borderId="205"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3" applyNumberFormat="0" applyAlignment="0" applyProtection="0"/>
    <xf numFmtId="0" fontId="52" fillId="19" borderId="207" applyNumberFormat="0" applyAlignment="0" applyProtection="0"/>
    <xf numFmtId="0" fontId="22" fillId="7" borderId="204" applyNumberFormat="0" applyFont="0" applyAlignment="0" applyProtection="0"/>
    <xf numFmtId="0" fontId="59" fillId="10" borderId="207" applyNumberFormat="0" applyAlignment="0" applyProtection="0"/>
    <xf numFmtId="0" fontId="22" fillId="7" borderId="204" applyNumberFormat="0" applyFont="0" applyAlignment="0" applyProtection="0"/>
    <xf numFmtId="0" fontId="62" fillId="19" borderId="209" applyNumberFormat="0" applyAlignment="0" applyProtection="0"/>
    <xf numFmtId="0" fontId="59" fillId="10" borderId="207" applyNumberFormat="0" applyAlignment="0" applyProtection="0"/>
    <xf numFmtId="0" fontId="59" fillId="10" borderId="203"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06" applyNumberFormat="0" applyFill="0" applyAlignment="0" applyProtection="0"/>
    <xf numFmtId="0" fontId="59" fillId="10" borderId="207" applyNumberFormat="0" applyAlignment="0" applyProtection="0"/>
    <xf numFmtId="0" fontId="62" fillId="19" borderId="205" applyNumberFormat="0" applyAlignment="0" applyProtection="0"/>
    <xf numFmtId="0" fontId="22" fillId="7" borderId="208" applyNumberFormat="0" applyFont="0" applyAlignment="0" applyProtection="0"/>
    <xf numFmtId="0" fontId="62" fillId="19" borderId="205" applyNumberFormat="0" applyAlignment="0" applyProtection="0"/>
    <xf numFmtId="0" fontId="22" fillId="7" borderId="208" applyNumberFormat="0" applyFont="0" applyAlignment="0" applyProtection="0"/>
    <xf numFmtId="0" fontId="52" fillId="19"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59" fillId="10" borderId="207" applyNumberFormat="0" applyAlignment="0" applyProtection="0"/>
    <xf numFmtId="0" fontId="22" fillId="7" borderId="204"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5" applyNumberFormat="0" applyAlignment="0" applyProtection="0"/>
    <xf numFmtId="0" fontId="62" fillId="19" borderId="205" applyNumberFormat="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62" fillId="19" borderId="209" applyNumberFormat="0" applyAlignment="0" applyProtection="0"/>
    <xf numFmtId="0" fontId="52" fillId="19"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4" fillId="0" borderId="206" applyNumberFormat="0" applyFill="0" applyAlignment="0" applyProtection="0"/>
    <xf numFmtId="0" fontId="62" fillId="19" borderId="205"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59" fillId="10" borderId="203" applyNumberFormat="0" applyAlignment="0" applyProtection="0"/>
    <xf numFmtId="0" fontId="22" fillId="7" borderId="208" applyNumberFormat="0" applyFont="0" applyAlignment="0" applyProtection="0"/>
    <xf numFmtId="0" fontId="62" fillId="19" borderId="205" applyNumberFormat="0" applyAlignment="0" applyProtection="0"/>
    <xf numFmtId="0" fontId="59" fillId="10" borderId="207" applyNumberFormat="0" applyAlignment="0" applyProtection="0"/>
    <xf numFmtId="0" fontId="59" fillId="10" borderId="207"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9" fillId="10" borderId="203" applyNumberFormat="0" applyAlignment="0" applyProtection="0"/>
    <xf numFmtId="0" fontId="62" fillId="19" borderId="209" applyNumberFormat="0" applyAlignment="0" applyProtection="0"/>
    <xf numFmtId="0" fontId="59" fillId="10" borderId="203" applyNumberFormat="0" applyAlignment="0" applyProtection="0"/>
    <xf numFmtId="0" fontId="52" fillId="19" borderId="207" applyNumberFormat="0" applyAlignment="0" applyProtection="0"/>
    <xf numFmtId="0" fontId="62" fillId="19" borderId="205" applyNumberFormat="0" applyAlignment="0" applyProtection="0"/>
    <xf numFmtId="0" fontId="59" fillId="10" borderId="203" applyNumberFormat="0" applyAlignment="0" applyProtection="0"/>
    <xf numFmtId="0" fontId="62" fillId="19" borderId="209" applyNumberFormat="0" applyAlignment="0" applyProtection="0"/>
    <xf numFmtId="0" fontId="59" fillId="10" borderId="203" applyNumberFormat="0" applyAlignment="0" applyProtection="0"/>
    <xf numFmtId="0" fontId="64" fillId="0" borderId="206"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4" fillId="0" borderId="206" applyNumberFormat="0" applyFill="0" applyAlignment="0" applyProtection="0"/>
    <xf numFmtId="0" fontId="59" fillId="10" borderId="207" applyNumberFormat="0" applyAlignment="0" applyProtection="0"/>
    <xf numFmtId="0" fontId="52" fillId="19" borderId="203" applyNumberFormat="0" applyAlignment="0" applyProtection="0"/>
    <xf numFmtId="0" fontId="59" fillId="10" borderId="203" applyNumberFormat="0" applyAlignment="0" applyProtection="0"/>
    <xf numFmtId="0" fontId="62" fillId="19" borderId="205" applyNumberFormat="0" applyAlignment="0" applyProtection="0"/>
    <xf numFmtId="0" fontId="64" fillId="0" borderId="206"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22" fillId="7" borderId="204" applyNumberFormat="0" applyFont="0" applyAlignment="0" applyProtection="0"/>
    <xf numFmtId="0" fontId="22" fillId="7" borderId="208" applyNumberFormat="0" applyFont="0" applyAlignment="0" applyProtection="0"/>
    <xf numFmtId="0" fontId="59" fillId="10" borderId="203" applyNumberFormat="0" applyAlignment="0" applyProtection="0"/>
    <xf numFmtId="0" fontId="52" fillId="19" borderId="207" applyNumberFormat="0" applyAlignment="0" applyProtection="0"/>
    <xf numFmtId="0" fontId="64" fillId="0" borderId="206" applyNumberFormat="0" applyFill="0" applyAlignment="0" applyProtection="0"/>
    <xf numFmtId="0" fontId="22" fillId="7" borderId="204" applyNumberFormat="0" applyFont="0" applyAlignment="0" applyProtection="0"/>
    <xf numFmtId="0" fontId="59" fillId="10" borderId="207" applyNumberFormat="0" applyAlignment="0" applyProtection="0"/>
    <xf numFmtId="0" fontId="64" fillId="0" borderId="206" applyNumberFormat="0" applyFill="0" applyAlignment="0" applyProtection="0"/>
    <xf numFmtId="0" fontId="52" fillId="19" borderId="207" applyNumberFormat="0" applyAlignment="0" applyProtection="0"/>
    <xf numFmtId="0" fontId="64" fillId="0" borderId="206" applyNumberFormat="0" applyFill="0" applyAlignment="0" applyProtection="0"/>
    <xf numFmtId="0" fontId="62" fillId="19" borderId="205" applyNumberFormat="0" applyAlignment="0" applyProtection="0"/>
    <xf numFmtId="0" fontId="59" fillId="10" borderId="207" applyNumberFormat="0" applyAlignment="0" applyProtection="0"/>
    <xf numFmtId="0" fontId="62" fillId="19" borderId="205"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3" applyNumberFormat="0" applyAlignment="0" applyProtection="0"/>
    <xf numFmtId="0" fontId="62" fillId="19" borderId="205" applyNumberFormat="0" applyAlignment="0" applyProtection="0"/>
    <xf numFmtId="0" fontId="52" fillId="19" borderId="203"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5" applyNumberFormat="0" applyAlignment="0" applyProtection="0"/>
    <xf numFmtId="0" fontId="64" fillId="0" borderId="206" applyNumberFormat="0" applyFill="0" applyAlignment="0" applyProtection="0"/>
    <xf numFmtId="0" fontId="62" fillId="19" borderId="209" applyNumberFormat="0" applyAlignment="0" applyProtection="0"/>
    <xf numFmtId="0" fontId="59" fillId="10" borderId="203"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64" fillId="0" borderId="206" applyNumberFormat="0" applyFill="0" applyAlignment="0" applyProtection="0"/>
    <xf numFmtId="0" fontId="62" fillId="19" borderId="205" applyNumberFormat="0" applyAlignment="0" applyProtection="0"/>
    <xf numFmtId="0" fontId="59" fillId="10" borderId="203" applyNumberForma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22" fillId="7" borderId="204" applyNumberFormat="0" applyFont="0" applyAlignment="0" applyProtection="0"/>
    <xf numFmtId="0" fontId="22" fillId="7" borderId="204" applyNumberFormat="0" applyFont="0" applyAlignment="0" applyProtection="0"/>
    <xf numFmtId="0" fontId="62" fillId="19" borderId="205" applyNumberFormat="0" applyAlignment="0" applyProtection="0"/>
    <xf numFmtId="0" fontId="64" fillId="0" borderId="206" applyNumberFormat="0" applyFill="0" applyAlignment="0" applyProtection="0"/>
    <xf numFmtId="0" fontId="62" fillId="19" borderId="205"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04" applyNumberFormat="0" applyFont="0" applyAlignment="0" applyProtection="0"/>
    <xf numFmtId="0" fontId="59" fillId="10" borderId="207" applyNumberFormat="0" applyAlignment="0" applyProtection="0"/>
    <xf numFmtId="0" fontId="62" fillId="19" borderId="205" applyNumberFormat="0" applyAlignment="0" applyProtection="0"/>
    <xf numFmtId="0" fontId="62" fillId="19" borderId="205" applyNumberFormat="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22" fillId="7" borderId="204" applyNumberFormat="0" applyFont="0" applyAlignment="0" applyProtection="0"/>
    <xf numFmtId="0" fontId="64" fillId="0" borderId="206" applyNumberFormat="0" applyFill="0" applyAlignment="0" applyProtection="0"/>
    <xf numFmtId="0" fontId="62" fillId="19" borderId="205" applyNumberFormat="0" applyAlignment="0" applyProtection="0"/>
    <xf numFmtId="0" fontId="62" fillId="19" borderId="205"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64" fillId="0" borderId="206" applyNumberFormat="0" applyFill="0" applyAlignment="0" applyProtection="0"/>
    <xf numFmtId="0" fontId="62" fillId="19" borderId="209"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52" fillId="19" borderId="203" applyNumberFormat="0" applyAlignment="0" applyProtection="0"/>
    <xf numFmtId="0" fontId="64" fillId="0" borderId="210" applyNumberFormat="0" applyFill="0" applyAlignment="0" applyProtection="0"/>
    <xf numFmtId="0" fontId="62" fillId="19" borderId="205" applyNumberFormat="0" applyAlignment="0" applyProtection="0"/>
    <xf numFmtId="0" fontId="52" fillId="19" borderId="207" applyNumberFormat="0" applyAlignment="0" applyProtection="0"/>
    <xf numFmtId="0" fontId="52" fillId="19" borderId="203" applyNumberFormat="0" applyAlignment="0" applyProtection="0"/>
    <xf numFmtId="0" fontId="52" fillId="19" borderId="207" applyNumberFormat="0" applyAlignment="0" applyProtection="0"/>
    <xf numFmtId="0" fontId="59" fillId="10" borderId="203" applyNumberForma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64" fillId="0" borderId="206" applyNumberFormat="0" applyFill="0" applyAlignment="0" applyProtection="0"/>
    <xf numFmtId="0" fontId="22" fillId="7" borderId="208" applyNumberFormat="0" applyFont="0" applyAlignment="0" applyProtection="0"/>
    <xf numFmtId="0" fontId="59" fillId="10" borderId="203" applyNumberFormat="0" applyAlignment="0" applyProtection="0"/>
    <xf numFmtId="0" fontId="59" fillId="10" borderId="203" applyNumberFormat="0" applyAlignment="0" applyProtection="0"/>
    <xf numFmtId="0" fontId="62" fillId="19" borderId="209" applyNumberFormat="0" applyAlignment="0" applyProtection="0"/>
    <xf numFmtId="0" fontId="64" fillId="0" borderId="206" applyNumberFormat="0" applyFill="0" applyAlignment="0" applyProtection="0"/>
    <xf numFmtId="0" fontId="64" fillId="0" borderId="206" applyNumberFormat="0" applyFill="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5" applyNumberFormat="0" applyAlignment="0" applyProtection="0"/>
    <xf numFmtId="0" fontId="64" fillId="0" borderId="206" applyNumberFormat="0" applyFill="0" applyAlignment="0" applyProtection="0"/>
    <xf numFmtId="0" fontId="22" fillId="7" borderId="204" applyNumberFormat="0" applyFont="0" applyAlignment="0" applyProtection="0"/>
    <xf numFmtId="0" fontId="22" fillId="7" borderId="208" applyNumberFormat="0" applyFont="0" applyAlignment="0" applyProtection="0"/>
    <xf numFmtId="0" fontId="62" fillId="19" borderId="205" applyNumberFormat="0" applyAlignment="0" applyProtection="0"/>
    <xf numFmtId="0" fontId="64" fillId="0" borderId="210" applyNumberFormat="0" applyFill="0" applyAlignment="0" applyProtection="0"/>
    <xf numFmtId="0" fontId="52" fillId="19" borderId="203" applyNumberFormat="0" applyAlignment="0" applyProtection="0"/>
    <xf numFmtId="0" fontId="52" fillId="19" borderId="207" applyNumberFormat="0" applyAlignment="0" applyProtection="0"/>
    <xf numFmtId="0" fontId="62" fillId="19" borderId="209" applyNumberFormat="0" applyAlignment="0" applyProtection="0"/>
    <xf numFmtId="0" fontId="62" fillId="19" borderId="205" applyNumberFormat="0" applyAlignment="0" applyProtection="0"/>
    <xf numFmtId="0" fontId="64" fillId="0" borderId="206" applyNumberFormat="0" applyFill="0" applyAlignment="0" applyProtection="0"/>
    <xf numFmtId="0" fontId="59" fillId="10" borderId="207" applyNumberFormat="0" applyAlignment="0" applyProtection="0"/>
    <xf numFmtId="0" fontId="59" fillId="10" borderId="207" applyNumberFormat="0" applyAlignment="0" applyProtection="0"/>
    <xf numFmtId="0" fontId="64" fillId="0" borderId="206"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2" fillId="19"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2" fillId="0" borderId="0"/>
    <xf numFmtId="167" fontId="2" fillId="0" borderId="0" applyFont="0" applyFill="0" applyBorder="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2" fillId="0" borderId="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168" fontId="2"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2" fillId="0" borderId="0"/>
    <xf numFmtId="0" fontId="2" fillId="0" borderId="0"/>
    <xf numFmtId="167" fontId="2" fillId="0" borderId="0" applyFont="0" applyFill="0" applyBorder="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 fillId="0" borderId="0"/>
    <xf numFmtId="167"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59" fillId="10" borderId="217" applyNumberFormat="0" applyAlignment="0" applyProtection="0"/>
    <xf numFmtId="0" fontId="59" fillId="10" borderId="217" applyNumberFormat="0" applyAlignment="0" applyProtection="0"/>
    <xf numFmtId="44" fontId="2" fillId="0" borderId="0" applyFont="0" applyFill="0" applyBorder="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 fillId="0" borderId="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168" fontId="2"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2" fillId="0" borderId="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168" fontId="2"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 fillId="0" borderId="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168" fontId="2"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 fillId="0" borderId="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168" fontId="2"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2" fillId="0" borderId="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168" fontId="2"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0" fontId="62" fillId="19" borderId="219" applyNumberFormat="0" applyAlignment="0" applyProtection="0"/>
    <xf numFmtId="0" fontId="2" fillId="0" borderId="0"/>
    <xf numFmtId="0" fontId="2" fillId="0" borderId="0"/>
    <xf numFmtId="168" fontId="2"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9" fontId="2" fillId="0" borderId="0" applyFont="0" applyFill="0" applyBorder="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2" fillId="0" borderId="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 fillId="0" borderId="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 fillId="0" borderId="0"/>
    <xf numFmtId="0" fontId="2" fillId="0" borderId="0"/>
    <xf numFmtId="44" fontId="2" fillId="0" borderId="0" applyFont="0" applyFill="0" applyBorder="0" applyAlignment="0" applyProtection="0"/>
    <xf numFmtId="0" fontId="62" fillId="19" borderId="219" applyNumberFormat="0" applyAlignment="0" applyProtection="0"/>
    <xf numFmtId="0" fontId="62" fillId="19" borderId="219" applyNumberForma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2" fillId="0" borderId="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 fillId="0" borderId="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 fillId="0" borderId="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2" fillId="0" borderId="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2" fillId="0" borderId="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2" fillId="0" borderId="0"/>
    <xf numFmtId="0" fontId="2" fillId="0" borderId="0"/>
    <xf numFmtId="44" fontId="2" fillId="0" borderId="0" applyFont="0" applyFill="0" applyBorder="0" applyAlignment="0" applyProtection="0"/>
    <xf numFmtId="0" fontId="64" fillId="0" borderId="220" applyNumberFormat="0" applyFill="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52" fillId="19" borderId="217" applyNumberFormat="0" applyAlignment="0" applyProtection="0"/>
    <xf numFmtId="0" fontId="62" fillId="19" borderId="219" applyNumberFormat="0" applyAlignment="0" applyProtection="0"/>
    <xf numFmtId="44" fontId="2" fillId="0" borderId="0" applyFont="0" applyFill="0" applyBorder="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 fillId="0" borderId="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 fillId="0" borderId="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2" fillId="0" borderId="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 fillId="0" borderId="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2" fillId="0" borderId="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44" fontId="2" fillId="0" borderId="0" applyFont="0" applyFill="0" applyBorder="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2" fillId="7" borderId="218" applyNumberFormat="0" applyFont="0" applyAlignment="0" applyProtection="0"/>
    <xf numFmtId="44" fontId="2" fillId="0" borderId="0" applyFont="0" applyFill="0" applyBorder="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59" fillId="10" borderId="217" applyNumberFormat="0" applyAlignment="0" applyProtection="0"/>
    <xf numFmtId="0" fontId="64" fillId="0" borderId="220" applyNumberFormat="0" applyFill="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2" fillId="7" borderId="218" applyNumberFormat="0" applyFont="0" applyAlignment="0" applyProtection="0"/>
    <xf numFmtId="0" fontId="62" fillId="19" borderId="219" applyNumberFormat="0" applyAlignment="0" applyProtection="0"/>
    <xf numFmtId="44" fontId="2" fillId="0" borderId="0" applyFont="0" applyFill="0" applyBorder="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 fillId="0" borderId="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 fillId="0" borderId="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 fillId="0" borderId="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 fillId="0" borderId="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2" fillId="0" borderId="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2" fillId="0" borderId="0"/>
    <xf numFmtId="0" fontId="2" fillId="0" borderId="0"/>
    <xf numFmtId="44" fontId="2" fillId="0" borderId="0" applyFont="0" applyFill="0" applyBorder="0" applyAlignment="0" applyProtection="0"/>
    <xf numFmtId="0" fontId="64" fillId="0" borderId="220" applyNumberFormat="0" applyFill="0" applyAlignment="0" applyProtection="0"/>
    <xf numFmtId="0" fontId="22" fillId="7" borderId="2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44" fontId="2" fillId="0" borderId="0" applyFont="0" applyFill="0" applyBorder="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 fillId="0" borderId="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 fillId="0" borderId="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2" fillId="0" borderId="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2" fillId="0" borderId="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2" fillId="0" borderId="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2" fillId="7" borderId="218" applyNumberFormat="0" applyFont="0" applyAlignment="0" applyProtection="0"/>
    <xf numFmtId="0" fontId="64" fillId="0" borderId="220" applyNumberFormat="0" applyFill="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2" fillId="0" borderId="0"/>
    <xf numFmtId="0" fontId="2" fillId="0" borderId="0"/>
    <xf numFmtId="44" fontId="2" fillId="0" borderId="0" applyFont="0" applyFill="0" applyBorder="0" applyAlignment="0" applyProtection="0"/>
    <xf numFmtId="0" fontId="59" fillId="10" borderId="217" applyNumberFormat="0" applyAlignment="0" applyProtection="0"/>
    <xf numFmtId="0" fontId="52" fillId="19" borderId="217" applyNumberForma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64" fillId="0" borderId="220" applyNumberFormat="0" applyFill="0" applyAlignment="0" applyProtection="0"/>
    <xf numFmtId="0" fontId="22" fillId="7" borderId="218" applyNumberFormat="0" applyFont="0" applyAlignment="0" applyProtection="0"/>
    <xf numFmtId="44" fontId="2" fillId="0" borderId="0" applyFont="0" applyFill="0" applyBorder="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2" fillId="0" borderId="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 fillId="0" borderId="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 fillId="0" borderId="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 fillId="0" borderId="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2" fillId="0" borderId="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2" fillId="7" borderId="218" applyNumberFormat="0" applyFont="0" applyAlignment="0" applyProtection="0"/>
    <xf numFmtId="0" fontId="22" fillId="7" borderId="218" applyNumberFormat="0" applyFont="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 fillId="0" borderId="0"/>
    <xf numFmtId="0" fontId="2" fillId="0" borderId="0"/>
    <xf numFmtId="44" fontId="2" fillId="0" borderId="0" applyFont="0" applyFill="0" applyBorder="0" applyAlignment="0" applyProtection="0"/>
    <xf numFmtId="0" fontId="62" fillId="19" borderId="219" applyNumberForma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59" fillId="10" borderId="217" applyNumberFormat="0" applyAlignment="0" applyProtection="0"/>
    <xf numFmtId="44" fontId="2" fillId="0" borderId="0" applyFont="0" applyFill="0" applyBorder="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2" fillId="0" borderId="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 fillId="0" borderId="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2" fillId="0" borderId="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2" fillId="0" borderId="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 fillId="0" borderId="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7" fontId="2" fillId="0" borderId="0" applyFont="0" applyFill="0" applyBorder="0" applyAlignment="0" applyProtection="0"/>
    <xf numFmtId="167" fontId="2" fillId="0" borderId="0" applyFont="0" applyFill="0" applyBorder="0" applyAlignment="0" applyProtection="0"/>
    <xf numFmtId="0" fontId="59" fillId="10" borderId="217" applyNumberForma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7" fontId="2" fillId="0" borderId="0" applyFont="0" applyFill="0" applyBorder="0" applyAlignment="0" applyProtection="0"/>
    <xf numFmtId="168" fontId="2" fillId="0" borderId="0" applyFont="0" applyFill="0" applyBorder="0" applyAlignment="0" applyProtection="0"/>
    <xf numFmtId="0" fontId="2" fillId="0" borderId="0"/>
    <xf numFmtId="167"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7" fontId="2" fillId="0" borderId="0" applyFont="0" applyFill="0" applyBorder="0" applyAlignment="0" applyProtection="0"/>
    <xf numFmtId="0" fontId="2"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59" fillId="10" borderId="217" applyNumberFormat="0" applyAlignment="0" applyProtection="0"/>
    <xf numFmtId="168" fontId="2" fillId="0" borderId="0" applyFont="0" applyFill="0" applyBorder="0" applyAlignment="0" applyProtection="0"/>
    <xf numFmtId="167" fontId="2" fillId="0" borderId="0" applyFont="0" applyFill="0" applyBorder="0" applyAlignment="0" applyProtection="0"/>
    <xf numFmtId="0" fontId="2" fillId="0" borderId="0"/>
    <xf numFmtId="0" fontId="2" fillId="0" borderId="0"/>
    <xf numFmtId="0" fontId="2" fillId="0" borderId="0"/>
    <xf numFmtId="167"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59" fillId="10" borderId="217" applyNumberFormat="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167" fontId="2" fillId="0" borderId="0" applyFont="0" applyFill="0" applyBorder="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2" fillId="0" borderId="0"/>
    <xf numFmtId="0" fontId="2" fillId="0" borderId="0"/>
    <xf numFmtId="167" fontId="2" fillId="0" borderId="0" applyFont="0" applyFill="0" applyBorder="0" applyAlignment="0" applyProtection="0"/>
    <xf numFmtId="0" fontId="2" fillId="0" borderId="0"/>
    <xf numFmtId="167"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168" fontId="2"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168" fontId="2"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168" fontId="2"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168" fontId="2"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168" fontId="2"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9" fontId="2" fillId="0" borderId="0" applyFont="0" applyFill="0" applyBorder="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2" fillId="0" borderId="0"/>
    <xf numFmtId="168" fontId="2"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 fillId="0" borderId="0"/>
    <xf numFmtId="0" fontId="2" fillId="0" borderId="0"/>
    <xf numFmtId="167" fontId="2" fillId="0" borderId="0" applyFont="0" applyFill="0" applyBorder="0" applyAlignment="0" applyProtection="0"/>
    <xf numFmtId="0" fontId="2" fillId="0" borderId="0"/>
    <xf numFmtId="167"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168" fontId="2"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168" fontId="2"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168" fontId="2"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168" fontId="2"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168" fontId="2"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44" fontId="2" fillId="0" borderId="0" applyFont="0" applyFill="0" applyBorder="0" applyAlignment="0" applyProtection="0"/>
    <xf numFmtId="44" fontId="2" fillId="0" borderId="0" applyFont="0" applyFill="0" applyBorder="0" applyAlignment="0" applyProtection="0"/>
    <xf numFmtId="0" fontId="52" fillId="19" borderId="217" applyNumberFormat="0" applyAlignment="0" applyProtection="0"/>
    <xf numFmtId="43" fontId="2" fillId="0" borderId="0" applyFont="0" applyFill="0" applyBorder="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7" fontId="2" fillId="0" borderId="0" applyFont="0" applyFill="0" applyBorder="0" applyAlignment="0" applyProtection="0"/>
    <xf numFmtId="167" fontId="2" fillId="0" borderId="0" applyFont="0" applyFill="0" applyBorder="0" applyAlignment="0" applyProtection="0"/>
    <xf numFmtId="0" fontId="22" fillId="7" borderId="218" applyNumberFormat="0" applyFont="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9" fontId="2" fillId="0" borderId="0" applyFont="0" applyFill="0" applyBorder="0" applyAlignment="0" applyProtection="0"/>
    <xf numFmtId="0" fontId="2" fillId="0" borderId="0"/>
    <xf numFmtId="0" fontId="62" fillId="19" borderId="219" applyNumberFormat="0" applyAlignment="0" applyProtection="0"/>
    <xf numFmtId="0" fontId="2" fillId="0" borderId="0"/>
    <xf numFmtId="167" fontId="2" fillId="0" borderId="0" applyFont="0" applyFill="0" applyBorder="0" applyAlignment="0" applyProtection="0"/>
    <xf numFmtId="168" fontId="2" fillId="0" borderId="0" applyFont="0" applyFill="0" applyBorder="0" applyAlignment="0" applyProtection="0"/>
    <xf numFmtId="0" fontId="2" fillId="0" borderId="0"/>
    <xf numFmtId="167"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7" fontId="2" fillId="0" borderId="0" applyFont="0" applyFill="0" applyBorder="0" applyAlignment="0" applyProtection="0"/>
    <xf numFmtId="0" fontId="2"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167" fontId="2" fillId="0" borderId="0" applyFont="0" applyFill="0" applyBorder="0" applyAlignment="0" applyProtection="0"/>
    <xf numFmtId="0" fontId="2" fillId="0" borderId="0"/>
    <xf numFmtId="0" fontId="2" fillId="0" borderId="0"/>
    <xf numFmtId="0" fontId="2" fillId="0" borderId="0"/>
    <xf numFmtId="167"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0" fontId="2" fillId="0" borderId="0"/>
    <xf numFmtId="168" fontId="2" fillId="0" borderId="0" applyFont="0" applyFill="0" applyBorder="0" applyAlignment="0" applyProtection="0"/>
    <xf numFmtId="0" fontId="2" fillId="0" borderId="0"/>
    <xf numFmtId="0" fontId="2" fillId="0" borderId="0"/>
    <xf numFmtId="0" fontId="2"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167" fontId="2" fillId="0" borderId="0" applyFont="0" applyFill="0" applyBorder="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2" fillId="0" borderId="0"/>
    <xf numFmtId="0" fontId="2" fillId="0" borderId="0"/>
    <xf numFmtId="167" fontId="2" fillId="0" borderId="0" applyFont="0" applyFill="0" applyBorder="0" applyAlignment="0" applyProtection="0"/>
    <xf numFmtId="0" fontId="2" fillId="0" borderId="0"/>
    <xf numFmtId="167"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168" fontId="2"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168" fontId="2"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168" fontId="2"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168" fontId="2"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168" fontId="2"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7" fontId="2" fillId="0" borderId="0" applyFont="0" applyFill="0" applyBorder="0" applyAlignment="0" applyProtection="0"/>
    <xf numFmtId="0" fontId="2" fillId="0" borderId="0"/>
    <xf numFmtId="167" fontId="2" fillId="0" borderId="0" applyFont="0" applyFill="0" applyBorder="0" applyAlignment="0" applyProtection="0"/>
    <xf numFmtId="9" fontId="2" fillId="0" borderId="0" applyFont="0" applyFill="0" applyBorder="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9" fontId="2" fillId="0" borderId="0" applyFont="0" applyFill="0" applyBorder="0" applyAlignment="0" applyProtection="0"/>
    <xf numFmtId="0" fontId="2" fillId="0" borderId="0"/>
    <xf numFmtId="167" fontId="2" fillId="0" borderId="0" applyFont="0" applyFill="0" applyBorder="0" applyAlignment="0" applyProtection="0"/>
    <xf numFmtId="0" fontId="59" fillId="10" borderId="217" applyNumberFormat="0" applyAlignment="0" applyProtection="0"/>
    <xf numFmtId="44" fontId="2" fillId="0" borderId="0" applyFont="0" applyFill="0" applyBorder="0" applyAlignment="0" applyProtection="0"/>
    <xf numFmtId="0" fontId="59" fillId="10" borderId="217" applyNumberFormat="0" applyAlignment="0" applyProtection="0"/>
    <xf numFmtId="0" fontId="2" fillId="0" borderId="0"/>
    <xf numFmtId="9" fontId="2" fillId="0" borderId="0" applyFont="0" applyFill="0" applyBorder="0" applyAlignment="0" applyProtection="0"/>
    <xf numFmtId="167" fontId="2" fillId="0" borderId="0" applyFont="0" applyFill="0" applyBorder="0" applyAlignment="0" applyProtection="0"/>
    <xf numFmtId="0" fontId="62" fillId="19" borderId="219" applyNumberFormat="0" applyAlignment="0" applyProtection="0"/>
    <xf numFmtId="167" fontId="22" fillId="0" borderId="0" applyFont="0" applyFill="0" applyBorder="0" applyAlignment="0" applyProtection="0"/>
    <xf numFmtId="0" fontId="2" fillId="0" borderId="0"/>
    <xf numFmtId="167"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7" fontId="2" fillId="0" borderId="0" applyFont="0" applyFill="0" applyBorder="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 fillId="0" borderId="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2" fillId="0" borderId="0"/>
    <xf numFmtId="0" fontId="2" fillId="0" borderId="0"/>
    <xf numFmtId="44" fontId="2" fillId="0" borderId="0" applyFont="0" applyFill="0" applyBorder="0" applyAlignment="0" applyProtection="0"/>
    <xf numFmtId="0" fontId="59" fillId="10" borderId="217" applyNumberForma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62" fillId="19" borderId="219" applyNumberFormat="0" applyAlignment="0" applyProtection="0"/>
    <xf numFmtId="0" fontId="64" fillId="0" borderId="220" applyNumberFormat="0" applyFill="0" applyAlignment="0" applyProtection="0"/>
    <xf numFmtId="44" fontId="2" fillId="0" borderId="0" applyFont="0" applyFill="0" applyBorder="0" applyAlignment="0" applyProtection="0"/>
    <xf numFmtId="0" fontId="62" fillId="19" borderId="219" applyNumberFormat="0" applyAlignment="0" applyProtection="0"/>
    <xf numFmtId="0" fontId="2" fillId="0" borderId="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 fillId="0" borderId="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62" fillId="19" borderId="219" applyNumberFormat="0" applyAlignment="0" applyProtection="0"/>
    <xf numFmtId="0" fontId="2" fillId="0" borderId="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0" fontId="52" fillId="19" borderId="217" applyNumberFormat="0" applyAlignment="0" applyProtection="0"/>
    <xf numFmtId="0" fontId="2" fillId="0" borderId="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 fillId="0" borderId="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2" fillId="19" borderId="217" applyNumberFormat="0" applyAlignment="0" applyProtection="0"/>
    <xf numFmtId="0" fontId="64" fillId="0" borderId="220" applyNumberFormat="0" applyFill="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 fillId="0" borderId="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 fillId="0" borderId="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2" fillId="0" borderId="0"/>
    <xf numFmtId="0" fontId="2" fillId="0" borderId="0"/>
    <xf numFmtId="44" fontId="2" fillId="0" borderId="0" applyFont="0" applyFill="0" applyBorder="0" applyAlignment="0" applyProtection="0"/>
    <xf numFmtId="0" fontId="62" fillId="19" borderId="219" applyNumberForma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 fillId="0" borderId="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2" fillId="0" borderId="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 fillId="0" borderId="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2" fillId="0" borderId="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2" fillId="0" borderId="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2" fillId="0" borderId="0"/>
    <xf numFmtId="0" fontId="2" fillId="0" borderId="0"/>
    <xf numFmtId="44" fontId="2" fillId="0" borderId="0" applyFont="0" applyFill="0" applyBorder="0" applyAlignment="0" applyProtection="0"/>
    <xf numFmtId="0" fontId="52" fillId="19" borderId="217" applyNumberForma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52" fillId="19" borderId="217" applyNumberFormat="0" applyAlignment="0" applyProtection="0"/>
    <xf numFmtId="44" fontId="2" fillId="0" borderId="0" applyFont="0" applyFill="0" applyBorder="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2" fillId="0" borderId="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2" fillId="0" borderId="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2" fillId="0" borderId="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2" fillId="0" borderId="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2" fillId="0" borderId="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44" fontId="2" fillId="0" borderId="0" applyFont="0" applyFill="0" applyBorder="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2" fillId="19" borderId="219" applyNumberFormat="0" applyAlignment="0" applyProtection="0"/>
    <xf numFmtId="44" fontId="2" fillId="0" borderId="0" applyFont="0" applyFill="0" applyBorder="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64" fillId="0" borderId="220" applyNumberFormat="0" applyFill="0" applyAlignment="0" applyProtection="0"/>
    <xf numFmtId="0" fontId="62" fillId="19" borderId="219" applyNumberForma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59" fillId="10" borderId="217" applyNumberFormat="0" applyAlignment="0" applyProtection="0"/>
    <xf numFmtId="44" fontId="2" fillId="0" borderId="0" applyFont="0" applyFill="0" applyBorder="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 fillId="0" borderId="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 fillId="0" borderId="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2" fillId="0" borderId="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2" fillId="0" borderId="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 fillId="0" borderId="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2" fillId="0" borderId="0"/>
    <xf numFmtId="0" fontId="2" fillId="0" borderId="0"/>
    <xf numFmtId="44" fontId="2" fillId="0" borderId="0" applyFont="0" applyFill="0" applyBorder="0" applyAlignment="0" applyProtection="0"/>
    <xf numFmtId="0" fontId="64" fillId="0" borderId="220" applyNumberFormat="0" applyFill="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64" fillId="0" borderId="220" applyNumberFormat="0" applyFill="0" applyAlignment="0" applyProtection="0"/>
    <xf numFmtId="0" fontId="64" fillId="0" borderId="220" applyNumberFormat="0" applyFill="0" applyAlignment="0" applyProtection="0"/>
    <xf numFmtId="44" fontId="2" fillId="0" borderId="0" applyFont="0" applyFill="0" applyBorder="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 fillId="0" borderId="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 fillId="0" borderId="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 fillId="0" borderId="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 fillId="0" borderId="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 fillId="0" borderId="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9" fillId="10" borderId="217" applyNumberFormat="0" applyAlignment="0" applyProtection="0"/>
    <xf numFmtId="0" fontId="62" fillId="19" borderId="219" applyNumberFormat="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44" fontId="2" fillId="0" borderId="0" applyFont="0" applyFill="0" applyBorder="0" applyAlignment="0" applyProtection="0"/>
    <xf numFmtId="44" fontId="2" fillId="0" borderId="0" applyFont="0" applyFill="0" applyBorder="0" applyAlignment="0" applyProtection="0"/>
    <xf numFmtId="0" fontId="64" fillId="0" borderId="220" applyNumberFormat="0" applyFill="0" applyAlignment="0" applyProtection="0"/>
    <xf numFmtId="43" fontId="2" fillId="0" borderId="0" applyFont="0" applyFill="0" applyBorder="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2" fillId="0" borderId="0"/>
    <xf numFmtId="0" fontId="2" fillId="0" borderId="0"/>
    <xf numFmtId="44" fontId="2" fillId="0" borderId="0" applyFont="0" applyFill="0" applyBorder="0" applyAlignment="0" applyProtection="0"/>
    <xf numFmtId="0" fontId="64" fillId="0" borderId="220" applyNumberFormat="0" applyFill="0" applyAlignment="0" applyProtection="0"/>
    <xf numFmtId="0" fontId="22" fillId="7" borderId="2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62" fillId="19" borderId="219" applyNumberFormat="0" applyAlignment="0" applyProtection="0"/>
    <xf numFmtId="44" fontId="2" fillId="0" borderId="0" applyFont="0" applyFill="0" applyBorder="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 fillId="0" borderId="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2" fillId="0" borderId="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 fillId="0" borderId="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2" fillId="0" borderId="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2" fillId="0" borderId="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2" fillId="0" borderId="0"/>
    <xf numFmtId="0" fontId="2" fillId="0" borderId="0"/>
    <xf numFmtId="44" fontId="2" fillId="0" borderId="0" applyFont="0" applyFill="0" applyBorder="0" applyAlignment="0" applyProtection="0"/>
    <xf numFmtId="0" fontId="22" fillId="7" borderId="218" applyNumberFormat="0" applyFont="0" applyAlignment="0" applyProtection="0"/>
    <xf numFmtId="0" fontId="62" fillId="19" borderId="219" applyNumberForma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59" fillId="10" borderId="217" applyNumberFormat="0" applyAlignment="0" applyProtection="0"/>
    <xf numFmtId="44" fontId="2" fillId="0" borderId="0" applyFont="0" applyFill="0" applyBorder="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2" fillId="0" borderId="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 fillId="0" borderId="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 fillId="0" borderId="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 fillId="0" borderId="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 fillId="0" borderId="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2" fillId="7" borderId="218"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2" fillId="7" borderId="218"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52" fillId="19" borderId="217" applyNumberFormat="0" applyAlignment="0" applyProtection="0"/>
    <xf numFmtId="44" fontId="2" fillId="0" borderId="0" applyFont="0" applyFill="0" applyBorder="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64" fillId="0" borderId="220" applyNumberFormat="0" applyFill="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9" fontId="2" fillId="0" borderId="0" applyFont="0" applyFill="0" applyBorder="0" applyAlignment="0" applyProtection="0"/>
    <xf numFmtId="0" fontId="2" fillId="0" borderId="0"/>
    <xf numFmtId="0" fontId="22" fillId="7" borderId="2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4" fillId="0" borderId="220" applyNumberFormat="0" applyFill="0" applyAlignment="0" applyProtection="0"/>
    <xf numFmtId="0" fontId="22" fillId="7" borderId="218" applyNumberFormat="0" applyFont="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44" fontId="2" fillId="0" borderId="0" applyFont="0" applyFill="0" applyBorder="0" applyAlignment="0" applyProtection="0"/>
    <xf numFmtId="0" fontId="52" fillId="19" borderId="217" applyNumberFormat="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59" fillId="10" borderId="217" applyNumberFormat="0" applyAlignment="0" applyProtection="0"/>
    <xf numFmtId="0" fontId="52" fillId="19" borderId="217" applyNumberForma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 fillId="0" borderId="0"/>
    <xf numFmtId="44" fontId="2" fillId="0" borderId="0" applyFont="0" applyFill="0" applyBorder="0" applyAlignment="0" applyProtection="0"/>
    <xf numFmtId="0" fontId="52" fillId="19" borderId="217" applyNumberFormat="0" applyAlignment="0" applyProtection="0"/>
    <xf numFmtId="0" fontId="81" fillId="0" borderId="0"/>
    <xf numFmtId="0" fontId="64" fillId="0" borderId="21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09"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9" fillId="10" borderId="207" applyNumberFormat="0" applyAlignment="0" applyProtection="0"/>
    <xf numFmtId="0" fontId="2" fillId="0" borderId="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08" applyNumberFormat="0" applyFon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09" applyNumberFormat="0" applyAlignment="0" applyProtection="0"/>
    <xf numFmtId="0" fontId="64" fillId="0" borderId="22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19"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1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17" applyNumberFormat="0" applyAlignment="0" applyProtection="0"/>
    <xf numFmtId="0" fontId="2" fillId="0" borderId="0"/>
    <xf numFmtId="0" fontId="2" fillId="0" borderId="0"/>
    <xf numFmtId="44" fontId="2" fillId="0" borderId="0" applyFont="0" applyFill="0" applyBorder="0" applyAlignment="0" applyProtection="0"/>
    <xf numFmtId="0" fontId="64" fillId="0" borderId="210" applyNumberFormat="0" applyFill="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62" fillId="19" borderId="209" applyNumberFormat="0" applyAlignment="0" applyProtection="0"/>
    <xf numFmtId="44" fontId="2" fillId="0" borderId="0" applyFont="0" applyFill="0" applyBorder="0" applyAlignment="0" applyProtection="0"/>
    <xf numFmtId="0" fontId="64" fillId="0" borderId="210" applyNumberFormat="0" applyFill="0" applyAlignment="0" applyProtection="0"/>
    <xf numFmtId="0" fontId="62" fillId="19" borderId="209" applyNumberFormat="0" applyAlignment="0" applyProtection="0"/>
    <xf numFmtId="0" fontId="62" fillId="19" borderId="219" applyNumberFormat="0" applyAlignment="0" applyProtection="0"/>
    <xf numFmtId="0" fontId="62" fillId="19" borderId="209" applyNumberFormat="0" applyAlignment="0" applyProtection="0"/>
    <xf numFmtId="0" fontId="2" fillId="0" borderId="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17" applyNumberFormat="0" applyAlignment="0" applyProtection="0"/>
    <xf numFmtId="0" fontId="64" fillId="0" borderId="21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2" fillId="0" borderId="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2" fillId="0" borderId="0"/>
    <xf numFmtId="0" fontId="64" fillId="0" borderId="210" applyNumberFormat="0" applyFill="0" applyAlignment="0" applyProtection="0"/>
    <xf numFmtId="0" fontId="62" fillId="19" borderId="209" applyNumberFormat="0" applyAlignment="0" applyProtection="0"/>
    <xf numFmtId="0" fontId="62" fillId="19" borderId="219" applyNumberFormat="0" applyAlignment="0" applyProtection="0"/>
    <xf numFmtId="0" fontId="62" fillId="19" borderId="20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2" fillId="7" borderId="218" applyNumberFormat="0" applyFont="0" applyAlignment="0" applyProtection="0"/>
    <xf numFmtId="0" fontId="59" fillId="10" borderId="207" applyNumberFormat="0" applyAlignment="0" applyProtection="0"/>
    <xf numFmtId="0" fontId="62" fillId="19" borderId="209" applyNumberFormat="0" applyAlignment="0" applyProtection="0"/>
    <xf numFmtId="0" fontId="2" fillId="0" borderId="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9" fillId="10" borderId="21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2" fillId="0" borderId="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62" fillId="19" borderId="219" applyNumberFormat="0" applyAlignment="0" applyProtection="0"/>
    <xf numFmtId="0" fontId="64" fillId="0" borderId="210" applyNumberFormat="0" applyFill="0" applyAlignment="0" applyProtection="0"/>
    <xf numFmtId="0" fontId="62" fillId="19" borderId="219"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10" applyNumberFormat="0" applyFill="0" applyAlignment="0" applyProtection="0"/>
    <xf numFmtId="0" fontId="62" fillId="19" borderId="209" applyNumberFormat="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2" fillId="7" borderId="208" applyNumberFormat="0" applyFont="0" applyAlignment="0" applyProtection="0"/>
    <xf numFmtId="0" fontId="62" fillId="19" borderId="209" applyNumberFormat="0" applyAlignment="0" applyProtection="0"/>
    <xf numFmtId="0" fontId="52" fillId="19" borderId="217" applyNumberFormat="0" applyAlignment="0" applyProtection="0"/>
    <xf numFmtId="0" fontId="2" fillId="0" borderId="0"/>
    <xf numFmtId="0" fontId="52" fillId="19" borderId="207" applyNumberFormat="0" applyAlignment="0" applyProtection="0"/>
    <xf numFmtId="0" fontId="22" fillId="7" borderId="21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 fillId="0" borderId="0"/>
    <xf numFmtId="0" fontId="59" fillId="10" borderId="20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2" fillId="0" borderId="0"/>
    <xf numFmtId="0" fontId="2" fillId="0" borderId="0"/>
    <xf numFmtId="44" fontId="2" fillId="0" borderId="0" applyFont="0" applyFill="0" applyBorder="0" applyAlignment="0" applyProtection="0"/>
    <xf numFmtId="0" fontId="22" fillId="7" borderId="21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64" fillId="0" borderId="220" applyNumberFormat="0" applyFill="0" applyAlignment="0" applyProtection="0"/>
    <xf numFmtId="44" fontId="2" fillId="0" borderId="0" applyFont="0" applyFill="0" applyBorder="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2" fillId="0" borderId="0"/>
    <xf numFmtId="0" fontId="62" fillId="19" borderId="219" applyNumberFormat="0" applyAlignment="0" applyProtection="0"/>
    <xf numFmtId="0" fontId="52" fillId="19" borderId="20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 fillId="0" borderId="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2" fillId="0" borderId="0"/>
    <xf numFmtId="0" fontId="62" fillId="19" borderId="219" applyNumberFormat="0" applyAlignment="0" applyProtection="0"/>
    <xf numFmtId="0" fontId="59" fillId="10" borderId="20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2" fillId="0" borderId="0"/>
    <xf numFmtId="0" fontId="64" fillId="0" borderId="220" applyNumberFormat="0" applyFill="0" applyAlignment="0" applyProtection="0"/>
    <xf numFmtId="0" fontId="52" fillId="19" borderId="20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 fillId="0" borderId="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07" applyNumberFormat="0" applyAlignment="0" applyProtection="0"/>
    <xf numFmtId="0" fontId="59" fillId="10" borderId="217"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2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64" fillId="0" borderId="210" applyNumberFormat="0" applyFill="0" applyAlignment="0" applyProtection="0"/>
    <xf numFmtId="0" fontId="64" fillId="0" borderId="220" applyNumberFormat="0" applyFill="0" applyAlignment="0" applyProtection="0"/>
    <xf numFmtId="0" fontId="62" fillId="19" borderId="209" applyNumberForma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2" fillId="19" borderId="219"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2" fillId="0" borderId="0"/>
    <xf numFmtId="0" fontId="2" fillId="0" borderId="0"/>
    <xf numFmtId="44" fontId="2" fillId="0" borderId="0" applyFont="0" applyFill="0" applyBorder="0" applyAlignment="0" applyProtection="0"/>
    <xf numFmtId="0" fontId="62" fillId="19" borderId="219" applyNumberFormat="0" applyAlignment="0" applyProtection="0"/>
    <xf numFmtId="0" fontId="59" fillId="10" borderId="217" applyNumberForma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62" fillId="19" borderId="209" applyNumberFormat="0" applyAlignment="0" applyProtection="0"/>
    <xf numFmtId="0" fontId="52" fillId="19" borderId="217" applyNumberFormat="0" applyAlignment="0" applyProtection="0"/>
    <xf numFmtId="44" fontId="2" fillId="0" borderId="0" applyFont="0" applyFill="0" applyBorder="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2" fillId="0" borderId="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 fillId="0" borderId="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 fillId="0" borderId="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 fillId="0" borderId="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 fillId="0" borderId="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59" fillId="10" borderId="217" applyNumberFormat="0" applyAlignment="0" applyProtection="0"/>
    <xf numFmtId="0" fontId="62" fillId="19" borderId="209" applyNumberFormat="0" applyAlignment="0" applyProtection="0"/>
    <xf numFmtId="0" fontId="52" fillId="19" borderId="21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19" applyNumberFormat="0" applyAlignment="0" applyProtection="0"/>
    <xf numFmtId="0" fontId="64" fillId="0" borderId="210" applyNumberFormat="0" applyFill="0" applyAlignment="0" applyProtection="0"/>
    <xf numFmtId="0" fontId="52" fillId="19" borderId="217" applyNumberFormat="0" applyAlignment="0" applyProtection="0"/>
    <xf numFmtId="0" fontId="62" fillId="19" borderId="209" applyNumberFormat="0" applyAlignment="0" applyProtection="0"/>
    <xf numFmtId="0" fontId="64" fillId="0" borderId="22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52" fillId="19" borderId="217" applyNumberFormat="0" applyAlignment="0" applyProtection="0"/>
    <xf numFmtId="0" fontId="62" fillId="19" borderId="20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18" applyNumberFormat="0" applyFont="0" applyAlignment="0" applyProtection="0"/>
    <xf numFmtId="0" fontId="52" fillId="19" borderId="207" applyNumberFormat="0" applyAlignment="0" applyProtection="0"/>
    <xf numFmtId="0" fontId="52" fillId="19" borderId="217" applyNumberFormat="0" applyAlignment="0" applyProtection="0"/>
    <xf numFmtId="0" fontId="52" fillId="19" borderId="207" applyNumberFormat="0" applyAlignment="0" applyProtection="0"/>
    <xf numFmtId="0" fontId="52" fillId="19" borderId="207" applyNumberFormat="0" applyAlignment="0" applyProtection="0"/>
    <xf numFmtId="44" fontId="2" fillId="0" borderId="0" applyFont="0" applyFill="0" applyBorder="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2" fillId="7" borderId="218" applyNumberFormat="0" applyFont="0" applyAlignment="0" applyProtection="0"/>
    <xf numFmtId="44" fontId="2" fillId="0" borderId="0" applyFont="0" applyFill="0" applyBorder="0" applyAlignment="0" applyProtection="0"/>
    <xf numFmtId="0" fontId="64" fillId="0" borderId="21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2" fillId="19" borderId="209" applyNumberFormat="0" applyAlignment="0" applyProtection="0"/>
    <xf numFmtId="0" fontId="59" fillId="10" borderId="217" applyNumberFormat="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62" fillId="19" borderId="219" applyNumberFormat="0" applyAlignment="0" applyProtection="0"/>
    <xf numFmtId="0" fontId="52" fillId="19" borderId="217" applyNumberFormat="0" applyAlignment="0" applyProtection="0"/>
    <xf numFmtId="44" fontId="2" fillId="0" borderId="0" applyFont="0" applyFill="0" applyBorder="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2" fillId="0" borderId="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2" fillId="0" borderId="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08"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 fillId="0" borderId="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9" fillId="10" borderId="20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 fillId="0" borderId="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2" fillId="0" borderId="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1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22" fillId="7" borderId="218" applyNumberFormat="0" applyFont="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17"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2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10" applyNumberFormat="0" applyFill="0" applyAlignment="0" applyProtection="0"/>
    <xf numFmtId="0" fontId="62" fillId="19" borderId="219" applyNumberFormat="0" applyAlignment="0" applyProtection="0"/>
    <xf numFmtId="0" fontId="64" fillId="0" borderId="21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20" applyNumberFormat="0" applyFill="0" applyAlignment="0" applyProtection="0"/>
    <xf numFmtId="0" fontId="2" fillId="0" borderId="0"/>
    <xf numFmtId="0" fontId="2" fillId="0" borderId="0"/>
    <xf numFmtId="44" fontId="2" fillId="0" borderId="0" applyFont="0" applyFill="0" applyBorder="0" applyAlignment="0" applyProtection="0"/>
    <xf numFmtId="0" fontId="52" fillId="19" borderId="217" applyNumberFormat="0" applyAlignment="0" applyProtection="0"/>
    <xf numFmtId="0" fontId="52" fillId="19" borderId="217" applyNumberForma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62" fillId="19" borderId="219" applyNumberFormat="0" applyAlignment="0" applyProtection="0"/>
    <xf numFmtId="0" fontId="64" fillId="0" borderId="210" applyNumberFormat="0" applyFill="0" applyAlignment="0" applyProtection="0"/>
    <xf numFmtId="0" fontId="64" fillId="0" borderId="210" applyNumberFormat="0" applyFill="0" applyAlignment="0" applyProtection="0"/>
    <xf numFmtId="44" fontId="2" fillId="0" borderId="0" applyFont="0" applyFill="0" applyBorder="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2" fillId="0" borderId="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2" fillId="0" borderId="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 fillId="0" borderId="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 fillId="0" borderId="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 fillId="0" borderId="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0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10" applyNumberFormat="0" applyFill="0" applyAlignment="0" applyProtection="0"/>
    <xf numFmtId="0" fontId="52" fillId="19" borderId="217" applyNumberFormat="0" applyAlignment="0" applyProtection="0"/>
    <xf numFmtId="0" fontId="62" fillId="19" borderId="209" applyNumberFormat="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59" fillId="10" borderId="217" applyNumberFormat="0" applyAlignment="0" applyProtection="0"/>
    <xf numFmtId="0" fontId="59" fillId="10" borderId="217"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59" fillId="10" borderId="217" applyNumberFormat="0" applyAlignment="0" applyProtection="0"/>
    <xf numFmtId="0" fontId="62" fillId="19" borderId="209"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17" applyNumberFormat="0" applyAlignment="0" applyProtection="0"/>
    <xf numFmtId="0" fontId="62" fillId="19" borderId="209" applyNumberFormat="0" applyAlignment="0" applyProtection="0"/>
    <xf numFmtId="0" fontId="59" fillId="10" borderId="217" applyNumberFormat="0" applyAlignment="0" applyProtection="0"/>
    <xf numFmtId="0" fontId="59" fillId="10" borderId="207" applyNumberFormat="0" applyAlignment="0" applyProtection="0"/>
    <xf numFmtId="0" fontId="59" fillId="10" borderId="217" applyNumberFormat="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 fillId="0" borderId="0"/>
    <xf numFmtId="0" fontId="2" fillId="0" borderId="0"/>
    <xf numFmtId="44" fontId="2" fillId="0" borderId="0" applyFont="0" applyFill="0" applyBorder="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64" fillId="0" borderId="220" applyNumberFormat="0" applyFill="0" applyAlignment="0" applyProtection="0"/>
    <xf numFmtId="0" fontId="62" fillId="19" borderId="209" applyNumberFormat="0" applyAlignment="0" applyProtection="0"/>
    <xf numFmtId="44" fontId="2" fillId="0" borderId="0" applyFont="0" applyFill="0" applyBorder="0" applyAlignment="0" applyProtection="0"/>
    <xf numFmtId="0" fontId="22" fillId="7" borderId="218" applyNumberFormat="0" applyFont="0" applyAlignment="0" applyProtection="0"/>
    <xf numFmtId="0" fontId="64" fillId="0" borderId="21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2" fillId="0" borderId="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 fillId="0" borderId="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 fillId="0" borderId="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2" fillId="0" borderId="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 fillId="0" borderId="0"/>
    <xf numFmtId="0" fontId="64" fillId="0" borderId="220" applyNumberFormat="0" applyFill="0" applyAlignment="0" applyProtection="0"/>
    <xf numFmtId="0" fontId="62" fillId="19" borderId="209"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2" fillId="19" borderId="219" applyNumberFormat="0" applyAlignment="0" applyProtection="0"/>
    <xf numFmtId="0" fontId="64" fillId="0" borderId="22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19" applyNumberFormat="0" applyAlignment="0" applyProtection="0"/>
    <xf numFmtId="0" fontId="22" fillId="7" borderId="208" applyNumberFormat="0" applyFon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22" fillId="7" borderId="21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9" fillId="10" borderId="217" applyNumberFormat="0" applyAlignment="0" applyProtection="0"/>
    <xf numFmtId="0" fontId="62" fillId="19" borderId="209" applyNumberFormat="0" applyAlignment="0" applyProtection="0"/>
    <xf numFmtId="0" fontId="22" fillId="7" borderId="218" applyNumberFormat="0" applyFon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09" applyNumberFormat="0" applyAlignment="0" applyProtection="0"/>
    <xf numFmtId="0" fontId="2" fillId="0" borderId="0"/>
    <xf numFmtId="0" fontId="2" fillId="0" borderId="0"/>
    <xf numFmtId="44" fontId="2" fillId="0" borderId="0" applyFont="0" applyFill="0" applyBorder="0" applyAlignment="0" applyProtection="0"/>
    <xf numFmtId="0" fontId="59" fillId="10" borderId="217" applyNumberForma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62" fillId="19" borderId="219" applyNumberFormat="0" applyAlignment="0" applyProtection="0"/>
    <xf numFmtId="44" fontId="2" fillId="0" borderId="0" applyFont="0" applyFill="0" applyBorder="0" applyAlignment="0" applyProtection="0"/>
    <xf numFmtId="0" fontId="62" fillId="19" borderId="20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 fillId="0" borderId="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 fillId="0" borderId="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 fillId="0" borderId="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2" fillId="0" borderId="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 fillId="0" borderId="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59" fillId="10" borderId="217" applyNumberFormat="0" applyAlignment="0" applyProtection="0"/>
    <xf numFmtId="0" fontId="62" fillId="19" borderId="219"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64" fillId="0" borderId="22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17"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1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17" applyNumberFormat="0" applyAlignment="0" applyProtection="0"/>
    <xf numFmtId="0" fontId="52" fillId="19" borderId="207" applyNumberFormat="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62" fillId="19" borderId="20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59" fillId="10" borderId="207" applyNumberForma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19" applyNumberFormat="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2" fillId="19" borderId="21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19" applyNumberFormat="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09" applyNumberFormat="0" applyAlignment="0" applyProtection="0"/>
    <xf numFmtId="0" fontId="62" fillId="19" borderId="209" applyNumberFormat="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52" fillId="19" borderId="217" applyNumberFormat="0" applyAlignment="0" applyProtection="0"/>
    <xf numFmtId="0" fontId="64" fillId="0" borderId="210" applyNumberFormat="0" applyFill="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52" fillId="19" borderId="217" applyNumberFormat="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2" fillId="19" borderId="207" applyNumberFormat="0" applyAlignment="0" applyProtection="0"/>
    <xf numFmtId="0" fontId="62" fillId="19" borderId="20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10" applyNumberFormat="0" applyFill="0" applyAlignment="0" applyProtection="0"/>
    <xf numFmtId="0" fontId="62" fillId="19" borderId="21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2" fillId="19" borderId="209"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62" fillId="19" borderId="219" applyNumberForma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2" fillId="19" borderId="219" applyNumberFormat="0" applyAlignment="0" applyProtection="0"/>
    <xf numFmtId="0" fontId="62" fillId="19" borderId="209" applyNumberFormat="0" applyAlignment="0" applyProtection="0"/>
    <xf numFmtId="0" fontId="22" fillId="7" borderId="21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17" applyNumberFormat="0" applyAlignment="0" applyProtection="0"/>
    <xf numFmtId="0" fontId="22" fillId="7" borderId="208" applyNumberFormat="0" applyFont="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59" fillId="10" borderId="207" applyNumberFormat="0" applyAlignment="0" applyProtection="0"/>
    <xf numFmtId="0" fontId="62" fillId="19" borderId="219" applyNumberFormat="0" applyAlignment="0" applyProtection="0"/>
    <xf numFmtId="0" fontId="64" fillId="0" borderId="210" applyNumberFormat="0" applyFill="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52" fillId="19" borderId="21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64" fillId="0" borderId="22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59" fillId="10"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52" fillId="19"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2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19"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62" fillId="19" borderId="209" applyNumberFormat="0" applyAlignment="0" applyProtection="0"/>
    <xf numFmtId="0" fontId="52" fillId="19"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17" applyNumberFormat="0" applyAlignment="0" applyProtection="0"/>
    <xf numFmtId="0" fontId="62" fillId="19" borderId="209" applyNumberFormat="0" applyAlignment="0" applyProtection="0"/>
    <xf numFmtId="0" fontId="52" fillId="19" borderId="207" applyNumberFormat="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62" fillId="19" borderId="209" applyNumberFormat="0" applyAlignment="0" applyProtection="0"/>
    <xf numFmtId="0" fontId="62" fillId="19" borderId="209" applyNumberFormat="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2" fillId="19" borderId="209"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64" fillId="0" borderId="21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17" applyNumberFormat="0" applyAlignment="0" applyProtection="0"/>
    <xf numFmtId="0" fontId="62" fillId="19" borderId="21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1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64" fillId="0" borderId="22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62" fillId="19" borderId="209" applyNumberForma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10" applyNumberFormat="0" applyFill="0" applyAlignment="0" applyProtection="0"/>
    <xf numFmtId="0" fontId="59" fillId="10" borderId="217" applyNumberFormat="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2" fillId="7" borderId="208" applyNumberFormat="0" applyFont="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2" fillId="7" borderId="208" applyNumberFormat="0" applyFont="0" applyAlignment="0" applyProtection="0"/>
    <xf numFmtId="0" fontId="22" fillId="7" borderId="208" applyNumberFormat="0" applyFont="0" applyAlignment="0" applyProtection="0"/>
    <xf numFmtId="44" fontId="2" fillId="0" borderId="0" applyFont="0" applyFill="0" applyBorder="0" applyAlignment="0" applyProtection="0"/>
    <xf numFmtId="0" fontId="62" fillId="19" borderId="209" applyNumberFormat="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62" fillId="19" borderId="209" applyNumberFormat="0" applyAlignment="0" applyProtection="0"/>
    <xf numFmtId="0" fontId="64" fillId="0" borderId="210" applyNumberFormat="0" applyFill="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2" fillId="0" borderId="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2" fillId="0" borderId="0"/>
    <xf numFmtId="0" fontId="2" fillId="0" borderId="0"/>
    <xf numFmtId="44" fontId="2" fillId="0" borderId="0" applyFont="0" applyFill="0" applyBorder="0" applyAlignment="0" applyProtection="0"/>
    <xf numFmtId="0" fontId="59" fillId="10" borderId="207" applyNumberFormat="0" applyAlignment="0" applyProtection="0"/>
    <xf numFmtId="0" fontId="62" fillId="19" borderId="209" applyNumberForma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64" fillId="0" borderId="210" applyNumberFormat="0" applyFill="0" applyAlignment="0" applyProtection="0"/>
    <xf numFmtId="0" fontId="64" fillId="0" borderId="210" applyNumberFormat="0" applyFill="0" applyAlignment="0" applyProtection="0"/>
    <xf numFmtId="44" fontId="2" fillId="0" borderId="0" applyFont="0" applyFill="0" applyBorder="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2" fillId="0" borderId="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2" fillId="0" borderId="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2" fillId="0" borderId="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2" fillId="19" borderId="207" applyNumberFormat="0" applyAlignment="0" applyProtection="0"/>
    <xf numFmtId="0" fontId="22" fillId="7" borderId="208" applyNumberFormat="0" applyFont="0" applyAlignment="0" applyProtection="0"/>
    <xf numFmtId="0" fontId="2" fillId="0" borderId="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2" fillId="19" borderId="20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2" fillId="0" borderId="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18"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10" applyNumberFormat="0" applyFill="0" applyAlignment="0" applyProtection="0"/>
    <xf numFmtId="0" fontId="22" fillId="7" borderId="208" applyNumberFormat="0" applyFont="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2" fillId="0" borderId="0"/>
    <xf numFmtId="0" fontId="59" fillId="10" borderId="207" applyNumberFormat="0" applyAlignment="0" applyProtection="0"/>
    <xf numFmtId="0" fontId="52" fillId="19" borderId="217" applyNumberFormat="0" applyAlignment="0" applyProtection="0"/>
    <xf numFmtId="0" fontId="59" fillId="10" borderId="20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1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2" fillId="0" borderId="0"/>
    <xf numFmtId="0" fontId="59" fillId="10" borderId="217" applyNumberFormat="0" applyAlignment="0" applyProtection="0"/>
    <xf numFmtId="0" fontId="52" fillId="19" borderId="20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0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59" fillId="10" borderId="207" applyNumberFormat="0" applyAlignment="0" applyProtection="0"/>
    <xf numFmtId="0" fontId="64" fillId="0" borderId="21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 fillId="0" borderId="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 fillId="0" borderId="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 fillId="0" borderId="0"/>
    <xf numFmtId="0" fontId="22" fillId="7" borderId="218" applyNumberFormat="0" applyFont="0" applyAlignment="0" applyProtection="0"/>
    <xf numFmtId="0" fontId="22" fillId="7" borderId="208" applyNumberFormat="0" applyFon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 fillId="0" borderId="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 fillId="0" borderId="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52" fillId="19" borderId="217" applyNumberFormat="0" applyAlignment="0" applyProtection="0"/>
    <xf numFmtId="0" fontId="22" fillId="7" borderId="21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2" fillId="0" borderId="0"/>
    <xf numFmtId="0" fontId="2" fillId="0" borderId="0"/>
    <xf numFmtId="44" fontId="2" fillId="0" borderId="0" applyFont="0" applyFill="0" applyBorder="0" applyAlignment="0" applyProtection="0"/>
    <xf numFmtId="0" fontId="52" fillId="19" borderId="217" applyNumberForma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2" fillId="7" borderId="208" applyNumberFormat="0" applyFont="0" applyAlignment="0" applyProtection="0"/>
    <xf numFmtId="0" fontId="59" fillId="10" borderId="207" applyNumberFormat="0" applyAlignment="0" applyProtection="0"/>
    <xf numFmtId="0" fontId="52" fillId="19" borderId="217" applyNumberFormat="0" applyAlignment="0" applyProtection="0"/>
    <xf numFmtId="44" fontId="2" fillId="0" borderId="0" applyFont="0" applyFill="0" applyBorder="0" applyAlignment="0" applyProtection="0"/>
    <xf numFmtId="0" fontId="59" fillId="10" borderId="20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2" fillId="0" borderId="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 fillId="0" borderId="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 fillId="0" borderId="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2" fillId="0" borderId="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2" fillId="0" borderId="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59" fillId="10" borderId="217" applyNumberFormat="0" applyAlignment="0" applyProtection="0"/>
    <xf numFmtId="0" fontId="59" fillId="10" borderId="21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1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17" applyNumberFormat="0" applyAlignment="0" applyProtection="0"/>
    <xf numFmtId="0" fontId="62" fillId="19" borderId="209" applyNumberFormat="0" applyAlignment="0" applyProtection="0"/>
    <xf numFmtId="0" fontId="62" fillId="19" borderId="209" applyNumberFormat="0" applyAlignment="0" applyProtection="0"/>
    <xf numFmtId="44" fontId="2" fillId="0" borderId="0" applyFont="0" applyFill="0" applyBorder="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0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0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52" fillId="19" borderId="217" applyNumberFormat="0" applyAlignment="0" applyProtection="0"/>
    <xf numFmtId="44" fontId="2" fillId="0" borderId="0" applyFont="0" applyFill="0" applyBorder="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52" fillId="19" borderId="207" applyNumberFormat="0" applyAlignment="0" applyProtection="0"/>
    <xf numFmtId="44" fontId="2" fillId="0" borderId="0" applyFont="0" applyFill="0" applyBorder="0" applyAlignment="0" applyProtection="0"/>
    <xf numFmtId="0" fontId="52" fillId="19" borderId="20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59" fillId="10" borderId="217" applyNumberForma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2" fillId="7" borderId="208" applyNumberFormat="0" applyFont="0" applyAlignment="0" applyProtection="0"/>
    <xf numFmtId="44" fontId="2" fillId="0" borderId="0" applyFont="0" applyFill="0" applyBorder="0" applyAlignment="0" applyProtection="0"/>
    <xf numFmtId="0" fontId="52" fillId="19" borderId="207" applyNumberFormat="0" applyAlignment="0" applyProtection="0"/>
    <xf numFmtId="0" fontId="64" fillId="0" borderId="21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2" fillId="0" borderId="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2" fillId="0" borderId="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1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 fillId="0" borderId="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2" fillId="0" borderId="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 fillId="0" borderId="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08"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2" fillId="19" borderId="219" applyNumberFormat="0" applyAlignment="0" applyProtection="0"/>
    <xf numFmtId="0" fontId="64" fillId="0" borderId="220" applyNumberFormat="0" applyFill="0" applyAlignment="0" applyProtection="0"/>
    <xf numFmtId="0" fontId="52" fillId="19" borderId="207" applyNumberFormat="0" applyAlignment="0" applyProtection="0"/>
    <xf numFmtId="0" fontId="59" fillId="10" borderId="21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18" applyNumberFormat="0" applyFont="0" applyAlignment="0" applyProtection="0"/>
    <xf numFmtId="0" fontId="59" fillId="10"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17" applyNumberFormat="0" applyAlignment="0" applyProtection="0"/>
    <xf numFmtId="0" fontId="52" fillId="19" borderId="20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9" fillId="10" borderId="217" applyNumberFormat="0" applyAlignment="0" applyProtection="0"/>
    <xf numFmtId="0" fontId="2" fillId="0" borderId="0"/>
    <xf numFmtId="0" fontId="2" fillId="0" borderId="0"/>
    <xf numFmtId="44" fontId="2" fillId="0" borderId="0" applyFont="0" applyFill="0" applyBorder="0" applyAlignment="0" applyProtection="0"/>
    <xf numFmtId="0" fontId="62" fillId="19" borderId="219" applyNumberForma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44" fontId="2" fillId="0" borderId="0" applyFont="0" applyFill="0" applyBorder="0" applyAlignment="0" applyProtection="0"/>
    <xf numFmtId="0" fontId="52" fillId="19" borderId="20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2" fillId="0" borderId="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 fillId="0" borderId="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2" fillId="0" borderId="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 fillId="0" borderId="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 fillId="0" borderId="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08"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09" applyNumberFormat="0" applyAlignment="0" applyProtection="0"/>
    <xf numFmtId="0" fontId="62" fillId="19" borderId="219" applyNumberFormat="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59" fillId="10" borderId="217" applyNumberFormat="0" applyAlignment="0" applyProtection="0"/>
    <xf numFmtId="0" fontId="52" fillId="19" borderId="217"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44" fontId="2" fillId="0" borderId="0" applyFont="0" applyFill="0" applyBorder="0" applyAlignment="0" applyProtection="0"/>
    <xf numFmtId="44" fontId="2" fillId="0" borderId="0" applyFont="0" applyFill="0" applyBorder="0" applyAlignment="0" applyProtection="0"/>
    <xf numFmtId="0" fontId="62" fillId="19" borderId="209" applyNumberFormat="0" applyAlignment="0" applyProtection="0"/>
    <xf numFmtId="43" fontId="2" fillId="0" borderId="0" applyFont="0" applyFill="0" applyBorder="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2" fillId="0" borderId="0"/>
    <xf numFmtId="0" fontId="2" fillId="0" borderId="0"/>
    <xf numFmtId="44" fontId="2" fillId="0" borderId="0" applyFont="0" applyFill="0" applyBorder="0" applyAlignment="0" applyProtection="0"/>
    <xf numFmtId="0" fontId="59" fillId="10" borderId="217" applyNumberFormat="0" applyAlignment="0" applyProtection="0"/>
    <xf numFmtId="0" fontId="62" fillId="19" borderId="219" applyNumberFormat="0" applyAlignment="0" applyProtection="0"/>
    <xf numFmtId="0" fontId="64" fillId="0" borderId="210" applyNumberFormat="0" applyFill="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59" fillId="10" borderId="207" applyNumberFormat="0" applyAlignment="0" applyProtection="0"/>
    <xf numFmtId="44" fontId="2" fillId="0" borderId="0" applyFont="0" applyFill="0" applyBorder="0" applyAlignment="0" applyProtection="0"/>
    <xf numFmtId="0" fontId="62" fillId="19" borderId="20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2" fillId="0" borderId="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2" fillId="0" borderId="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2" fillId="0" borderId="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 fillId="0" borderId="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2" fillId="0" borderId="0"/>
    <xf numFmtId="0" fontId="59" fillId="10" borderId="20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2" fillId="0" borderId="0"/>
    <xf numFmtId="0" fontId="2" fillId="0" borderId="0"/>
    <xf numFmtId="44" fontId="2" fillId="0" borderId="0" applyFont="0" applyFill="0" applyBorder="0" applyAlignment="0" applyProtection="0"/>
    <xf numFmtId="0" fontId="59" fillId="10" borderId="217" applyNumberFormat="0" applyAlignment="0" applyProtection="0"/>
    <xf numFmtId="0" fontId="64" fillId="0" borderId="220" applyNumberFormat="0" applyFill="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2" fillId="7" borderId="208" applyNumberFormat="0" applyFont="0" applyAlignment="0" applyProtection="0"/>
    <xf numFmtId="44" fontId="2" fillId="0" borderId="0" applyFont="0" applyFill="0" applyBorder="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2" fillId="0" borderId="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 fillId="0" borderId="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2" fillId="0" borderId="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 fillId="0" borderId="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 fillId="0" borderId="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2" fillId="7" borderId="218" applyNumberFormat="0" applyFont="0" applyAlignment="0" applyProtection="0"/>
    <xf numFmtId="0" fontId="59" fillId="10" borderId="207" applyNumberFormat="0" applyAlignment="0" applyProtection="0"/>
    <xf numFmtId="0" fontId="59" fillId="10" borderId="21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62" fillId="19" borderId="209" applyNumberFormat="0" applyAlignment="0" applyProtection="0"/>
    <xf numFmtId="0" fontId="2" fillId="0" borderId="0"/>
    <xf numFmtId="44" fontId="2" fillId="0" borderId="0" applyFont="0" applyFill="0" applyBorder="0" applyAlignment="0" applyProtection="0"/>
    <xf numFmtId="0" fontId="59" fillId="10" borderId="207" applyNumberFormat="0" applyAlignment="0" applyProtection="0"/>
    <xf numFmtId="9"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52" fillId="19" borderId="217" applyNumberForma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4" fillId="0" borderId="220" applyNumberFormat="0" applyFill="0" applyAlignment="0" applyProtection="0"/>
    <xf numFmtId="0" fontId="62" fillId="19" borderId="209" applyNumberFormat="0" applyAlignment="0" applyProtection="0"/>
    <xf numFmtId="0" fontId="52" fillId="19" borderId="217" applyNumberFormat="0" applyAlignment="0" applyProtection="0"/>
    <xf numFmtId="0" fontId="22" fillId="7" borderId="218" applyNumberFormat="0" applyFont="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52" fillId="19" borderId="207" applyNumberFormat="0" applyAlignment="0" applyProtection="0"/>
    <xf numFmtId="44" fontId="2" fillId="0" borderId="0" applyFont="0" applyFill="0" applyBorder="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62" fillId="19" borderId="209" applyNumberFormat="0" applyAlignment="0" applyProtection="0"/>
    <xf numFmtId="0" fontId="2" fillId="0" borderId="0"/>
    <xf numFmtId="44" fontId="2" fillId="0" borderId="0" applyFont="0" applyFill="0" applyBorder="0" applyAlignment="0" applyProtection="0"/>
    <xf numFmtId="0" fontId="59" fillId="10" borderId="207" applyNumberFormat="0" applyAlignment="0" applyProtection="0"/>
    <xf numFmtId="9" fontId="2" fillId="0" borderId="0" applyFont="0" applyFill="0" applyBorder="0" applyAlignment="0" applyProtection="0"/>
    <xf numFmtId="0" fontId="2" fillId="0" borderId="0"/>
    <xf numFmtId="0" fontId="22" fillId="7" borderId="208" applyNumberFormat="0" applyFont="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59" fillId="10" borderId="207" applyNumberFormat="0" applyAlignment="0" applyProtection="0"/>
    <xf numFmtId="0" fontId="62" fillId="19" borderId="209" applyNumberFormat="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22" fillId="7" borderId="208" applyNumberFormat="0" applyFont="0" applyAlignment="0" applyProtection="0"/>
    <xf numFmtId="44" fontId="2" fillId="0" borderId="0" applyFont="0" applyFill="0" applyBorder="0" applyAlignment="0" applyProtection="0"/>
    <xf numFmtId="0" fontId="64" fillId="0" borderId="210" applyNumberFormat="0" applyFill="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64" fillId="0" borderId="210" applyNumberFormat="0" applyFill="0" applyAlignment="0" applyProtection="0"/>
    <xf numFmtId="0" fontId="62" fillId="19" borderId="219" applyNumberForma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19"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59" fillId="10" borderId="217" applyNumberFormat="0" applyAlignment="0" applyProtection="0"/>
    <xf numFmtId="0" fontId="59" fillId="10" borderId="207"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19" applyNumberForma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18" applyNumberFormat="0" applyFon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64" fillId="0" borderId="220" applyNumberFormat="0" applyFill="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1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59" fillId="10" borderId="217"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18" applyNumberFormat="0" applyFont="0" applyAlignment="0" applyProtection="0"/>
    <xf numFmtId="0" fontId="22" fillId="7" borderId="208" applyNumberFormat="0" applyFont="0" applyAlignment="0" applyProtection="0"/>
    <xf numFmtId="0" fontId="22" fillId="7" borderId="218" applyNumberFormat="0" applyFon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59" fillId="10" borderId="21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19" applyNumberForma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59" fillId="10" borderId="217"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2" fillId="19"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1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59" fillId="10" borderId="217"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64" fillId="0" borderId="220"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19"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19" applyNumberFormat="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64" fillId="0" borderId="22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17"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64" fillId="0" borderId="22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59" fillId="10" borderId="21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62" fillId="19" borderId="219"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52" fillId="19" borderId="217" applyNumberFormat="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62" fillId="19" borderId="219" applyNumberFormat="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17" applyNumberForma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1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1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17" applyNumberFormat="0" applyAlignment="0" applyProtection="0"/>
    <xf numFmtId="0" fontId="62" fillId="19" borderId="209" applyNumberFormat="0" applyAlignment="0" applyProtection="0"/>
    <xf numFmtId="0" fontId="52" fillId="19" borderId="207" applyNumberFormat="0" applyAlignment="0" applyProtection="0"/>
    <xf numFmtId="0" fontId="62" fillId="19" borderId="209" applyNumberFormat="0" applyAlignment="0" applyProtection="0"/>
    <xf numFmtId="0" fontId="62" fillId="19" borderId="21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52" fillId="19" borderId="207" applyNumberFormat="0" applyAlignment="0" applyProtection="0"/>
    <xf numFmtId="0" fontId="22" fillId="7" borderId="21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22" fillId="7" borderId="218" applyNumberFormat="0" applyFon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17" applyNumberFormat="0" applyAlignment="0" applyProtection="0"/>
    <xf numFmtId="0" fontId="62" fillId="19" borderId="209" applyNumberFormat="0" applyAlignment="0" applyProtection="0"/>
    <xf numFmtId="0" fontId="59" fillId="10" borderId="217"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1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09" applyNumberFormat="0" applyAlignment="0" applyProtection="0"/>
    <xf numFmtId="0" fontId="62" fillId="19" borderId="219"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10" applyNumberFormat="0" applyFill="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2" fillId="19" borderId="219"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62" fillId="19" borderId="20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1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1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17" applyNumberFormat="0" applyAlignment="0" applyProtection="0"/>
    <xf numFmtId="0" fontId="62" fillId="19" borderId="20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9" fillId="10" borderId="21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64" fillId="0" borderId="210" applyNumberFormat="0" applyFill="0" applyAlignment="0" applyProtection="0"/>
    <xf numFmtId="0" fontId="62" fillId="19" borderId="219" applyNumberFormat="0" applyAlignment="0" applyProtection="0"/>
    <xf numFmtId="0" fontId="62" fillId="19" borderId="209" applyNumberFormat="0" applyAlignment="0" applyProtection="0"/>
    <xf numFmtId="0" fontId="52" fillId="19"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19"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52" fillId="19"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18" applyNumberFormat="0" applyFont="0" applyAlignment="0" applyProtection="0"/>
    <xf numFmtId="0" fontId="64" fillId="0" borderId="21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20" applyNumberFormat="0" applyFill="0" applyAlignment="0" applyProtection="0"/>
    <xf numFmtId="0" fontId="62" fillId="19" borderId="209" applyNumberFormat="0" applyAlignment="0" applyProtection="0"/>
    <xf numFmtId="0" fontId="22" fillId="7" borderId="218" applyNumberFormat="0" applyFon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52" fillId="19" borderId="21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20" applyNumberFormat="0" applyFill="0" applyAlignment="0" applyProtection="0"/>
    <xf numFmtId="0" fontId="62" fillId="19" borderId="209" applyNumberFormat="0" applyAlignment="0" applyProtection="0"/>
    <xf numFmtId="0" fontId="59" fillId="10" borderId="217"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18" applyNumberFormat="0" applyFont="0" applyAlignment="0" applyProtection="0"/>
    <xf numFmtId="0" fontId="64" fillId="0" borderId="21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62" fillId="19" borderId="219" applyNumberFormat="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62" fillId="19" borderId="209" applyNumberFormat="0" applyAlignment="0" applyProtection="0"/>
    <xf numFmtId="0" fontId="64" fillId="0" borderId="22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62" fillId="19" borderId="209" applyNumberFormat="0" applyAlignment="0" applyProtection="0"/>
    <xf numFmtId="0" fontId="62" fillId="19" borderId="209"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09" applyNumberFormat="0" applyAlignment="0" applyProtection="0"/>
    <xf numFmtId="0" fontId="22" fillId="7" borderId="218" applyNumberFormat="0" applyFont="0" applyAlignment="0" applyProtection="0"/>
    <xf numFmtId="0" fontId="62" fillId="19" borderId="209" applyNumberFormat="0" applyAlignment="0" applyProtection="0"/>
    <xf numFmtId="0" fontId="62" fillId="19" borderId="209" applyNumberFormat="0" applyAlignment="0" applyProtection="0"/>
    <xf numFmtId="0" fontId="52" fillId="19"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19" applyNumberFormat="0" applyAlignment="0" applyProtection="0"/>
    <xf numFmtId="0" fontId="64" fillId="0" borderId="21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09"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52" fillId="19" borderId="217" applyNumberFormat="0" applyAlignment="0" applyProtection="0"/>
    <xf numFmtId="0" fontId="64" fillId="0" borderId="210" applyNumberFormat="0" applyFill="0" applyAlignment="0" applyProtection="0"/>
    <xf numFmtId="0" fontId="62" fillId="19" borderId="21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20" applyNumberFormat="0" applyFill="0" applyAlignment="0" applyProtection="0"/>
    <xf numFmtId="0" fontId="59" fillId="10" borderId="207" applyNumberFormat="0" applyAlignment="0" applyProtection="0"/>
    <xf numFmtId="0" fontId="22" fillId="7" borderId="218" applyNumberFormat="0" applyFont="0" applyAlignment="0" applyProtection="0"/>
    <xf numFmtId="0" fontId="62" fillId="19" borderId="20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18" applyNumberFormat="0" applyFont="0" applyAlignment="0" applyProtection="0"/>
    <xf numFmtId="0" fontId="62" fillId="19" borderId="209"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22" fillId="7" borderId="218" applyNumberFormat="0" applyFont="0" applyAlignment="0" applyProtection="0"/>
    <xf numFmtId="0" fontId="62" fillId="19" borderId="209" applyNumberFormat="0" applyAlignment="0" applyProtection="0"/>
    <xf numFmtId="0" fontId="52" fillId="19" borderId="217"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09" applyNumberFormat="0" applyAlignment="0" applyProtection="0"/>
    <xf numFmtId="0" fontId="62" fillId="19" borderId="209" applyNumberFormat="0" applyAlignment="0" applyProtection="0"/>
    <xf numFmtId="0" fontId="22" fillId="7" borderId="218" applyNumberFormat="0" applyFon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62" fillId="19" borderId="209" applyNumberFormat="0" applyAlignment="0" applyProtection="0"/>
    <xf numFmtId="0" fontId="22" fillId="7" borderId="218" applyNumberFormat="0" applyFon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09" applyNumberFormat="0" applyAlignment="0" applyProtection="0"/>
    <xf numFmtId="0" fontId="52" fillId="19" borderId="217" applyNumberFormat="0" applyAlignment="0" applyProtection="0"/>
    <xf numFmtId="0" fontId="62" fillId="19" borderId="209"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19" applyNumberFormat="0" applyAlignment="0" applyProtection="0"/>
    <xf numFmtId="0" fontId="62" fillId="19" borderId="20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2" fillId="19" borderId="219" applyNumberFormat="0" applyAlignment="0" applyProtection="0"/>
    <xf numFmtId="0" fontId="62" fillId="19" borderId="20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09" applyNumberFormat="0" applyAlignment="0" applyProtection="0"/>
    <xf numFmtId="0" fontId="62" fillId="19" borderId="21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1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1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2" fillId="19" borderId="209" applyNumberFormat="0" applyAlignment="0" applyProtection="0"/>
    <xf numFmtId="0" fontId="22" fillId="7" borderId="21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62" fillId="19" borderId="209" applyNumberFormat="0" applyAlignment="0" applyProtection="0"/>
    <xf numFmtId="0" fontId="62" fillId="19" borderId="209" applyNumberFormat="0" applyAlignment="0" applyProtection="0"/>
    <xf numFmtId="0" fontId="62" fillId="19" borderId="219" applyNumberFormat="0" applyAlignment="0" applyProtection="0"/>
    <xf numFmtId="0" fontId="22" fillId="7" borderId="20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07" applyNumberFormat="0" applyAlignment="0" applyProtection="0"/>
    <xf numFmtId="0" fontId="52" fillId="19" borderId="217" applyNumberFormat="0" applyAlignment="0" applyProtection="0"/>
    <xf numFmtId="0" fontId="64" fillId="0" borderId="210" applyNumberFormat="0" applyFill="0" applyAlignment="0" applyProtection="0"/>
    <xf numFmtId="0" fontId="62" fillId="19" borderId="219"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1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2" fillId="19" borderId="209"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1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2" fillId="19" borderId="219" applyNumberFormat="0" applyAlignment="0" applyProtection="0"/>
    <xf numFmtId="0" fontId="62" fillId="19" borderId="209" applyNumberFormat="0" applyAlignment="0" applyProtection="0"/>
    <xf numFmtId="0" fontId="52" fillId="19" borderId="21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4" fillId="0" borderId="220" applyNumberFormat="0" applyFill="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19" applyNumberFormat="0" applyAlignment="0" applyProtection="0"/>
    <xf numFmtId="0" fontId="62" fillId="19" borderId="209" applyNumberFormat="0" applyAlignment="0" applyProtection="0"/>
    <xf numFmtId="0" fontId="64" fillId="0" borderId="220" applyNumberFormat="0" applyFill="0" applyAlignment="0" applyProtection="0"/>
    <xf numFmtId="0" fontId="62" fillId="19" borderId="209" applyNumberFormat="0" applyAlignment="0" applyProtection="0"/>
    <xf numFmtId="0" fontId="59" fillId="10" borderId="217" applyNumberFormat="0" applyAlignment="0" applyProtection="0"/>
    <xf numFmtId="0" fontId="62" fillId="19" borderId="209" applyNumberFormat="0" applyAlignment="0" applyProtection="0"/>
    <xf numFmtId="0" fontId="62" fillId="19" borderId="219"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1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19" applyNumberFormat="0" applyAlignment="0" applyProtection="0"/>
    <xf numFmtId="0" fontId="62" fillId="19" borderId="209" applyNumberFormat="0" applyAlignment="0" applyProtection="0"/>
    <xf numFmtId="0" fontId="59" fillId="10" borderId="217" applyNumberFormat="0" applyAlignment="0" applyProtection="0"/>
    <xf numFmtId="0" fontId="62" fillId="19" borderId="20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62" fillId="19" borderId="219" applyNumberFormat="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18" applyNumberFormat="0" applyFont="0" applyAlignment="0" applyProtection="0"/>
    <xf numFmtId="0" fontId="59" fillId="10" borderId="207" applyNumberFormat="0" applyAlignment="0" applyProtection="0"/>
    <xf numFmtId="0" fontId="62" fillId="19" borderId="209" applyNumberFormat="0" applyAlignment="0" applyProtection="0"/>
    <xf numFmtId="0" fontId="59" fillId="10"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1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1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62" fillId="19" borderId="219"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17"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59" fillId="10" borderId="21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2" fillId="19" borderId="20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64" fillId="0" borderId="220" applyNumberFormat="0" applyFill="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9" fillId="10" borderId="217"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1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17" applyNumberFormat="0" applyAlignment="0" applyProtection="0"/>
    <xf numFmtId="0" fontId="64" fillId="0" borderId="21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17"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17" applyNumberFormat="0" applyAlignment="0" applyProtection="0"/>
    <xf numFmtId="0" fontId="64" fillId="0" borderId="21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62" fillId="19" borderId="20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18" applyNumberFormat="0" applyFont="0" applyAlignment="0" applyProtection="0"/>
    <xf numFmtId="0" fontId="64" fillId="0" borderId="210" applyNumberFormat="0" applyFill="0" applyAlignment="0" applyProtection="0"/>
    <xf numFmtId="0" fontId="52" fillId="19" borderId="217" applyNumberFormat="0" applyAlignment="0" applyProtection="0"/>
    <xf numFmtId="0" fontId="59" fillId="10" borderId="21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08" applyNumberFormat="0" applyFon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20" applyNumberFormat="0" applyFill="0" applyAlignment="0" applyProtection="0"/>
    <xf numFmtId="0" fontId="62" fillId="19" borderId="209" applyNumberFormat="0" applyAlignment="0" applyProtection="0"/>
    <xf numFmtId="0" fontId="59" fillId="10"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2" fillId="19" borderId="217" applyNumberFormat="0" applyAlignment="0" applyProtection="0"/>
    <xf numFmtId="0" fontId="62" fillId="19" borderId="209" applyNumberFormat="0" applyAlignment="0" applyProtection="0"/>
    <xf numFmtId="0" fontId="62" fillId="19" borderId="209"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09"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20" applyNumberFormat="0" applyFill="0" applyAlignment="0" applyProtection="0"/>
    <xf numFmtId="0" fontId="62" fillId="19" borderId="209" applyNumberFormat="0" applyAlignment="0" applyProtection="0"/>
    <xf numFmtId="0" fontId="62" fillId="19" borderId="219" applyNumberForma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22" fillId="7" borderId="218" applyNumberFormat="0" applyFont="0" applyAlignment="0" applyProtection="0"/>
    <xf numFmtId="0" fontId="62" fillId="19" borderId="20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08" applyNumberFormat="0" applyFont="0" applyAlignment="0" applyProtection="0"/>
    <xf numFmtId="0" fontId="62" fillId="19" borderId="21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2" fillId="19"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10" applyNumberFormat="0" applyFill="0" applyAlignment="0" applyProtection="0"/>
    <xf numFmtId="0" fontId="59" fillId="10" borderId="217"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1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09" applyNumberFormat="0" applyAlignment="0" applyProtection="0"/>
    <xf numFmtId="0" fontId="22" fillId="7" borderId="218" applyNumberFormat="0" applyFon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2" fillId="19" borderId="207" applyNumberFormat="0" applyAlignment="0" applyProtection="0"/>
    <xf numFmtId="0" fontId="59" fillId="10" borderId="217"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19"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2" fillId="19" borderId="219" applyNumberFormat="0" applyAlignment="0" applyProtection="0"/>
    <xf numFmtId="0" fontId="62" fillId="19" borderId="209" applyNumberFormat="0" applyAlignment="0" applyProtection="0"/>
    <xf numFmtId="0" fontId="52" fillId="19" borderId="21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17"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22" fillId="7" borderId="20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9" fillId="10" borderId="207" applyNumberFormat="0" applyAlignment="0" applyProtection="0"/>
    <xf numFmtId="0" fontId="59" fillId="10" borderId="20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1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19"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10" applyNumberFormat="0" applyFill="0" applyAlignment="0" applyProtection="0"/>
    <xf numFmtId="0" fontId="62" fillId="19" borderId="219"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22" fillId="7" borderId="21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17" applyNumberFormat="0" applyAlignment="0" applyProtection="0"/>
    <xf numFmtId="0" fontId="59" fillId="10"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52" fillId="19" borderId="217"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19" applyNumberFormat="0" applyAlignment="0" applyProtection="0"/>
    <xf numFmtId="0" fontId="62" fillId="19" borderId="20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08" applyNumberFormat="0" applyFont="0" applyAlignment="0" applyProtection="0"/>
    <xf numFmtId="0" fontId="62" fillId="19" borderId="21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2" fillId="19" borderId="219" applyNumberFormat="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09" applyNumberFormat="0" applyAlignment="0" applyProtection="0"/>
    <xf numFmtId="0" fontId="64" fillId="0" borderId="22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52" fillId="19" borderId="207" applyNumberFormat="0" applyAlignment="0" applyProtection="0"/>
    <xf numFmtId="0" fontId="22" fillId="7" borderId="21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22" fillId="7" borderId="218" applyNumberFormat="0" applyFont="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19" applyNumberFormat="0" applyAlignment="0" applyProtection="0"/>
    <xf numFmtId="0" fontId="62" fillId="19" borderId="20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19"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19"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19" applyNumberFormat="0" applyAlignment="0" applyProtection="0"/>
    <xf numFmtId="0" fontId="64" fillId="0" borderId="21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62" fillId="19" borderId="219"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19"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4" fillId="0" borderId="22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52" fillId="19" borderId="21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10" applyNumberFormat="0" applyFill="0" applyAlignment="0" applyProtection="0"/>
    <xf numFmtId="0" fontId="52" fillId="19" borderId="21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17" applyNumberFormat="0" applyAlignment="0" applyProtection="0"/>
    <xf numFmtId="0" fontId="64" fillId="0" borderId="210" applyNumberFormat="0" applyFill="0" applyAlignment="0" applyProtection="0"/>
    <xf numFmtId="0" fontId="62" fillId="19" borderId="21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19"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18" applyNumberFormat="0" applyFont="0" applyAlignment="0" applyProtection="0"/>
    <xf numFmtId="0" fontId="62" fillId="19" borderId="209" applyNumberFormat="0" applyAlignment="0" applyProtection="0"/>
    <xf numFmtId="0" fontId="62" fillId="19" borderId="219" applyNumberFormat="0" applyAlignment="0" applyProtection="0"/>
    <xf numFmtId="0" fontId="59" fillId="10" borderId="207" applyNumberFormat="0" applyAlignment="0" applyProtection="0"/>
    <xf numFmtId="0" fontId="59" fillId="10" borderId="20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1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62" fillId="19" borderId="209"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62" fillId="19" borderId="219"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2" fillId="19" borderId="217" applyNumberFormat="0" applyAlignment="0" applyProtection="0"/>
    <xf numFmtId="0" fontId="52" fillId="19"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19"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10" applyNumberFormat="0" applyFill="0" applyAlignment="0" applyProtection="0"/>
    <xf numFmtId="0" fontId="22" fillId="7" borderId="218" applyNumberFormat="0" applyFont="0" applyAlignment="0" applyProtection="0"/>
    <xf numFmtId="0" fontId="62" fillId="19" borderId="209" applyNumberFormat="0" applyAlignment="0" applyProtection="0"/>
    <xf numFmtId="0" fontId="52" fillId="19"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18" applyNumberFormat="0" applyFont="0" applyAlignment="0" applyProtection="0"/>
    <xf numFmtId="0" fontId="62" fillId="19" borderId="20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10" applyNumberFormat="0" applyFill="0" applyAlignment="0" applyProtection="0"/>
    <xf numFmtId="0" fontId="52" fillId="19"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2" fillId="19" borderId="209"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2" fillId="19" borderId="20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17" applyNumberFormat="0" applyAlignment="0" applyProtection="0"/>
    <xf numFmtId="0" fontId="62" fillId="19" borderId="209" applyNumberFormat="0" applyAlignment="0" applyProtection="0"/>
    <xf numFmtId="0" fontId="59" fillId="10"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19"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52" fillId="19"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1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17" applyNumberFormat="0" applyAlignment="0" applyProtection="0"/>
    <xf numFmtId="0" fontId="62" fillId="19" borderId="209" applyNumberFormat="0" applyAlignment="0" applyProtection="0"/>
    <xf numFmtId="0" fontId="59" fillId="10" borderId="217"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1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1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59" fillId="10" borderId="207" applyNumberFormat="0" applyAlignment="0" applyProtection="0"/>
    <xf numFmtId="0" fontId="62" fillId="19" borderId="20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09" applyNumberFormat="0" applyAlignment="0" applyProtection="0"/>
    <xf numFmtId="0" fontId="22" fillId="7" borderId="21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17" applyNumberFormat="0" applyAlignment="0" applyProtection="0"/>
    <xf numFmtId="0" fontId="62" fillId="19" borderId="20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1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1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1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9" fillId="10" borderId="217" applyNumberFormat="0" applyAlignment="0" applyProtection="0"/>
    <xf numFmtId="0" fontId="62" fillId="19" borderId="20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1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09"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0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1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17"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17" applyNumberFormat="0" applyAlignment="0" applyProtection="0"/>
    <xf numFmtId="0" fontId="62" fillId="19" borderId="209" applyNumberFormat="0" applyAlignment="0" applyProtection="0"/>
    <xf numFmtId="0" fontId="64" fillId="0" borderId="22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2" fillId="19"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17" applyNumberFormat="0" applyAlignment="0" applyProtection="0"/>
    <xf numFmtId="0" fontId="62" fillId="19" borderId="20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09" applyNumberFormat="0" applyAlignment="0" applyProtection="0"/>
    <xf numFmtId="0" fontId="62" fillId="19" borderId="20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1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52" fillId="19" borderId="217" applyNumberFormat="0" applyAlignment="0" applyProtection="0"/>
    <xf numFmtId="0" fontId="62" fillId="19" borderId="219"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1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10" applyNumberFormat="0" applyFill="0" applyAlignment="0" applyProtection="0"/>
    <xf numFmtId="0" fontId="59" fillId="10" borderId="217" applyNumberFormat="0" applyAlignment="0" applyProtection="0"/>
    <xf numFmtId="0" fontId="62" fillId="19" borderId="209"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07" applyNumberFormat="0" applyAlignment="0" applyProtection="0"/>
    <xf numFmtId="0" fontId="62" fillId="19" borderId="209" applyNumberFormat="0" applyAlignment="0" applyProtection="0"/>
    <xf numFmtId="0" fontId="62" fillId="19" borderId="21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09" applyNumberFormat="0" applyAlignment="0" applyProtection="0"/>
    <xf numFmtId="0" fontId="52" fillId="19"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62" fillId="19" borderId="20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62" fillId="19" borderId="20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52" fillId="19" borderId="217" applyNumberFormat="0" applyAlignment="0" applyProtection="0"/>
    <xf numFmtId="0" fontId="64" fillId="0" borderId="210" applyNumberFormat="0" applyFill="0" applyAlignment="0" applyProtection="0"/>
    <xf numFmtId="0" fontId="59" fillId="10"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52" fillId="19" borderId="21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62" fillId="19" borderId="209" applyNumberFormat="0" applyAlignment="0" applyProtection="0"/>
    <xf numFmtId="0" fontId="62" fillId="19" borderId="219" applyNumberFormat="0" applyAlignment="0" applyProtection="0"/>
    <xf numFmtId="0" fontId="62" fillId="19" borderId="209" applyNumberFormat="0" applyAlignment="0" applyProtection="0"/>
    <xf numFmtId="0" fontId="62" fillId="19" borderId="219" applyNumberFormat="0" applyAlignment="0" applyProtection="0"/>
    <xf numFmtId="0" fontId="64" fillId="0" borderId="210" applyNumberFormat="0" applyFill="0" applyAlignment="0" applyProtection="0"/>
    <xf numFmtId="0" fontId="52" fillId="19" borderId="207" applyNumberFormat="0" applyAlignment="0" applyProtection="0"/>
    <xf numFmtId="0" fontId="64" fillId="0" borderId="22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19" applyNumberFormat="0" applyAlignment="0" applyProtection="0"/>
    <xf numFmtId="0" fontId="52" fillId="19" borderId="217" applyNumberFormat="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20" applyNumberFormat="0" applyFill="0" applyAlignment="0" applyProtection="0"/>
    <xf numFmtId="0" fontId="52" fillId="19" borderId="20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09" applyNumberFormat="0" applyAlignment="0" applyProtection="0"/>
    <xf numFmtId="0" fontId="62" fillId="19" borderId="219"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1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19"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2" fillId="19" borderId="219" applyNumberFormat="0" applyAlignment="0" applyProtection="0"/>
    <xf numFmtId="0" fontId="64" fillId="0" borderId="210" applyNumberFormat="0" applyFill="0" applyAlignment="0" applyProtection="0"/>
    <xf numFmtId="0" fontId="62" fillId="19" borderId="21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52" fillId="19" borderId="217"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22" fillId="7" borderId="21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52" fillId="19" borderId="217" applyNumberFormat="0" applyAlignment="0" applyProtection="0"/>
    <xf numFmtId="0" fontId="64" fillId="0" borderId="210" applyNumberFormat="0" applyFill="0" applyAlignment="0" applyProtection="0"/>
    <xf numFmtId="0" fontId="59" fillId="10" borderId="21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62" fillId="19" borderId="209" applyNumberFormat="0" applyAlignment="0" applyProtection="0"/>
    <xf numFmtId="0" fontId="59" fillId="10" borderId="21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52" fillId="19" borderId="217"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59" fillId="10" borderId="217" applyNumberFormat="0" applyAlignment="0" applyProtection="0"/>
    <xf numFmtId="0" fontId="62" fillId="19" borderId="209" applyNumberFormat="0" applyAlignment="0" applyProtection="0"/>
    <xf numFmtId="0" fontId="59" fillId="10" borderId="217"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10" applyNumberFormat="0" applyFill="0" applyAlignment="0" applyProtection="0"/>
    <xf numFmtId="0" fontId="59" fillId="10" borderId="217" applyNumberFormat="0" applyAlignment="0" applyProtection="0"/>
    <xf numFmtId="0" fontId="62" fillId="19" borderId="20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09" applyNumberFormat="0" applyAlignment="0" applyProtection="0"/>
    <xf numFmtId="0" fontId="52" fillId="19"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09"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09" applyNumberFormat="0" applyAlignment="0" applyProtection="0"/>
    <xf numFmtId="0" fontId="59" fillId="10" borderId="217" applyNumberFormat="0" applyAlignment="0" applyProtection="0"/>
    <xf numFmtId="0" fontId="62" fillId="19" borderId="20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09" applyNumberFormat="0" applyAlignment="0" applyProtection="0"/>
    <xf numFmtId="0" fontId="52" fillId="19" borderId="217"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2" fillId="19" borderId="20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0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2" fillId="19" borderId="219"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1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0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4" fillId="0" borderId="21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2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20" applyNumberFormat="0" applyFill="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52" fillId="19" borderId="207" applyNumberFormat="0" applyAlignment="0" applyProtection="0"/>
    <xf numFmtId="0" fontId="59" fillId="10"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09" applyNumberFormat="0" applyAlignment="0" applyProtection="0"/>
    <xf numFmtId="0" fontId="64" fillId="0" borderId="22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20" applyNumberFormat="0" applyFill="0" applyAlignment="0" applyProtection="0"/>
    <xf numFmtId="0" fontId="62" fillId="19" borderId="209" applyNumberFormat="0" applyAlignment="0" applyProtection="0"/>
    <xf numFmtId="0" fontId="59" fillId="10"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07" applyNumberFormat="0" applyAlignment="0" applyProtection="0"/>
    <xf numFmtId="0" fontId="62" fillId="19" borderId="21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2" fillId="19" borderId="219" applyNumberFormat="0" applyAlignment="0" applyProtection="0"/>
    <xf numFmtId="0" fontId="62" fillId="19" borderId="209" applyNumberFormat="0" applyAlignment="0" applyProtection="0"/>
    <xf numFmtId="0" fontId="62" fillId="19" borderId="219"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19" applyNumberFormat="0" applyAlignment="0" applyProtection="0"/>
    <xf numFmtId="0" fontId="62" fillId="19" borderId="20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09" applyNumberFormat="0" applyAlignment="0" applyProtection="0"/>
    <xf numFmtId="0" fontId="52" fillId="19"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18" applyNumberFormat="0" applyFont="0" applyAlignment="0" applyProtection="0"/>
    <xf numFmtId="0" fontId="62" fillId="19" borderId="209" applyNumberFormat="0" applyAlignment="0" applyProtection="0"/>
    <xf numFmtId="0" fontId="52" fillId="19" borderId="217" applyNumberFormat="0" applyAlignment="0" applyProtection="0"/>
    <xf numFmtId="0" fontId="62" fillId="19" borderId="20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0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10" applyNumberFormat="0" applyFill="0" applyAlignment="0" applyProtection="0"/>
    <xf numFmtId="0" fontId="62" fillId="19" borderId="219" applyNumberFormat="0" applyAlignment="0" applyProtection="0"/>
    <xf numFmtId="0" fontId="52" fillId="19" borderId="207" applyNumberFormat="0" applyAlignment="0" applyProtection="0"/>
    <xf numFmtId="0" fontId="22" fillId="7" borderId="20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07" applyNumberFormat="0" applyAlignment="0" applyProtection="0"/>
    <xf numFmtId="0" fontId="52" fillId="19" borderId="217"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64" fillId="0" borderId="21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0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1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17" applyNumberFormat="0" applyAlignment="0" applyProtection="0"/>
    <xf numFmtId="0" fontId="64" fillId="0" borderId="210" applyNumberFormat="0" applyFill="0" applyAlignment="0" applyProtection="0"/>
    <xf numFmtId="0" fontId="62" fillId="19" borderId="219"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19" applyNumberFormat="0" applyAlignment="0" applyProtection="0"/>
    <xf numFmtId="0" fontId="64" fillId="0" borderId="210" applyNumberFormat="0" applyFill="0" applyAlignment="0" applyProtection="0"/>
    <xf numFmtId="0" fontId="52" fillId="19"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1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19" applyNumberFormat="0" applyAlignment="0" applyProtection="0"/>
    <xf numFmtId="0" fontId="64" fillId="0" borderId="210" applyNumberFormat="0" applyFill="0" applyAlignment="0" applyProtection="0"/>
    <xf numFmtId="0" fontId="62" fillId="19" borderId="219" applyNumberFormat="0" applyAlignment="0" applyProtection="0"/>
    <xf numFmtId="0" fontId="64" fillId="0" borderId="21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19"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17"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19"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17" applyNumberFormat="0" applyAlignment="0" applyProtection="0"/>
    <xf numFmtId="0" fontId="22" fillId="7" borderId="208" applyNumberFormat="0" applyFont="0" applyAlignment="0" applyProtection="0"/>
    <xf numFmtId="0" fontId="22" fillId="7" borderId="218" applyNumberFormat="0" applyFont="0" applyAlignment="0" applyProtection="0"/>
    <xf numFmtId="0" fontId="59" fillId="10" borderId="207" applyNumberFormat="0" applyAlignment="0" applyProtection="0"/>
    <xf numFmtId="0" fontId="62" fillId="19" borderId="209" applyNumberFormat="0" applyAlignment="0" applyProtection="0"/>
    <xf numFmtId="0" fontId="64" fillId="0" borderId="22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20" applyNumberFormat="0" applyFill="0" applyAlignment="0" applyProtection="0"/>
    <xf numFmtId="0" fontId="59" fillId="10" borderId="207" applyNumberFormat="0" applyAlignment="0" applyProtection="0"/>
    <xf numFmtId="0" fontId="62" fillId="19" borderId="20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9" fillId="10" borderId="217" applyNumberFormat="0" applyAlignment="0" applyProtection="0"/>
    <xf numFmtId="0" fontId="64" fillId="0" borderId="210" applyNumberFormat="0" applyFill="0" applyAlignment="0" applyProtection="0"/>
    <xf numFmtId="0" fontId="52" fillId="19" borderId="217" applyNumberFormat="0" applyAlignment="0" applyProtection="0"/>
    <xf numFmtId="0" fontId="62" fillId="19" borderId="209" applyNumberFormat="0" applyAlignment="0" applyProtection="0"/>
    <xf numFmtId="0" fontId="59" fillId="10" borderId="217" applyNumberFormat="0" applyAlignment="0" applyProtection="0"/>
    <xf numFmtId="0" fontId="64" fillId="0" borderId="21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09" applyNumberFormat="0" applyAlignment="0" applyProtection="0"/>
    <xf numFmtId="0" fontId="62" fillId="19" borderId="219" applyNumberFormat="0" applyAlignment="0" applyProtection="0"/>
    <xf numFmtId="0" fontId="62" fillId="19" borderId="20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18" applyNumberFormat="0" applyFon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0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09" applyNumberFormat="0" applyAlignment="0" applyProtection="0"/>
    <xf numFmtId="0" fontId="52" fillId="19" borderId="21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9" fillId="10" borderId="207" applyNumberFormat="0" applyAlignment="0" applyProtection="0"/>
    <xf numFmtId="0" fontId="62" fillId="19" borderId="209" applyNumberFormat="0" applyAlignment="0" applyProtection="0"/>
    <xf numFmtId="0" fontId="59" fillId="10" borderId="217"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20" applyNumberFormat="0" applyFill="0" applyAlignment="0" applyProtection="0"/>
    <xf numFmtId="0" fontId="62" fillId="19" borderId="209" applyNumberFormat="0" applyAlignment="0" applyProtection="0"/>
    <xf numFmtId="0" fontId="22" fillId="7" borderId="21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59" fillId="10" borderId="21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17" applyNumberFormat="0" applyAlignment="0" applyProtection="0"/>
    <xf numFmtId="0" fontId="62" fillId="19" borderId="209" applyNumberFormat="0" applyAlignment="0" applyProtection="0"/>
    <xf numFmtId="0" fontId="22" fillId="7" borderId="218" applyNumberFormat="0" applyFont="0" applyAlignment="0" applyProtection="0"/>
    <xf numFmtId="0" fontId="52" fillId="19" borderId="207" applyNumberFormat="0" applyAlignment="0" applyProtection="0"/>
    <xf numFmtId="0" fontId="22" fillId="7" borderId="208" applyNumberFormat="0" applyFon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19" applyNumberFormat="0" applyAlignment="0" applyProtection="0"/>
    <xf numFmtId="0" fontId="52" fillId="19" borderId="20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52" fillId="19" borderId="207" applyNumberFormat="0" applyAlignment="0" applyProtection="0"/>
    <xf numFmtId="0" fontId="62" fillId="19" borderId="219" applyNumberFormat="0" applyAlignment="0" applyProtection="0"/>
    <xf numFmtId="0" fontId="64" fillId="0" borderId="210" applyNumberFormat="0" applyFill="0" applyAlignment="0" applyProtection="0"/>
    <xf numFmtId="0" fontId="59" fillId="10"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0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10" applyNumberFormat="0" applyFill="0" applyAlignment="0" applyProtection="0"/>
    <xf numFmtId="0" fontId="52" fillId="19"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09" applyNumberFormat="0" applyAlignment="0" applyProtection="0"/>
    <xf numFmtId="0" fontId="62" fillId="19" borderId="219"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62" fillId="19" borderId="209" applyNumberFormat="0" applyAlignment="0" applyProtection="0"/>
    <xf numFmtId="0" fontId="22" fillId="7" borderId="218" applyNumberFormat="0" applyFont="0" applyAlignment="0" applyProtection="0"/>
    <xf numFmtId="0" fontId="62" fillId="19" borderId="209" applyNumberFormat="0" applyAlignment="0" applyProtection="0"/>
    <xf numFmtId="0" fontId="59" fillId="10" borderId="217" applyNumberFormat="0" applyAlignment="0" applyProtection="0"/>
    <xf numFmtId="0" fontId="52" fillId="19" borderId="20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22" fillId="7" borderId="21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9" fillId="10" borderId="217"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09"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0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59" fillId="10" borderId="207"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1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07" applyNumberFormat="0" applyAlignment="0" applyProtection="0"/>
    <xf numFmtId="0" fontId="64" fillId="0" borderId="21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52" fillId="19" borderId="217"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1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64" fillId="0" borderId="21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1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17" applyNumberFormat="0" applyAlignment="0" applyProtection="0"/>
    <xf numFmtId="0" fontId="62" fillId="19" borderId="209" applyNumberFormat="0" applyAlignment="0" applyProtection="0"/>
    <xf numFmtId="0" fontId="62" fillId="19" borderId="219" applyNumberFormat="0" applyAlignment="0" applyProtection="0"/>
    <xf numFmtId="0" fontId="62" fillId="19" borderId="209" applyNumberFormat="0" applyAlignment="0" applyProtection="0"/>
    <xf numFmtId="0" fontId="52" fillId="19" borderId="20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09" applyNumberFormat="0" applyAlignment="0" applyProtection="0"/>
    <xf numFmtId="0" fontId="22" fillId="7" borderId="218" applyNumberFormat="0" applyFont="0" applyAlignment="0" applyProtection="0"/>
    <xf numFmtId="0" fontId="62" fillId="19" borderId="209" applyNumberFormat="0" applyAlignment="0" applyProtection="0"/>
    <xf numFmtId="0" fontId="64" fillId="0" borderId="220" applyNumberFormat="0" applyFill="0" applyAlignment="0" applyProtection="0"/>
    <xf numFmtId="0" fontId="62" fillId="19" borderId="20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2" fillId="19" borderId="217" applyNumberFormat="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09" applyNumberFormat="0" applyAlignment="0" applyProtection="0"/>
    <xf numFmtId="0" fontId="22" fillId="7" borderId="20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17"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08" applyNumberFormat="0" applyFont="0" applyAlignment="0" applyProtection="0"/>
    <xf numFmtId="0" fontId="52" fillId="19"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09" applyNumberFormat="0" applyAlignment="0" applyProtection="0"/>
    <xf numFmtId="0" fontId="52" fillId="19" borderId="217" applyNumberFormat="0" applyAlignment="0" applyProtection="0"/>
    <xf numFmtId="0" fontId="52" fillId="19" borderId="207" applyNumberFormat="0" applyAlignment="0" applyProtection="0"/>
    <xf numFmtId="0" fontId="62" fillId="19" borderId="219"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19"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2" fillId="19" borderId="20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59" fillId="10" borderId="217" applyNumberFormat="0" applyAlignment="0" applyProtection="0"/>
    <xf numFmtId="0" fontId="62" fillId="19" borderId="20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10" applyNumberFormat="0" applyFill="0" applyAlignment="0" applyProtection="0"/>
    <xf numFmtId="0" fontId="52" fillId="19" borderId="217" applyNumberFormat="0" applyAlignment="0" applyProtection="0"/>
    <xf numFmtId="0" fontId="64" fillId="0" borderId="21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0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9" fillId="10" borderId="207" applyNumberFormat="0" applyAlignment="0" applyProtection="0"/>
    <xf numFmtId="0" fontId="22" fillId="7" borderId="218" applyNumberFormat="0" applyFont="0" applyAlignment="0" applyProtection="0"/>
    <xf numFmtId="0" fontId="62" fillId="19" borderId="209" applyNumberFormat="0" applyAlignment="0" applyProtection="0"/>
    <xf numFmtId="0" fontId="52" fillId="19" borderId="217"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07" applyNumberFormat="0" applyAlignment="0" applyProtection="0"/>
    <xf numFmtId="0" fontId="62" fillId="19" borderId="209" applyNumberFormat="0" applyAlignment="0" applyProtection="0"/>
    <xf numFmtId="0" fontId="52" fillId="19" borderId="20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09" applyNumberFormat="0" applyAlignment="0" applyProtection="0"/>
    <xf numFmtId="0" fontId="62" fillId="19" borderId="219" applyNumberFormat="0" applyAlignment="0" applyProtection="0"/>
    <xf numFmtId="0" fontId="52" fillId="19" borderId="207" applyNumberFormat="0" applyAlignment="0" applyProtection="0"/>
    <xf numFmtId="0" fontId="62" fillId="19" borderId="209"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22" fillId="7" borderId="218" applyNumberFormat="0" applyFon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2" fillId="19" borderId="217" applyNumberFormat="0" applyAlignment="0" applyProtection="0"/>
    <xf numFmtId="0" fontId="59" fillId="10" borderId="207"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19" applyNumberFormat="0" applyAlignment="0" applyProtection="0"/>
    <xf numFmtId="0" fontId="62" fillId="19" borderId="20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07" applyNumberFormat="0" applyAlignment="0" applyProtection="0"/>
    <xf numFmtId="0" fontId="22" fillId="7" borderId="218" applyNumberFormat="0" applyFont="0" applyAlignment="0" applyProtection="0"/>
    <xf numFmtId="0" fontId="62" fillId="19" borderId="209" applyNumberFormat="0" applyAlignment="0" applyProtection="0"/>
    <xf numFmtId="0" fontId="52" fillId="19" borderId="217" applyNumberFormat="0" applyAlignment="0" applyProtection="0"/>
    <xf numFmtId="0" fontId="22" fillId="7" borderId="208" applyNumberFormat="0" applyFont="0" applyAlignment="0" applyProtection="0"/>
    <xf numFmtId="0" fontId="62" fillId="19" borderId="20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09" applyNumberFormat="0" applyAlignment="0" applyProtection="0"/>
    <xf numFmtId="0" fontId="62" fillId="19" borderId="219" applyNumberFormat="0" applyAlignment="0" applyProtection="0"/>
    <xf numFmtId="0" fontId="62" fillId="19" borderId="20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62" fillId="19" borderId="209" applyNumberFormat="0" applyAlignment="0" applyProtection="0"/>
    <xf numFmtId="0" fontId="22" fillId="7" borderId="218" applyNumberFormat="0" applyFont="0" applyAlignment="0" applyProtection="0"/>
    <xf numFmtId="0" fontId="62" fillId="19" borderId="209" applyNumberFormat="0" applyAlignment="0" applyProtection="0"/>
    <xf numFmtId="0" fontId="59" fillId="10" borderId="217"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22" fillId="7" borderId="208" applyNumberFormat="0" applyFont="0" applyAlignment="0" applyProtection="0"/>
    <xf numFmtId="0" fontId="52" fillId="19" borderId="217" applyNumberFormat="0" applyAlignment="0" applyProtection="0"/>
    <xf numFmtId="0" fontId="52" fillId="19" borderId="207" applyNumberFormat="0" applyAlignment="0" applyProtection="0"/>
    <xf numFmtId="0" fontId="52" fillId="19" borderId="217" applyNumberFormat="0" applyAlignment="0" applyProtection="0"/>
    <xf numFmtId="0" fontId="22" fillId="7" borderId="208" applyNumberFormat="0" applyFont="0" applyAlignment="0" applyProtection="0"/>
    <xf numFmtId="0" fontId="62" fillId="19" borderId="219" applyNumberFormat="0" applyAlignment="0" applyProtection="0"/>
    <xf numFmtId="0" fontId="52" fillId="19" borderId="217" applyNumberForma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07" applyNumberFormat="0" applyAlignment="0" applyProtection="0"/>
    <xf numFmtId="0" fontId="62" fillId="19" borderId="209" applyNumberFormat="0" applyAlignment="0" applyProtection="0"/>
    <xf numFmtId="0" fontId="52" fillId="19" borderId="207" applyNumberFormat="0" applyAlignment="0" applyProtection="0"/>
    <xf numFmtId="0" fontId="62" fillId="19" borderId="219" applyNumberFormat="0" applyAlignment="0" applyProtection="0"/>
    <xf numFmtId="0" fontId="59" fillId="10" borderId="20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19"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17"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09" applyNumberFormat="0" applyAlignment="0" applyProtection="0"/>
    <xf numFmtId="0" fontId="22" fillId="7" borderId="218" applyNumberFormat="0" applyFont="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52" fillId="19" borderId="21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62" fillId="19" borderId="209" applyNumberFormat="0" applyAlignment="0" applyProtection="0"/>
    <xf numFmtId="0" fontId="52" fillId="19" borderId="217"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59" fillId="10" borderId="207"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09" applyNumberFormat="0" applyAlignment="0" applyProtection="0"/>
    <xf numFmtId="0" fontId="62" fillId="19" borderId="20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59" fillId="10" borderId="217" applyNumberFormat="0" applyAlignment="0" applyProtection="0"/>
    <xf numFmtId="0" fontId="52" fillId="19" borderId="20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07" applyNumberFormat="0" applyAlignment="0" applyProtection="0"/>
    <xf numFmtId="0" fontId="62" fillId="19" borderId="209" applyNumberFormat="0" applyAlignment="0" applyProtection="0"/>
    <xf numFmtId="0" fontId="52" fillId="19"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0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2" fillId="19" borderId="20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09" applyNumberFormat="0" applyAlignment="0" applyProtection="0"/>
    <xf numFmtId="0" fontId="59" fillId="10" borderId="217"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09"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19" applyNumberFormat="0" applyAlignment="0" applyProtection="0"/>
    <xf numFmtId="0" fontId="62" fillId="19" borderId="209" applyNumberFormat="0" applyAlignment="0" applyProtection="0"/>
    <xf numFmtId="0" fontId="62" fillId="19" borderId="209" applyNumberFormat="0" applyAlignment="0" applyProtection="0"/>
    <xf numFmtId="0" fontId="22" fillId="7" borderId="208" applyNumberFormat="0" applyFont="0" applyAlignment="0" applyProtection="0"/>
    <xf numFmtId="0" fontId="62" fillId="19" borderId="219" applyNumberFormat="0" applyAlignment="0" applyProtection="0"/>
    <xf numFmtId="0" fontId="62" fillId="19" borderId="219" applyNumberFormat="0" applyAlignment="0" applyProtection="0"/>
    <xf numFmtId="0" fontId="52" fillId="19" borderId="20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2" fillId="19" borderId="217"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19" applyNumberFormat="0" applyAlignment="0" applyProtection="0"/>
    <xf numFmtId="0" fontId="62" fillId="19" borderId="209" applyNumberFormat="0" applyAlignment="0" applyProtection="0"/>
    <xf numFmtId="0" fontId="59" fillId="10" borderId="21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09" applyNumberFormat="0" applyAlignment="0" applyProtection="0"/>
    <xf numFmtId="0" fontId="62" fillId="19" borderId="21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9" fillId="10" borderId="207"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2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2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1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2" fillId="19" borderId="209" applyNumberFormat="0" applyAlignment="0" applyProtection="0"/>
    <xf numFmtId="0" fontId="59" fillId="10" borderId="217" applyNumberFormat="0" applyAlignment="0" applyProtection="0"/>
    <xf numFmtId="0" fontId="64" fillId="0" borderId="210" applyNumberFormat="0" applyFill="0" applyAlignment="0" applyProtection="0"/>
    <xf numFmtId="0" fontId="59" fillId="10" borderId="21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59" fillId="10" borderId="20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10" applyNumberFormat="0" applyFill="0" applyAlignment="0" applyProtection="0"/>
    <xf numFmtId="0" fontId="64" fillId="0" borderId="22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10" applyNumberFormat="0" applyFill="0" applyAlignment="0" applyProtection="0"/>
    <xf numFmtId="0" fontId="22" fillId="7" borderId="218" applyNumberFormat="0" applyFont="0" applyAlignment="0" applyProtection="0"/>
    <xf numFmtId="0" fontId="64" fillId="0" borderId="210" applyNumberFormat="0" applyFill="0" applyAlignment="0" applyProtection="0"/>
    <xf numFmtId="0" fontId="22" fillId="7" borderId="218" applyNumberFormat="0" applyFont="0" applyAlignment="0" applyProtection="0"/>
    <xf numFmtId="0" fontId="62" fillId="19" borderId="209" applyNumberFormat="0" applyAlignment="0" applyProtection="0"/>
    <xf numFmtId="0" fontId="52" fillId="19" borderId="217" applyNumberFormat="0" applyAlignment="0" applyProtection="0"/>
    <xf numFmtId="0" fontId="52" fillId="19" borderId="20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07"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08" applyNumberFormat="0" applyFont="0" applyAlignment="0" applyProtection="0"/>
    <xf numFmtId="0" fontId="64" fillId="0" borderId="220" applyNumberFormat="0" applyFill="0" applyAlignment="0" applyProtection="0"/>
    <xf numFmtId="0" fontId="62" fillId="19" borderId="209"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08" applyNumberFormat="0" applyFon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0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09"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2" fillId="19" borderId="209" applyNumberFormat="0" applyAlignment="0" applyProtection="0"/>
    <xf numFmtId="0" fontId="52" fillId="19" borderId="21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59" fillId="10" borderId="20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08" applyNumberFormat="0" applyFont="0" applyAlignment="0" applyProtection="0"/>
    <xf numFmtId="0" fontId="59" fillId="10" borderId="217" applyNumberFormat="0" applyAlignment="0" applyProtection="0"/>
    <xf numFmtId="0" fontId="62" fillId="19" borderId="209" applyNumberFormat="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10" applyNumberFormat="0" applyFill="0" applyAlignment="0" applyProtection="0"/>
    <xf numFmtId="0" fontId="52" fillId="19"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1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62" fillId="19" borderId="20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1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0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0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18" applyNumberFormat="0" applyFont="0" applyAlignment="0" applyProtection="0"/>
    <xf numFmtId="0" fontId="64" fillId="0" borderId="21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22" fillId="7" borderId="208" applyNumberFormat="0" applyFont="0" applyAlignment="0" applyProtection="0"/>
    <xf numFmtId="0" fontId="52" fillId="19"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10" applyNumberFormat="0" applyFill="0" applyAlignment="0" applyProtection="0"/>
    <xf numFmtId="0" fontId="59" fillId="10" borderId="207" applyNumberFormat="0" applyAlignment="0" applyProtection="0"/>
    <xf numFmtId="0" fontId="62" fillId="19" borderId="209" applyNumberFormat="0" applyAlignment="0" applyProtection="0"/>
    <xf numFmtId="0" fontId="62" fillId="19" borderId="219" applyNumberFormat="0" applyAlignment="0" applyProtection="0"/>
    <xf numFmtId="0" fontId="62" fillId="19" borderId="209" applyNumberFormat="0" applyAlignment="0" applyProtection="0"/>
    <xf numFmtId="0" fontId="52" fillId="19" borderId="217" applyNumberFormat="0" applyAlignment="0" applyProtection="0"/>
    <xf numFmtId="0" fontId="64" fillId="0" borderId="210" applyNumberFormat="0" applyFill="0" applyAlignment="0" applyProtection="0"/>
    <xf numFmtId="0" fontId="59" fillId="10" borderId="20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0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19" applyNumberFormat="0" applyAlignment="0" applyProtection="0"/>
    <xf numFmtId="0" fontId="59" fillId="10"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52" fillId="19" borderId="217" applyNumberFormat="0" applyAlignment="0" applyProtection="0"/>
    <xf numFmtId="0" fontId="64" fillId="0" borderId="210" applyNumberFormat="0" applyFill="0" applyAlignment="0" applyProtection="0"/>
    <xf numFmtId="0" fontId="52" fillId="19" borderId="207" applyNumberFormat="0" applyAlignment="0" applyProtection="0"/>
    <xf numFmtId="0" fontId="52" fillId="19" borderId="207" applyNumberFormat="0" applyAlignment="0" applyProtection="0"/>
    <xf numFmtId="0" fontId="62" fillId="19" borderId="20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22" fillId="7" borderId="208" applyNumberFormat="0" applyFon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59" fillId="10"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09" applyNumberFormat="0" applyAlignment="0" applyProtection="0"/>
    <xf numFmtId="0" fontId="59" fillId="10" borderId="207" applyNumberFormat="0" applyAlignment="0" applyProtection="0"/>
    <xf numFmtId="0" fontId="62" fillId="19" borderId="20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08" applyNumberFormat="0" applyFont="0" applyAlignment="0" applyProtection="0"/>
    <xf numFmtId="0" fontId="59" fillId="10" borderId="207" applyNumberFormat="0" applyAlignment="0" applyProtection="0"/>
    <xf numFmtId="0" fontId="64" fillId="0" borderId="210" applyNumberFormat="0" applyFill="0" applyAlignment="0" applyProtection="0"/>
    <xf numFmtId="0" fontId="59" fillId="10" borderId="217" applyNumberFormat="0" applyAlignment="0" applyProtection="0"/>
    <xf numFmtId="0" fontId="62" fillId="19" borderId="209" applyNumberForma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62" fillId="19" borderId="209" applyNumberFormat="0" applyAlignment="0" applyProtection="0"/>
    <xf numFmtId="0" fontId="22" fillId="7" borderId="218" applyNumberFormat="0" applyFont="0" applyAlignment="0" applyProtection="0"/>
    <xf numFmtId="0" fontId="62" fillId="19" borderId="209" applyNumberFormat="0" applyAlignment="0" applyProtection="0"/>
    <xf numFmtId="0" fontId="64" fillId="0" borderId="220" applyNumberFormat="0" applyFill="0" applyAlignment="0" applyProtection="0"/>
    <xf numFmtId="0" fontId="62" fillId="19" borderId="209" applyNumberFormat="0" applyAlignment="0" applyProtection="0"/>
    <xf numFmtId="0" fontId="62" fillId="19" borderId="219" applyNumberFormat="0" applyAlignment="0" applyProtection="0"/>
    <xf numFmtId="0" fontId="59" fillId="10" borderId="20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2" fillId="19" borderId="207"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19" applyNumberFormat="0" applyAlignment="0" applyProtection="0"/>
    <xf numFmtId="0" fontId="62" fillId="19" borderId="209"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64" fillId="0" borderId="220" applyNumberFormat="0" applyFill="0" applyAlignment="0" applyProtection="0"/>
    <xf numFmtId="0" fontId="59" fillId="10" borderId="207" applyNumberFormat="0" applyAlignment="0" applyProtection="0"/>
    <xf numFmtId="0" fontId="52" fillId="19" borderId="207" applyNumberFormat="0" applyAlignment="0" applyProtection="0"/>
    <xf numFmtId="0" fontId="62" fillId="19" borderId="219" applyNumberFormat="0" applyAlignment="0" applyProtection="0"/>
    <xf numFmtId="0" fontId="52" fillId="19" borderId="20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2" fillId="19" borderId="207"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62" fillId="19" borderId="209" applyNumberFormat="0" applyAlignment="0" applyProtection="0"/>
    <xf numFmtId="0" fontId="62" fillId="19" borderId="20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0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10" applyNumberFormat="0" applyFill="0" applyAlignment="0" applyProtection="0"/>
    <xf numFmtId="0" fontId="62" fillId="19" borderId="219" applyNumberFormat="0" applyAlignment="0" applyProtection="0"/>
    <xf numFmtId="0" fontId="62" fillId="19" borderId="209" applyNumberFormat="0" applyAlignment="0" applyProtection="0"/>
    <xf numFmtId="0" fontId="52" fillId="19" borderId="217" applyNumberFormat="0" applyAlignment="0" applyProtection="0"/>
    <xf numFmtId="0" fontId="62" fillId="19" borderId="209" applyNumberFormat="0" applyAlignment="0" applyProtection="0"/>
    <xf numFmtId="0" fontId="52" fillId="19" borderId="207" applyNumberFormat="0" applyAlignment="0" applyProtection="0"/>
    <xf numFmtId="0" fontId="22" fillId="7" borderId="21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1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09" applyNumberFormat="0" applyAlignment="0" applyProtection="0"/>
    <xf numFmtId="0" fontId="52" fillId="19" borderId="217" applyNumberFormat="0" applyAlignment="0" applyProtection="0"/>
    <xf numFmtId="0" fontId="62" fillId="19" borderId="20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09" applyNumberFormat="0" applyAlignment="0" applyProtection="0"/>
    <xf numFmtId="0" fontId="52" fillId="19" borderId="217" applyNumberFormat="0" applyAlignment="0" applyProtection="0"/>
    <xf numFmtId="0" fontId="52" fillId="19" borderId="20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22" fillId="7" borderId="21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59" fillId="10" borderId="207" applyNumberFormat="0" applyAlignment="0" applyProtection="0"/>
    <xf numFmtId="0" fontId="52" fillId="19" borderId="207" applyNumberFormat="0" applyAlignment="0" applyProtection="0"/>
    <xf numFmtId="0" fontId="62" fillId="19" borderId="209" applyNumberFormat="0" applyAlignment="0" applyProtection="0"/>
    <xf numFmtId="0" fontId="22" fillId="7" borderId="208" applyNumberFormat="0" applyFont="0" applyAlignment="0" applyProtection="0"/>
    <xf numFmtId="0" fontId="62" fillId="19" borderId="219" applyNumberForma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1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2" fillId="19" borderId="217" applyNumberFormat="0" applyAlignment="0" applyProtection="0"/>
    <xf numFmtId="0" fontId="62" fillId="19" borderId="20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22" fillId="7" borderId="208" applyNumberFormat="0" applyFont="0" applyAlignment="0" applyProtection="0"/>
    <xf numFmtId="0" fontId="59" fillId="10" borderId="20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08" applyNumberFormat="0" applyFont="0" applyAlignment="0" applyProtection="0"/>
    <xf numFmtId="0" fontId="62" fillId="19" borderId="219" applyNumberFormat="0" applyAlignment="0" applyProtection="0"/>
    <xf numFmtId="0" fontId="62" fillId="19" borderId="209" applyNumberFormat="0" applyAlignment="0" applyProtection="0"/>
    <xf numFmtId="0" fontId="64" fillId="0" borderId="22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09" applyNumberFormat="0" applyAlignment="0" applyProtection="0"/>
    <xf numFmtId="0" fontId="62" fillId="19" borderId="21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52" fillId="19" borderId="217" applyNumberFormat="0" applyAlignment="0" applyProtection="0"/>
    <xf numFmtId="0" fontId="62" fillId="19" borderId="209"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52" fillId="19" borderId="20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62" fillId="19" borderId="209" applyNumberFormat="0" applyAlignment="0" applyProtection="0"/>
    <xf numFmtId="0" fontId="62" fillId="19" borderId="20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08" applyNumberFormat="0" applyFont="0" applyAlignment="0" applyProtection="0"/>
    <xf numFmtId="0" fontId="52" fillId="19" borderId="21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09" applyNumberFormat="0" applyAlignment="0" applyProtection="0"/>
    <xf numFmtId="0" fontId="59" fillId="10" borderId="207" applyNumberFormat="0" applyAlignment="0" applyProtection="0"/>
    <xf numFmtId="0" fontId="64" fillId="0" borderId="22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20" applyNumberFormat="0" applyFill="0" applyAlignment="0" applyProtection="0"/>
    <xf numFmtId="0" fontId="62" fillId="19" borderId="209" applyNumberFormat="0" applyAlignment="0" applyProtection="0"/>
    <xf numFmtId="0" fontId="52" fillId="19" borderId="217" applyNumberFormat="0" applyAlignment="0" applyProtection="0"/>
    <xf numFmtId="0" fontId="62" fillId="19" borderId="20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07" applyNumberFormat="0" applyAlignment="0" applyProtection="0"/>
    <xf numFmtId="0" fontId="59" fillId="10" borderId="207"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2" fillId="19" borderId="21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19" applyNumberFormat="0" applyAlignment="0" applyProtection="0"/>
    <xf numFmtId="0" fontId="52" fillId="19" borderId="20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07" applyNumberFormat="0" applyAlignment="0" applyProtection="0"/>
    <xf numFmtId="0" fontId="62" fillId="19" borderId="20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09" applyNumberFormat="0" applyAlignment="0" applyProtection="0"/>
    <xf numFmtId="0" fontId="64" fillId="0" borderId="22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17" applyNumberFormat="0" applyAlignment="0" applyProtection="0"/>
    <xf numFmtId="0" fontId="22" fillId="7" borderId="208" applyNumberFormat="0" applyFont="0" applyAlignment="0" applyProtection="0"/>
    <xf numFmtId="0" fontId="62" fillId="19" borderId="20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22" fillId="7" borderId="208" applyNumberFormat="0" applyFont="0" applyAlignment="0" applyProtection="0"/>
    <xf numFmtId="0" fontId="52" fillId="19"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0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64" fillId="0" borderId="22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59" fillId="10" borderId="217" applyNumberFormat="0" applyAlignment="0" applyProtection="0"/>
    <xf numFmtId="0" fontId="22" fillId="7" borderId="208" applyNumberFormat="0" applyFont="0" applyAlignment="0" applyProtection="0"/>
    <xf numFmtId="0" fontId="64" fillId="0" borderId="220" applyNumberFormat="0" applyFill="0" applyAlignment="0" applyProtection="0"/>
    <xf numFmtId="0" fontId="52" fillId="19" borderId="20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62" fillId="19" borderId="209" applyNumberFormat="0" applyAlignment="0" applyProtection="0"/>
    <xf numFmtId="0" fontId="62" fillId="19" borderId="219" applyNumberFormat="0" applyAlignment="0" applyProtection="0"/>
    <xf numFmtId="0" fontId="62" fillId="19" borderId="20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07" applyNumberFormat="0" applyAlignment="0" applyProtection="0"/>
    <xf numFmtId="0" fontId="59" fillId="10" borderId="207" applyNumberFormat="0" applyAlignment="0" applyProtection="0"/>
    <xf numFmtId="0" fontId="59" fillId="10" borderId="207"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22" fillId="7" borderId="218" applyNumberFormat="0" applyFon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2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2" fillId="19" borderId="20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10" applyNumberFormat="0" applyFill="0" applyAlignment="0" applyProtection="0"/>
    <xf numFmtId="0" fontId="52" fillId="19" borderId="207"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22" fillId="7" borderId="208" applyNumberFormat="0" applyFont="0" applyAlignment="0" applyProtection="0"/>
    <xf numFmtId="0" fontId="62" fillId="19" borderId="219" applyNumberFormat="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62" fillId="19" borderId="209" applyNumberFormat="0" applyAlignment="0" applyProtection="0"/>
    <xf numFmtId="0" fontId="62" fillId="19" borderId="209" applyNumberFormat="0" applyAlignment="0" applyProtection="0"/>
    <xf numFmtId="0" fontId="62" fillId="19" borderId="209" applyNumberFormat="0" applyAlignment="0" applyProtection="0"/>
    <xf numFmtId="0" fontId="52" fillId="19" borderId="207" applyNumberFormat="0" applyAlignment="0" applyProtection="0"/>
    <xf numFmtId="0" fontId="64" fillId="0" borderId="210" applyNumberFormat="0" applyFill="0" applyAlignment="0" applyProtection="0"/>
    <xf numFmtId="0" fontId="59" fillId="10" borderId="217" applyNumberFormat="0" applyAlignment="0" applyProtection="0"/>
    <xf numFmtId="0" fontId="52" fillId="19" borderId="20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22" fillId="7" borderId="218" applyNumberFormat="0" applyFont="0" applyAlignment="0" applyProtection="0"/>
    <xf numFmtId="0" fontId="59" fillId="10" borderId="207" applyNumberFormat="0" applyAlignment="0" applyProtection="0"/>
    <xf numFmtId="0" fontId="62" fillId="19" borderId="209" applyNumberFormat="0" applyAlignment="0" applyProtection="0"/>
    <xf numFmtId="0" fontId="52" fillId="19" borderId="20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09" applyNumberFormat="0" applyAlignment="0" applyProtection="0"/>
    <xf numFmtId="0" fontId="52" fillId="19" borderId="207" applyNumberFormat="0" applyAlignment="0" applyProtection="0"/>
    <xf numFmtId="0" fontId="64" fillId="0" borderId="220" applyNumberFormat="0" applyFill="0" applyAlignment="0" applyProtection="0"/>
    <xf numFmtId="0" fontId="62" fillId="19" borderId="209" applyNumberFormat="0" applyAlignment="0" applyProtection="0"/>
    <xf numFmtId="0" fontId="52" fillId="19" borderId="207" applyNumberFormat="0" applyAlignment="0" applyProtection="0"/>
    <xf numFmtId="0" fontId="52" fillId="19" borderId="207" applyNumberFormat="0" applyAlignment="0" applyProtection="0"/>
    <xf numFmtId="0" fontId="64" fillId="0" borderId="220" applyNumberFormat="0" applyFill="0" applyAlignment="0" applyProtection="0"/>
    <xf numFmtId="0" fontId="62" fillId="19" borderId="209" applyNumberFormat="0" applyAlignment="0" applyProtection="0"/>
    <xf numFmtId="0" fontId="59" fillId="10" borderId="207" applyNumberFormat="0" applyAlignment="0" applyProtection="0"/>
    <xf numFmtId="0" fontId="64" fillId="0" borderId="220" applyNumberFormat="0" applyFill="0" applyAlignment="0" applyProtection="0"/>
    <xf numFmtId="0" fontId="52" fillId="19" borderId="207" applyNumberFormat="0" applyAlignment="0" applyProtection="0"/>
    <xf numFmtId="0" fontId="62" fillId="19" borderId="209" applyNumberFormat="0" applyAlignment="0" applyProtection="0"/>
    <xf numFmtId="0" fontId="22" fillId="7" borderId="218" applyNumberFormat="0" applyFont="0" applyAlignment="0" applyProtection="0"/>
    <xf numFmtId="0" fontId="62" fillId="19" borderId="209" applyNumberFormat="0" applyAlignment="0" applyProtection="0"/>
    <xf numFmtId="0" fontId="62" fillId="19" borderId="219" applyNumberFormat="0" applyAlignment="0" applyProtection="0"/>
    <xf numFmtId="0" fontId="64" fillId="0" borderId="210" applyNumberFormat="0" applyFill="0" applyAlignment="0" applyProtection="0"/>
    <xf numFmtId="0" fontId="52" fillId="19" borderId="20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07" applyNumberFormat="0" applyAlignment="0" applyProtection="0"/>
    <xf numFmtId="0" fontId="52" fillId="19" borderId="217" applyNumberFormat="0" applyAlignment="0" applyProtection="0"/>
    <xf numFmtId="0" fontId="62" fillId="19" borderId="209" applyNumberFormat="0" applyAlignment="0" applyProtection="0"/>
    <xf numFmtId="0" fontId="64" fillId="0" borderId="220" applyNumberFormat="0" applyFill="0" applyAlignment="0" applyProtection="0"/>
    <xf numFmtId="0" fontId="59" fillId="10" borderId="20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0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08" applyNumberFormat="0" applyFont="0" applyAlignment="0" applyProtection="0"/>
    <xf numFmtId="0" fontId="52" fillId="19" borderId="217"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62" fillId="19" borderId="219" applyNumberFormat="0" applyAlignment="0" applyProtection="0"/>
    <xf numFmtId="0" fontId="62" fillId="19" borderId="20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10" applyNumberFormat="0" applyFill="0" applyAlignment="0" applyProtection="0"/>
    <xf numFmtId="0" fontId="52" fillId="19" borderId="20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20" applyNumberFormat="0" applyFill="0" applyAlignment="0" applyProtection="0"/>
    <xf numFmtId="0" fontId="59" fillId="10" borderId="207" applyNumberFormat="0" applyAlignment="0" applyProtection="0"/>
    <xf numFmtId="0" fontId="52" fillId="19" borderId="217" applyNumberFormat="0" applyAlignment="0" applyProtection="0"/>
    <xf numFmtId="0" fontId="59" fillId="10" borderId="20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52" fillId="19" borderId="217" applyNumberFormat="0" applyAlignment="0" applyProtection="0"/>
    <xf numFmtId="0" fontId="52" fillId="19" borderId="207" applyNumberFormat="0" applyAlignment="0" applyProtection="0"/>
    <xf numFmtId="0" fontId="62" fillId="19" borderId="209" applyNumberFormat="0" applyAlignment="0" applyProtection="0"/>
    <xf numFmtId="0" fontId="59" fillId="10" borderId="217" applyNumberFormat="0" applyAlignment="0" applyProtection="0"/>
    <xf numFmtId="0" fontId="62" fillId="19" borderId="20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07" applyNumberFormat="0" applyAlignment="0" applyProtection="0"/>
    <xf numFmtId="0" fontId="62" fillId="19" borderId="219"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0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10" applyNumberFormat="0" applyFill="0" applyAlignment="0" applyProtection="0"/>
    <xf numFmtId="0" fontId="52" fillId="19" borderId="217" applyNumberFormat="0" applyAlignment="0" applyProtection="0"/>
    <xf numFmtId="0" fontId="62" fillId="19" borderId="209" applyNumberFormat="0" applyAlignment="0" applyProtection="0"/>
    <xf numFmtId="0" fontId="64" fillId="0" borderId="220" applyNumberFormat="0" applyFill="0" applyAlignment="0" applyProtection="0"/>
    <xf numFmtId="0" fontId="62" fillId="19" borderId="209"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22" fillId="7" borderId="20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2" fillId="19" borderId="209" applyNumberFormat="0" applyAlignment="0" applyProtection="0"/>
    <xf numFmtId="0" fontId="62" fillId="19" borderId="209"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59" fillId="10" borderId="217" applyNumberFormat="0" applyAlignment="0" applyProtection="0"/>
    <xf numFmtId="0" fontId="64" fillId="0" borderId="21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1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59" fillId="10" borderId="207" applyNumberFormat="0" applyAlignment="0" applyProtection="0"/>
    <xf numFmtId="0" fontId="22" fillId="7" borderId="218" applyNumberFormat="0" applyFont="0" applyAlignment="0" applyProtection="0"/>
    <xf numFmtId="0" fontId="62" fillId="19" borderId="209" applyNumberFormat="0" applyAlignment="0" applyProtection="0"/>
    <xf numFmtId="0" fontId="22" fillId="7" borderId="218" applyNumberFormat="0" applyFont="0" applyAlignment="0" applyProtection="0"/>
    <xf numFmtId="0" fontId="64" fillId="0" borderId="210" applyNumberFormat="0" applyFill="0" applyAlignment="0" applyProtection="0"/>
    <xf numFmtId="0" fontId="64" fillId="0" borderId="210" applyNumberFormat="0" applyFill="0" applyAlignment="0" applyProtection="0"/>
    <xf numFmtId="0" fontId="52" fillId="19"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07" applyNumberFormat="0" applyAlignment="0" applyProtection="0"/>
    <xf numFmtId="0" fontId="52" fillId="19" borderId="217" applyNumberFormat="0" applyAlignment="0" applyProtection="0"/>
    <xf numFmtId="0" fontId="59" fillId="10" borderId="207" applyNumberFormat="0" applyAlignment="0" applyProtection="0"/>
    <xf numFmtId="0" fontId="64" fillId="0" borderId="220" applyNumberFormat="0" applyFill="0" applyAlignment="0" applyProtection="0"/>
    <xf numFmtId="0" fontId="62" fillId="19" borderId="209" applyNumberFormat="0" applyAlignment="0" applyProtection="0"/>
    <xf numFmtId="0" fontId="59" fillId="10" borderId="207" applyNumberFormat="0" applyAlignment="0" applyProtection="0"/>
    <xf numFmtId="0" fontId="64" fillId="0" borderId="220" applyNumberFormat="0" applyFill="0" applyAlignment="0" applyProtection="0"/>
    <xf numFmtId="0" fontId="59" fillId="10" borderId="207" applyNumberFormat="0" applyAlignment="0" applyProtection="0"/>
    <xf numFmtId="0" fontId="64" fillId="0" borderId="21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10" applyNumberFormat="0" applyFill="0" applyAlignment="0" applyProtection="0"/>
    <xf numFmtId="0" fontId="52" fillId="19" borderId="217" applyNumberFormat="0" applyAlignment="0" applyProtection="0"/>
    <xf numFmtId="0" fontId="52" fillId="19" borderId="207" applyNumberFormat="0" applyAlignment="0" applyProtection="0"/>
    <xf numFmtId="0" fontId="59" fillId="10" borderId="207" applyNumberFormat="0" applyAlignment="0" applyProtection="0"/>
    <xf numFmtId="0" fontId="62" fillId="19" borderId="209" applyNumberFormat="0" applyAlignment="0" applyProtection="0"/>
    <xf numFmtId="0" fontId="64" fillId="0" borderId="210" applyNumberFormat="0" applyFill="0" applyAlignment="0" applyProtection="0"/>
    <xf numFmtId="0" fontId="59" fillId="10" borderId="217" applyNumberFormat="0" applyAlignment="0" applyProtection="0"/>
    <xf numFmtId="0" fontId="62" fillId="19" borderId="219" applyNumberFormat="0" applyAlignment="0" applyProtection="0"/>
    <xf numFmtId="0" fontId="22" fillId="7" borderId="208" applyNumberFormat="0" applyFont="0" applyAlignment="0" applyProtection="0"/>
    <xf numFmtId="0" fontId="64" fillId="0" borderId="220" applyNumberFormat="0" applyFill="0" applyAlignment="0" applyProtection="0"/>
    <xf numFmtId="0" fontId="59" fillId="10" borderId="207" applyNumberFormat="0" applyAlignment="0" applyProtection="0"/>
    <xf numFmtId="0" fontId="62" fillId="19" borderId="21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52" fillId="19" borderId="217" applyNumberFormat="0" applyAlignment="0" applyProtection="0"/>
    <xf numFmtId="0" fontId="64" fillId="0" borderId="210" applyNumberFormat="0" applyFill="0" applyAlignment="0" applyProtection="0"/>
    <xf numFmtId="0" fontId="62" fillId="19" borderId="219" applyNumberFormat="0" applyAlignment="0" applyProtection="0"/>
    <xf numFmtId="0" fontId="64" fillId="0" borderId="210" applyNumberFormat="0" applyFill="0" applyAlignment="0" applyProtection="0"/>
    <xf numFmtId="0" fontId="62" fillId="19" borderId="209" applyNumberFormat="0" applyAlignment="0" applyProtection="0"/>
    <xf numFmtId="0" fontId="62" fillId="19" borderId="219" applyNumberFormat="0" applyAlignment="0" applyProtection="0"/>
    <xf numFmtId="0" fontId="62" fillId="19" borderId="20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07" applyNumberFormat="0" applyAlignment="0" applyProtection="0"/>
    <xf numFmtId="0" fontId="62" fillId="19" borderId="209" applyNumberFormat="0" applyAlignment="0" applyProtection="0"/>
    <xf numFmtId="0" fontId="52" fillId="19" borderId="207" applyNumberFormat="0" applyAlignment="0" applyProtection="0"/>
    <xf numFmtId="0" fontId="64" fillId="0" borderId="22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9" fillId="10" borderId="217" applyNumberFormat="0" applyAlignment="0" applyProtection="0"/>
    <xf numFmtId="0" fontId="59" fillId="10" borderId="207" applyNumberFormat="0" applyAlignment="0" applyProtection="0"/>
    <xf numFmtId="0" fontId="64" fillId="0" borderId="210" applyNumberFormat="0" applyFill="0" applyAlignment="0" applyProtection="0"/>
    <xf numFmtId="0" fontId="59" fillId="10" borderId="217" applyNumberFormat="0" applyAlignment="0" applyProtection="0"/>
    <xf numFmtId="0" fontId="64" fillId="0" borderId="210" applyNumberFormat="0" applyFill="0" applyAlignment="0" applyProtection="0"/>
    <xf numFmtId="0" fontId="62" fillId="19" borderId="209" applyNumberFormat="0" applyAlignment="0" applyProtection="0"/>
    <xf numFmtId="0" fontId="59" fillId="10" borderId="20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08" applyNumberFormat="0" applyFont="0" applyAlignment="0" applyProtection="0"/>
    <xf numFmtId="0" fontId="22" fillId="7" borderId="20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62" fillId="19" borderId="209"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08" applyNumberFormat="0" applyFont="0" applyAlignment="0" applyProtection="0"/>
    <xf numFmtId="0" fontId="62" fillId="19" borderId="209" applyNumberFormat="0" applyAlignment="0" applyProtection="0"/>
    <xf numFmtId="0" fontId="62" fillId="19" borderId="209"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08" applyNumberFormat="0" applyFont="0" applyAlignment="0" applyProtection="0"/>
    <xf numFmtId="0" fontId="64" fillId="0" borderId="210" applyNumberFormat="0" applyFill="0" applyAlignment="0" applyProtection="0"/>
    <xf numFmtId="0" fontId="62" fillId="19" borderId="209" applyNumberFormat="0" applyAlignment="0" applyProtection="0"/>
    <xf numFmtId="0" fontId="62" fillId="19" borderId="209" applyNumberFormat="0" applyAlignment="0" applyProtection="0"/>
    <xf numFmtId="0" fontId="64" fillId="0" borderId="210" applyNumberFormat="0" applyFill="0" applyAlignment="0" applyProtection="0"/>
    <xf numFmtId="0" fontId="64" fillId="0" borderId="220" applyNumberFormat="0" applyFill="0" applyAlignment="0" applyProtection="0"/>
    <xf numFmtId="0" fontId="64" fillId="0" borderId="210" applyNumberFormat="0" applyFill="0" applyAlignment="0" applyProtection="0"/>
    <xf numFmtId="0" fontId="64" fillId="0" borderId="21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07" applyNumberFormat="0" applyAlignment="0" applyProtection="0"/>
    <xf numFmtId="0" fontId="59" fillId="10" borderId="217" applyNumberFormat="0" applyAlignment="0" applyProtection="0"/>
    <xf numFmtId="0" fontId="62" fillId="19" borderId="209" applyNumberFormat="0" applyAlignment="0" applyProtection="0"/>
    <xf numFmtId="0" fontId="64" fillId="0" borderId="220" applyNumberFormat="0" applyFill="0" applyAlignment="0" applyProtection="0"/>
    <xf numFmtId="0" fontId="52" fillId="19" borderId="207" applyNumberFormat="0" applyAlignment="0" applyProtection="0"/>
    <xf numFmtId="0" fontId="64" fillId="0" borderId="220" applyNumberFormat="0" applyFill="0" applyAlignment="0" applyProtection="0"/>
    <xf numFmtId="0" fontId="59" fillId="10" borderId="20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1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10" applyNumberFormat="0" applyFill="0" applyAlignment="0" applyProtection="0"/>
    <xf numFmtId="0" fontId="62" fillId="19" borderId="219" applyNumberFormat="0" applyAlignment="0" applyProtection="0"/>
    <xf numFmtId="0" fontId="59" fillId="10" borderId="207" applyNumberFormat="0" applyAlignment="0" applyProtection="0"/>
    <xf numFmtId="0" fontId="59" fillId="10" borderId="207" applyNumberFormat="0" applyAlignment="0" applyProtection="0"/>
    <xf numFmtId="0" fontId="52" fillId="19" borderId="217" applyNumberFormat="0" applyAlignment="0" applyProtection="0"/>
    <xf numFmtId="0" fontId="64" fillId="0" borderId="210" applyNumberFormat="0" applyFill="0" applyAlignment="0" applyProtection="0"/>
    <xf numFmtId="0" fontId="64" fillId="0" borderId="21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2" fillId="19" borderId="209" applyNumberFormat="0" applyAlignment="0" applyProtection="0"/>
    <xf numFmtId="0" fontId="64" fillId="0" borderId="210" applyNumberFormat="0" applyFill="0" applyAlignment="0" applyProtection="0"/>
    <xf numFmtId="0" fontId="22" fillId="7" borderId="208" applyNumberFormat="0" applyFont="0" applyAlignment="0" applyProtection="0"/>
    <xf numFmtId="0" fontId="64" fillId="0" borderId="220" applyNumberFormat="0" applyFill="0" applyAlignment="0" applyProtection="0"/>
    <xf numFmtId="0" fontId="62" fillId="19" borderId="209" applyNumberFormat="0" applyAlignment="0" applyProtection="0"/>
    <xf numFmtId="0" fontId="64" fillId="0" borderId="220" applyNumberFormat="0" applyFill="0" applyAlignment="0" applyProtection="0"/>
    <xf numFmtId="0" fontId="52" fillId="19" borderId="207" applyNumberFormat="0" applyAlignment="0" applyProtection="0"/>
    <xf numFmtId="0" fontId="64" fillId="0" borderId="220" applyNumberFormat="0" applyFill="0" applyAlignment="0" applyProtection="0"/>
    <xf numFmtId="0" fontId="62" fillId="19" borderId="209" applyNumberFormat="0" applyAlignment="0" applyProtection="0"/>
    <xf numFmtId="0" fontId="64" fillId="0" borderId="210" applyNumberFormat="0" applyFill="0" applyAlignment="0" applyProtection="0"/>
    <xf numFmtId="0" fontId="52" fillId="19" borderId="217" applyNumberFormat="0" applyAlignment="0" applyProtection="0"/>
    <xf numFmtId="0" fontId="64" fillId="0" borderId="21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22" fillId="7" borderId="218" applyNumberFormat="0" applyFont="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64" fillId="0" borderId="220" applyNumberFormat="0" applyFill="0" applyAlignment="0" applyProtection="0"/>
    <xf numFmtId="0" fontId="62" fillId="19" borderId="219" applyNumberFormat="0" applyAlignment="0" applyProtection="0"/>
    <xf numFmtId="0" fontId="62" fillId="19" borderId="219"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2" fillId="19" borderId="219" applyNumberFormat="0" applyAlignment="0" applyProtection="0"/>
    <xf numFmtId="0" fontId="64" fillId="0" borderId="220" applyNumberFormat="0" applyFill="0" applyAlignment="0" applyProtection="0"/>
    <xf numFmtId="0" fontId="59" fillId="10" borderId="217" applyNumberFormat="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2" fillId="19"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4" fillId="0" borderId="220" applyNumberFormat="0" applyFill="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9" fillId="10" borderId="217" applyNumberFormat="0" applyAlignment="0" applyProtection="0"/>
    <xf numFmtId="0" fontId="59" fillId="10" borderId="217" applyNumberFormat="0" applyAlignment="0" applyProtection="0"/>
    <xf numFmtId="0" fontId="64" fillId="0" borderId="220" applyNumberFormat="0" applyFill="0" applyAlignment="0" applyProtection="0"/>
    <xf numFmtId="0" fontId="59" fillId="10"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62" fillId="19" borderId="219" applyNumberFormat="0" applyAlignment="0" applyProtection="0"/>
    <xf numFmtId="0" fontId="62" fillId="19" borderId="219" applyNumberFormat="0" applyAlignment="0" applyProtection="0"/>
    <xf numFmtId="0" fontId="62" fillId="19" borderId="219" applyNumberFormat="0" applyAlignment="0" applyProtection="0"/>
    <xf numFmtId="0" fontId="59" fillId="10" borderId="217" applyNumberFormat="0" applyAlignment="0" applyProtection="0"/>
    <xf numFmtId="0" fontId="62" fillId="19" borderId="219" applyNumberFormat="0" applyAlignment="0" applyProtection="0"/>
    <xf numFmtId="0" fontId="22" fillId="7" borderId="218" applyNumberFormat="0" applyFont="0" applyAlignment="0" applyProtection="0"/>
    <xf numFmtId="0" fontId="22" fillId="7" borderId="218" applyNumberFormat="0" applyFont="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64" fillId="0" borderId="220" applyNumberFormat="0" applyFill="0" applyAlignment="0" applyProtection="0"/>
    <xf numFmtId="0" fontId="64" fillId="0" borderId="220" applyNumberFormat="0" applyFill="0" applyAlignment="0" applyProtection="0"/>
    <xf numFmtId="0" fontId="62" fillId="19" borderId="219" applyNumberFormat="0" applyAlignment="0" applyProtection="0"/>
    <xf numFmtId="0" fontId="52" fillId="19"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62" fillId="19" borderId="219" applyNumberFormat="0" applyAlignment="0" applyProtection="0"/>
    <xf numFmtId="0" fontId="59" fillId="10"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62" fillId="19" borderId="219" applyNumberFormat="0" applyAlignment="0" applyProtection="0"/>
    <xf numFmtId="0" fontId="52" fillId="19" borderId="217"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59" fillId="10" borderId="217" applyNumberFormat="0" applyAlignment="0" applyProtection="0"/>
    <xf numFmtId="0" fontId="64" fillId="0" borderId="220" applyNumberFormat="0" applyFill="0" applyAlignment="0" applyProtection="0"/>
    <xf numFmtId="0" fontId="52" fillId="19" borderId="217" applyNumberFormat="0" applyAlignment="0" applyProtection="0"/>
    <xf numFmtId="0" fontId="52" fillId="19" borderId="217" applyNumberFormat="0" applyAlignment="0" applyProtection="0"/>
    <xf numFmtId="0" fontId="22" fillId="7" borderId="218" applyNumberFormat="0" applyFont="0" applyAlignment="0" applyProtection="0"/>
    <xf numFmtId="0" fontId="62" fillId="19" borderId="219" applyNumberFormat="0" applyAlignment="0" applyProtection="0"/>
    <xf numFmtId="0" fontId="64" fillId="0" borderId="220" applyNumberFormat="0" applyFill="0" applyAlignment="0" applyProtection="0"/>
    <xf numFmtId="0" fontId="22" fillId="7" borderId="218" applyNumberFormat="0" applyFont="0" applyAlignment="0" applyProtection="0"/>
    <xf numFmtId="0" fontId="22" fillId="7" borderId="218" applyNumberFormat="0" applyFont="0" applyAlignment="0" applyProtection="0"/>
    <xf numFmtId="0" fontId="52" fillId="19" borderId="217" applyNumberFormat="0" applyAlignment="0" applyProtection="0"/>
    <xf numFmtId="0" fontId="62" fillId="19" borderId="219" applyNumberFormat="0" applyAlignment="0" applyProtection="0"/>
    <xf numFmtId="0" fontId="52" fillId="19" borderId="217" applyNumberFormat="0" applyAlignment="0" applyProtection="0"/>
    <xf numFmtId="0" fontId="59" fillId="10"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52" fillId="19" borderId="217" applyNumberFormat="0" applyAlignment="0" applyProtection="0"/>
    <xf numFmtId="0" fontId="22" fillId="7" borderId="218" applyNumberFormat="0" applyFont="0" applyAlignment="0" applyProtection="0"/>
    <xf numFmtId="0" fontId="59" fillId="10" borderId="217" applyNumberFormat="0" applyAlignment="0" applyProtection="0"/>
    <xf numFmtId="0" fontId="59" fillId="10" borderId="217" applyNumberFormat="0" applyAlignment="0" applyProtection="0"/>
    <xf numFmtId="0" fontId="62" fillId="19" borderId="219" applyNumberFormat="0" applyAlignment="0" applyProtection="0"/>
    <xf numFmtId="0" fontId="62" fillId="19" borderId="219" applyNumberFormat="0" applyAlignment="0" applyProtection="0"/>
    <xf numFmtId="0" fontId="52" fillId="19" borderId="217" applyNumberFormat="0" applyAlignment="0" applyProtection="0"/>
    <xf numFmtId="0" fontId="52" fillId="19" borderId="217" applyNumberFormat="0" applyAlignment="0" applyProtection="0"/>
    <xf numFmtId="0" fontId="59" fillId="10" borderId="217" applyNumberFormat="0" applyAlignment="0" applyProtection="0"/>
    <xf numFmtId="0" fontId="22" fillId="7" borderId="218" applyNumberFormat="0" applyFont="0" applyAlignment="0" applyProtection="0"/>
    <xf numFmtId="0" fontId="64" fillId="0" borderId="220" applyNumberFormat="0" applyFill="0" applyAlignment="0" applyProtection="0"/>
    <xf numFmtId="0" fontId="1" fillId="0" borderId="0"/>
  </cellStyleXfs>
  <cellXfs count="767">
    <xf numFmtId="0" fontId="0" fillId="0" borderId="0" xfId="0"/>
    <xf numFmtId="167" fontId="33" fillId="0" borderId="0" xfId="17" applyFont="1" applyFill="1" applyBorder="1"/>
    <xf numFmtId="167" fontId="33" fillId="0" borderId="0" xfId="5" applyFont="1" applyFill="1"/>
    <xf numFmtId="170" fontId="33" fillId="0" borderId="110" xfId="1" applyNumberFormat="1" applyFont="1" applyFill="1" applyBorder="1"/>
    <xf numFmtId="167" fontId="33" fillId="0" borderId="0" xfId="6" applyFont="1" applyFill="1"/>
    <xf numFmtId="0" fontId="33" fillId="0" borderId="110" xfId="0" applyFont="1" applyBorder="1"/>
    <xf numFmtId="0" fontId="23" fillId="0" borderId="0" xfId="0" applyFont="1"/>
    <xf numFmtId="167" fontId="0" fillId="0" borderId="0" xfId="5" applyFont="1"/>
    <xf numFmtId="167" fontId="0" fillId="0" borderId="0" xfId="0" applyNumberFormat="1"/>
    <xf numFmtId="0" fontId="38" fillId="0" borderId="0" xfId="0" applyFont="1"/>
    <xf numFmtId="0" fontId="33" fillId="0" borderId="2" xfId="0" applyFont="1" applyBorder="1"/>
    <xf numFmtId="0" fontId="33" fillId="0" borderId="0" xfId="0" applyFont="1"/>
    <xf numFmtId="0" fontId="33" fillId="0" borderId="0" xfId="11" applyFont="1"/>
    <xf numFmtId="0" fontId="33" fillId="0" borderId="4" xfId="0" applyFont="1" applyBorder="1"/>
    <xf numFmtId="168" fontId="33" fillId="0" borderId="0" xfId="5" applyNumberFormat="1" applyFont="1" applyFill="1" applyBorder="1"/>
    <xf numFmtId="0" fontId="41" fillId="0" borderId="0" xfId="0" applyFont="1"/>
    <xf numFmtId="172" fontId="31" fillId="0" borderId="0" xfId="0" applyNumberFormat="1" applyFont="1"/>
    <xf numFmtId="172" fontId="0" fillId="0" borderId="0" xfId="0" applyNumberFormat="1"/>
    <xf numFmtId="167" fontId="33" fillId="0" borderId="0" xfId="5" applyFont="1" applyFill="1" applyBorder="1"/>
    <xf numFmtId="0" fontId="22" fillId="0" borderId="0" xfId="0" applyFont="1"/>
    <xf numFmtId="44" fontId="33" fillId="0" borderId="0" xfId="17" applyNumberFormat="1" applyFont="1" applyFill="1" applyBorder="1"/>
    <xf numFmtId="167" fontId="33" fillId="0" borderId="0" xfId="0" applyNumberFormat="1" applyFont="1"/>
    <xf numFmtId="0" fontId="69" fillId="0" borderId="9" xfId="0" applyFont="1" applyBorder="1"/>
    <xf numFmtId="0" fontId="70" fillId="0" borderId="26" xfId="0" applyFont="1" applyBorder="1"/>
    <xf numFmtId="0" fontId="71" fillId="0" borderId="0" xfId="0" applyFont="1"/>
    <xf numFmtId="44" fontId="33" fillId="0" borderId="0" xfId="6" applyNumberFormat="1" applyFont="1" applyFill="1" applyBorder="1"/>
    <xf numFmtId="168" fontId="33" fillId="0" borderId="0" xfId="6" applyNumberFormat="1" applyFont="1" applyFill="1" applyBorder="1"/>
    <xf numFmtId="44" fontId="39" fillId="3" borderId="12" xfId="0" applyNumberFormat="1" applyFont="1" applyFill="1" applyBorder="1"/>
    <xf numFmtId="0" fontId="74" fillId="0" borderId="0" xfId="0" applyFont="1"/>
    <xf numFmtId="44" fontId="33" fillId="0" borderId="29" xfId="6" applyNumberFormat="1" applyFont="1" applyFill="1" applyBorder="1"/>
    <xf numFmtId="44" fontId="39" fillId="0" borderId="12" xfId="0" applyNumberFormat="1" applyFont="1" applyBorder="1"/>
    <xf numFmtId="170" fontId="33" fillId="0" borderId="0" xfId="1" applyNumberFormat="1" applyFont="1" applyFill="1" applyBorder="1"/>
    <xf numFmtId="168" fontId="22" fillId="0" borderId="0" xfId="0" applyNumberFormat="1" applyFont="1"/>
    <xf numFmtId="0" fontId="22" fillId="0" borderId="0" xfId="0" applyFont="1" applyAlignment="1">
      <alignment horizontal="left"/>
    </xf>
    <xf numFmtId="0" fontId="22" fillId="0" borderId="0" xfId="0" applyFont="1" applyAlignment="1">
      <alignment horizontal="center"/>
    </xf>
    <xf numFmtId="168" fontId="33" fillId="0" borderId="0" xfId="1" applyFont="1" applyFill="1" applyBorder="1"/>
    <xf numFmtId="0" fontId="76" fillId="0" borderId="0" xfId="0" applyFont="1"/>
    <xf numFmtId="0" fontId="42" fillId="0" borderId="4" xfId="0" applyFont="1" applyBorder="1"/>
    <xf numFmtId="44" fontId="33" fillId="0" borderId="23" xfId="6" applyNumberFormat="1" applyFont="1" applyFill="1" applyBorder="1"/>
    <xf numFmtId="167" fontId="33" fillId="0" borderId="0" xfId="6" applyFont="1" applyFill="1" applyBorder="1"/>
    <xf numFmtId="0" fontId="40" fillId="0" borderId="0" xfId="0" applyFont="1"/>
    <xf numFmtId="170" fontId="33" fillId="0" borderId="0" xfId="6" applyNumberFormat="1" applyFont="1" applyFill="1" applyBorder="1"/>
    <xf numFmtId="0" fontId="33" fillId="21" borderId="2" xfId="0" applyFont="1" applyFill="1" applyBorder="1"/>
    <xf numFmtId="44" fontId="33" fillId="0" borderId="0" xfId="6" applyNumberFormat="1" applyFont="1" applyBorder="1"/>
    <xf numFmtId="44" fontId="33" fillId="0" borderId="0" xfId="5" applyNumberFormat="1" applyFont="1" applyFill="1" applyBorder="1"/>
    <xf numFmtId="44" fontId="33" fillId="0" borderId="29" xfId="5" applyNumberFormat="1" applyFont="1" applyFill="1" applyBorder="1"/>
    <xf numFmtId="0" fontId="33" fillId="0" borderId="32" xfId="0" applyFont="1" applyBorder="1"/>
    <xf numFmtId="44" fontId="33" fillId="0" borderId="33" xfId="5" applyNumberFormat="1" applyFont="1" applyFill="1" applyBorder="1"/>
    <xf numFmtId="0" fontId="76" fillId="0" borderId="0" xfId="0" applyFont="1" applyAlignment="1">
      <alignment horizontal="right"/>
    </xf>
    <xf numFmtId="0" fontId="75" fillId="0" borderId="0" xfId="0" applyFont="1" applyAlignment="1">
      <alignment horizontal="right"/>
    </xf>
    <xf numFmtId="168" fontId="33" fillId="0" borderId="0" xfId="0" applyNumberFormat="1" applyFont="1"/>
    <xf numFmtId="0" fontId="33" fillId="0" borderId="31" xfId="0" applyFont="1" applyBorder="1"/>
    <xf numFmtId="44" fontId="33" fillId="0" borderId="32" xfId="5" applyNumberFormat="1" applyFont="1" applyFill="1" applyBorder="1"/>
    <xf numFmtId="44" fontId="33" fillId="0" borderId="31" xfId="5" applyNumberFormat="1" applyFont="1" applyFill="1" applyBorder="1"/>
    <xf numFmtId="0" fontId="33" fillId="0" borderId="33" xfId="0" applyFont="1" applyBorder="1"/>
    <xf numFmtId="44" fontId="33" fillId="0" borderId="28" xfId="5" applyNumberFormat="1" applyFont="1" applyFill="1" applyBorder="1"/>
    <xf numFmtId="44" fontId="33" fillId="0" borderId="30" xfId="5" applyNumberFormat="1" applyFont="1" applyFill="1" applyBorder="1"/>
    <xf numFmtId="44" fontId="33" fillId="0" borderId="34" xfId="5" applyNumberFormat="1" applyFont="1" applyFill="1" applyBorder="1"/>
    <xf numFmtId="44" fontId="33" fillId="0" borderId="0" xfId="23" applyNumberFormat="1" applyFont="1"/>
    <xf numFmtId="165" fontId="33" fillId="0" borderId="0" xfId="4" applyNumberFormat="1" applyFont="1" applyFill="1" applyBorder="1"/>
    <xf numFmtId="44" fontId="33" fillId="0" borderId="0" xfId="7" applyNumberFormat="1" applyFont="1" applyFill="1" applyBorder="1"/>
    <xf numFmtId="167" fontId="33" fillId="0" borderId="0" xfId="9" applyFont="1" applyFill="1" applyBorder="1"/>
    <xf numFmtId="172" fontId="33" fillId="0" borderId="0" xfId="0" applyNumberFormat="1" applyFont="1"/>
    <xf numFmtId="44" fontId="33" fillId="0" borderId="0" xfId="9" applyNumberFormat="1" applyFont="1" applyFill="1" applyBorder="1"/>
    <xf numFmtId="44" fontId="39" fillId="3" borderId="13" xfId="0" applyNumberFormat="1" applyFont="1" applyFill="1" applyBorder="1"/>
    <xf numFmtId="0" fontId="33" fillId="0" borderId="0" xfId="10" applyFont="1"/>
    <xf numFmtId="44" fontId="68" fillId="0" borderId="0" xfId="103" applyFont="1" applyFill="1" applyBorder="1"/>
    <xf numFmtId="0" fontId="33" fillId="0" borderId="0" xfId="5" applyNumberFormat="1" applyFont="1" applyFill="1" applyBorder="1" applyAlignment="1"/>
    <xf numFmtId="167" fontId="68" fillId="0" borderId="0" xfId="99" applyNumberFormat="1" applyFont="1"/>
    <xf numFmtId="167" fontId="39" fillId="0" borderId="0" xfId="0" applyNumberFormat="1" applyFont="1"/>
    <xf numFmtId="44" fontId="33" fillId="0" borderId="0" xfId="5" applyNumberFormat="1" applyFont="1" applyFill="1" applyBorder="1" applyAlignment="1">
      <alignment horizontal="left"/>
    </xf>
    <xf numFmtId="44" fontId="33" fillId="0" borderId="0" xfId="0" applyNumberFormat="1" applyFont="1" applyAlignment="1">
      <alignment horizontal="left"/>
    </xf>
    <xf numFmtId="169" fontId="33" fillId="0" borderId="0" xfId="0" applyNumberFormat="1" applyFont="1"/>
    <xf numFmtId="44" fontId="33" fillId="0" borderId="0" xfId="5" applyNumberFormat="1" applyFont="1" applyFill="1" applyBorder="1" applyAlignment="1">
      <alignment horizontal="right"/>
    </xf>
    <xf numFmtId="8" fontId="33" fillId="0" borderId="0" xfId="0" applyNumberFormat="1" applyFont="1"/>
    <xf numFmtId="167" fontId="68" fillId="0" borderId="0" xfId="38" applyFont="1" applyFill="1" applyBorder="1"/>
    <xf numFmtId="44" fontId="33" fillId="0" borderId="0" xfId="119" applyNumberFormat="1" applyFont="1" applyFill="1" applyBorder="1"/>
    <xf numFmtId="8" fontId="33" fillId="0" borderId="0" xfId="119" applyNumberFormat="1" applyFont="1" applyFill="1" applyBorder="1"/>
    <xf numFmtId="44" fontId="41" fillId="0" borderId="12" xfId="0" applyNumberFormat="1" applyFont="1" applyBorder="1"/>
    <xf numFmtId="44" fontId="39" fillId="3" borderId="35" xfId="0" applyNumberFormat="1" applyFont="1" applyFill="1" applyBorder="1"/>
    <xf numFmtId="44" fontId="79" fillId="3" borderId="12" xfId="0" applyNumberFormat="1" applyFont="1" applyFill="1" applyBorder="1"/>
    <xf numFmtId="0" fontId="80" fillId="0" borderId="0" xfId="0" applyFont="1"/>
    <xf numFmtId="44" fontId="79" fillId="3" borderId="0" xfId="0" applyNumberFormat="1" applyFont="1" applyFill="1"/>
    <xf numFmtId="0" fontId="78" fillId="0" borderId="0" xfId="0" applyFont="1"/>
    <xf numFmtId="44" fontId="44" fillId="0" borderId="0" xfId="5" applyNumberFormat="1" applyFont="1" applyFill="1" applyBorder="1"/>
    <xf numFmtId="44" fontId="33" fillId="0" borderId="33" xfId="6" applyNumberFormat="1" applyFont="1" applyFill="1" applyBorder="1"/>
    <xf numFmtId="44" fontId="79" fillId="3" borderId="13" xfId="0" applyNumberFormat="1" applyFont="1" applyFill="1" applyBorder="1"/>
    <xf numFmtId="44" fontId="33" fillId="0" borderId="0" xfId="17" applyNumberFormat="1" applyFont="1" applyFill="1" applyBorder="1" applyAlignment="1">
      <alignment horizontal="right"/>
    </xf>
    <xf numFmtId="0" fontId="43" fillId="0" borderId="0" xfId="0" applyFont="1" applyAlignment="1">
      <alignment horizontal="right"/>
    </xf>
    <xf numFmtId="0" fontId="33" fillId="0" borderId="0" xfId="23" applyFont="1"/>
    <xf numFmtId="167" fontId="33" fillId="0" borderId="0" xfId="5" applyFont="1" applyFill="1" applyBorder="1" applyAlignment="1">
      <alignment horizontal="left"/>
    </xf>
    <xf numFmtId="44" fontId="33" fillId="0" borderId="28" xfId="6" applyNumberFormat="1" applyFont="1" applyFill="1" applyBorder="1"/>
    <xf numFmtId="44" fontId="33" fillId="0" borderId="30" xfId="6" applyNumberFormat="1" applyFont="1" applyFill="1" applyBorder="1"/>
    <xf numFmtId="44" fontId="33" fillId="0" borderId="31" xfId="6" applyNumberFormat="1" applyFont="1" applyFill="1" applyBorder="1"/>
    <xf numFmtId="44" fontId="44" fillId="0" borderId="29" xfId="5" applyNumberFormat="1" applyFont="1" applyFill="1" applyBorder="1"/>
    <xf numFmtId="44" fontId="44" fillId="0" borderId="28" xfId="5" applyNumberFormat="1" applyFont="1" applyFill="1" applyBorder="1"/>
    <xf numFmtId="44" fontId="44" fillId="0" borderId="30" xfId="5" applyNumberFormat="1" applyFont="1" applyFill="1" applyBorder="1"/>
    <xf numFmtId="44" fontId="44" fillId="0" borderId="32" xfId="5" applyNumberFormat="1" applyFont="1" applyFill="1" applyBorder="1"/>
    <xf numFmtId="44" fontId="44" fillId="0" borderId="31" xfId="5" applyNumberFormat="1" applyFont="1" applyFill="1" applyBorder="1"/>
    <xf numFmtId="44" fontId="44" fillId="0" borderId="33" xfId="5" applyNumberFormat="1" applyFont="1" applyFill="1" applyBorder="1"/>
    <xf numFmtId="0" fontId="82" fillId="0" borderId="0" xfId="0" applyFont="1"/>
    <xf numFmtId="172" fontId="82" fillId="0" borderId="0" xfId="0" applyNumberFormat="1" applyFont="1"/>
    <xf numFmtId="0" fontId="33" fillId="23" borderId="0" xfId="0" applyFont="1" applyFill="1"/>
    <xf numFmtId="44" fontId="39" fillId="23" borderId="12" xfId="0" applyNumberFormat="1" applyFont="1" applyFill="1" applyBorder="1"/>
    <xf numFmtId="44" fontId="33" fillId="23" borderId="0" xfId="0" applyNumberFormat="1" applyFont="1" applyFill="1"/>
    <xf numFmtId="44" fontId="33" fillId="23" borderId="0" xfId="6" applyNumberFormat="1" applyFont="1" applyFill="1" applyBorder="1"/>
    <xf numFmtId="44" fontId="33" fillId="23" borderId="33" xfId="6" applyNumberFormat="1" applyFont="1" applyFill="1" applyBorder="1"/>
    <xf numFmtId="167" fontId="33" fillId="23" borderId="0" xfId="6" applyFont="1" applyFill="1" applyBorder="1"/>
    <xf numFmtId="44" fontId="0" fillId="0" borderId="0" xfId="0" applyNumberFormat="1"/>
    <xf numFmtId="44" fontId="33" fillId="0" borderId="32" xfId="6" applyNumberFormat="1" applyFont="1" applyFill="1" applyBorder="1"/>
    <xf numFmtId="44" fontId="33" fillId="0" borderId="115" xfId="6" applyNumberFormat="1" applyFont="1" applyFill="1" applyBorder="1"/>
    <xf numFmtId="44" fontId="33" fillId="0" borderId="116" xfId="6" applyNumberFormat="1" applyFont="1" applyFill="1" applyBorder="1"/>
    <xf numFmtId="44" fontId="33" fillId="0" borderId="117" xfId="6" applyNumberFormat="1" applyFont="1" applyFill="1" applyBorder="1"/>
    <xf numFmtId="44" fontId="39" fillId="3" borderId="118" xfId="0" applyNumberFormat="1" applyFont="1" applyFill="1" applyBorder="1"/>
    <xf numFmtId="44" fontId="33" fillId="0" borderId="36" xfId="5" applyNumberFormat="1" applyFont="1" applyFill="1" applyBorder="1"/>
    <xf numFmtId="44" fontId="33" fillId="0" borderId="119" xfId="5" applyNumberFormat="1" applyFont="1" applyFill="1" applyBorder="1"/>
    <xf numFmtId="44" fontId="33" fillId="0" borderId="37" xfId="5" applyNumberFormat="1" applyFont="1" applyFill="1" applyBorder="1"/>
    <xf numFmtId="44" fontId="33" fillId="0" borderId="0" xfId="5" applyNumberFormat="1" applyFont="1" applyFill="1"/>
    <xf numFmtId="167" fontId="41" fillId="0" borderId="13" xfId="6" applyFont="1" applyFill="1" applyBorder="1"/>
    <xf numFmtId="0" fontId="33" fillId="22" borderId="0" xfId="0" applyFont="1" applyFill="1"/>
    <xf numFmtId="6" fontId="44" fillId="0" borderId="0" xfId="5" applyNumberFormat="1" applyFont="1" applyFill="1" applyBorder="1"/>
    <xf numFmtId="0" fontId="33" fillId="0" borderId="0" xfId="1511" applyFont="1"/>
    <xf numFmtId="0" fontId="83" fillId="0" borderId="0" xfId="1511"/>
    <xf numFmtId="44" fontId="39" fillId="3" borderId="12" xfId="1511" applyNumberFormat="1" applyFont="1" applyFill="1" applyBorder="1"/>
    <xf numFmtId="44" fontId="33" fillId="0" borderId="0" xfId="17" applyNumberFormat="1" applyFont="1" applyBorder="1"/>
    <xf numFmtId="0" fontId="76" fillId="0" borderId="0" xfId="1511" applyFont="1" applyAlignment="1">
      <alignment horizontal="right"/>
    </xf>
    <xf numFmtId="44" fontId="33" fillId="0" borderId="0" xfId="1511" applyNumberFormat="1" applyFont="1"/>
    <xf numFmtId="168" fontId="33" fillId="0" borderId="0" xfId="1511" applyNumberFormat="1" applyFont="1"/>
    <xf numFmtId="0" fontId="33" fillId="0" borderId="0" xfId="1511" applyFont="1" applyAlignment="1">
      <alignment horizontal="right"/>
    </xf>
    <xf numFmtId="0" fontId="74" fillId="0" borderId="0" xfId="1511" applyFont="1"/>
    <xf numFmtId="0" fontId="84" fillId="22" borderId="24" xfId="0" applyFont="1" applyFill="1" applyBorder="1"/>
    <xf numFmtId="0" fontId="70" fillId="0" borderId="110" xfId="0" applyFont="1" applyBorder="1"/>
    <xf numFmtId="0" fontId="33" fillId="3" borderId="0" xfId="0" applyFont="1" applyFill="1"/>
    <xf numFmtId="44" fontId="33" fillId="3" borderId="0" xfId="6" applyNumberFormat="1" applyFont="1" applyFill="1" applyBorder="1"/>
    <xf numFmtId="0" fontId="22" fillId="3" borderId="0" xfId="0" applyFont="1" applyFill="1"/>
    <xf numFmtId="170" fontId="33" fillId="4" borderId="0" xfId="6" applyNumberFormat="1" applyFont="1" applyFill="1" applyBorder="1"/>
    <xf numFmtId="44" fontId="33" fillId="4" borderId="0" xfId="6" applyNumberFormat="1" applyFont="1" applyFill="1" applyBorder="1"/>
    <xf numFmtId="0" fontId="41" fillId="22" borderId="0" xfId="0" applyFont="1" applyFill="1"/>
    <xf numFmtId="0" fontId="0" fillId="3" borderId="0" xfId="0" applyFill="1"/>
    <xf numFmtId="172" fontId="82" fillId="3" borderId="0" xfId="0" applyNumberFormat="1" applyFont="1" applyFill="1"/>
    <xf numFmtId="44" fontId="33" fillId="4" borderId="0" xfId="0" applyNumberFormat="1" applyFont="1" applyFill="1"/>
    <xf numFmtId="44" fontId="33" fillId="4" borderId="0" xfId="5" applyNumberFormat="1" applyFont="1" applyFill="1" applyBorder="1"/>
    <xf numFmtId="44" fontId="39" fillId="3" borderId="13" xfId="1511" applyNumberFormat="1" applyFont="1" applyFill="1" applyBorder="1"/>
    <xf numFmtId="165" fontId="33" fillId="3" borderId="0" xfId="4" applyNumberFormat="1" applyFont="1" applyFill="1" applyBorder="1"/>
    <xf numFmtId="167" fontId="33" fillId="3" borderId="0" xfId="9" applyFont="1" applyFill="1" applyBorder="1"/>
    <xf numFmtId="44" fontId="33" fillId="3" borderId="0" xfId="0" applyNumberFormat="1" applyFont="1" applyFill="1"/>
    <xf numFmtId="0" fontId="33" fillId="22" borderId="0" xfId="11" applyFont="1" applyFill="1"/>
    <xf numFmtId="44" fontId="33" fillId="24" borderId="0" xfId="7" applyNumberFormat="1" applyFont="1" applyFill="1" applyBorder="1"/>
    <xf numFmtId="44" fontId="33" fillId="24" borderId="0" xfId="9" applyNumberFormat="1" applyFont="1" applyFill="1" applyBorder="1"/>
    <xf numFmtId="44" fontId="33" fillId="3" borderId="0" xfId="5" applyNumberFormat="1" applyFont="1" applyFill="1" applyBorder="1"/>
    <xf numFmtId="0" fontId="31" fillId="3" borderId="0" xfId="0" applyFont="1" applyFill="1"/>
    <xf numFmtId="44" fontId="33" fillId="22" borderId="0" xfId="0" applyNumberFormat="1" applyFont="1" applyFill="1"/>
    <xf numFmtId="44" fontId="33" fillId="22" borderId="0" xfId="5" applyNumberFormat="1" applyFont="1" applyFill="1" applyBorder="1"/>
    <xf numFmtId="44" fontId="33" fillId="3" borderId="0" xfId="5" applyNumberFormat="1" applyFont="1" applyFill="1" applyBorder="1" applyAlignment="1">
      <alignment horizontal="left"/>
    </xf>
    <xf numFmtId="44" fontId="33" fillId="3" borderId="0" xfId="5" applyNumberFormat="1" applyFont="1" applyFill="1" applyBorder="1" applyAlignment="1">
      <alignment horizontal="right"/>
    </xf>
    <xf numFmtId="44" fontId="33" fillId="3" borderId="0" xfId="17" applyNumberFormat="1" applyFont="1" applyFill="1" applyBorder="1"/>
    <xf numFmtId="0" fontId="82" fillId="3" borderId="0" xfId="0" applyFont="1" applyFill="1"/>
    <xf numFmtId="0" fontId="80" fillId="3" borderId="0" xfId="0" applyFont="1" applyFill="1"/>
    <xf numFmtId="44" fontId="33" fillId="3" borderId="0" xfId="23" applyNumberFormat="1" applyFont="1" applyFill="1"/>
    <xf numFmtId="167" fontId="33" fillId="3" borderId="0" xfId="5" applyFont="1" applyFill="1" applyBorder="1"/>
    <xf numFmtId="167" fontId="33" fillId="3" borderId="0" xfId="5" applyFont="1" applyFill="1" applyBorder="1" applyAlignment="1"/>
    <xf numFmtId="167" fontId="33" fillId="3" borderId="0" xfId="0" applyNumberFormat="1" applyFont="1" applyFill="1"/>
    <xf numFmtId="44" fontId="44" fillId="3" borderId="0" xfId="5" applyNumberFormat="1" applyFont="1" applyFill="1" applyBorder="1"/>
    <xf numFmtId="44" fontId="44" fillId="3" borderId="31" xfId="5" applyNumberFormat="1" applyFont="1" applyFill="1" applyBorder="1"/>
    <xf numFmtId="44" fontId="44" fillId="3" borderId="32" xfId="5" applyNumberFormat="1" applyFont="1" applyFill="1" applyBorder="1"/>
    <xf numFmtId="44" fontId="33" fillId="3" borderId="38" xfId="5" applyNumberFormat="1" applyFont="1" applyFill="1" applyBorder="1"/>
    <xf numFmtId="44" fontId="33" fillId="3" borderId="120" xfId="5" applyNumberFormat="1" applyFont="1" applyFill="1" applyBorder="1"/>
    <xf numFmtId="168" fontId="33" fillId="22" borderId="0" xfId="0" applyNumberFormat="1" applyFont="1" applyFill="1"/>
    <xf numFmtId="0" fontId="33" fillId="3" borderId="0" xfId="1511" applyFont="1" applyFill="1"/>
    <xf numFmtId="44" fontId="33" fillId="3" borderId="0" xfId="1511" applyNumberFormat="1" applyFont="1" applyFill="1"/>
    <xf numFmtId="168" fontId="33" fillId="22" borderId="0" xfId="1511" applyNumberFormat="1" applyFont="1" applyFill="1"/>
    <xf numFmtId="0" fontId="88" fillId="0" borderId="0" xfId="0" applyFont="1"/>
    <xf numFmtId="44" fontId="33" fillId="0" borderId="0" xfId="6" applyNumberFormat="1" applyFont="1" applyFill="1"/>
    <xf numFmtId="44" fontId="41" fillId="0" borderId="125" xfId="0" applyNumberFormat="1" applyFont="1" applyBorder="1"/>
    <xf numFmtId="44" fontId="68" fillId="0" borderId="0" xfId="5" applyNumberFormat="1" applyFont="1" applyFill="1" applyBorder="1"/>
    <xf numFmtId="167" fontId="42" fillId="0" borderId="0" xfId="7" applyFont="1" applyFill="1" applyBorder="1"/>
    <xf numFmtId="0" fontId="33" fillId="0" borderId="11" xfId="0" applyFont="1" applyBorder="1"/>
    <xf numFmtId="44" fontId="33" fillId="0" borderId="0" xfId="5" applyNumberFormat="1" applyFont="1" applyBorder="1"/>
    <xf numFmtId="44" fontId="33" fillId="0" borderId="0" xfId="0" applyNumberFormat="1" applyFont="1"/>
    <xf numFmtId="44" fontId="33" fillId="0" borderId="0" xfId="17" applyNumberFormat="1" applyFont="1" applyFill="1"/>
    <xf numFmtId="167" fontId="33" fillId="0" borderId="0" xfId="5" applyFont="1" applyFill="1" applyBorder="1" applyAlignment="1"/>
    <xf numFmtId="0" fontId="33" fillId="0" borderId="23" xfId="0" applyFont="1" applyBorder="1"/>
    <xf numFmtId="169" fontId="0" fillId="0" borderId="0" xfId="0" applyNumberFormat="1"/>
    <xf numFmtId="167" fontId="22" fillId="0" borderId="0" xfId="0" applyNumberFormat="1" applyFont="1"/>
    <xf numFmtId="44" fontId="39" fillId="3" borderId="8" xfId="0" applyNumberFormat="1" applyFont="1" applyFill="1" applyBorder="1"/>
    <xf numFmtId="44" fontId="87" fillId="0" borderId="0" xfId="5" applyNumberFormat="1" applyFont="1" applyFill="1"/>
    <xf numFmtId="168" fontId="89" fillId="22" borderId="0" xfId="0" applyNumberFormat="1" applyFont="1" applyFill="1"/>
    <xf numFmtId="167" fontId="38" fillId="0" borderId="27" xfId="0" applyNumberFormat="1" applyFont="1" applyBorder="1"/>
    <xf numFmtId="167" fontId="39" fillId="3" borderId="13" xfId="0" applyNumberFormat="1" applyFont="1" applyFill="1" applyBorder="1"/>
    <xf numFmtId="167" fontId="87" fillId="0" borderId="0" xfId="5" applyFont="1" applyFill="1" applyBorder="1"/>
    <xf numFmtId="0" fontId="38" fillId="0" borderId="6" xfId="0" applyFont="1" applyBorder="1" applyAlignment="1">
      <alignment horizontal="right"/>
    </xf>
    <xf numFmtId="167" fontId="38" fillId="0" borderId="10" xfId="0" applyNumberFormat="1" applyFont="1" applyBorder="1"/>
    <xf numFmtId="167" fontId="39" fillId="3" borderId="35" xfId="5" applyFont="1" applyFill="1" applyBorder="1"/>
    <xf numFmtId="167" fontId="90" fillId="0" borderId="0" xfId="0" applyNumberFormat="1" applyFont="1"/>
    <xf numFmtId="0" fontId="90" fillId="0" borderId="0" xfId="0" applyFont="1"/>
    <xf numFmtId="167" fontId="41" fillId="0" borderId="125" xfId="0" applyNumberFormat="1" applyFont="1" applyBorder="1"/>
    <xf numFmtId="0" fontId="75" fillId="0" borderId="0" xfId="10" applyFont="1" applyAlignment="1">
      <alignment horizontal="right"/>
    </xf>
    <xf numFmtId="44" fontId="43" fillId="0" borderId="0" xfId="5" applyNumberFormat="1" applyFont="1" applyFill="1" applyBorder="1" applyAlignment="1">
      <alignment horizontal="right"/>
    </xf>
    <xf numFmtId="44" fontId="43" fillId="0" borderId="0" xfId="5" applyNumberFormat="1" applyFont="1" applyFill="1"/>
    <xf numFmtId="0" fontId="75" fillId="0" borderId="0" xfId="1511" applyFont="1" applyAlignment="1">
      <alignment horizontal="right"/>
    </xf>
    <xf numFmtId="0" fontId="91" fillId="0" borderId="0" xfId="0" applyFont="1"/>
    <xf numFmtId="44" fontId="91" fillId="0" borderId="0" xfId="0" applyNumberFormat="1" applyFont="1" applyAlignment="1">
      <alignment horizontal="right"/>
    </xf>
    <xf numFmtId="44" fontId="91" fillId="0" borderId="0" xfId="0" applyNumberFormat="1" applyFont="1"/>
    <xf numFmtId="44" fontId="75" fillId="0" borderId="0" xfId="0" applyNumberFormat="1" applyFont="1" applyAlignment="1">
      <alignment horizontal="right"/>
    </xf>
    <xf numFmtId="0" fontId="75" fillId="0" borderId="0" xfId="23" applyFont="1" applyAlignment="1">
      <alignment horizontal="right"/>
    </xf>
    <xf numFmtId="44" fontId="75" fillId="0" borderId="0" xfId="17" applyNumberFormat="1" applyFont="1" applyFill="1" applyBorder="1" applyAlignment="1">
      <alignment horizontal="right"/>
    </xf>
    <xf numFmtId="170" fontId="33" fillId="0" borderId="0" xfId="0" applyNumberFormat="1" applyFont="1"/>
    <xf numFmtId="44" fontId="33" fillId="0" borderId="0" xfId="6" applyNumberFormat="1" applyFont="1"/>
    <xf numFmtId="167" fontId="33" fillId="0" borderId="0" xfId="6" applyFont="1" applyBorder="1"/>
    <xf numFmtId="0" fontId="73" fillId="21" borderId="0" xfId="0" applyFont="1" applyFill="1" applyAlignment="1">
      <alignment horizontal="center"/>
    </xf>
    <xf numFmtId="0" fontId="8" fillId="0" borderId="0" xfId="2239"/>
    <xf numFmtId="167" fontId="8" fillId="0" borderId="13" xfId="2239" applyNumberFormat="1" applyBorder="1"/>
    <xf numFmtId="167" fontId="8" fillId="0" borderId="125" xfId="2239" applyNumberFormat="1" applyBorder="1"/>
    <xf numFmtId="0" fontId="78" fillId="22" borderId="0" xfId="2239" applyFont="1" applyFill="1"/>
    <xf numFmtId="0" fontId="8" fillId="0" borderId="12" xfId="2239" applyBorder="1"/>
    <xf numFmtId="0" fontId="93" fillId="0" borderId="128" xfId="2239" applyFont="1" applyBorder="1"/>
    <xf numFmtId="0" fontId="68" fillId="0" borderId="0" xfId="2239" applyFont="1"/>
    <xf numFmtId="0" fontId="95" fillId="0" borderId="0" xfId="2239" applyFont="1"/>
    <xf numFmtId="0" fontId="96" fillId="26" borderId="0" xfId="2239" applyFont="1" applyFill="1"/>
    <xf numFmtId="0" fontId="93" fillId="0" borderId="0" xfId="2239" applyFont="1"/>
    <xf numFmtId="0" fontId="0" fillId="0" borderId="7" xfId="0" applyBorder="1"/>
    <xf numFmtId="167" fontId="98" fillId="26" borderId="128" xfId="5" applyFont="1" applyFill="1" applyBorder="1"/>
    <xf numFmtId="0" fontId="0" fillId="26" borderId="128" xfId="0" applyFill="1" applyBorder="1"/>
    <xf numFmtId="167" fontId="90" fillId="26" borderId="128" xfId="0" applyNumberFormat="1" applyFont="1" applyFill="1" applyBorder="1"/>
    <xf numFmtId="0" fontId="90" fillId="26" borderId="128" xfId="0" applyFont="1" applyFill="1" applyBorder="1"/>
    <xf numFmtId="167" fontId="97" fillId="26" borderId="128" xfId="5" applyFont="1" applyFill="1" applyBorder="1"/>
    <xf numFmtId="167" fontId="97" fillId="26" borderId="128" xfId="0" applyNumberFormat="1" applyFont="1" applyFill="1" applyBorder="1"/>
    <xf numFmtId="167" fontId="8" fillId="0" borderId="0" xfId="2239" applyNumberFormat="1"/>
    <xf numFmtId="0" fontId="22" fillId="0" borderId="0" xfId="23"/>
    <xf numFmtId="167" fontId="22" fillId="0" borderId="0" xfId="23" applyNumberFormat="1"/>
    <xf numFmtId="6" fontId="22" fillId="0" borderId="0" xfId="23" applyNumberFormat="1"/>
    <xf numFmtId="44" fontId="97" fillId="0" borderId="125" xfId="2243" applyFont="1" applyBorder="1"/>
    <xf numFmtId="44" fontId="79" fillId="3" borderId="13" xfId="23" applyNumberFormat="1" applyFont="1" applyFill="1" applyBorder="1"/>
    <xf numFmtId="44" fontId="79" fillId="3" borderId="12" xfId="23" applyNumberFormat="1" applyFont="1" applyFill="1" applyBorder="1"/>
    <xf numFmtId="44" fontId="33" fillId="0" borderId="0" xfId="2239" applyNumberFormat="1" applyFont="1"/>
    <xf numFmtId="0" fontId="22" fillId="0" borderId="0" xfId="2239" applyFont="1"/>
    <xf numFmtId="44" fontId="33" fillId="3" borderId="0" xfId="17" applyNumberFormat="1" applyFont="1" applyFill="1"/>
    <xf numFmtId="44" fontId="33" fillId="0" borderId="0" xfId="2243" applyFont="1" applyFill="1"/>
    <xf numFmtId="44" fontId="33" fillId="27" borderId="0" xfId="17" applyNumberFormat="1" applyFont="1" applyFill="1" applyBorder="1"/>
    <xf numFmtId="44" fontId="68" fillId="0" borderId="0" xfId="2243" applyFont="1" applyFill="1"/>
    <xf numFmtId="0" fontId="86" fillId="22" borderId="130" xfId="19" applyFont="1" applyFill="1" applyBorder="1"/>
    <xf numFmtId="0" fontId="86" fillId="22" borderId="25" xfId="19" applyFont="1" applyFill="1" applyBorder="1"/>
    <xf numFmtId="8" fontId="33" fillId="0" borderId="0" xfId="17" applyNumberFormat="1" applyFont="1" applyFill="1" applyBorder="1"/>
    <xf numFmtId="44" fontId="22" fillId="0" borderId="0" xfId="2243" applyFont="1"/>
    <xf numFmtId="44" fontId="79" fillId="3" borderId="12" xfId="2243" applyFont="1" applyFill="1" applyBorder="1"/>
    <xf numFmtId="44" fontId="0" fillId="0" borderId="0" xfId="2243" applyFont="1"/>
    <xf numFmtId="44" fontId="22" fillId="3" borderId="0" xfId="2243" applyFont="1" applyFill="1"/>
    <xf numFmtId="167" fontId="0" fillId="0" borderId="0" xfId="17" applyFont="1"/>
    <xf numFmtId="44" fontId="86" fillId="22" borderId="130" xfId="2243" applyFont="1" applyFill="1" applyBorder="1" applyAlignment="1"/>
    <xf numFmtId="0" fontId="91" fillId="0" borderId="0" xfId="23" applyFont="1"/>
    <xf numFmtId="0" fontId="86" fillId="22" borderId="0" xfId="19" applyFont="1" applyFill="1"/>
    <xf numFmtId="8" fontId="33" fillId="0" borderId="0" xfId="17" applyNumberFormat="1" applyFont="1" applyFill="1"/>
    <xf numFmtId="0" fontId="22" fillId="2" borderId="0" xfId="23" applyFill="1"/>
    <xf numFmtId="44" fontId="22" fillId="0" borderId="125" xfId="2243" applyFont="1" applyFill="1" applyBorder="1"/>
    <xf numFmtId="167" fontId="0" fillId="0" borderId="0" xfId="17" applyFont="1" applyFill="1"/>
    <xf numFmtId="44" fontId="22" fillId="0" borderId="0" xfId="2243" applyFont="1" applyFill="1"/>
    <xf numFmtId="167" fontId="33" fillId="0" borderId="0" xfId="17" applyFont="1"/>
    <xf numFmtId="44" fontId="33" fillId="0" borderId="0" xfId="17" applyNumberFormat="1" applyFont="1" applyFill="1" applyBorder="1" applyAlignment="1" applyProtection="1"/>
    <xf numFmtId="0" fontId="22" fillId="0" borderId="0" xfId="2244" applyFont="1"/>
    <xf numFmtId="0" fontId="22" fillId="3" borderId="0" xfId="2244" applyFont="1" applyFill="1"/>
    <xf numFmtId="168" fontId="22" fillId="0" borderId="0" xfId="2244" applyNumberFormat="1" applyFont="1"/>
    <xf numFmtId="0" fontId="22" fillId="0" borderId="0" xfId="2244" applyFont="1" applyAlignment="1">
      <alignment horizontal="center"/>
    </xf>
    <xf numFmtId="0" fontId="22" fillId="0" borderId="0" xfId="2244" applyFont="1" applyAlignment="1">
      <alignment horizontal="left"/>
    </xf>
    <xf numFmtId="172" fontId="82" fillId="0" borderId="0" xfId="2244" applyNumberFormat="1" applyFont="1"/>
    <xf numFmtId="172" fontId="82" fillId="3" borderId="0" xfId="2244" applyNumberFormat="1" applyFont="1" applyFill="1"/>
    <xf numFmtId="0" fontId="82" fillId="0" borderId="0" xfId="2244" applyFont="1"/>
    <xf numFmtId="165" fontId="22" fillId="0" borderId="0" xfId="2244" applyNumberFormat="1" applyFont="1"/>
    <xf numFmtId="0" fontId="42" fillId="0" borderId="0" xfId="2244" applyFont="1"/>
    <xf numFmtId="44" fontId="39" fillId="3" borderId="12" xfId="2244" applyNumberFormat="1" applyFont="1" applyFill="1" applyBorder="1"/>
    <xf numFmtId="0" fontId="33" fillId="0" borderId="0" xfId="2244" applyFont="1"/>
    <xf numFmtId="0" fontId="33" fillId="0" borderId="4" xfId="2244" applyFont="1" applyBorder="1"/>
    <xf numFmtId="167" fontId="42" fillId="0" borderId="0" xfId="2244" applyNumberFormat="1" applyFont="1"/>
    <xf numFmtId="0" fontId="42" fillId="0" borderId="0" xfId="2244" applyFont="1" applyAlignment="1">
      <alignment horizontal="right"/>
    </xf>
    <xf numFmtId="167" fontId="42" fillId="0" borderId="0" xfId="14" applyNumberFormat="1" applyFont="1" applyFill="1" applyBorder="1"/>
    <xf numFmtId="167" fontId="42" fillId="3" borderId="0" xfId="14" applyNumberFormat="1" applyFont="1" applyFill="1" applyBorder="1"/>
    <xf numFmtId="0" fontId="76" fillId="0" borderId="0" xfId="2244" applyFont="1" applyAlignment="1">
      <alignment horizontal="right"/>
    </xf>
    <xf numFmtId="44" fontId="42" fillId="0" borderId="0" xfId="2244" applyNumberFormat="1" applyFont="1"/>
    <xf numFmtId="0" fontId="33" fillId="22" borderId="0" xfId="2244" applyFont="1" applyFill="1"/>
    <xf numFmtId="44" fontId="33" fillId="0" borderId="0" xfId="2244" applyNumberFormat="1" applyFont="1"/>
    <xf numFmtId="44" fontId="33" fillId="3" borderId="0" xfId="2244" applyNumberFormat="1" applyFont="1" applyFill="1"/>
    <xf numFmtId="170" fontId="33" fillId="0" borderId="0" xfId="14" applyNumberFormat="1" applyFont="1" applyFill="1" applyBorder="1"/>
    <xf numFmtId="170" fontId="33" fillId="22" borderId="0" xfId="14" applyNumberFormat="1" applyFont="1" applyFill="1" applyBorder="1"/>
    <xf numFmtId="0" fontId="74" fillId="0" borderId="0" xfId="2244" applyFont="1"/>
    <xf numFmtId="44" fontId="39" fillId="0" borderId="7" xfId="0" applyNumberFormat="1" applyFont="1" applyBorder="1"/>
    <xf numFmtId="174" fontId="33" fillId="0" borderId="0" xfId="6" applyNumberFormat="1" applyFont="1" applyFill="1"/>
    <xf numFmtId="44" fontId="33" fillId="25" borderId="0" xfId="6" applyNumberFormat="1" applyFont="1" applyFill="1" applyBorder="1"/>
    <xf numFmtId="167" fontId="33" fillId="0" borderId="0" xfId="5" applyFont="1" applyBorder="1"/>
    <xf numFmtId="0" fontId="33" fillId="0" borderId="0" xfId="0" applyFont="1" applyAlignment="1">
      <alignment horizontal="right"/>
    </xf>
    <xf numFmtId="0" fontId="24" fillId="0" borderId="0" xfId="10"/>
    <xf numFmtId="0" fontId="0" fillId="0" borderId="129" xfId="0" applyBorder="1"/>
    <xf numFmtId="44" fontId="33" fillId="0" borderId="126" xfId="6" applyNumberFormat="1" applyFont="1" applyFill="1" applyBorder="1"/>
    <xf numFmtId="9" fontId="22" fillId="0" borderId="0" xfId="2245" applyFont="1" applyFill="1" applyBorder="1"/>
    <xf numFmtId="9" fontId="0" fillId="0" borderId="0" xfId="2245" applyFont="1"/>
    <xf numFmtId="9" fontId="22" fillId="0" borderId="0" xfId="2245" applyFont="1"/>
    <xf numFmtId="0" fontId="78" fillId="22" borderId="125" xfId="2239" applyFont="1" applyFill="1" applyBorder="1"/>
    <xf numFmtId="167" fontId="0" fillId="0" borderId="129" xfId="5" applyFont="1" applyBorder="1"/>
    <xf numFmtId="0" fontId="78" fillId="22" borderId="131" xfId="2239" applyFont="1" applyFill="1" applyBorder="1"/>
    <xf numFmtId="167" fontId="0" fillId="0" borderId="35" xfId="5" applyFont="1" applyBorder="1"/>
    <xf numFmtId="167" fontId="8" fillId="0" borderId="129" xfId="2239" applyNumberFormat="1" applyBorder="1"/>
    <xf numFmtId="0" fontId="33" fillId="0" borderId="129" xfId="0" applyFont="1" applyBorder="1"/>
    <xf numFmtId="0" fontId="33" fillId="0" borderId="132" xfId="0" applyFont="1" applyBorder="1"/>
    <xf numFmtId="167" fontId="22" fillId="3" borderId="125" xfId="5" applyFill="1" applyBorder="1"/>
    <xf numFmtId="0" fontId="0" fillId="0" borderId="0" xfId="0" applyAlignment="1">
      <alignment horizontal="right"/>
    </xf>
    <xf numFmtId="0" fontId="78" fillId="22" borderId="133" xfId="2239" applyFont="1" applyFill="1" applyBorder="1"/>
    <xf numFmtId="167" fontId="0" fillId="0" borderId="24" xfId="2240" applyFont="1" applyBorder="1"/>
    <xf numFmtId="0" fontId="8" fillId="0" borderId="126" xfId="2239" applyBorder="1"/>
    <xf numFmtId="167" fontId="0" fillId="0" borderId="126" xfId="2240" applyFont="1" applyBorder="1"/>
    <xf numFmtId="166" fontId="8" fillId="0" borderId="0" xfId="2239" applyNumberFormat="1"/>
    <xf numFmtId="167" fontId="8" fillId="29" borderId="0" xfId="2239" applyNumberFormat="1" applyFill="1"/>
    <xf numFmtId="0" fontId="97" fillId="0" borderId="0" xfId="0" applyFont="1"/>
    <xf numFmtId="167" fontId="39" fillId="3" borderId="118" xfId="5" applyFont="1" applyFill="1" applyBorder="1"/>
    <xf numFmtId="0" fontId="72" fillId="22" borderId="134" xfId="0" applyFont="1" applyFill="1" applyBorder="1"/>
    <xf numFmtId="44" fontId="39" fillId="3" borderId="7" xfId="0" applyNumberFormat="1" applyFont="1" applyFill="1" applyBorder="1"/>
    <xf numFmtId="167" fontId="42" fillId="0" borderId="0" xfId="1" applyNumberFormat="1" applyFont="1" applyFill="1" applyBorder="1"/>
    <xf numFmtId="167" fontId="42" fillId="0" borderId="0" xfId="5" applyFont="1" applyFill="1" applyBorder="1"/>
    <xf numFmtId="167" fontId="42" fillId="0" borderId="0" xfId="17" applyFont="1" applyFill="1" applyBorder="1"/>
    <xf numFmtId="167" fontId="39" fillId="3" borderId="13" xfId="5" applyFont="1" applyFill="1" applyBorder="1"/>
    <xf numFmtId="167" fontId="79" fillId="3" borderId="13" xfId="5" applyFont="1" applyFill="1" applyBorder="1"/>
    <xf numFmtId="0" fontId="33" fillId="4" borderId="0" xfId="0" applyFont="1" applyFill="1"/>
    <xf numFmtId="44" fontId="39" fillId="23" borderId="13" xfId="0" applyNumberFormat="1" applyFont="1" applyFill="1" applyBorder="1"/>
    <xf numFmtId="44" fontId="33" fillId="23" borderId="0" xfId="17" applyNumberFormat="1" applyFont="1" applyFill="1" applyBorder="1"/>
    <xf numFmtId="44" fontId="33" fillId="0" borderId="23" xfId="17" applyNumberFormat="1" applyFont="1" applyFill="1" applyBorder="1"/>
    <xf numFmtId="44" fontId="33" fillId="0" borderId="28" xfId="17" applyNumberFormat="1" applyFont="1" applyFill="1" applyBorder="1"/>
    <xf numFmtId="44" fontId="33" fillId="23" borderId="32" xfId="17" applyNumberFormat="1" applyFont="1" applyFill="1" applyBorder="1"/>
    <xf numFmtId="44" fontId="33" fillId="0" borderId="36" xfId="17" applyNumberFormat="1" applyFont="1" applyFill="1" applyBorder="1"/>
    <xf numFmtId="44" fontId="33" fillId="0" borderId="38" xfId="17" applyNumberFormat="1" applyFont="1" applyFill="1" applyBorder="1"/>
    <xf numFmtId="44" fontId="33" fillId="0" borderId="110" xfId="17" applyNumberFormat="1" applyFont="1" applyFill="1" applyBorder="1"/>
    <xf numFmtId="44" fontId="33" fillId="0" borderId="136" xfId="17" applyNumberFormat="1" applyFont="1" applyFill="1" applyBorder="1"/>
    <xf numFmtId="0" fontId="33" fillId="0" borderId="34" xfId="0" applyFont="1" applyBorder="1"/>
    <xf numFmtId="44" fontId="33" fillId="0" borderId="29" xfId="17" applyNumberFormat="1" applyFont="1" applyFill="1" applyBorder="1"/>
    <xf numFmtId="44" fontId="33" fillId="0" borderId="37" xfId="17" applyNumberFormat="1" applyFont="1" applyFill="1" applyBorder="1"/>
    <xf numFmtId="44" fontId="33" fillId="0" borderId="137" xfId="17" applyNumberFormat="1" applyFont="1" applyFill="1" applyBorder="1"/>
    <xf numFmtId="44" fontId="33" fillId="0" borderId="138" xfId="17" applyNumberFormat="1" applyFont="1" applyFill="1" applyBorder="1"/>
    <xf numFmtId="44" fontId="33" fillId="0" borderId="139" xfId="17" applyNumberFormat="1" applyFont="1" applyFill="1" applyBorder="1"/>
    <xf numFmtId="172" fontId="82" fillId="23" borderId="0" xfId="0" applyNumberFormat="1" applyFont="1" applyFill="1"/>
    <xf numFmtId="44" fontId="33" fillId="0" borderId="33" xfId="17" applyNumberFormat="1" applyFont="1" applyFill="1" applyBorder="1"/>
    <xf numFmtId="44" fontId="42" fillId="0" borderId="0" xfId="6" applyNumberFormat="1" applyFont="1" applyFill="1" applyBorder="1"/>
    <xf numFmtId="167" fontId="44" fillId="0" borderId="0" xfId="5" applyFont="1" applyFill="1" applyBorder="1"/>
    <xf numFmtId="0" fontId="33" fillId="2" borderId="0" xfId="0" applyFont="1" applyFill="1"/>
    <xf numFmtId="167" fontId="33" fillId="2" borderId="0" xfId="5" applyFont="1" applyFill="1" applyBorder="1"/>
    <xf numFmtId="0" fontId="101" fillId="0" borderId="0" xfId="2239" applyFont="1"/>
    <xf numFmtId="167" fontId="93" fillId="0" borderId="0" xfId="2239" applyNumberFormat="1" applyFont="1"/>
    <xf numFmtId="167" fontId="22" fillId="3" borderId="0" xfId="5" applyFont="1" applyFill="1"/>
    <xf numFmtId="44" fontId="0" fillId="3" borderId="0" xfId="2243" applyFont="1" applyFill="1" applyBorder="1" applyAlignment="1"/>
    <xf numFmtId="167" fontId="22" fillId="3" borderId="0" xfId="5" applyFont="1" applyFill="1" applyBorder="1" applyAlignment="1"/>
    <xf numFmtId="0" fontId="103" fillId="0" borderId="0" xfId="2239" applyFont="1"/>
    <xf numFmtId="0" fontId="93" fillId="0" borderId="135" xfId="2239" applyFont="1" applyBorder="1"/>
    <xf numFmtId="167" fontId="8" fillId="0" borderId="135" xfId="2239" applyNumberFormat="1" applyBorder="1"/>
    <xf numFmtId="167" fontId="93" fillId="0" borderId="110" xfId="2239" applyNumberFormat="1" applyFont="1" applyBorder="1" applyAlignment="1">
      <alignment horizontal="left"/>
    </xf>
    <xf numFmtId="0" fontId="8" fillId="0" borderId="110" xfId="2239" applyBorder="1"/>
    <xf numFmtId="44" fontId="33" fillId="0" borderId="125" xfId="0" applyNumberFormat="1" applyFont="1" applyBorder="1"/>
    <xf numFmtId="0" fontId="0" fillId="0" borderId="0" xfId="0" applyAlignment="1">
      <alignment horizontal="center"/>
    </xf>
    <xf numFmtId="167" fontId="98" fillId="0" borderId="0" xfId="5" applyFont="1" applyFill="1" applyBorder="1"/>
    <xf numFmtId="44" fontId="0" fillId="3" borderId="0" xfId="2243" applyFont="1" applyFill="1"/>
    <xf numFmtId="167" fontId="39" fillId="3" borderId="8" xfId="5" applyFont="1" applyFill="1" applyBorder="1"/>
    <xf numFmtId="167" fontId="93" fillId="0" borderId="128" xfId="2239" applyNumberFormat="1" applyFont="1" applyBorder="1"/>
    <xf numFmtId="167" fontId="97" fillId="0" borderId="128" xfId="2240" applyFont="1" applyBorder="1"/>
    <xf numFmtId="0" fontId="104" fillId="0" borderId="0" xfId="2239" applyFont="1"/>
    <xf numFmtId="9" fontId="33" fillId="0" borderId="0" xfId="2245" applyFont="1" applyFill="1" applyBorder="1"/>
    <xf numFmtId="0" fontId="86" fillId="22" borderId="0" xfId="0" applyFont="1" applyFill="1"/>
    <xf numFmtId="44" fontId="33" fillId="0" borderId="0" xfId="6" applyNumberFormat="1" applyFont="1" applyFill="1" applyBorder="1" applyAlignment="1">
      <alignment horizontal="right" indent="1"/>
    </xf>
    <xf numFmtId="0" fontId="33" fillId="0" borderId="0" xfId="0" applyFont="1" applyAlignment="1">
      <alignment horizontal="left" indent="1"/>
    </xf>
    <xf numFmtId="0" fontId="75" fillId="2" borderId="0" xfId="0" applyFont="1" applyFill="1" applyAlignment="1">
      <alignment horizontal="right"/>
    </xf>
    <xf numFmtId="0" fontId="76" fillId="2" borderId="0" xfId="0" applyFont="1" applyFill="1" applyAlignment="1">
      <alignment horizontal="right"/>
    </xf>
    <xf numFmtId="44" fontId="33" fillId="0" borderId="0" xfId="18" applyNumberFormat="1" applyFont="1" applyFill="1" applyBorder="1"/>
    <xf numFmtId="169" fontId="33" fillId="0" borderId="0" xfId="23" applyNumberFormat="1" applyFont="1"/>
    <xf numFmtId="0" fontId="33" fillId="2" borderId="0" xfId="23" applyFont="1" applyFill="1"/>
    <xf numFmtId="175" fontId="0" fillId="0" borderId="0" xfId="2245" applyNumberFormat="1" applyFont="1"/>
    <xf numFmtId="44" fontId="75" fillId="0" borderId="0" xfId="5" applyNumberFormat="1" applyFont="1" applyFill="1" applyBorder="1" applyAlignment="1">
      <alignment horizontal="right"/>
    </xf>
    <xf numFmtId="44" fontId="79" fillId="3" borderId="132" xfId="23" applyNumberFormat="1" applyFont="1" applyFill="1" applyBorder="1"/>
    <xf numFmtId="0" fontId="86" fillId="22" borderId="24" xfId="11" applyFont="1" applyFill="1" applyBorder="1"/>
    <xf numFmtId="0" fontId="22" fillId="0" borderId="0" xfId="23" applyAlignment="1">
      <alignment horizontal="left" indent="1"/>
    </xf>
    <xf numFmtId="0" fontId="94" fillId="22" borderId="126" xfId="2239" applyFont="1" applyFill="1" applyBorder="1"/>
    <xf numFmtId="167" fontId="8" fillId="0" borderId="134" xfId="2239" applyNumberFormat="1" applyBorder="1"/>
    <xf numFmtId="0" fontId="22" fillId="0" borderId="141" xfId="0" applyFont="1" applyBorder="1"/>
    <xf numFmtId="167" fontId="0" fillId="0" borderId="134" xfId="5" applyFont="1" applyBorder="1"/>
    <xf numFmtId="167" fontId="0" fillId="0" borderId="126" xfId="5" applyFont="1" applyBorder="1"/>
    <xf numFmtId="0" fontId="93" fillId="0" borderId="133" xfId="2239" applyFont="1" applyBorder="1" applyAlignment="1">
      <alignment horizontal="right"/>
    </xf>
    <xf numFmtId="167" fontId="97" fillId="0" borderId="129" xfId="2240" applyFont="1" applyBorder="1"/>
    <xf numFmtId="167" fontId="93" fillId="0" borderId="132" xfId="2239" applyNumberFormat="1" applyFont="1" applyBorder="1"/>
    <xf numFmtId="0" fontId="86" fillId="22" borderId="24" xfId="19" applyFont="1" applyFill="1" applyBorder="1"/>
    <xf numFmtId="167" fontId="22" fillId="3" borderId="0" xfId="5" applyFill="1"/>
    <xf numFmtId="44" fontId="68" fillId="0" borderId="0" xfId="0" applyNumberFormat="1" applyFont="1"/>
    <xf numFmtId="167" fontId="68" fillId="0" borderId="0" xfId="0" applyNumberFormat="1" applyFont="1"/>
    <xf numFmtId="44" fontId="33" fillId="0" borderId="0" xfId="5" applyNumberFormat="1" applyFont="1" applyFill="1" applyBorder="1" applyAlignment="1"/>
    <xf numFmtId="166" fontId="107" fillId="0" borderId="0" xfId="0" applyNumberFormat="1" applyFont="1" applyAlignment="1">
      <alignment wrapText="1"/>
    </xf>
    <xf numFmtId="176" fontId="42" fillId="0" borderId="0" xfId="0" applyNumberFormat="1" applyFont="1"/>
    <xf numFmtId="166" fontId="0" fillId="0" borderId="0" xfId="0" applyNumberFormat="1"/>
    <xf numFmtId="44" fontId="33" fillId="0" borderId="0" xfId="0" applyNumberFormat="1" applyFont="1" applyAlignment="1">
      <alignment horizontal="right"/>
    </xf>
    <xf numFmtId="44" fontId="33" fillId="3" borderId="0" xfId="0" applyNumberFormat="1" applyFont="1" applyFill="1" applyAlignment="1">
      <alignment horizontal="right"/>
    </xf>
    <xf numFmtId="167" fontId="33" fillId="0" borderId="0" xfId="0" applyNumberFormat="1" applyFont="1" applyAlignment="1">
      <alignment horizontal="right"/>
    </xf>
    <xf numFmtId="167" fontId="0" fillId="0" borderId="0" xfId="5" applyFont="1" applyBorder="1"/>
    <xf numFmtId="167" fontId="107" fillId="0" borderId="0" xfId="5" applyFont="1" applyFill="1" applyBorder="1" applyAlignment="1">
      <alignment wrapText="1"/>
    </xf>
    <xf numFmtId="167" fontId="0" fillId="0" borderId="0" xfId="5" applyFont="1" applyFill="1" applyBorder="1"/>
    <xf numFmtId="177" fontId="0" fillId="0" borderId="0" xfId="0" applyNumberFormat="1"/>
    <xf numFmtId="167" fontId="0" fillId="0" borderId="0" xfId="2245" applyNumberFormat="1" applyFont="1"/>
    <xf numFmtId="8" fontId="33" fillId="0" borderId="0" xfId="2239" applyNumberFormat="1" applyFont="1"/>
    <xf numFmtId="167" fontId="107" fillId="2" borderId="0" xfId="5" applyFont="1" applyFill="1" applyBorder="1" applyAlignment="1">
      <alignment wrapText="1"/>
    </xf>
    <xf numFmtId="166" fontId="0" fillId="2" borderId="0" xfId="0" applyNumberFormat="1" applyFill="1"/>
    <xf numFmtId="44" fontId="33" fillId="3" borderId="0" xfId="0" applyNumberFormat="1" applyFont="1" applyFill="1" applyAlignment="1">
      <alignment horizontal="left"/>
    </xf>
    <xf numFmtId="166" fontId="33" fillId="0" borderId="0" xfId="0" applyNumberFormat="1" applyFont="1" applyAlignment="1">
      <alignment horizontal="right"/>
    </xf>
    <xf numFmtId="167" fontId="33" fillId="0" borderId="0" xfId="0" applyNumberFormat="1" applyFont="1" applyAlignment="1">
      <alignment horizontal="left"/>
    </xf>
    <xf numFmtId="0" fontId="33" fillId="0" borderId="0" xfId="0" applyFont="1" applyAlignment="1">
      <alignment horizontal="left" indent="3"/>
    </xf>
    <xf numFmtId="0" fontId="33" fillId="0" borderId="32" xfId="0" applyFont="1" applyBorder="1" applyAlignment="1">
      <alignment horizontal="left" indent="3"/>
    </xf>
    <xf numFmtId="44" fontId="33" fillId="0" borderId="0" xfId="5" quotePrefix="1" applyNumberFormat="1" applyFont="1" applyFill="1"/>
    <xf numFmtId="44" fontId="33" fillId="0" borderId="142" xfId="5" applyNumberFormat="1" applyFont="1" applyFill="1" applyBorder="1"/>
    <xf numFmtId="175" fontId="0" fillId="0" borderId="0" xfId="2245" applyNumberFormat="1" applyFont="1" applyAlignment="1">
      <alignment horizontal="center"/>
    </xf>
    <xf numFmtId="9" fontId="0" fillId="0" borderId="0" xfId="2245" applyFont="1" applyAlignment="1">
      <alignment horizontal="center"/>
    </xf>
    <xf numFmtId="175" fontId="22" fillId="0" borderId="0" xfId="2245" applyNumberFormat="1" applyFont="1" applyFill="1" applyBorder="1"/>
    <xf numFmtId="175" fontId="22" fillId="0" borderId="0" xfId="2245" applyNumberFormat="1" applyFont="1"/>
    <xf numFmtId="9" fontId="33" fillId="0" borderId="0" xfId="0" applyNumberFormat="1" applyFont="1"/>
    <xf numFmtId="44" fontId="33" fillId="0" borderId="126" xfId="5" applyNumberFormat="1" applyFont="1" applyFill="1" applyBorder="1"/>
    <xf numFmtId="0" fontId="33" fillId="0" borderId="0" xfId="0" applyFont="1" applyAlignment="1">
      <alignment horizontal="center"/>
    </xf>
    <xf numFmtId="0" fontId="22" fillId="3" borderId="0" xfId="23" applyFill="1"/>
    <xf numFmtId="49" fontId="86" fillId="0" borderId="24" xfId="19" applyNumberFormat="1" applyFont="1" applyBorder="1"/>
    <xf numFmtId="44" fontId="79" fillId="3" borderId="35" xfId="23" applyNumberFormat="1" applyFont="1" applyFill="1" applyBorder="1"/>
    <xf numFmtId="44" fontId="113" fillId="0" borderId="0" xfId="2243" applyFont="1"/>
    <xf numFmtId="0" fontId="113" fillId="0" borderId="0" xfId="23" applyFont="1"/>
    <xf numFmtId="0" fontId="114" fillId="0" borderId="0" xfId="2239" applyFont="1"/>
    <xf numFmtId="44" fontId="72" fillId="22" borderId="130" xfId="2243" applyFont="1" applyFill="1" applyBorder="1" applyAlignment="1"/>
    <xf numFmtId="0" fontId="72" fillId="22" borderId="24" xfId="19" applyFont="1" applyFill="1" applyBorder="1"/>
    <xf numFmtId="44" fontId="72" fillId="0" borderId="0" xfId="2243" applyFont="1" applyFill="1" applyBorder="1" applyAlignment="1"/>
    <xf numFmtId="44" fontId="113" fillId="0" borderId="0" xfId="2243" applyFont="1" applyFill="1" applyBorder="1" applyAlignment="1"/>
    <xf numFmtId="44" fontId="115" fillId="0" borderId="0" xfId="0" applyNumberFormat="1" applyFont="1"/>
    <xf numFmtId="167" fontId="113" fillId="3" borderId="0" xfId="5" applyFont="1" applyFill="1"/>
    <xf numFmtId="44" fontId="113" fillId="3" borderId="0" xfId="2243" applyFont="1" applyFill="1"/>
    <xf numFmtId="44" fontId="39" fillId="3" borderId="12" xfId="2243" applyFont="1" applyFill="1" applyBorder="1"/>
    <xf numFmtId="44" fontId="115" fillId="0" borderId="0" xfId="2243" applyFont="1" applyFill="1"/>
    <xf numFmtId="3" fontId="116" fillId="0" borderId="0" xfId="0" applyNumberFormat="1" applyFont="1"/>
    <xf numFmtId="177" fontId="33" fillId="0" borderId="194" xfId="5" applyNumberFormat="1" applyFont="1" applyFill="1" applyBorder="1"/>
    <xf numFmtId="0" fontId="73" fillId="21" borderId="0" xfId="0" applyFont="1" applyFill="1"/>
    <xf numFmtId="0" fontId="107" fillId="32" borderId="195" xfId="0" applyFont="1" applyFill="1" applyBorder="1" applyAlignment="1">
      <alignment wrapText="1"/>
    </xf>
    <xf numFmtId="0" fontId="68" fillId="32" borderId="196" xfId="0" applyFont="1" applyFill="1" applyBorder="1" applyAlignment="1">
      <alignment wrapText="1"/>
    </xf>
    <xf numFmtId="0" fontId="0" fillId="0" borderId="125" xfId="0" applyBorder="1"/>
    <xf numFmtId="44" fontId="33" fillId="0" borderId="0" xfId="7" applyNumberFormat="1" applyFont="1" applyFill="1"/>
    <xf numFmtId="169" fontId="33" fillId="0" borderId="0" xfId="3612" applyNumberFormat="1" applyFont="1"/>
    <xf numFmtId="167" fontId="40" fillId="0" borderId="0" xfId="5" applyFont="1"/>
    <xf numFmtId="0" fontId="86" fillId="22" borderId="130" xfId="11" applyFont="1" applyFill="1" applyBorder="1"/>
    <xf numFmtId="0" fontId="85" fillId="22" borderId="24" xfId="2239" applyFont="1" applyFill="1" applyBorder="1"/>
    <xf numFmtId="167" fontId="85" fillId="22" borderId="24" xfId="5" applyFont="1" applyFill="1" applyBorder="1" applyAlignment="1"/>
    <xf numFmtId="167" fontId="114" fillId="0" borderId="0" xfId="0" applyNumberFormat="1" applyFont="1"/>
    <xf numFmtId="0" fontId="40" fillId="0" borderId="0" xfId="23" applyFont="1"/>
    <xf numFmtId="0" fontId="120" fillId="0" borderId="0" xfId="23" applyFont="1"/>
    <xf numFmtId="44" fontId="40" fillId="0" borderId="0" xfId="17" applyNumberFormat="1" applyFont="1" applyFill="1" applyBorder="1"/>
    <xf numFmtId="44" fontId="40" fillId="0" borderId="0" xfId="0" applyNumberFormat="1" applyFont="1"/>
    <xf numFmtId="0" fontId="121" fillId="0" borderId="0" xfId="23" applyFont="1"/>
    <xf numFmtId="0" fontId="122" fillId="33" borderId="197" xfId="0" applyFont="1" applyFill="1" applyBorder="1"/>
    <xf numFmtId="0" fontId="33" fillId="0" borderId="133" xfId="0" applyFont="1" applyBorder="1"/>
    <xf numFmtId="8" fontId="42" fillId="0" borderId="0" xfId="0" applyNumberFormat="1" applyFont="1"/>
    <xf numFmtId="6" fontId="42" fillId="0" borderId="0" xfId="0" applyNumberFormat="1" applyFont="1"/>
    <xf numFmtId="0" fontId="42" fillId="0" borderId="0" xfId="0" applyFont="1"/>
    <xf numFmtId="6" fontId="124" fillId="0" borderId="0" xfId="0" applyNumberFormat="1" applyFont="1"/>
    <xf numFmtId="0" fontId="124" fillId="0" borderId="0" xfId="0" applyFont="1"/>
    <xf numFmtId="178" fontId="107" fillId="0" borderId="0" xfId="0" applyNumberFormat="1" applyFont="1"/>
    <xf numFmtId="167" fontId="107" fillId="0" borderId="0" xfId="0" applyNumberFormat="1" applyFont="1"/>
    <xf numFmtId="8" fontId="107" fillId="0" borderId="0" xfId="0" applyNumberFormat="1" applyFont="1"/>
    <xf numFmtId="6" fontId="107" fillId="0" borderId="0" xfId="0" applyNumberFormat="1" applyFont="1"/>
    <xf numFmtId="178" fontId="107" fillId="2" borderId="0" xfId="0" applyNumberFormat="1" applyFont="1" applyFill="1"/>
    <xf numFmtId="8" fontId="42" fillId="34" borderId="0" xfId="0" applyNumberFormat="1" applyFont="1" applyFill="1"/>
    <xf numFmtId="0" fontId="42" fillId="34" borderId="0" xfId="0" applyFont="1" applyFill="1"/>
    <xf numFmtId="0" fontId="44" fillId="0" borderId="0" xfId="0" applyFont="1"/>
    <xf numFmtId="44" fontId="44" fillId="0" borderId="0" xfId="0" applyNumberFormat="1" applyFont="1"/>
    <xf numFmtId="167" fontId="44" fillId="0" borderId="0" xfId="0" applyNumberFormat="1" applyFont="1"/>
    <xf numFmtId="167" fontId="33" fillId="2" borderId="0" xfId="6" applyFont="1" applyFill="1" applyBorder="1"/>
    <xf numFmtId="167" fontId="22" fillId="0" borderId="132" xfId="0" applyNumberFormat="1" applyFont="1" applyBorder="1"/>
    <xf numFmtId="167" fontId="42" fillId="0" borderId="0" xfId="0" applyNumberFormat="1" applyFont="1"/>
    <xf numFmtId="167" fontId="42" fillId="3" borderId="0" xfId="0" applyNumberFormat="1" applyFont="1" applyFill="1"/>
    <xf numFmtId="0" fontId="33" fillId="0" borderId="131" xfId="0" applyFont="1" applyBorder="1" applyAlignment="1">
      <alignment horizontal="right"/>
    </xf>
    <xf numFmtId="167" fontId="33" fillId="0" borderId="12" xfId="0" applyNumberFormat="1" applyFont="1" applyBorder="1" applyAlignment="1">
      <alignment horizontal="left"/>
    </xf>
    <xf numFmtId="167" fontId="33" fillId="0" borderId="129" xfId="0" applyNumberFormat="1" applyFont="1" applyBorder="1" applyAlignment="1">
      <alignment horizontal="left"/>
    </xf>
    <xf numFmtId="44" fontId="33" fillId="0" borderId="0" xfId="3615" applyFont="1" applyFill="1"/>
    <xf numFmtId="44" fontId="33" fillId="0" borderId="0" xfId="3615" applyFont="1" applyFill="1" applyBorder="1"/>
    <xf numFmtId="0" fontId="43" fillId="0" borderId="0" xfId="0" applyFont="1"/>
    <xf numFmtId="44" fontId="22" fillId="0" borderId="24" xfId="9164" applyFont="1" applyBorder="1"/>
    <xf numFmtId="44" fontId="22" fillId="0" borderId="126" xfId="9164" applyFont="1" applyBorder="1"/>
    <xf numFmtId="0" fontId="77" fillId="0" borderId="0" xfId="0" applyFont="1"/>
    <xf numFmtId="169" fontId="33" fillId="0" borderId="0" xfId="5" applyNumberFormat="1" applyFont="1" applyBorder="1"/>
    <xf numFmtId="0" fontId="42" fillId="0" borderId="211" xfId="0" applyFont="1" applyBorder="1"/>
    <xf numFmtId="0" fontId="42" fillId="0" borderId="125" xfId="0" applyFont="1" applyBorder="1"/>
    <xf numFmtId="0" fontId="42" fillId="0" borderId="12" xfId="0" applyFont="1" applyBorder="1"/>
    <xf numFmtId="0" fontId="42" fillId="0" borderId="13" xfId="0" applyFont="1" applyBorder="1"/>
    <xf numFmtId="0" fontId="42" fillId="0" borderId="131" xfId="0" applyFont="1" applyBorder="1"/>
    <xf numFmtId="8" fontId="42" fillId="0" borderId="125" xfId="0" applyNumberFormat="1" applyFont="1" applyBorder="1"/>
    <xf numFmtId="0" fontId="42" fillId="0" borderId="6" xfId="0" applyFont="1" applyBorder="1"/>
    <xf numFmtId="8" fontId="42" fillId="0" borderId="212" xfId="0" applyNumberFormat="1" applyFont="1" applyBorder="1"/>
    <xf numFmtId="0" fontId="42" fillId="0" borderId="212" xfId="0" applyFont="1" applyBorder="1"/>
    <xf numFmtId="0" fontId="42" fillId="0" borderId="7" xfId="0" applyFont="1" applyBorder="1"/>
    <xf numFmtId="0" fontId="42" fillId="0" borderId="8" xfId="0" applyFont="1" applyBorder="1"/>
    <xf numFmtId="8" fontId="42" fillId="0" borderId="131" xfId="0" applyNumberFormat="1" applyFont="1" applyBorder="1"/>
    <xf numFmtId="0" fontId="126" fillId="0" borderId="0" xfId="0" applyFont="1" applyAlignment="1">
      <alignment vertical="center"/>
    </xf>
    <xf numFmtId="169" fontId="22" fillId="0" borderId="0" xfId="0" applyNumberFormat="1" applyFont="1"/>
    <xf numFmtId="0" fontId="84" fillId="22" borderId="213" xfId="0" applyFont="1" applyFill="1" applyBorder="1"/>
    <xf numFmtId="0" fontId="33" fillId="0" borderId="214" xfId="0" applyFont="1" applyBorder="1"/>
    <xf numFmtId="44" fontId="87" fillId="0" borderId="126" xfId="6" applyNumberFormat="1" applyFont="1" applyFill="1" applyBorder="1"/>
    <xf numFmtId="44" fontId="33" fillId="0" borderId="133" xfId="0" applyNumberFormat="1" applyFont="1" applyBorder="1"/>
    <xf numFmtId="44" fontId="33" fillId="0" borderId="129" xfId="0" applyNumberFormat="1" applyFont="1" applyBorder="1"/>
    <xf numFmtId="174" fontId="33" fillId="0" borderId="0" xfId="5" applyNumberFormat="1" applyFont="1" applyFill="1"/>
    <xf numFmtId="167" fontId="33" fillId="0" borderId="126" xfId="6" applyFont="1" applyFill="1" applyBorder="1"/>
    <xf numFmtId="0" fontId="33" fillId="0" borderId="131" xfId="0" applyFont="1" applyBorder="1"/>
    <xf numFmtId="44" fontId="33" fillId="0" borderId="12" xfId="0" applyNumberFormat="1" applyFont="1" applyBorder="1"/>
    <xf numFmtId="44" fontId="33" fillId="3" borderId="12" xfId="0" applyNumberFormat="1" applyFont="1" applyFill="1" applyBorder="1"/>
    <xf numFmtId="0" fontId="40" fillId="0" borderId="110" xfId="0" applyFont="1" applyBorder="1"/>
    <xf numFmtId="170" fontId="33" fillId="22" borderId="110" xfId="1" applyNumberFormat="1" applyFont="1" applyFill="1" applyBorder="1"/>
    <xf numFmtId="44" fontId="33" fillId="0" borderId="23" xfId="0" applyNumberFormat="1" applyFont="1" applyBorder="1"/>
    <xf numFmtId="44" fontId="33" fillId="3" borderId="23" xfId="0" applyNumberFormat="1" applyFont="1" applyFill="1" applyBorder="1"/>
    <xf numFmtId="44" fontId="87" fillId="0" borderId="0" xfId="0" applyNumberFormat="1" applyFont="1"/>
    <xf numFmtId="167" fontId="33" fillId="0" borderId="0" xfId="6" applyFont="1"/>
    <xf numFmtId="44" fontId="33" fillId="0" borderId="25" xfId="5" applyNumberFormat="1" applyFont="1" applyFill="1" applyBorder="1"/>
    <xf numFmtId="44" fontId="87" fillId="0" borderId="0" xfId="17" applyNumberFormat="1" applyFont="1" applyFill="1" applyBorder="1"/>
    <xf numFmtId="44" fontId="33" fillId="0" borderId="126" xfId="17" applyNumberFormat="1" applyFont="1" applyFill="1" applyBorder="1"/>
    <xf numFmtId="44" fontId="33" fillId="0" borderId="127" xfId="0" applyNumberFormat="1" applyFont="1" applyBorder="1"/>
    <xf numFmtId="44" fontId="33" fillId="2" borderId="0" xfId="9" applyNumberFormat="1" applyFont="1" applyFill="1" applyBorder="1"/>
    <xf numFmtId="172" fontId="33" fillId="0" borderId="0" xfId="5" applyNumberFormat="1" applyFont="1" applyFill="1" applyBorder="1" applyAlignment="1"/>
    <xf numFmtId="44" fontId="87" fillId="0" borderId="0" xfId="5" applyNumberFormat="1" applyFont="1" applyBorder="1"/>
    <xf numFmtId="44" fontId="33" fillId="2" borderId="0" xfId="5" applyNumberFormat="1" applyFont="1" applyFill="1" applyBorder="1"/>
    <xf numFmtId="44" fontId="33" fillId="2" borderId="0" xfId="0" applyNumberFormat="1" applyFont="1" applyFill="1"/>
    <xf numFmtId="44" fontId="33" fillId="2" borderId="0" xfId="5" applyNumberFormat="1" applyFont="1" applyFill="1"/>
    <xf numFmtId="167" fontId="33" fillId="2" borderId="0" xfId="5" applyFont="1" applyFill="1"/>
    <xf numFmtId="167" fontId="87" fillId="0" borderId="0" xfId="5" applyFont="1" applyFill="1" applyBorder="1" applyAlignment="1"/>
    <xf numFmtId="0" fontId="87" fillId="0" borderId="0" xfId="0" applyFont="1"/>
    <xf numFmtId="44" fontId="42" fillId="0" borderId="0" xfId="0" applyNumberFormat="1" applyFont="1"/>
    <xf numFmtId="44" fontId="42" fillId="0" borderId="0" xfId="17" applyNumberFormat="1" applyFont="1" applyFill="1" applyBorder="1"/>
    <xf numFmtId="0" fontId="33" fillId="22" borderId="110" xfId="0" applyFont="1" applyFill="1" applyBorder="1"/>
    <xf numFmtId="0" fontId="33" fillId="3" borderId="110" xfId="0" applyFont="1" applyFill="1" applyBorder="1"/>
    <xf numFmtId="167" fontId="33" fillId="0" borderId="110" xfId="6" applyFont="1" applyFill="1" applyBorder="1"/>
    <xf numFmtId="44" fontId="33" fillId="28" borderId="0" xfId="5" applyNumberFormat="1" applyFont="1" applyFill="1" applyBorder="1"/>
    <xf numFmtId="44" fontId="87" fillId="0" borderId="0" xfId="5" applyNumberFormat="1" applyFont="1" applyFill="1" applyBorder="1"/>
    <xf numFmtId="44" fontId="42" fillId="0" borderId="0" xfId="7" applyNumberFormat="1" applyFont="1" applyFill="1" applyBorder="1"/>
    <xf numFmtId="44" fontId="42" fillId="0" borderId="0" xfId="9" applyNumberFormat="1" applyFont="1" applyFill="1" applyBorder="1"/>
    <xf numFmtId="44" fontId="41" fillId="0" borderId="198" xfId="0" applyNumberFormat="1" applyFont="1" applyBorder="1"/>
    <xf numFmtId="167" fontId="22" fillId="0" borderId="0" xfId="5" applyFont="1" applyFill="1"/>
    <xf numFmtId="177" fontId="33" fillId="0" borderId="0" xfId="0" applyNumberFormat="1" applyFont="1"/>
    <xf numFmtId="177" fontId="33" fillId="0" borderId="0" xfId="5" applyNumberFormat="1" applyFont="1" applyFill="1"/>
    <xf numFmtId="177" fontId="33" fillId="3" borderId="0" xfId="0" applyNumberFormat="1" applyFont="1" applyFill="1"/>
    <xf numFmtId="177" fontId="39" fillId="3" borderId="12" xfId="0" applyNumberFormat="1" applyFont="1" applyFill="1" applyBorder="1"/>
    <xf numFmtId="177" fontId="33" fillId="0" borderId="0" xfId="5" applyNumberFormat="1" applyFont="1" applyFill="1" applyBorder="1"/>
    <xf numFmtId="0" fontId="85" fillId="22" borderId="25" xfId="2239" applyFont="1" applyFill="1" applyBorder="1"/>
    <xf numFmtId="0" fontId="85" fillId="0" borderId="0" xfId="2239" applyFont="1"/>
    <xf numFmtId="167" fontId="85" fillId="0" borderId="0" xfId="5" applyFont="1" applyFill="1" applyBorder="1" applyAlignment="1"/>
    <xf numFmtId="44" fontId="41" fillId="0" borderId="0" xfId="0" applyNumberFormat="1" applyFont="1"/>
    <xf numFmtId="167" fontId="72" fillId="22" borderId="24" xfId="19" applyNumberFormat="1" applyFont="1" applyFill="1" applyBorder="1"/>
    <xf numFmtId="167" fontId="115" fillId="0" borderId="0" xfId="0" applyNumberFormat="1" applyFont="1"/>
    <xf numFmtId="167" fontId="14" fillId="0" borderId="0" xfId="2239" applyNumberFormat="1" applyFont="1"/>
    <xf numFmtId="167" fontId="39" fillId="3" borderId="12" xfId="2243" applyNumberFormat="1" applyFont="1" applyFill="1" applyBorder="1"/>
    <xf numFmtId="2" fontId="97" fillId="0" borderId="125" xfId="2243" applyNumberFormat="1" applyFont="1" applyBorder="1"/>
    <xf numFmtId="179" fontId="22" fillId="0" borderId="0" xfId="23" applyNumberFormat="1"/>
    <xf numFmtId="179" fontId="86" fillId="22" borderId="25" xfId="11" applyNumberFormat="1" applyFont="1" applyFill="1" applyBorder="1"/>
    <xf numFmtId="179" fontId="33" fillId="0" borderId="0" xfId="0" applyNumberFormat="1" applyFont="1"/>
    <xf numFmtId="179" fontId="22" fillId="35" borderId="0" xfId="23" applyNumberFormat="1" applyFill="1"/>
    <xf numFmtId="179" fontId="33" fillId="0" borderId="125" xfId="0" applyNumberFormat="1" applyFont="1" applyBorder="1"/>
    <xf numFmtId="167" fontId="40" fillId="0" borderId="0" xfId="5" applyFont="1" applyFill="1"/>
    <xf numFmtId="167" fontId="116" fillId="0" borderId="0" xfId="5" applyFont="1"/>
    <xf numFmtId="0" fontId="73" fillId="21" borderId="0" xfId="0" applyFont="1" applyFill="1" applyAlignment="1">
      <alignment horizontal="left"/>
    </xf>
    <xf numFmtId="0" fontId="84" fillId="0" borderId="130" xfId="0" applyFont="1" applyBorder="1"/>
    <xf numFmtId="0" fontId="127" fillId="0" borderId="0" xfId="0" applyFont="1"/>
    <xf numFmtId="0" fontId="127" fillId="0" borderId="130" xfId="0" applyFont="1" applyBorder="1"/>
    <xf numFmtId="167" fontId="127" fillId="0" borderId="0" xfId="0" applyNumberFormat="1" applyFont="1"/>
    <xf numFmtId="0" fontId="127" fillId="0" borderId="140" xfId="0" applyFont="1" applyBorder="1"/>
    <xf numFmtId="167" fontId="127" fillId="0" borderId="135" xfId="0" applyNumberFormat="1" applyFont="1" applyBorder="1"/>
    <xf numFmtId="0" fontId="33" fillId="0" borderId="0" xfId="0" applyFont="1" applyAlignment="1">
      <alignment horizontal="left"/>
    </xf>
    <xf numFmtId="0" fontId="0" fillId="22" borderId="0" xfId="0" applyFill="1"/>
    <xf numFmtId="0" fontId="38" fillId="0" borderId="27" xfId="0" applyFont="1" applyBorder="1"/>
    <xf numFmtId="0" fontId="22" fillId="0" borderId="132" xfId="0" applyFont="1" applyBorder="1"/>
    <xf numFmtId="167" fontId="33" fillId="0" borderId="0" xfId="6" applyFont="1" applyFill="1" applyAlignment="1">
      <alignment vertical="center" wrapText="1"/>
    </xf>
    <xf numFmtId="167" fontId="42" fillId="0" borderId="0" xfId="7" applyFont="1" applyFill="1"/>
    <xf numFmtId="9" fontId="79" fillId="0" borderId="0" xfId="2245" applyFont="1" applyFill="1"/>
    <xf numFmtId="0" fontId="33" fillId="0" borderId="125" xfId="0" applyFont="1" applyBorder="1"/>
    <xf numFmtId="0" fontId="115" fillId="0" borderId="0" xfId="0" applyFont="1"/>
    <xf numFmtId="177" fontId="22" fillId="2" borderId="197" xfId="23" applyNumberFormat="1" applyFill="1" applyBorder="1"/>
    <xf numFmtId="177" fontId="22" fillId="0" borderId="197" xfId="23" applyNumberFormat="1" applyBorder="1"/>
    <xf numFmtId="0" fontId="22" fillId="0" borderId="0" xfId="23" applyAlignment="1">
      <alignment wrapText="1"/>
    </xf>
    <xf numFmtId="44" fontId="39" fillId="0" borderId="13" xfId="0" applyNumberFormat="1" applyFont="1" applyBorder="1"/>
    <xf numFmtId="0" fontId="14" fillId="36" borderId="0" xfId="2239" applyFont="1" applyFill="1"/>
    <xf numFmtId="0" fontId="38" fillId="2" borderId="0" xfId="23" applyFont="1" applyFill="1"/>
    <xf numFmtId="0" fontId="97" fillId="2" borderId="0" xfId="23" applyFont="1" applyFill="1"/>
    <xf numFmtId="44" fontId="33" fillId="3" borderId="0" xfId="2243" applyFont="1" applyFill="1"/>
    <xf numFmtId="177" fontId="22" fillId="0" borderId="216" xfId="23" applyNumberFormat="1" applyBorder="1"/>
    <xf numFmtId="0" fontId="33" fillId="0" borderId="0" xfId="2239" applyFont="1"/>
    <xf numFmtId="0" fontId="91" fillId="29" borderId="0" xfId="23" applyFont="1" applyFill="1"/>
    <xf numFmtId="10" fontId="22" fillId="0" borderId="0" xfId="23" applyNumberFormat="1"/>
    <xf numFmtId="9" fontId="22" fillId="0" borderId="0" xfId="23" applyNumberFormat="1"/>
    <xf numFmtId="10" fontId="22" fillId="0" borderId="0" xfId="23" applyNumberFormat="1" applyAlignment="1">
      <alignment horizontal="left"/>
    </xf>
    <xf numFmtId="9" fontId="22" fillId="0" borderId="0" xfId="23" applyNumberFormat="1" applyAlignment="1">
      <alignment horizontal="left"/>
    </xf>
    <xf numFmtId="0" fontId="116" fillId="0" borderId="0" xfId="0" applyFont="1"/>
    <xf numFmtId="0" fontId="81" fillId="0" borderId="0" xfId="0" applyFont="1"/>
    <xf numFmtId="166" fontId="0" fillId="0" borderId="126" xfId="2240" applyNumberFormat="1" applyFont="1" applyBorder="1"/>
    <xf numFmtId="169" fontId="33" fillId="0" borderId="0" xfId="17" applyNumberFormat="1" applyFont="1" applyBorder="1"/>
    <xf numFmtId="167" fontId="33" fillId="0" borderId="0" xfId="1453" applyFont="1" applyFill="1"/>
    <xf numFmtId="166" fontId="33" fillId="0" borderId="0" xfId="1453" applyNumberFormat="1" applyFont="1" applyFill="1"/>
    <xf numFmtId="164" fontId="33" fillId="0" borderId="0" xfId="1453" applyNumberFormat="1" applyFont="1" applyFill="1"/>
    <xf numFmtId="168" fontId="42" fillId="0" borderId="0" xfId="0" applyNumberFormat="1" applyFont="1"/>
    <xf numFmtId="167" fontId="41" fillId="0" borderId="13" xfId="0" applyNumberFormat="1" applyFont="1" applyBorder="1"/>
    <xf numFmtId="6" fontId="33" fillId="0" borderId="0" xfId="0" applyNumberFormat="1" applyFont="1"/>
    <xf numFmtId="6" fontId="33" fillId="0" borderId="0" xfId="0" applyNumberFormat="1" applyFont="1" applyAlignment="1">
      <alignment horizontal="right"/>
    </xf>
    <xf numFmtId="166" fontId="33" fillId="0" borderId="0" xfId="0" applyNumberFormat="1" applyFont="1"/>
    <xf numFmtId="0" fontId="75" fillId="30" borderId="0" xfId="0" applyFont="1" applyFill="1" applyAlignment="1">
      <alignment horizontal="right"/>
    </xf>
    <xf numFmtId="0" fontId="76" fillId="30" borderId="0" xfId="0" applyFont="1" applyFill="1" applyAlignment="1">
      <alignment horizontal="right"/>
    </xf>
    <xf numFmtId="167" fontId="33" fillId="23" borderId="0" xfId="0" applyNumberFormat="1" applyFont="1" applyFill="1"/>
    <xf numFmtId="0" fontId="42" fillId="0" borderId="222" xfId="0" applyFont="1" applyBorder="1"/>
    <xf numFmtId="167" fontId="33" fillId="0" borderId="221" xfId="5" applyFont="1" applyBorder="1"/>
    <xf numFmtId="167" fontId="22" fillId="0" borderId="0" xfId="5"/>
    <xf numFmtId="167" fontId="33" fillId="0" borderId="221" xfId="6" applyFont="1" applyBorder="1"/>
    <xf numFmtId="0" fontId="84" fillId="22" borderId="221" xfId="0" applyFont="1" applyFill="1" applyBorder="1"/>
    <xf numFmtId="0" fontId="85" fillId="22" borderId="221" xfId="0" applyFont="1" applyFill="1" applyBorder="1" applyAlignment="1">
      <alignment horizontal="left"/>
    </xf>
    <xf numFmtId="44" fontId="33" fillId="0" borderId="221" xfId="777" applyFont="1" applyFill="1" applyBorder="1" applyAlignment="1">
      <alignment horizontal="center"/>
    </xf>
    <xf numFmtId="44" fontId="33" fillId="0" borderId="221" xfId="675" applyFont="1" applyFill="1" applyBorder="1" applyAlignment="1">
      <alignment horizontal="center"/>
    </xf>
    <xf numFmtId="167" fontId="33" fillId="0" borderId="223" xfId="6" applyFont="1" applyBorder="1"/>
    <xf numFmtId="167" fontId="33" fillId="0" borderId="0" xfId="5" applyFont="1"/>
    <xf numFmtId="0" fontId="86" fillId="22" borderId="221" xfId="0" applyFont="1" applyFill="1" applyBorder="1"/>
    <xf numFmtId="44" fontId="33" fillId="0" borderId="221" xfId="6" applyNumberFormat="1" applyFont="1" applyFill="1" applyBorder="1"/>
    <xf numFmtId="44" fontId="87" fillId="0" borderId="221" xfId="6" applyNumberFormat="1" applyFont="1" applyFill="1" applyBorder="1"/>
    <xf numFmtId="0" fontId="72" fillId="22" borderId="221" xfId="0" applyFont="1" applyFill="1" applyBorder="1"/>
    <xf numFmtId="167" fontId="33" fillId="0" borderId="221" xfId="6" applyFont="1" applyFill="1" applyBorder="1"/>
    <xf numFmtId="0" fontId="33" fillId="0" borderId="221" xfId="0" applyFont="1" applyBorder="1"/>
    <xf numFmtId="167" fontId="33" fillId="0" borderId="221" xfId="0" applyNumberFormat="1" applyFont="1" applyBorder="1"/>
    <xf numFmtId="167" fontId="33" fillId="2" borderId="221" xfId="0" applyNumberFormat="1" applyFont="1" applyFill="1" applyBorder="1"/>
    <xf numFmtId="167" fontId="107" fillId="0" borderId="197" xfId="0" applyNumberFormat="1" applyFont="1" applyBorder="1"/>
    <xf numFmtId="167" fontId="33" fillId="2" borderId="221" xfId="6" applyFont="1" applyFill="1" applyBorder="1"/>
    <xf numFmtId="0" fontId="0" fillId="0" borderId="221" xfId="0" applyBorder="1"/>
    <xf numFmtId="167" fontId="33" fillId="2" borderId="221" xfId="5" applyFont="1" applyFill="1" applyBorder="1"/>
    <xf numFmtId="167" fontId="0" fillId="0" borderId="221" xfId="0" applyNumberFormat="1" applyBorder="1"/>
    <xf numFmtId="167" fontId="33" fillId="3" borderId="221" xfId="6" applyFont="1" applyFill="1" applyBorder="1"/>
    <xf numFmtId="0" fontId="33" fillId="0" borderId="224" xfId="0" applyFont="1" applyBorder="1"/>
    <xf numFmtId="167" fontId="33" fillId="0" borderId="215" xfId="0" applyNumberFormat="1" applyFont="1" applyBorder="1" applyAlignment="1">
      <alignment horizontal="left"/>
    </xf>
    <xf numFmtId="168" fontId="86" fillId="22" borderId="221" xfId="0" applyNumberFormat="1" applyFont="1" applyFill="1" applyBorder="1"/>
    <xf numFmtId="44" fontId="33" fillId="0" borderId="221" xfId="17" applyNumberFormat="1" applyFont="1" applyFill="1" applyBorder="1"/>
    <xf numFmtId="167" fontId="33" fillId="0" borderId="221" xfId="5" applyFont="1" applyFill="1" applyBorder="1"/>
    <xf numFmtId="44" fontId="33" fillId="0" borderId="221" xfId="5" applyNumberFormat="1" applyFont="1" applyFill="1" applyBorder="1"/>
    <xf numFmtId="168" fontId="42" fillId="0" borderId="0" xfId="1" applyFont="1" applyFill="1" applyBorder="1"/>
    <xf numFmtId="168" fontId="42" fillId="0" borderId="0" xfId="1" applyFont="1" applyFill="1"/>
    <xf numFmtId="168" fontId="42" fillId="0" borderId="221" xfId="1" applyFont="1" applyFill="1" applyBorder="1"/>
    <xf numFmtId="0" fontId="72" fillId="22" borderId="221" xfId="2244" applyFont="1" applyFill="1" applyBorder="1"/>
    <xf numFmtId="44" fontId="33" fillId="0" borderId="0" xfId="9" applyNumberFormat="1" applyFont="1" applyFill="1"/>
    <xf numFmtId="0" fontId="33" fillId="0" borderId="0" xfId="19" applyFont="1"/>
    <xf numFmtId="169" fontId="33" fillId="0" borderId="223" xfId="23" applyNumberFormat="1" applyFont="1" applyBorder="1"/>
    <xf numFmtId="169" fontId="33" fillId="0" borderId="221" xfId="3612" applyNumberFormat="1" applyFont="1" applyBorder="1"/>
    <xf numFmtId="44" fontId="33" fillId="0" borderId="221" xfId="17" applyNumberFormat="1" applyFont="1" applyBorder="1"/>
    <xf numFmtId="169" fontId="33" fillId="31" borderId="221" xfId="3612" applyNumberFormat="1" applyFont="1" applyFill="1" applyBorder="1"/>
    <xf numFmtId="0" fontId="72" fillId="22" borderId="221" xfId="1511" applyFont="1" applyFill="1" applyBorder="1"/>
    <xf numFmtId="44" fontId="33" fillId="0" borderId="0" xfId="5" applyNumberFormat="1" applyFont="1" applyFill="1" applyAlignment="1">
      <alignment horizontal="left"/>
    </xf>
    <xf numFmtId="6" fontId="33" fillId="0" borderId="194" xfId="5" applyNumberFormat="1" applyFont="1" applyFill="1" applyBorder="1"/>
    <xf numFmtId="44" fontId="33" fillId="0" borderId="221" xfId="5" applyNumberFormat="1" applyFont="1" applyBorder="1"/>
    <xf numFmtId="44" fontId="33" fillId="0" borderId="221" xfId="0" applyNumberFormat="1" applyFont="1" applyBorder="1"/>
    <xf numFmtId="44" fontId="33" fillId="0" borderId="0" xfId="5" applyNumberFormat="1" applyFont="1" applyFill="1" applyAlignment="1">
      <alignment horizontal="right"/>
    </xf>
    <xf numFmtId="167" fontId="33" fillId="0" borderId="0" xfId="17" applyFont="1" applyFill="1"/>
    <xf numFmtId="6" fontId="42" fillId="0" borderId="221" xfId="5" applyNumberFormat="1" applyFont="1" applyFill="1" applyBorder="1"/>
    <xf numFmtId="0" fontId="78" fillId="22" borderId="221" xfId="0" applyFont="1" applyFill="1" applyBorder="1"/>
    <xf numFmtId="8" fontId="33" fillId="0" borderId="221" xfId="5" applyNumberFormat="1" applyFont="1" applyFill="1" applyBorder="1"/>
    <xf numFmtId="6" fontId="33" fillId="0" borderId="221" xfId="5" applyNumberFormat="1" applyFont="1" applyFill="1" applyBorder="1"/>
    <xf numFmtId="0" fontId="107" fillId="0" borderId="0" xfId="0" applyFont="1"/>
    <xf numFmtId="0" fontId="42" fillId="0" borderId="221" xfId="0" applyFont="1" applyBorder="1"/>
    <xf numFmtId="8" fontId="42" fillId="0" borderId="221" xfId="0" applyNumberFormat="1" applyFont="1" applyBorder="1"/>
    <xf numFmtId="0" fontId="128" fillId="0" borderId="221" xfId="0" applyFont="1" applyBorder="1"/>
    <xf numFmtId="166" fontId="42" fillId="0" borderId="221" xfId="0" applyNumberFormat="1" applyFont="1" applyBorder="1"/>
    <xf numFmtId="4" fontId="33" fillId="0" borderId="0" xfId="0" applyNumberFormat="1" applyFont="1"/>
    <xf numFmtId="166" fontId="33" fillId="0" borderId="221" xfId="0" applyNumberFormat="1" applyFont="1" applyBorder="1"/>
    <xf numFmtId="3" fontId="33" fillId="0" borderId="0" xfId="0" applyNumberFormat="1" applyFont="1"/>
    <xf numFmtId="0" fontId="86" fillId="22" borderId="221" xfId="11" applyFont="1" applyFill="1" applyBorder="1"/>
    <xf numFmtId="44" fontId="42" fillId="0" borderId="221" xfId="9" applyNumberFormat="1" applyFont="1" applyFill="1" applyBorder="1"/>
    <xf numFmtId="44" fontId="42" fillId="28" borderId="221" xfId="9" applyNumberFormat="1" applyFont="1" applyFill="1" applyBorder="1"/>
    <xf numFmtId="0" fontId="94" fillId="22" borderId="221" xfId="2239" applyFont="1" applyFill="1" applyBorder="1"/>
    <xf numFmtId="0" fontId="89" fillId="22" borderId="221" xfId="0" applyFont="1" applyFill="1" applyBorder="1"/>
    <xf numFmtId="0" fontId="8" fillId="0" borderId="221" xfId="2239" applyBorder="1"/>
    <xf numFmtId="167" fontId="0" fillId="0" borderId="221" xfId="2240" applyFont="1" applyBorder="1"/>
    <xf numFmtId="167" fontId="8" fillId="0" borderId="221" xfId="2239" applyNumberFormat="1" applyBorder="1"/>
    <xf numFmtId="44" fontId="3" fillId="0" borderId="221" xfId="11246" applyNumberFormat="1" applyBorder="1"/>
    <xf numFmtId="44" fontId="22" fillId="0" borderId="221" xfId="9164" applyFont="1" applyBorder="1"/>
    <xf numFmtId="167" fontId="0" fillId="3" borderId="221" xfId="2240" applyFont="1" applyFill="1" applyBorder="1"/>
    <xf numFmtId="167" fontId="0" fillId="2" borderId="221" xfId="2240" applyFont="1" applyFill="1" applyBorder="1"/>
    <xf numFmtId="166" fontId="0" fillId="0" borderId="221" xfId="2240" applyNumberFormat="1" applyFont="1" applyBorder="1"/>
    <xf numFmtId="44" fontId="22" fillId="0" borderId="221" xfId="3615" applyFont="1" applyFill="1" applyBorder="1"/>
    <xf numFmtId="167" fontId="0" fillId="0" borderId="221" xfId="5" applyFont="1" applyFill="1" applyBorder="1"/>
    <xf numFmtId="167" fontId="0" fillId="2" borderId="221" xfId="5" applyFont="1" applyFill="1" applyBorder="1"/>
    <xf numFmtId="0" fontId="22" fillId="0" borderId="221" xfId="0" applyFont="1" applyBorder="1"/>
    <xf numFmtId="167" fontId="0" fillId="0" borderId="221" xfId="5" applyFont="1" applyBorder="1"/>
    <xf numFmtId="0" fontId="86" fillId="22" borderId="221" xfId="19" applyFont="1" applyFill="1" applyBorder="1" applyAlignment="1">
      <alignment wrapText="1"/>
    </xf>
    <xf numFmtId="0" fontId="72" fillId="22" borderId="221" xfId="23" applyFont="1" applyFill="1" applyBorder="1"/>
    <xf numFmtId="0" fontId="86" fillId="22" borderId="221" xfId="19" applyFont="1" applyFill="1" applyBorder="1"/>
    <xf numFmtId="44" fontId="33" fillId="3" borderId="221" xfId="17" applyNumberFormat="1" applyFont="1" applyFill="1" applyBorder="1"/>
    <xf numFmtId="0" fontId="78" fillId="22" borderId="221" xfId="2239" applyFont="1" applyFill="1" applyBorder="1"/>
    <xf numFmtId="44" fontId="113" fillId="3" borderId="221" xfId="2243" applyFont="1" applyFill="1" applyBorder="1"/>
    <xf numFmtId="44" fontId="113" fillId="2" borderId="221" xfId="2243" applyFont="1" applyFill="1" applyBorder="1"/>
    <xf numFmtId="0" fontId="86" fillId="0" borderId="221" xfId="19" applyFont="1" applyBorder="1" applyAlignment="1">
      <alignment wrapText="1"/>
    </xf>
    <xf numFmtId="8" fontId="33" fillId="0" borderId="221" xfId="17" applyNumberFormat="1" applyFont="1" applyBorder="1"/>
    <xf numFmtId="8" fontId="33" fillId="0" borderId="223" xfId="17" applyNumberFormat="1" applyFont="1" applyBorder="1"/>
    <xf numFmtId="44" fontId="33" fillId="0" borderId="223" xfId="17" applyNumberFormat="1" applyFont="1" applyBorder="1"/>
    <xf numFmtId="0" fontId="86" fillId="22" borderId="25" xfId="11" applyFont="1" applyFill="1" applyBorder="1"/>
    <xf numFmtId="167" fontId="40" fillId="0" borderId="221" xfId="5" applyFont="1" applyBorder="1"/>
    <xf numFmtId="2" fontId="33" fillId="0" borderId="0" xfId="2245" applyNumberFormat="1" applyFont="1" applyFill="1" applyBorder="1"/>
    <xf numFmtId="167" fontId="22" fillId="29" borderId="0" xfId="5" applyFill="1"/>
    <xf numFmtId="44" fontId="113" fillId="29" borderId="221" xfId="2243" applyFont="1" applyFill="1" applyBorder="1"/>
    <xf numFmtId="167" fontId="22" fillId="2" borderId="0" xfId="23" applyNumberFormat="1" applyFill="1"/>
    <xf numFmtId="177" fontId="22" fillId="29" borderId="197" xfId="23" applyNumberFormat="1" applyFill="1" applyBorder="1"/>
    <xf numFmtId="0" fontId="0" fillId="0" borderId="0" xfId="23" applyFont="1"/>
    <xf numFmtId="167" fontId="85" fillId="22" borderId="24" xfId="5" applyFont="1" applyFill="1" applyBorder="1"/>
    <xf numFmtId="44" fontId="40" fillId="0" borderId="0" xfId="17" applyNumberFormat="1" applyFont="1"/>
    <xf numFmtId="44" fontId="33" fillId="0" borderId="0" xfId="17" applyNumberFormat="1" applyFont="1"/>
    <xf numFmtId="0" fontId="0" fillId="0" borderId="0" xfId="23" applyFont="1" applyAlignment="1">
      <alignment wrapText="1"/>
    </xf>
    <xf numFmtId="0" fontId="0" fillId="0" borderId="0" xfId="2239" applyFont="1"/>
    <xf numFmtId="6" fontId="0" fillId="0" borderId="0" xfId="23" applyNumberFormat="1" applyFont="1"/>
    <xf numFmtId="0" fontId="0" fillId="29" borderId="0" xfId="23" applyFont="1" applyFill="1"/>
    <xf numFmtId="44" fontId="33" fillId="31" borderId="221" xfId="6" applyNumberFormat="1" applyFont="1" applyFill="1" applyBorder="1"/>
    <xf numFmtId="44" fontId="33" fillId="31" borderId="221" xfId="5" applyNumberFormat="1" applyFont="1" applyFill="1" applyBorder="1"/>
    <xf numFmtId="167" fontId="41" fillId="0" borderId="12" xfId="0" applyNumberFormat="1" applyFont="1" applyBorder="1"/>
    <xf numFmtId="44" fontId="97" fillId="0" borderId="198" xfId="0" applyNumberFormat="1" applyFont="1" applyBorder="1"/>
    <xf numFmtId="44" fontId="129" fillId="0" borderId="198" xfId="0" applyNumberFormat="1" applyFont="1" applyBorder="1"/>
    <xf numFmtId="44" fontId="33" fillId="0" borderId="0" xfId="5" applyNumberFormat="1" applyFont="1" applyFill="1" applyAlignment="1"/>
    <xf numFmtId="167" fontId="33" fillId="0" borderId="0" xfId="5" applyFont="1" applyFill="1" applyAlignment="1">
      <alignment wrapText="1"/>
    </xf>
    <xf numFmtId="167" fontId="68" fillId="0" borderId="0" xfId="5" applyFont="1" applyFill="1" applyAlignment="1">
      <alignment wrapText="1"/>
    </xf>
    <xf numFmtId="167" fontId="107" fillId="0" borderId="0" xfId="0" applyNumberFormat="1" applyFont="1" applyAlignment="1">
      <alignment wrapText="1"/>
    </xf>
    <xf numFmtId="0" fontId="68" fillId="32" borderId="195" xfId="0" applyFont="1" applyFill="1" applyBorder="1" applyAlignment="1">
      <alignment wrapText="1"/>
    </xf>
    <xf numFmtId="172" fontId="33" fillId="3" borderId="0" xfId="0" applyNumberFormat="1" applyFont="1" applyFill="1"/>
    <xf numFmtId="44" fontId="86" fillId="0" borderId="0" xfId="2243" applyFont="1" applyFill="1" applyBorder="1"/>
    <xf numFmtId="44" fontId="86" fillId="0" borderId="0" xfId="17" applyNumberFormat="1" applyFont="1" applyFill="1" applyBorder="1"/>
    <xf numFmtId="168" fontId="22" fillId="0" borderId="0" xfId="23" applyNumberFormat="1"/>
    <xf numFmtId="167" fontId="33" fillId="0" borderId="125" xfId="0" applyNumberFormat="1" applyFont="1" applyBorder="1"/>
    <xf numFmtId="44" fontId="33" fillId="2" borderId="221" xfId="6" applyNumberFormat="1" applyFont="1" applyFill="1" applyBorder="1"/>
    <xf numFmtId="0" fontId="1" fillId="0" borderId="0" xfId="2239" applyFont="1"/>
    <xf numFmtId="0" fontId="1" fillId="0" borderId="221" xfId="2239" applyFont="1" applyBorder="1"/>
    <xf numFmtId="167" fontId="1" fillId="0" borderId="221" xfId="5" applyFont="1" applyBorder="1"/>
    <xf numFmtId="167" fontId="1" fillId="3" borderId="221" xfId="5" applyFont="1" applyFill="1" applyBorder="1"/>
    <xf numFmtId="44" fontId="1" fillId="0" borderId="221" xfId="3615" applyFont="1" applyBorder="1"/>
    <xf numFmtId="166" fontId="1" fillId="0" borderId="221" xfId="5" applyNumberFormat="1" applyFont="1" applyBorder="1"/>
    <xf numFmtId="167" fontId="1" fillId="2" borderId="221" xfId="5" applyFont="1" applyFill="1" applyBorder="1"/>
    <xf numFmtId="0" fontId="1" fillId="0" borderId="24" xfId="2239" applyFont="1" applyBorder="1"/>
    <xf numFmtId="167" fontId="1" fillId="0" borderId="0" xfId="2239" applyNumberFormat="1" applyFont="1"/>
    <xf numFmtId="0" fontId="1" fillId="0" borderId="134" xfId="2239" applyFont="1" applyBorder="1"/>
    <xf numFmtId="0" fontId="1" fillId="0" borderId="126" xfId="2239" applyFont="1" applyBorder="1"/>
    <xf numFmtId="44" fontId="1" fillId="0" borderId="0" xfId="2239" applyNumberFormat="1" applyFont="1"/>
    <xf numFmtId="44" fontId="1" fillId="3" borderId="0" xfId="2239" applyNumberFormat="1" applyFont="1" applyFill="1"/>
    <xf numFmtId="0" fontId="1" fillId="0" borderId="0" xfId="2239" applyFont="1" applyAlignment="1">
      <alignment horizontal="left" indent="1"/>
    </xf>
    <xf numFmtId="8" fontId="1" fillId="0" borderId="0" xfId="2239" applyNumberFormat="1" applyFont="1"/>
    <xf numFmtId="44" fontId="1" fillId="0" borderId="0" xfId="2243" applyFont="1"/>
    <xf numFmtId="166" fontId="8" fillId="0" borderId="221" xfId="2239" applyNumberFormat="1" applyBorder="1"/>
    <xf numFmtId="167" fontId="33" fillId="0" borderId="0" xfId="17" applyFont="1" applyFill="1" applyAlignment="1">
      <alignment vertical="center" wrapText="1"/>
    </xf>
    <xf numFmtId="166" fontId="130" fillId="0" borderId="0" xfId="0" applyNumberFormat="1" applyFont="1" applyFill="1"/>
    <xf numFmtId="0" fontId="130" fillId="0" borderId="0" xfId="0" applyFont="1" applyFill="1"/>
    <xf numFmtId="0" fontId="130" fillId="0" borderId="0" xfId="0" applyFont="1"/>
    <xf numFmtId="0" fontId="35" fillId="0" borderId="1" xfId="0" applyFont="1" applyBorder="1" applyAlignment="1">
      <alignment horizontal="center"/>
    </xf>
    <xf numFmtId="0" fontId="35" fillId="0" borderId="2" xfId="0" applyFont="1" applyBorder="1" applyAlignment="1">
      <alignment horizontal="center"/>
    </xf>
    <xf numFmtId="0" fontId="35" fillId="0" borderId="3" xfId="0" applyFont="1" applyBorder="1" applyAlignment="1">
      <alignment horizontal="center"/>
    </xf>
    <xf numFmtId="0" fontId="35" fillId="0" borderId="6" xfId="0" applyFont="1" applyBorder="1" applyAlignment="1">
      <alignment horizontal="center"/>
    </xf>
    <xf numFmtId="0" fontId="35" fillId="0" borderId="7" xfId="0" applyFont="1" applyBorder="1" applyAlignment="1">
      <alignment horizontal="center"/>
    </xf>
    <xf numFmtId="0" fontId="35" fillId="0" borderId="8" xfId="0" applyFont="1" applyBorder="1" applyAlignment="1">
      <alignment horizontal="center"/>
    </xf>
    <xf numFmtId="0" fontId="45" fillId="0" borderId="4" xfId="0" applyFont="1" applyBorder="1" applyAlignment="1">
      <alignment horizontal="center"/>
    </xf>
    <xf numFmtId="0" fontId="45" fillId="0" borderId="0" xfId="0" applyFont="1" applyAlignment="1">
      <alignment horizontal="center"/>
    </xf>
    <xf numFmtId="0" fontId="45" fillId="0" borderId="5" xfId="0" applyFont="1" applyBorder="1" applyAlignment="1">
      <alignment horizontal="center"/>
    </xf>
    <xf numFmtId="0" fontId="34" fillId="0" borderId="4" xfId="0" applyFont="1" applyBorder="1" applyAlignment="1">
      <alignment horizontal="center"/>
    </xf>
    <xf numFmtId="0" fontId="34" fillId="0" borderId="0" xfId="0" applyFont="1" applyAlignment="1">
      <alignment horizontal="center"/>
    </xf>
    <xf numFmtId="0" fontId="34" fillId="0" borderId="5" xfId="0" applyFont="1" applyBorder="1" applyAlignment="1">
      <alignment horizontal="center"/>
    </xf>
    <xf numFmtId="14" fontId="36" fillId="0" borderId="4" xfId="0" applyNumberFormat="1" applyFont="1" applyBorder="1" applyAlignment="1">
      <alignment horizontal="center"/>
    </xf>
    <xf numFmtId="14" fontId="36" fillId="0" borderId="0" xfId="0" applyNumberFormat="1" applyFont="1" applyAlignment="1">
      <alignment horizontal="center"/>
    </xf>
    <xf numFmtId="14" fontId="36" fillId="0" borderId="5" xfId="0" applyNumberFormat="1" applyFont="1" applyBorder="1" applyAlignment="1">
      <alignment horizontal="center"/>
    </xf>
    <xf numFmtId="171" fontId="37" fillId="0" borderId="4" xfId="0" applyNumberFormat="1" applyFont="1" applyBorder="1" applyAlignment="1">
      <alignment horizontal="center"/>
    </xf>
    <xf numFmtId="171" fontId="37" fillId="0" borderId="0" xfId="0" applyNumberFormat="1" applyFont="1" applyAlignment="1">
      <alignment horizontal="center"/>
    </xf>
    <xf numFmtId="171" fontId="37" fillId="0" borderId="5" xfId="0" applyNumberFormat="1" applyFont="1" applyBorder="1" applyAlignment="1">
      <alignment horizontal="center"/>
    </xf>
    <xf numFmtId="0" fontId="74" fillId="0" borderId="0" xfId="0" applyFont="1" applyAlignment="1">
      <alignment horizontal="left"/>
    </xf>
    <xf numFmtId="0" fontId="112" fillId="0" borderId="0" xfId="0" applyFont="1" applyAlignment="1">
      <alignment horizontal="left" wrapText="1"/>
    </xf>
    <xf numFmtId="0" fontId="73" fillId="21" borderId="0" xfId="0" applyFont="1" applyFill="1" applyAlignment="1">
      <alignment horizontal="left"/>
    </xf>
    <xf numFmtId="0" fontId="33" fillId="0" borderId="0" xfId="0" applyFont="1" applyAlignment="1">
      <alignment horizontal="left"/>
    </xf>
    <xf numFmtId="0" fontId="73" fillId="21" borderId="0" xfId="2244" applyFont="1" applyFill="1" applyAlignment="1">
      <alignment horizontal="left"/>
    </xf>
    <xf numFmtId="0" fontId="73" fillId="21" borderId="0" xfId="1511" applyFont="1" applyFill="1" applyAlignment="1">
      <alignment horizontal="left"/>
    </xf>
    <xf numFmtId="0" fontId="77" fillId="0" borderId="0" xfId="1511" applyFont="1" applyAlignment="1"/>
    <xf numFmtId="0" fontId="77" fillId="0" borderId="0" xfId="0" applyFont="1" applyAlignment="1"/>
    <xf numFmtId="0" fontId="39" fillId="0" borderId="0" xfId="0" applyFont="1" applyAlignment="1">
      <alignment horizontal="right"/>
    </xf>
    <xf numFmtId="0" fontId="33" fillId="0" borderId="0" xfId="0" applyFont="1" applyAlignment="1">
      <alignment horizontal="right"/>
    </xf>
    <xf numFmtId="0" fontId="33" fillId="0" borderId="0" xfId="0" applyFont="1" applyAlignment="1"/>
  </cellXfs>
  <cellStyles count="54146">
    <cellStyle name="20% - Accent1 2" xfId="46" xr:uid="{00000000-0005-0000-0000-000000000000}"/>
    <cellStyle name="20% - Accent2 2" xfId="47" xr:uid="{00000000-0005-0000-0000-000001000000}"/>
    <cellStyle name="20% - Accent3 2" xfId="48" xr:uid="{00000000-0005-0000-0000-000002000000}"/>
    <cellStyle name="20% - Accent4 2" xfId="49" xr:uid="{00000000-0005-0000-0000-000003000000}"/>
    <cellStyle name="20% - Accent5 2" xfId="50" xr:uid="{00000000-0005-0000-0000-000004000000}"/>
    <cellStyle name="20% - Accent6 2" xfId="51" xr:uid="{00000000-0005-0000-0000-000005000000}"/>
    <cellStyle name="40% - Accent1 2" xfId="52" xr:uid="{00000000-0005-0000-0000-000006000000}"/>
    <cellStyle name="40% - Accent2 2" xfId="53" xr:uid="{00000000-0005-0000-0000-000007000000}"/>
    <cellStyle name="40% - Accent3 2" xfId="54" xr:uid="{00000000-0005-0000-0000-000008000000}"/>
    <cellStyle name="40% - Accent4 2" xfId="55" xr:uid="{00000000-0005-0000-0000-000009000000}"/>
    <cellStyle name="40% - Accent5 2" xfId="56" xr:uid="{00000000-0005-0000-0000-00000A000000}"/>
    <cellStyle name="40% - Accent6 2" xfId="57" xr:uid="{00000000-0005-0000-0000-00000B000000}"/>
    <cellStyle name="60% - Accent1 2" xfId="58" xr:uid="{00000000-0005-0000-0000-00000C000000}"/>
    <cellStyle name="60% - Accent2 2" xfId="59" xr:uid="{00000000-0005-0000-0000-00000D000000}"/>
    <cellStyle name="60% - Accent3 2" xfId="60" xr:uid="{00000000-0005-0000-0000-00000E000000}"/>
    <cellStyle name="60% - Accent4 2" xfId="61" xr:uid="{00000000-0005-0000-0000-00000F000000}"/>
    <cellStyle name="60% - Accent5 2" xfId="62" xr:uid="{00000000-0005-0000-0000-000010000000}"/>
    <cellStyle name="60% - Accent6 2" xfId="63" xr:uid="{00000000-0005-0000-0000-000011000000}"/>
    <cellStyle name="Accent1 2" xfId="64" xr:uid="{00000000-0005-0000-0000-000012000000}"/>
    <cellStyle name="Accent2 2" xfId="65" xr:uid="{00000000-0005-0000-0000-000013000000}"/>
    <cellStyle name="Accent3 2" xfId="66" xr:uid="{00000000-0005-0000-0000-000014000000}"/>
    <cellStyle name="Accent4 2" xfId="67" xr:uid="{00000000-0005-0000-0000-000015000000}"/>
    <cellStyle name="Accent5 2" xfId="68" xr:uid="{00000000-0005-0000-0000-000016000000}"/>
    <cellStyle name="Accent6 2" xfId="69" xr:uid="{00000000-0005-0000-0000-000017000000}"/>
    <cellStyle name="Bad 2" xfId="70" xr:uid="{00000000-0005-0000-0000-000018000000}"/>
    <cellStyle name="Calculation 2" xfId="71" xr:uid="{00000000-0005-0000-0000-00001A000000}"/>
    <cellStyle name="Calculation 2 10" xfId="285" xr:uid="{00000000-0005-0000-0000-00001B000000}"/>
    <cellStyle name="Calculation 2 10 10" xfId="20861" xr:uid="{5B323163-1331-4CAE-B30F-84085A59DCAB}"/>
    <cellStyle name="Calculation 2 10 10 2" xfId="50425" xr:uid="{3969A556-6CDD-413B-8F67-1B33352743F3}"/>
    <cellStyle name="Calculation 2 10 11" xfId="49498" xr:uid="{846D7B29-9C47-4C58-875C-CD0817E71D80}"/>
    <cellStyle name="Calculation 2 10 2" xfId="1576" xr:uid="{00000000-0005-0000-0000-00001C000000}"/>
    <cellStyle name="Calculation 2 10 2 10" xfId="14313" xr:uid="{789475C5-41E9-4FA4-AE54-CC2C1570AAD0}"/>
    <cellStyle name="Calculation 2 10 2 10 2" xfId="36782" xr:uid="{491D1B41-FC8B-4573-BA98-910F34C07858}"/>
    <cellStyle name="Calculation 2 10 2 10 3" xfId="49450" xr:uid="{712C7CF6-7C01-4655-B7A7-89BA0E33BEDF}"/>
    <cellStyle name="Calculation 2 10 2 11" xfId="21185" xr:uid="{4221B4A3-DC31-4821-B183-AB5EDC395E0B}"/>
    <cellStyle name="Calculation 2 10 2 11 2" xfId="43425" xr:uid="{B4146C23-7A03-4C78-BC01-4D018FFB1896}"/>
    <cellStyle name="Calculation 2 10 2 11 3" xfId="29609" xr:uid="{1D875A0B-B831-4A55-8A5F-95D0484AFB58}"/>
    <cellStyle name="Calculation 2 10 2 12" xfId="19680" xr:uid="{05B13650-D040-4239-ABE2-DBB9BB5C5A23}"/>
    <cellStyle name="Calculation 2 10 2 12 2" xfId="44159" xr:uid="{934C0CF0-4C6D-466C-A6E6-0745B0356A01}"/>
    <cellStyle name="Calculation 2 10 2 13" xfId="49447" xr:uid="{553983ED-29A1-4458-8BF0-C2C35CF101A4}"/>
    <cellStyle name="Calculation 2 10 2 2" xfId="3677" xr:uid="{00000000-0005-0000-0000-00001C000000}"/>
    <cellStyle name="Calculation 2 10 2 2 2" xfId="10581" xr:uid="{3E5D64D7-104D-4CC5-BBB4-1B6D9E3F8381}"/>
    <cellStyle name="Calculation 2 10 2 2 2 2" xfId="33067" xr:uid="{15E21E67-A10C-4C2B-8F5E-22A4032A7388}"/>
    <cellStyle name="Calculation 2 10 2 2 2 3" xfId="53307" xr:uid="{311128ED-1970-4CED-8052-1BE75EECAF09}"/>
    <cellStyle name="Calculation 2 10 2 2 3" xfId="15782" xr:uid="{C9CFE5A4-8FEA-4423-8688-1A9575848D09}"/>
    <cellStyle name="Calculation 2 10 2 2 3 2" xfId="38192" xr:uid="{0860A148-0359-4025-B814-C3CF37AD3732}"/>
    <cellStyle name="Calculation 2 10 2 2 3 3" xfId="52994" xr:uid="{1C3ECD9E-04A4-4921-9B67-71291FD11355}"/>
    <cellStyle name="Calculation 2 10 2 2 4" xfId="21272" xr:uid="{6BB7BEDE-7064-4BC8-B5FB-4B07382F245E}"/>
    <cellStyle name="Calculation 2 10 2 2 4 2" xfId="26056" xr:uid="{2B52BF69-862D-42BA-9D3B-271E81868750}"/>
    <cellStyle name="Calculation 2 10 2 2 5" xfId="49613" xr:uid="{269724D2-1686-433B-9F3B-52E7D712F565}"/>
    <cellStyle name="Calculation 2 10 2 3" xfId="5128" xr:uid="{00000000-0005-0000-0000-00001C000000}"/>
    <cellStyle name="Calculation 2 10 2 3 2" xfId="12021" xr:uid="{648C2BFD-088E-4BF6-A58B-3F696D936573}"/>
    <cellStyle name="Calculation 2 10 2 3 2 2" xfId="34507" xr:uid="{5EEA3B1F-06C4-4E70-80DA-9D24BEEE415D}"/>
    <cellStyle name="Calculation 2 10 2 3 2 3" xfId="27648" xr:uid="{C8FC5073-A667-4795-BBB8-5DB49B54D7E9}"/>
    <cellStyle name="Calculation 2 10 2 3 3" xfId="17065" xr:uid="{B597B8A4-55CD-4A8D-878A-B5378F637160}"/>
    <cellStyle name="Calculation 2 10 2 3 3 2" xfId="39455" xr:uid="{562FD6E3-BE47-4B7A-A895-900E2C3534BC}"/>
    <cellStyle name="Calculation 2 10 2 3 3 3" xfId="45835" xr:uid="{4FFC34AB-A569-444E-B562-A845CF9320AC}"/>
    <cellStyle name="Calculation 2 10 2 3 4" xfId="21489" xr:uid="{58351122-1445-4473-8005-F507019C81A5}"/>
    <cellStyle name="Calculation 2 10 2 3 4 2" xfId="53668" xr:uid="{EFAF8CC1-BF29-4857-9F07-02DA3FED2A15}"/>
    <cellStyle name="Calculation 2 10 2 3 5" xfId="43893" xr:uid="{F7DF5D13-6106-46C0-94A1-979001C91F58}"/>
    <cellStyle name="Calculation 2 10 2 4" xfId="4646" xr:uid="{00000000-0005-0000-0000-00001C000000}"/>
    <cellStyle name="Calculation 2 10 2 4 2" xfId="11546" xr:uid="{DD581F9A-6BCD-42F1-B8C6-B43C6D76DA10}"/>
    <cellStyle name="Calculation 2 10 2 4 2 2" xfId="34032" xr:uid="{FCFFB517-2839-4596-9D5C-44A494739279}"/>
    <cellStyle name="Calculation 2 10 2 4 2 3" xfId="25487" xr:uid="{BEC72065-ED5F-493C-B1A9-C833EFD01640}"/>
    <cellStyle name="Calculation 2 10 2 4 3" xfId="16583" xr:uid="{AAD5D0B4-C54D-4C9E-A6B9-14CD621181E2}"/>
    <cellStyle name="Calculation 2 10 2 4 3 2" xfId="38973" xr:uid="{9F447CC5-736D-4258-BFED-8B6401653A32}"/>
    <cellStyle name="Calculation 2 10 2 4 3 3" xfId="28431" xr:uid="{EDD811DA-A892-4070-843A-59D8FB301C16}"/>
    <cellStyle name="Calculation 2 10 2 4 4" xfId="14465" xr:uid="{25D155CE-E5D9-4652-B814-A54C4DA2B396}"/>
    <cellStyle name="Calculation 2 10 2 4 4 2" xfId="53129" xr:uid="{AFF37816-CBCC-492A-97AE-A7A958C29FF3}"/>
    <cellStyle name="Calculation 2 10 2 4 5" xfId="24775" xr:uid="{0E1B4624-B6BF-489E-852F-58B5D3F01B08}"/>
    <cellStyle name="Calculation 2 10 2 5" xfId="4553" xr:uid="{00000000-0005-0000-0000-00001C000000}"/>
    <cellStyle name="Calculation 2 10 2 5 2" xfId="11455" xr:uid="{22E3EBE7-04C7-4E9C-933C-8AD4C873E2B1}"/>
    <cellStyle name="Calculation 2 10 2 5 2 2" xfId="33941" xr:uid="{836E3527-6DEF-483A-8602-D76D3A5CB597}"/>
    <cellStyle name="Calculation 2 10 2 5 2 3" xfId="29611" xr:uid="{54445B3E-BFFF-4A4B-A922-B6C13B76BFF9}"/>
    <cellStyle name="Calculation 2 10 2 5 3" xfId="16490" xr:uid="{C59ED1B5-C437-4C14-AFAD-0FA0443617DD}"/>
    <cellStyle name="Calculation 2 10 2 5 3 2" xfId="38880" xr:uid="{2B97E59E-E0A3-4D54-BB53-58CE0AF6EDC6}"/>
    <cellStyle name="Calculation 2 10 2 5 3 3" xfId="44508" xr:uid="{F50992D8-3FCA-44BA-8825-6B433D983D1A}"/>
    <cellStyle name="Calculation 2 10 2 5 4" xfId="16237" xr:uid="{9DB03BDD-498F-4FD5-895A-A073DC3BE2C5}"/>
    <cellStyle name="Calculation 2 10 2 5 4 2" xfId="32800" xr:uid="{C95AD8C8-B803-4559-916F-E0CCC86E63E9}"/>
    <cellStyle name="Calculation 2 10 2 5 5" xfId="52084" xr:uid="{3EF42E0F-E451-44C7-A060-980DAE4E1361}"/>
    <cellStyle name="Calculation 2 10 2 6" xfId="5346" xr:uid="{00000000-0005-0000-0000-00001C000000}"/>
    <cellStyle name="Calculation 2 10 2 6 2" xfId="12238" xr:uid="{1C7C096C-E154-4568-B9F1-62CCC5908BCE}"/>
    <cellStyle name="Calculation 2 10 2 6 2 2" xfId="34723" xr:uid="{78051094-5EDB-4EA8-A8EF-774BFDF9E236}"/>
    <cellStyle name="Calculation 2 10 2 6 2 3" xfId="27273" xr:uid="{E9F14FC9-3650-4399-9B5B-6FDD4051FACB}"/>
    <cellStyle name="Calculation 2 10 2 6 3" xfId="17283" xr:uid="{2F90A2DE-334E-45F9-A52B-E8E4E970557B}"/>
    <cellStyle name="Calculation 2 10 2 6 3 2" xfId="39673" xr:uid="{EF35489B-1931-4E50-A49A-5C88FAD9BBE8}"/>
    <cellStyle name="Calculation 2 10 2 6 3 3" xfId="45202" xr:uid="{99524FD0-B97F-4CC5-BD6A-EDCEA57D7F03}"/>
    <cellStyle name="Calculation 2 10 2 6 4" xfId="21707" xr:uid="{8BE8A939-7631-4F22-81A3-FC2B8C7FCA09}"/>
    <cellStyle name="Calculation 2 10 2 6 4 2" xfId="52990" xr:uid="{0208E26A-FF28-4950-9C7E-63F1B412B1F8}"/>
    <cellStyle name="Calculation 2 10 2 6 5" xfId="30158" xr:uid="{2CB55F03-A7A9-403D-A644-AFF52245F38D}"/>
    <cellStyle name="Calculation 2 10 2 7" xfId="6364" xr:uid="{00000000-0005-0000-0000-00001C000000}"/>
    <cellStyle name="Calculation 2 10 2 7 2" xfId="13236" xr:uid="{B9E25F8F-9C13-43F3-8B4B-D9AA8F11464D}"/>
    <cellStyle name="Calculation 2 10 2 7 2 2" xfId="35720" xr:uid="{6844322A-497E-4E6A-BB3C-514F2AC9E40D}"/>
    <cellStyle name="Calculation 2 10 2 7 2 3" xfId="45777" xr:uid="{DFC8924D-6BA5-407C-9F1D-3987810E9973}"/>
    <cellStyle name="Calculation 2 10 2 7 3" xfId="18301" xr:uid="{7D689719-2F6D-42E6-94A2-6982B5352F21}"/>
    <cellStyle name="Calculation 2 10 2 7 3 2" xfId="40691" xr:uid="{AF898289-1352-4DC1-A9CD-5662A6503E2B}"/>
    <cellStyle name="Calculation 2 10 2 7 3 3" xfId="31248" xr:uid="{A093FADD-F332-4A35-B534-7F6DB70CAE76}"/>
    <cellStyle name="Calculation 2 10 2 7 4" xfId="22725" xr:uid="{6CF57DD2-B638-4FB3-A360-5A203D75A1B7}"/>
    <cellStyle name="Calculation 2 10 2 7 4 2" xfId="28861" xr:uid="{ECAFFC33-BDE5-489B-A0B7-58C1CE45D534}"/>
    <cellStyle name="Calculation 2 10 2 7 5" xfId="28317" xr:uid="{AFB4330E-0E1F-481D-BE09-ADBD407A9A75}"/>
    <cellStyle name="Calculation 2 10 2 8" xfId="6489" xr:uid="{00000000-0005-0000-0000-00001C000000}"/>
    <cellStyle name="Calculation 2 10 2 8 2" xfId="13358" xr:uid="{B6B5AF3A-D647-4FDD-9952-E0B038832DFD}"/>
    <cellStyle name="Calculation 2 10 2 8 2 2" xfId="35842" xr:uid="{8B84CBDC-CC29-407D-8F05-87B2D35195C4}"/>
    <cellStyle name="Calculation 2 10 2 8 2 3" xfId="48140" xr:uid="{C553E442-158D-40F6-BFA7-EAACD45A0365}"/>
    <cellStyle name="Calculation 2 10 2 8 3" xfId="18426" xr:uid="{F4C54EBE-A72F-464C-B9E9-14D42E805F1B}"/>
    <cellStyle name="Calculation 2 10 2 8 3 2" xfId="40816" xr:uid="{7AB7A8E6-E968-406E-9444-901BA172F0F2}"/>
    <cellStyle name="Calculation 2 10 2 8 3 3" xfId="44158" xr:uid="{EA6DF793-BCB6-4D24-8A91-3DC768F1CE9E}"/>
    <cellStyle name="Calculation 2 10 2 8 4" xfId="22850" xr:uid="{B8F165B6-96A1-4EC3-A915-3A63743B9669}"/>
    <cellStyle name="Calculation 2 10 2 8 4 2" xfId="49172" xr:uid="{8889F23A-2801-4660-9169-54A41087FCD4}"/>
    <cellStyle name="Calculation 2 10 2 8 5" xfId="45708" xr:uid="{3035448E-FC79-45F4-A680-1F99E9B2D799}"/>
    <cellStyle name="Calculation 2 10 2 9" xfId="6176" xr:uid="{00000000-0005-0000-0000-00001C000000}"/>
    <cellStyle name="Calculation 2 10 2 9 2" xfId="18113" xr:uid="{A9192375-E1A0-4274-82AE-7B78A7DD37B4}"/>
    <cellStyle name="Calculation 2 10 2 9 2 2" xfId="40503" xr:uid="{A073B3E1-B4EE-49CB-A1DA-9CA7D0DA0509}"/>
    <cellStyle name="Calculation 2 10 2 9 2 3" xfId="24078" xr:uid="{0BC22E6D-F8DD-4535-84B5-A7D11FB888E2}"/>
    <cellStyle name="Calculation 2 10 2 9 3" xfId="22537" xr:uid="{580BF93A-25AC-4652-9E41-EB663BBA5041}"/>
    <cellStyle name="Calculation 2 10 2 9 3 2" xfId="46642" xr:uid="{BFFBD188-A3E4-47DC-B6B4-3EB313D5FAAD}"/>
    <cellStyle name="Calculation 2 10 2 9 4" xfId="47502" xr:uid="{144D7FAD-7929-48C9-8120-229DA7562AF3}"/>
    <cellStyle name="Calculation 2 10 3" xfId="2449" xr:uid="{00000000-0005-0000-0000-00001B000000}"/>
    <cellStyle name="Calculation 2 10 3 2" xfId="9358" xr:uid="{AFB830E9-444C-48F4-AEB8-DFD2FEEFE187}"/>
    <cellStyle name="Calculation 2 10 3 2 2" xfId="31925" xr:uid="{93BD94A2-49AF-45B8-99E3-326EF9359C70}"/>
    <cellStyle name="Calculation 2 10 3 2 3" xfId="47503" xr:uid="{7EB0AC5F-16CC-4E71-A772-1A91BEABCB1C}"/>
    <cellStyle name="Calculation 2 10 3 3" xfId="14976" xr:uid="{A7B99F26-05B0-4A94-9D6A-0B0676913443}"/>
    <cellStyle name="Calculation 2 10 3 3 2" xfId="37427" xr:uid="{DFA3D810-1E07-4964-A03F-E945D6C58AA3}"/>
    <cellStyle name="Calculation 2 10 3 3 3" xfId="27799" xr:uid="{A2EBC7F5-59E8-4C72-A362-4CB968BA1CC9}"/>
    <cellStyle name="Calculation 2 10 3 4" xfId="14918" xr:uid="{AF756653-C6BD-4B5D-A693-C0F97C077DD8}"/>
    <cellStyle name="Calculation 2 10 3 4 2" xfId="43250" xr:uid="{2A25BD84-88C2-42EF-8E78-532A8067041E}"/>
    <cellStyle name="Calculation 2 10 3 5" xfId="51300" xr:uid="{788CFB3A-422C-4978-B136-03DA03E0F0DD}"/>
    <cellStyle name="Calculation 2 10 4" xfId="2360" xr:uid="{00000000-0005-0000-0000-00001B000000}"/>
    <cellStyle name="Calculation 2 10 4 2" xfId="9269" xr:uid="{3BFAE52F-02DE-4F0B-8C20-C3B822E014B2}"/>
    <cellStyle name="Calculation 2 10 4 2 2" xfId="31844" xr:uid="{8986FC8F-8EB5-44C0-9E05-E45BB6559C3E}"/>
    <cellStyle name="Calculation 2 10 4 2 3" xfId="52992" xr:uid="{EC888914-F12B-42FA-85B0-15A0C5931E35}"/>
    <cellStyle name="Calculation 2 10 4 3" xfId="14915" xr:uid="{695044FB-C3F6-4A6F-A9BF-8D999EC4A346}"/>
    <cellStyle name="Calculation 2 10 4 3 2" xfId="37369" xr:uid="{71852FBF-750B-45A3-AFDD-46421FB54629}"/>
    <cellStyle name="Calculation 2 10 4 3 3" xfId="29162" xr:uid="{A1A0B490-7252-4053-92A8-AC8795EA6112}"/>
    <cellStyle name="Calculation 2 10 4 4" xfId="15007" xr:uid="{EDE23225-A7A0-4598-B08D-439667B6D74D}"/>
    <cellStyle name="Calculation 2 10 4 4 2" xfId="25150" xr:uid="{E6E93DD2-A45A-4E8B-8BB0-2812E81E335F}"/>
    <cellStyle name="Calculation 2 10 4 5" xfId="27272" xr:uid="{EFBA9FF5-5B39-4BE9-A6D1-7E8544196DCF}"/>
    <cellStyle name="Calculation 2 10 5" xfId="5909" xr:uid="{00000000-0005-0000-0000-00001B000000}"/>
    <cellStyle name="Calculation 2 10 5 2" xfId="12790" xr:uid="{092D014D-F35F-4909-86C3-CB0896E12D1B}"/>
    <cellStyle name="Calculation 2 10 5 2 2" xfId="35274" xr:uid="{A421BE5A-5EA5-4302-82FA-92067153B7F7}"/>
    <cellStyle name="Calculation 2 10 5 2 3" xfId="45946" xr:uid="{D675FF20-BD8F-4285-AF07-60FF65C60210}"/>
    <cellStyle name="Calculation 2 10 5 3" xfId="17846" xr:uid="{79104357-0906-4236-9C3E-CD2845EE51D9}"/>
    <cellStyle name="Calculation 2 10 5 3 2" xfId="40236" xr:uid="{2A7980D7-F930-4AB5-8D77-EC47A2235FCA}"/>
    <cellStyle name="Calculation 2 10 5 3 3" xfId="23716" xr:uid="{D0E5513F-E153-4869-B4E5-95F093F7DA74}"/>
    <cellStyle name="Calculation 2 10 5 4" xfId="22270" xr:uid="{6C82EBFB-52C4-4AE0-B111-DBC908B1E632}"/>
    <cellStyle name="Calculation 2 10 5 4 2" xfId="46136" xr:uid="{551E9299-D27F-4CE9-8B88-75D195729FE9}"/>
    <cellStyle name="Calculation 2 10 5 5" xfId="49825" xr:uid="{2B638839-8A5F-48FA-A3D9-05228AAAC75A}"/>
    <cellStyle name="Calculation 2 10 6" xfId="5580" xr:uid="{00000000-0005-0000-0000-00001B000000}"/>
    <cellStyle name="Calculation 2 10 6 2" xfId="12465" xr:uid="{442EFB16-902F-45F2-8FE0-49DE132D603E}"/>
    <cellStyle name="Calculation 2 10 6 2 2" xfId="34950" xr:uid="{BB30419B-ED79-4B07-867E-C49C905BD4D1}"/>
    <cellStyle name="Calculation 2 10 6 2 3" xfId="42778" xr:uid="{90BD94F7-09C9-47CB-905B-C346C8CD31C6}"/>
    <cellStyle name="Calculation 2 10 6 3" xfId="17517" xr:uid="{E8D0DA21-8E3C-4536-ABDC-941B8AF098F8}"/>
    <cellStyle name="Calculation 2 10 6 3 2" xfId="39907" xr:uid="{86FAE365-39C1-48E3-BAFE-31FC8DC46C84}"/>
    <cellStyle name="Calculation 2 10 6 3 3" xfId="24740" xr:uid="{378C7D26-DE4F-4DF2-9FBB-E43883146247}"/>
    <cellStyle name="Calculation 2 10 6 4" xfId="21941" xr:uid="{4D369BE5-4694-4662-A2D6-58D7D34714F6}"/>
    <cellStyle name="Calculation 2 10 6 4 2" xfId="53134" xr:uid="{97F1E8A9-73B2-4CDD-B4AC-353D4CC64B5F}"/>
    <cellStyle name="Calculation 2 10 6 5" xfId="49635" xr:uid="{5DC02DFE-3DF3-4888-A864-7327C9F564FE}"/>
    <cellStyle name="Calculation 2 10 7" xfId="6835" xr:uid="{00000000-0005-0000-0000-00001B000000}"/>
    <cellStyle name="Calculation 2 10 7 2" xfId="13680" xr:uid="{8098A69E-147A-4C29-B10D-0EF309ED9591}"/>
    <cellStyle name="Calculation 2 10 7 2 2" xfId="36164" xr:uid="{71E6BC79-B84F-4B0E-965D-3D2FE9FB701A}"/>
    <cellStyle name="Calculation 2 10 7 2 3" xfId="48849" xr:uid="{515A9FB6-5F42-46BA-8325-C69E22E6CC41}"/>
    <cellStyle name="Calculation 2 10 7 3" xfId="18772" xr:uid="{1C13F621-4079-42DD-8567-41565112E6D1}"/>
    <cellStyle name="Calculation 2 10 7 3 2" xfId="41162" xr:uid="{27AC6EDE-9036-4369-B059-D78873152DF3}"/>
    <cellStyle name="Calculation 2 10 7 3 3" xfId="43409" xr:uid="{2B152156-5FF2-4151-B10B-0AC64D9B7BB9}"/>
    <cellStyle name="Calculation 2 10 7 4" xfId="23196" xr:uid="{A41A0AED-4CB4-4AD3-A16E-CA593169CF88}"/>
    <cellStyle name="Calculation 2 10 7 4 2" xfId="50386" xr:uid="{4EA80592-0911-4F42-8302-605311242A84}"/>
    <cellStyle name="Calculation 2 10 7 5" xfId="41872" xr:uid="{4B9AFBFA-B62C-431E-8176-9CD899CFBAC8}"/>
    <cellStyle name="Calculation 2 10 8" xfId="7735" xr:uid="{C30B3E47-1E96-49B8-B4FB-DBD419A75D0D}"/>
    <cellStyle name="Calculation 2 10 8 2" xfId="30384" xr:uid="{E596273F-5C2D-4A3E-BFEE-FF027CEBB4A9}"/>
    <cellStyle name="Calculation 2 10 8 3" xfId="48249" xr:uid="{D3509A3A-250B-4EBA-A5FC-00CA69BCC5C7}"/>
    <cellStyle name="Calculation 2 10 9" xfId="21280" xr:uid="{1DFED26E-C6DC-4C42-8B80-A95FF13D1CEB}"/>
    <cellStyle name="Calculation 2 10 9 2" xfId="43515" xr:uid="{1718EBD2-FE46-46A4-8B6B-13EBBBAF9D02}"/>
    <cellStyle name="Calculation 2 10 9 3" xfId="53033" xr:uid="{932A89BB-EDC8-468F-8D62-74C4270C8610}"/>
    <cellStyle name="Calculation 2 11" xfId="670" xr:uid="{00000000-0005-0000-0000-00001D000000}"/>
    <cellStyle name="Calculation 2 11 10" xfId="21182" xr:uid="{8866AC7D-112C-4233-ADA1-CA96BA3BC19C}"/>
    <cellStyle name="Calculation 2 11 10 2" xfId="32616" xr:uid="{D389CE13-D295-4D6D-B926-3487DE4E14BE}"/>
    <cellStyle name="Calculation 2 11 11" xfId="47350" xr:uid="{FA0A8789-ABCA-47BC-ACE8-219B953E60DE}"/>
    <cellStyle name="Calculation 2 11 2" xfId="1757" xr:uid="{00000000-0005-0000-0000-00001E000000}"/>
    <cellStyle name="Calculation 2 11 2 10" xfId="14455" xr:uid="{50BFE025-4ED1-4AEB-B549-12A563E99CCF}"/>
    <cellStyle name="Calculation 2 11 2 10 2" xfId="36920" xr:uid="{DA02620D-ED2B-4273-BB8B-4B8F66AC4B3B}"/>
    <cellStyle name="Calculation 2 11 2 10 3" xfId="47288" xr:uid="{F03F7144-9438-42E6-B4A8-707655DE3C54}"/>
    <cellStyle name="Calculation 2 11 2 11" xfId="20677" xr:uid="{4C8B90C3-2569-4938-B166-C37ED57D5B98}"/>
    <cellStyle name="Calculation 2 11 2 11 2" xfId="42951" xr:uid="{C76B24E1-A379-468D-91BE-3EDE9BDB0F75}"/>
    <cellStyle name="Calculation 2 11 2 11 3" xfId="46369" xr:uid="{AEB18A7B-C45D-49C6-862F-1855EA41FC43}"/>
    <cellStyle name="Calculation 2 11 2 12" xfId="15048" xr:uid="{518146AD-57FE-4FD8-9495-E7D3E33DC098}"/>
    <cellStyle name="Calculation 2 11 2 12 2" xfId="50771" xr:uid="{EB2BC440-AB34-42A8-BF1B-AC8E3AE3A8FF}"/>
    <cellStyle name="Calculation 2 11 2 13" xfId="46274" xr:uid="{49D9A3BC-BDE3-4A1A-AA71-9D95E063BA70}"/>
    <cellStyle name="Calculation 2 11 2 2" xfId="3855" xr:uid="{00000000-0005-0000-0000-00001E000000}"/>
    <cellStyle name="Calculation 2 11 2 2 2" xfId="10759" xr:uid="{211ECECB-6503-4561-B944-6CA815C4CA63}"/>
    <cellStyle name="Calculation 2 11 2 2 2 2" xfId="33245" xr:uid="{665BD3AE-63CF-425A-89B7-16A63C65960B}"/>
    <cellStyle name="Calculation 2 11 2 2 2 3" xfId="53969" xr:uid="{69E1C44A-EEA3-458D-9600-33055E863B29}"/>
    <cellStyle name="Calculation 2 11 2 2 3" xfId="15911" xr:uid="{E166C81D-8B14-42A3-85EC-78D821911F77}"/>
    <cellStyle name="Calculation 2 11 2 2 3 2" xfId="38317" xr:uid="{8A9EDE29-A9D7-4308-8E49-6A16843D23C5}"/>
    <cellStyle name="Calculation 2 11 2 2 3 3" xfId="42655" xr:uid="{72B56FDC-EA79-495D-93BB-991655A91B00}"/>
    <cellStyle name="Calculation 2 11 2 2 4" xfId="20984" xr:uid="{E804EC5B-B7C2-4C08-A542-83663F05AEA5}"/>
    <cellStyle name="Calculation 2 11 2 2 4 2" xfId="48365" xr:uid="{A8A36ABA-FC62-43B7-82D0-D73C6B470C3F}"/>
    <cellStyle name="Calculation 2 11 2 2 5" xfId="50457" xr:uid="{72956EB7-5CDC-4ADB-8CE9-D293F675FCE5}"/>
    <cellStyle name="Calculation 2 11 2 3" xfId="5269" xr:uid="{00000000-0005-0000-0000-00001E000000}"/>
    <cellStyle name="Calculation 2 11 2 3 2" xfId="12161" xr:uid="{C9322A5B-3BFF-41B3-8058-57742CCD8746}"/>
    <cellStyle name="Calculation 2 11 2 3 2 2" xfId="34646" xr:uid="{0F9C535B-5BBF-4DB9-80CF-BA6774925335}"/>
    <cellStyle name="Calculation 2 11 2 3 2 3" xfId="45137" xr:uid="{BC026F97-17C9-4B3B-A0E8-747B9E68C226}"/>
    <cellStyle name="Calculation 2 11 2 3 3" xfId="17206" xr:uid="{8E689ECD-E81C-4DB9-B931-8D5A48A32FBF}"/>
    <cellStyle name="Calculation 2 11 2 3 3 2" xfId="39596" xr:uid="{F8DD445E-24A2-41CD-9A0F-4464DC311762}"/>
    <cellStyle name="Calculation 2 11 2 3 3 3" xfId="28805" xr:uid="{B71A733B-9788-4D80-97B4-9FABAD0EDD5D}"/>
    <cellStyle name="Calculation 2 11 2 3 4" xfId="21630" xr:uid="{728E21DB-B210-4629-8207-1BE40A3B9C14}"/>
    <cellStyle name="Calculation 2 11 2 3 4 2" xfId="53908" xr:uid="{70103F56-7AD0-4AA2-9C93-E7003F1A2E82}"/>
    <cellStyle name="Calculation 2 11 2 3 5" xfId="48136" xr:uid="{A448A96E-224C-41D3-B6E5-E3830AA5924B}"/>
    <cellStyle name="Calculation 2 11 2 4" xfId="5679" xr:uid="{00000000-0005-0000-0000-00001E000000}"/>
    <cellStyle name="Calculation 2 11 2 4 2" xfId="12563" xr:uid="{DDA1E93E-FF0C-46F8-9B30-2F5D9A5B57E5}"/>
    <cellStyle name="Calculation 2 11 2 4 2 2" xfId="35048" xr:uid="{BFD4439E-0AA3-4474-BCAB-423A0F1E6B9A}"/>
    <cellStyle name="Calculation 2 11 2 4 2 3" xfId="32477" xr:uid="{7D341A32-EC4D-466A-98D9-C8346739DCF7}"/>
    <cellStyle name="Calculation 2 11 2 4 3" xfId="17616" xr:uid="{AA883275-F0DD-4203-AA9B-CE9B0D3BC616}"/>
    <cellStyle name="Calculation 2 11 2 4 3 2" xfId="40006" xr:uid="{027B41DB-CDAB-4D09-BFBE-44936F0501AC}"/>
    <cellStyle name="Calculation 2 11 2 4 3 3" xfId="25956" xr:uid="{B5E5F4B2-C625-4FF7-9374-E1EA0C11EF13}"/>
    <cellStyle name="Calculation 2 11 2 4 4" xfId="22040" xr:uid="{D11D770A-75A8-4E13-B39D-36CA5E3E72A4}"/>
    <cellStyle name="Calculation 2 11 2 4 4 2" xfId="24515" xr:uid="{DD07802D-0F86-42FA-A000-BB385511946C}"/>
    <cellStyle name="Calculation 2 11 2 4 5" xfId="53393" xr:uid="{03E77739-67B1-4B6A-9B93-E7DA3F9FFB7B}"/>
    <cellStyle name="Calculation 2 11 2 5" xfId="6040" xr:uid="{00000000-0005-0000-0000-00001E000000}"/>
    <cellStyle name="Calculation 2 11 2 5 2" xfId="12919" xr:uid="{D7B674AF-7406-4A0D-B342-D4A7731215B8}"/>
    <cellStyle name="Calculation 2 11 2 5 2 2" xfId="35403" xr:uid="{968B9C49-47F0-45E9-BEB5-6E8999696084}"/>
    <cellStyle name="Calculation 2 11 2 5 2 3" xfId="51330" xr:uid="{1B328310-0F1C-4478-963E-0E811EED005F}"/>
    <cellStyle name="Calculation 2 11 2 5 3" xfId="17977" xr:uid="{193EBA30-962F-4167-82F8-79CF4AA9B164}"/>
    <cellStyle name="Calculation 2 11 2 5 3 2" xfId="40367" xr:uid="{5BFE313B-EA6F-4FF0-8EB4-E95837454873}"/>
    <cellStyle name="Calculation 2 11 2 5 3 3" xfId="44970" xr:uid="{1A26B4C5-EAE7-4B71-A708-C3BD471D49F9}"/>
    <cellStyle name="Calculation 2 11 2 5 4" xfId="22401" xr:uid="{466A7628-ACE5-4C59-8900-F5915295DDFA}"/>
    <cellStyle name="Calculation 2 11 2 5 4 2" xfId="47538" xr:uid="{1985F291-79C6-4743-8D44-2EB4BC08D691}"/>
    <cellStyle name="Calculation 2 11 2 5 5" xfId="48258" xr:uid="{028871BE-0382-4A76-AF8A-B87C090E9E48}"/>
    <cellStyle name="Calculation 2 11 2 6" xfId="6418" xr:uid="{00000000-0005-0000-0000-00001E000000}"/>
    <cellStyle name="Calculation 2 11 2 6 2" xfId="13290" xr:uid="{12DF839E-E9F0-4279-B47D-CE53AFC52368}"/>
    <cellStyle name="Calculation 2 11 2 6 2 2" xfId="35774" xr:uid="{5FD701CB-F0A5-45A3-83FB-E53321BFA39B}"/>
    <cellStyle name="Calculation 2 11 2 6 2 3" xfId="50010" xr:uid="{99D5F876-4A1A-4FFD-9465-D608A219A8DA}"/>
    <cellStyle name="Calculation 2 11 2 6 3" xfId="18355" xr:uid="{50648535-6841-486A-AF61-5FEC7CA5FF7A}"/>
    <cellStyle name="Calculation 2 11 2 6 3 2" xfId="40745" xr:uid="{4CE6B5C2-6C5A-485B-8A47-9335AE2B8B22}"/>
    <cellStyle name="Calculation 2 11 2 6 3 3" xfId="44777" xr:uid="{9B9E811B-604B-4DA9-9F17-BB69FC83AC36}"/>
    <cellStyle name="Calculation 2 11 2 6 4" xfId="22779" xr:uid="{EFA5E962-A5D8-4BF6-84B5-3DAC334AD6DB}"/>
    <cellStyle name="Calculation 2 11 2 6 4 2" xfId="44597" xr:uid="{DAA1092F-7A55-433F-A44A-384C9FA0B335}"/>
    <cellStyle name="Calculation 2 11 2 6 5" xfId="44160" xr:uid="{009382F1-256A-471C-8111-BE074C3D332E}"/>
    <cellStyle name="Calculation 2 11 2 7" xfId="5207" xr:uid="{00000000-0005-0000-0000-00001E000000}"/>
    <cellStyle name="Calculation 2 11 2 7 2" xfId="12100" xr:uid="{2F93B599-D44F-494B-A893-E9F602811D1F}"/>
    <cellStyle name="Calculation 2 11 2 7 2 2" xfId="34585" xr:uid="{29E9B040-DD9E-440B-93EF-104BABF54A40}"/>
    <cellStyle name="Calculation 2 11 2 7 2 3" xfId="31926" xr:uid="{1A9BAA33-D91A-4F24-92F5-400A48460F5A}"/>
    <cellStyle name="Calculation 2 11 2 7 3" xfId="17144" xr:uid="{FD0DF55A-97EF-48C2-9772-B2309F84EC69}"/>
    <cellStyle name="Calculation 2 11 2 7 3 2" xfId="39534" xr:uid="{2D634774-AD12-427E-BF18-8B2FBEA4D563}"/>
    <cellStyle name="Calculation 2 11 2 7 3 3" xfId="45816" xr:uid="{78868FF0-5479-4B52-AA74-A7645E76C15C}"/>
    <cellStyle name="Calculation 2 11 2 7 4" xfId="21568" xr:uid="{E09C5B09-A5A5-4189-B013-9F6F4F14B2B7}"/>
    <cellStyle name="Calculation 2 11 2 7 4 2" xfId="53465" xr:uid="{EE98F6B5-6CA3-44B5-8A82-074B2FC42765}"/>
    <cellStyle name="Calculation 2 11 2 7 5" xfId="30606" xr:uid="{9CA931DF-12C4-40F8-9602-8F16820AB26F}"/>
    <cellStyle name="Calculation 2 11 2 8" xfId="6931" xr:uid="{00000000-0005-0000-0000-00001E000000}"/>
    <cellStyle name="Calculation 2 11 2 8 2" xfId="13769" xr:uid="{456426CE-4712-48E6-A5F1-17AF9C15D8FF}"/>
    <cellStyle name="Calculation 2 11 2 8 2 2" xfId="36253" xr:uid="{647A3637-B9EF-4F34-B01F-05CE5D412761}"/>
    <cellStyle name="Calculation 2 11 2 8 2 3" xfId="48735" xr:uid="{1F0F3975-8131-426C-A256-CC8131FA5333}"/>
    <cellStyle name="Calculation 2 11 2 8 3" xfId="18868" xr:uid="{154174BE-E3FE-4C43-B293-5D571FABF5F4}"/>
    <cellStyle name="Calculation 2 11 2 8 3 2" xfId="41258" xr:uid="{C3C2EE4A-91DC-4609-90EC-51E98EDA88DC}"/>
    <cellStyle name="Calculation 2 11 2 8 3 3" xfId="26891" xr:uid="{6FD8C454-DB4D-4347-96F7-9BDB15A84454}"/>
    <cellStyle name="Calculation 2 11 2 8 4" xfId="23292" xr:uid="{C5CAAF19-FC2B-44D8-9F6A-83E4C19AE459}"/>
    <cellStyle name="Calculation 2 11 2 8 4 2" xfId="29034" xr:uid="{13995E10-5769-492E-882A-97AFE41AA869}"/>
    <cellStyle name="Calculation 2 11 2 8 5" xfId="51549" xr:uid="{28120A49-0063-483A-901D-F7AD9BDFB991}"/>
    <cellStyle name="Calculation 2 11 2 9" xfId="5102" xr:uid="{00000000-0005-0000-0000-00001E000000}"/>
    <cellStyle name="Calculation 2 11 2 9 2" xfId="17039" xr:uid="{4329164D-A848-421B-ACD8-1020FE757501}"/>
    <cellStyle name="Calculation 2 11 2 9 2 2" xfId="39429" xr:uid="{E154E3A0-297B-435C-A32F-D7BEAC2B5B26}"/>
    <cellStyle name="Calculation 2 11 2 9 2 3" xfId="43693" xr:uid="{A5613283-F92D-4D3D-9F90-B06440FDA962}"/>
    <cellStyle name="Calculation 2 11 2 9 3" xfId="21463" xr:uid="{CDF9393E-9752-4BEA-AD2C-112C54E83588}"/>
    <cellStyle name="Calculation 2 11 2 9 3 2" xfId="47379" xr:uid="{9746BBC1-825E-4AC7-8D18-D29F227F515C}"/>
    <cellStyle name="Calculation 2 11 2 9 4" xfId="28683" xr:uid="{993E5236-E1DE-435D-8D90-1E9C4CEACEF0}"/>
    <cellStyle name="Calculation 2 11 3" xfId="2813" xr:uid="{00000000-0005-0000-0000-00001D000000}"/>
    <cellStyle name="Calculation 2 11 3 2" xfId="9722" xr:uid="{5F7806E7-76CA-4D36-B8F4-77DC6600EBD1}"/>
    <cellStyle name="Calculation 2 11 3 2 2" xfId="32263" xr:uid="{8B4680FD-ED9C-4F1F-A146-18080D723628}"/>
    <cellStyle name="Calculation 2 11 3 2 3" xfId="50153" xr:uid="{8A45086B-5D23-4A6C-A3CB-2A786BBC5083}"/>
    <cellStyle name="Calculation 2 11 3 3" xfId="15216" xr:uid="{FDDD847C-931D-4093-9CAC-DA43DEB9DBFB}"/>
    <cellStyle name="Calculation 2 11 3 3 2" xfId="37653" xr:uid="{9FD6CC37-3137-4972-8DF2-D0A2E44F6445}"/>
    <cellStyle name="Calculation 2 11 3 3 3" xfId="53911" xr:uid="{4A91CBA5-733E-4DE4-9F7F-4616E20CC9E8}"/>
    <cellStyle name="Calculation 2 11 3 4" xfId="15229" xr:uid="{0E279D7D-6E3B-46BE-82A9-BD3D476F3F7B}"/>
    <cellStyle name="Calculation 2 11 3 4 2" xfId="48300" xr:uid="{D8353DAE-CDE4-4648-A070-23DA936F3C45}"/>
    <cellStyle name="Calculation 2 11 3 5" xfId="47837" xr:uid="{7799CA2C-C0DD-452C-89BE-35F167E04570}"/>
    <cellStyle name="Calculation 2 11 4" xfId="4579" xr:uid="{00000000-0005-0000-0000-00001D000000}"/>
    <cellStyle name="Calculation 2 11 4 2" xfId="11481" xr:uid="{4E32CEC1-BD5D-4347-89B7-85A6AA44BEFD}"/>
    <cellStyle name="Calculation 2 11 4 2 2" xfId="33967" xr:uid="{2383CF05-3809-41C4-BB40-AE9BB34AD895}"/>
    <cellStyle name="Calculation 2 11 4 2 3" xfId="23730" xr:uid="{47CEA09F-347C-48AE-ACBD-5F25D8763927}"/>
    <cellStyle name="Calculation 2 11 4 3" xfId="16516" xr:uid="{D88BDB74-4B5F-4C42-A4B1-0C2EC082A21B}"/>
    <cellStyle name="Calculation 2 11 4 3 2" xfId="38906" xr:uid="{6BB32D40-6E78-4716-B692-C2AE023F11F6}"/>
    <cellStyle name="Calculation 2 11 4 3 3" xfId="36770" xr:uid="{7051EBDC-E563-4485-98CA-C7B311852348}"/>
    <cellStyle name="Calculation 2 11 4 4" xfId="20876" xr:uid="{FC3A414B-2890-4AFA-A538-B22A97E59E2C}"/>
    <cellStyle name="Calculation 2 11 4 4 2" xfId="50450" xr:uid="{F83DF9F3-20C2-4704-9DC7-4742052FB85B}"/>
    <cellStyle name="Calculation 2 11 4 5" xfId="48452" xr:uid="{4A895D1F-44C0-4F2C-BA41-379D1777C9D4}"/>
    <cellStyle name="Calculation 2 11 5" xfId="5980" xr:uid="{00000000-0005-0000-0000-00001D000000}"/>
    <cellStyle name="Calculation 2 11 5 2" xfId="12861" xr:uid="{3253AA90-A0C7-49F9-8487-0D79249000D7}"/>
    <cellStyle name="Calculation 2 11 5 2 2" xfId="35345" xr:uid="{2D441114-CEFA-49E6-B576-AC2722EAD594}"/>
    <cellStyle name="Calculation 2 11 5 2 3" xfId="50608" xr:uid="{275711E0-DCB7-4139-A299-86D088B1A073}"/>
    <cellStyle name="Calculation 2 11 5 3" xfId="17917" xr:uid="{266922E8-CECE-4BD5-BDD5-43696D4FC4EE}"/>
    <cellStyle name="Calculation 2 11 5 3 2" xfId="40307" xr:uid="{437C2210-377E-4825-8071-23A1A47B601C}"/>
    <cellStyle name="Calculation 2 11 5 3 3" xfId="43609" xr:uid="{81F83F08-F6AE-4CEC-8409-05E1CDCC55BD}"/>
    <cellStyle name="Calculation 2 11 5 4" xfId="22341" xr:uid="{B3F68615-95FF-4715-B69E-50646AE00F25}"/>
    <cellStyle name="Calculation 2 11 5 4 2" xfId="24378" xr:uid="{5306F32F-3DF6-4F54-BBCC-9D62732D074E}"/>
    <cellStyle name="Calculation 2 11 5 5" xfId="46699" xr:uid="{A1341323-C5A7-4973-B9AA-16516AD7E5AD}"/>
    <cellStyle name="Calculation 2 11 6" xfId="6034" xr:uid="{00000000-0005-0000-0000-00001D000000}"/>
    <cellStyle name="Calculation 2 11 6 2" xfId="12913" xr:uid="{9459FE73-6000-4871-91E6-A9738B169CB3}"/>
    <cellStyle name="Calculation 2 11 6 2 2" xfId="35397" xr:uid="{1FA8525D-559B-4AF4-9465-7AAC7F404191}"/>
    <cellStyle name="Calculation 2 11 6 2 3" xfId="51174" xr:uid="{8ABBADDE-A035-4E10-A0D3-4EA69339320F}"/>
    <cellStyle name="Calculation 2 11 6 3" xfId="17971" xr:uid="{E3A1F96A-7D27-4624-80EB-ED15BAC5EC7D}"/>
    <cellStyle name="Calculation 2 11 6 3 2" xfId="40361" xr:uid="{703B4320-EFE3-4245-B948-1116D7A2217D}"/>
    <cellStyle name="Calculation 2 11 6 3 3" xfId="25468" xr:uid="{39820552-3B05-47B0-8D0F-F66C90D5F3D4}"/>
    <cellStyle name="Calculation 2 11 6 4" xfId="22395" xr:uid="{C9DFD735-5EA4-4ACD-8B8D-8778A0CD6B44}"/>
    <cellStyle name="Calculation 2 11 6 4 2" xfId="29227" xr:uid="{9E37B571-1677-4C1B-8368-3D0635F65DE1}"/>
    <cellStyle name="Calculation 2 11 6 5" xfId="53698" xr:uid="{4F4C3621-CE15-4B75-BD7A-FB9D9E6550C8}"/>
    <cellStyle name="Calculation 2 11 7" xfId="4948" xr:uid="{00000000-0005-0000-0000-00001D000000}"/>
    <cellStyle name="Calculation 2 11 7 2" xfId="11843" xr:uid="{58FE7734-AA57-450B-A5F9-CC0AC893892A}"/>
    <cellStyle name="Calculation 2 11 7 2 2" xfId="34329" xr:uid="{1945EF70-26E4-40F5-8754-A56F2F447BC8}"/>
    <cellStyle name="Calculation 2 11 7 2 3" xfId="45201" xr:uid="{CB34A2FB-6B48-4528-9CCD-13452F9C2C9D}"/>
    <cellStyle name="Calculation 2 11 7 3" xfId="16885" xr:uid="{8CD4C725-366A-4558-B464-559E92A7A778}"/>
    <cellStyle name="Calculation 2 11 7 3 2" xfId="39275" xr:uid="{EFCA5358-C850-44D2-9E1E-746F9B9F708C}"/>
    <cellStyle name="Calculation 2 11 7 3 3" xfId="32294" xr:uid="{51D69B50-EB9D-4D8D-B7A0-83FABDA793D2}"/>
    <cellStyle name="Calculation 2 11 7 4" xfId="21309" xr:uid="{4D8027E2-6729-43C0-A88B-0EC70E763961}"/>
    <cellStyle name="Calculation 2 11 7 4 2" xfId="29083" xr:uid="{BE60E955-AE70-4708-AB4F-3F1096C4F540}"/>
    <cellStyle name="Calculation 2 11 7 5" xfId="24213" xr:uid="{83A37ACD-8962-49F7-BA61-CF02EE291F51}"/>
    <cellStyle name="Calculation 2 11 8" xfId="8664" xr:uid="{217F817B-292F-4616-A250-513F2DAA677F}"/>
    <cellStyle name="Calculation 2 11 8 2" xfId="31250" xr:uid="{EEC49393-C9D6-4F3C-AB9B-43F0B9BF0C9D}"/>
    <cellStyle name="Calculation 2 11 8 3" xfId="53828" xr:uid="{0334F904-9AE0-46CD-97A6-75032782BE2B}"/>
    <cellStyle name="Calculation 2 11 9" xfId="19743" xr:uid="{DA6A9D53-A531-44D6-8689-5EE4EDBD75C6}"/>
    <cellStyle name="Calculation 2 11 9 2" xfId="42086" xr:uid="{D2BCAAD4-69D0-46B3-AEA5-AAC21B0458B0}"/>
    <cellStyle name="Calculation 2 11 9 3" xfId="44536" xr:uid="{3AD019F9-F39A-40FA-8538-60C303CC5ECD}"/>
    <cellStyle name="Calculation 2 12" xfId="862" xr:uid="{00000000-0005-0000-0000-00001F000000}"/>
    <cellStyle name="Calculation 2 12 10" xfId="15387" xr:uid="{5453F02C-FB91-4E36-81C6-0354258F8A46}"/>
    <cellStyle name="Calculation 2 12 10 2" xfId="46385" xr:uid="{821DBCFB-0321-4A82-81FB-EB14768443F4}"/>
    <cellStyle name="Calculation 2 12 11" xfId="49078" xr:uid="{E7465C25-FDB3-4713-815D-0F5118E2E5B3}"/>
    <cellStyle name="Calculation 2 12 2" xfId="1846" xr:uid="{00000000-0005-0000-0000-000020000000}"/>
    <cellStyle name="Calculation 2 12 2 10" xfId="14530" xr:uid="{051AE46C-EF97-44D3-A1B9-17F447CB5AB6}"/>
    <cellStyle name="Calculation 2 12 2 10 2" xfId="36991" xr:uid="{72827B02-B1AA-41A0-A314-E52A7F289D92}"/>
    <cellStyle name="Calculation 2 12 2 10 3" xfId="46525" xr:uid="{7C5D639B-9F4F-4291-8017-9DC7589E1192}"/>
    <cellStyle name="Calculation 2 12 2 11" xfId="20009" xr:uid="{5393E1DC-EF5E-4E73-9E09-962056156B6E}"/>
    <cellStyle name="Calculation 2 12 2 11 2" xfId="42334" xr:uid="{AF947B3A-A7A1-4C4D-92AD-8F017A262827}"/>
    <cellStyle name="Calculation 2 12 2 11 3" xfId="32157" xr:uid="{21CCB767-85C2-4368-9AA4-0F8E9DC62769}"/>
    <cellStyle name="Calculation 2 12 2 12" xfId="14955" xr:uid="{16233913-B35D-4011-8A85-73ACF8748182}"/>
    <cellStyle name="Calculation 2 12 2 12 2" xfId="52450" xr:uid="{D633AAC9-C3CD-4F20-B4C8-AC22F6A318A1}"/>
    <cellStyle name="Calculation 2 12 2 13" xfId="48239" xr:uid="{3F113A8B-09E5-4E7C-8CD3-73519212D2E2}"/>
    <cellStyle name="Calculation 2 12 2 2" xfId="3944" xr:uid="{00000000-0005-0000-0000-000020000000}"/>
    <cellStyle name="Calculation 2 12 2 2 2" xfId="10848" xr:uid="{4F920F8C-B8BE-42A3-A584-37413BCBAFBE}"/>
    <cellStyle name="Calculation 2 12 2 2 2 2" xfId="33334" xr:uid="{96B4B3C5-EF2A-454B-9C5E-C25312C77FCD}"/>
    <cellStyle name="Calculation 2 12 2 2 2 3" xfId="28151" xr:uid="{1D38C949-E802-476C-8B3A-CAFC91EC1456}"/>
    <cellStyle name="Calculation 2 12 2 2 3" xfId="15986" xr:uid="{C6595477-CFD8-4680-9A72-64BEA9FD5FD1}"/>
    <cellStyle name="Calculation 2 12 2 2 3 2" xfId="38389" xr:uid="{4D73C3D5-42DE-49E8-9DD9-8C6C50746801}"/>
    <cellStyle name="Calculation 2 12 2 2 3 3" xfId="29702" xr:uid="{5BF21273-9257-44B6-A776-48E593771620}"/>
    <cellStyle name="Calculation 2 12 2 2 4" xfId="14999" xr:uid="{65C73677-ABEC-434B-9365-035572CFEB3C}"/>
    <cellStyle name="Calculation 2 12 2 2 4 2" xfId="28908" xr:uid="{860A88D1-4AFC-4F5C-A6A0-DC4B9CB5CD59}"/>
    <cellStyle name="Calculation 2 12 2 2 5" xfId="23976" xr:uid="{F0EC0F82-1FD5-410D-B55D-AE27ECE587AF}"/>
    <cellStyle name="Calculation 2 12 2 3" xfId="5339" xr:uid="{00000000-0005-0000-0000-000020000000}"/>
    <cellStyle name="Calculation 2 12 2 3 2" xfId="12231" xr:uid="{59CEDC80-40D8-49A2-9DD1-69533EB96277}"/>
    <cellStyle name="Calculation 2 12 2 3 2 2" xfId="34716" xr:uid="{A79954D1-BC2A-49E7-9DB8-060B04E41770}"/>
    <cellStyle name="Calculation 2 12 2 3 2 3" xfId="32147" xr:uid="{7BD169C0-F08F-418A-B351-D995290369D8}"/>
    <cellStyle name="Calculation 2 12 2 3 3" xfId="17276" xr:uid="{64F00314-EFF2-49AB-AC2C-075026AF5870}"/>
    <cellStyle name="Calculation 2 12 2 3 3 2" xfId="39666" xr:uid="{32098069-2524-440A-8D9C-3A8980D0145A}"/>
    <cellStyle name="Calculation 2 12 2 3 3 3" xfId="26467" xr:uid="{8E4D0744-DBB5-4041-B0B1-0213671B9DD3}"/>
    <cellStyle name="Calculation 2 12 2 3 4" xfId="21700" xr:uid="{16E73667-A5A9-498C-8117-E4782627FE78}"/>
    <cellStyle name="Calculation 2 12 2 3 4 2" xfId="50593" xr:uid="{8754A2FA-F8D5-454B-9A34-20BC7CA38925}"/>
    <cellStyle name="Calculation 2 12 2 3 5" xfId="48976" xr:uid="{B5424665-6C7A-4DE2-B281-F60C6DB34651}"/>
    <cellStyle name="Calculation 2 12 2 4" xfId="5749" xr:uid="{00000000-0005-0000-0000-000020000000}"/>
    <cellStyle name="Calculation 2 12 2 4 2" xfId="12633" xr:uid="{35C40484-115C-4222-87FB-EB781C34A4D9}"/>
    <cellStyle name="Calculation 2 12 2 4 2 2" xfId="35118" xr:uid="{715408D5-26C9-4B50-B346-B07B7FC107CE}"/>
    <cellStyle name="Calculation 2 12 2 4 2 3" xfId="32831" xr:uid="{57969A4A-7C57-4B64-A2CC-0A7601578CBE}"/>
    <cellStyle name="Calculation 2 12 2 4 3" xfId="17686" xr:uid="{4E52A3C8-FA12-4732-8E8A-66A9DC609969}"/>
    <cellStyle name="Calculation 2 12 2 4 3 2" xfId="40076" xr:uid="{59C9C6F7-BF04-40FE-8D75-EDF7D2CFBD9C}"/>
    <cellStyle name="Calculation 2 12 2 4 3 3" xfId="37902" xr:uid="{0EE86FF8-1123-461B-9508-AA3DFF4CCA9B}"/>
    <cellStyle name="Calculation 2 12 2 4 4" xfId="22110" xr:uid="{50575DF8-6676-4349-9DFC-1DCB4B77FDD8}"/>
    <cellStyle name="Calculation 2 12 2 4 4 2" xfId="53726" xr:uid="{94F0161A-0A0A-4A8C-8D83-6B6C401D0B92}"/>
    <cellStyle name="Calculation 2 12 2 4 5" xfId="47302" xr:uid="{E69110B5-4E84-44EB-BF2F-D811AB26CB40}"/>
    <cellStyle name="Calculation 2 12 2 5" xfId="6103" xr:uid="{00000000-0005-0000-0000-000020000000}"/>
    <cellStyle name="Calculation 2 12 2 5 2" xfId="12981" xr:uid="{6D732528-1E81-48BE-84E8-AEE3F029C70A}"/>
    <cellStyle name="Calculation 2 12 2 5 2 2" xfId="35465" xr:uid="{CE08E986-F6C2-48E3-8450-E8C1458B81A7}"/>
    <cellStyle name="Calculation 2 12 2 5 2 3" xfId="27224" xr:uid="{4FEAC85B-3F2E-433D-AF57-85AC47A7DB4D}"/>
    <cellStyle name="Calculation 2 12 2 5 3" xfId="18040" xr:uid="{B0ABA7D3-3E90-45A2-8EA4-8A0B31F4A2E9}"/>
    <cellStyle name="Calculation 2 12 2 5 3 2" xfId="40430" xr:uid="{6DBD4746-342B-4808-9A0C-A4F69F875974}"/>
    <cellStyle name="Calculation 2 12 2 5 3 3" xfId="28038" xr:uid="{67C44C62-D0B9-4349-B816-A04702D97C85}"/>
    <cellStyle name="Calculation 2 12 2 5 4" xfId="22464" xr:uid="{1FD59CD1-EB85-44E6-B4A7-C466D155C502}"/>
    <cellStyle name="Calculation 2 12 2 5 4 2" xfId="53723" xr:uid="{5DE02A8E-D3C8-4FEB-84FB-5807084AA803}"/>
    <cellStyle name="Calculation 2 12 2 5 5" xfId="48297" xr:uid="{D87CA7AD-AA9A-44F6-B0D1-B52B84959512}"/>
    <cellStyle name="Calculation 2 12 2 6" xfId="6478" xr:uid="{00000000-0005-0000-0000-000020000000}"/>
    <cellStyle name="Calculation 2 12 2 6 2" xfId="13348" xr:uid="{2ABD0155-7429-4988-95D8-E544A4E61D50}"/>
    <cellStyle name="Calculation 2 12 2 6 2 2" xfId="35832" xr:uid="{22DA5318-8FF6-48AB-9F78-F36C486155D9}"/>
    <cellStyle name="Calculation 2 12 2 6 2 3" xfId="52891" xr:uid="{619B49EF-56B9-42A3-9A14-5EA0EFE08140}"/>
    <cellStyle name="Calculation 2 12 2 6 3" xfId="18415" xr:uid="{47B76F34-71A8-4657-8E93-6280195F3513}"/>
    <cellStyle name="Calculation 2 12 2 6 3 2" xfId="40805" xr:uid="{58F83C08-7820-4378-AE50-D5FD4D13A372}"/>
    <cellStyle name="Calculation 2 12 2 6 3 3" xfId="26595" xr:uid="{B018940F-B8F9-43BF-A07D-FA8E0F5BB2A7}"/>
    <cellStyle name="Calculation 2 12 2 6 4" xfId="22839" xr:uid="{DBF77C8B-C697-413E-8E23-E32B7E8B8403}"/>
    <cellStyle name="Calculation 2 12 2 6 4 2" xfId="47183" xr:uid="{D73CC03E-2E28-4FB5-86AF-3C250244EF80}"/>
    <cellStyle name="Calculation 2 12 2 6 5" xfId="50310" xr:uid="{B5C8B03D-59C9-4FA9-97FA-E1D90C34FA97}"/>
    <cellStyle name="Calculation 2 12 2 7" xfId="6116" xr:uid="{00000000-0005-0000-0000-000020000000}"/>
    <cellStyle name="Calculation 2 12 2 7 2" xfId="12994" xr:uid="{96615047-3EA7-4FDA-B99D-98BE06CDCE55}"/>
    <cellStyle name="Calculation 2 12 2 7 2 2" xfId="35478" xr:uid="{851FC618-6C74-4338-B2BE-BECFF2D9CB95}"/>
    <cellStyle name="Calculation 2 12 2 7 2 3" xfId="52875" xr:uid="{14DD61A2-194B-4601-9C41-B2FFC66ABCCE}"/>
    <cellStyle name="Calculation 2 12 2 7 3" xfId="18053" xr:uid="{146302A1-3182-4DA0-B671-6D5A02684A08}"/>
    <cellStyle name="Calculation 2 12 2 7 3 2" xfId="40443" xr:uid="{7A28A23C-8125-4732-9970-1BEB6496A8A9}"/>
    <cellStyle name="Calculation 2 12 2 7 3 3" xfId="37630" xr:uid="{7C39A69A-C857-4620-8A5B-147E462F7206}"/>
    <cellStyle name="Calculation 2 12 2 7 4" xfId="22477" xr:uid="{CE29241A-7CB7-48AC-8C21-02AF7DC47E94}"/>
    <cellStyle name="Calculation 2 12 2 7 4 2" xfId="50043" xr:uid="{B010A97D-5BBC-410B-9FBC-5DFBD817D25C}"/>
    <cellStyle name="Calculation 2 12 2 7 5" xfId="53177" xr:uid="{0DC352B9-C79C-4EFA-A6C3-DCFFD837C6D2}"/>
    <cellStyle name="Calculation 2 12 2 8" xfId="6978" xr:uid="{00000000-0005-0000-0000-000020000000}"/>
    <cellStyle name="Calculation 2 12 2 8 2" xfId="13815" xr:uid="{8984FF7D-7AA6-4C9B-812B-3184C07372D8}"/>
    <cellStyle name="Calculation 2 12 2 8 2 2" xfId="36299" xr:uid="{2C1700B0-CAAD-4AE1-A0BE-C9EA4A0C9622}"/>
    <cellStyle name="Calculation 2 12 2 8 2 3" xfId="28302" xr:uid="{A06704D6-241F-42A6-91F7-25892DACA943}"/>
    <cellStyle name="Calculation 2 12 2 8 3" xfId="18915" xr:uid="{FD0D8116-05E0-4596-844F-106D3BFEEF2E}"/>
    <cellStyle name="Calculation 2 12 2 8 3 2" xfId="41305" xr:uid="{C3D7D7B2-B7FA-4B24-9B54-492354184CD4}"/>
    <cellStyle name="Calculation 2 12 2 8 3 3" xfId="30504" xr:uid="{24DD057A-657C-4E4A-8D5C-D3B862E40813}"/>
    <cellStyle name="Calculation 2 12 2 8 4" xfId="23339" xr:uid="{84959484-FC9C-4D23-BDD3-4450945FA226}"/>
    <cellStyle name="Calculation 2 12 2 8 4 2" xfId="46257" xr:uid="{0EC1B6D8-933F-45F6-91B4-2995C7468C02}"/>
    <cellStyle name="Calculation 2 12 2 8 5" xfId="47111" xr:uid="{672E46EE-EC48-4E09-B85C-396C766631B9}"/>
    <cellStyle name="Calculation 2 12 2 9" xfId="6362" xr:uid="{00000000-0005-0000-0000-000020000000}"/>
    <cellStyle name="Calculation 2 12 2 9 2" xfId="18299" xr:uid="{664323AA-A82D-49C2-80A2-BF8CFF1CFD7B}"/>
    <cellStyle name="Calculation 2 12 2 9 2 2" xfId="40689" xr:uid="{84B1324C-575C-464C-8D85-37F0CCF216F2}"/>
    <cellStyle name="Calculation 2 12 2 9 2 3" xfId="24062" xr:uid="{9E6F9D2C-3C78-45D8-BA3E-6EB13471A6AC}"/>
    <cellStyle name="Calculation 2 12 2 9 3" xfId="22723" xr:uid="{72EC0BEE-D5F2-4006-99EC-073EB206155D}"/>
    <cellStyle name="Calculation 2 12 2 9 3 2" xfId="28893" xr:uid="{06E5E85F-904B-4DF2-9D81-9F4A9922AB32}"/>
    <cellStyle name="Calculation 2 12 2 9 4" xfId="50551" xr:uid="{F7E4F582-8F2F-4DDE-828A-D06776CFEDFE}"/>
    <cellStyle name="Calculation 2 12 3" xfId="2993" xr:uid="{00000000-0005-0000-0000-00001F000000}"/>
    <cellStyle name="Calculation 2 12 3 2" xfId="9902" xr:uid="{D8DC2F21-0C3A-4046-AECE-9AF8BE376EF3}"/>
    <cellStyle name="Calculation 2 12 3 2 2" xfId="32425" xr:uid="{FFF5D17E-4884-4C6E-BB45-CA1D19C6FC0D}"/>
    <cellStyle name="Calculation 2 12 3 2 3" xfId="44283" xr:uid="{3DE3D692-3E45-4AF5-8A2A-8E94C8C43982}"/>
    <cellStyle name="Calculation 2 12 3 3" xfId="15339" xr:uid="{54D08FE3-71DA-454E-B8D9-5D60223E176B}"/>
    <cellStyle name="Calculation 2 12 3 3 2" xfId="37771" xr:uid="{7E00D265-ECED-4275-94C3-9513B696257B}"/>
    <cellStyle name="Calculation 2 12 3 3 3" xfId="49695" xr:uid="{B250A7F4-D54E-4879-8713-8B58D273D2B6}"/>
    <cellStyle name="Calculation 2 12 3 4" xfId="20879" xr:uid="{E443AEB9-9CCA-4E53-A444-71A56481D6B4}"/>
    <cellStyle name="Calculation 2 12 3 4 2" xfId="53131" xr:uid="{3F51F1DF-DDAE-4F0D-B9BE-35F7BDC385BC}"/>
    <cellStyle name="Calculation 2 12 3 5" xfId="48032" xr:uid="{8F2D68EB-A0F1-4E25-AD0F-39C24A3CB937}"/>
    <cellStyle name="Calculation 2 12 4" xfId="4706" xr:uid="{00000000-0005-0000-0000-00001F000000}"/>
    <cellStyle name="Calculation 2 12 4 2" xfId="11604" xr:uid="{9BD11766-4A94-4FFA-B33E-A45D310D9821}"/>
    <cellStyle name="Calculation 2 12 4 2 2" xfId="34090" xr:uid="{445D674A-F87C-4293-A081-D092C7BA2148}"/>
    <cellStyle name="Calculation 2 12 4 2 3" xfId="45156" xr:uid="{FE66A5DC-EF95-47DB-8F95-3CE1C563605C}"/>
    <cellStyle name="Calculation 2 12 4 3" xfId="16643" xr:uid="{D33AC761-0661-404F-A7A0-8C8CCC7B3CBB}"/>
    <cellStyle name="Calculation 2 12 4 3 2" xfId="39033" xr:uid="{62123035-41E8-499C-A93E-8B3162197E39}"/>
    <cellStyle name="Calculation 2 12 4 3 3" xfId="43186" xr:uid="{763F1C44-BA52-490D-A1B7-C9AD09EAE65F}"/>
    <cellStyle name="Calculation 2 12 4 4" xfId="19462" xr:uid="{D854EFB0-6F80-41BF-B599-2BD1A8F610C0}"/>
    <cellStyle name="Calculation 2 12 4 4 2" xfId="42592" xr:uid="{06DAAC50-FBA5-4B8F-B2B3-3C2C62B3FE7C}"/>
    <cellStyle name="Calculation 2 12 4 5" xfId="48645" xr:uid="{03401C87-8D26-471C-89C3-207D3A1159FD}"/>
    <cellStyle name="Calculation 2 12 5" xfId="5288" xr:uid="{00000000-0005-0000-0000-00001F000000}"/>
    <cellStyle name="Calculation 2 12 5 2" xfId="12180" xr:uid="{BDF2DFB6-9933-41D0-8A1B-BF24646DF87E}"/>
    <cellStyle name="Calculation 2 12 5 2 2" xfId="34665" xr:uid="{953B0B7D-8279-47A1-9D01-2D987EFDEA93}"/>
    <cellStyle name="Calculation 2 12 5 2 3" xfId="32773" xr:uid="{46631B7F-03F9-4F28-B37F-38DFFCFDF05C}"/>
    <cellStyle name="Calculation 2 12 5 3" xfId="17225" xr:uid="{649AFC01-1428-4F0D-A944-40A39326054E}"/>
    <cellStyle name="Calculation 2 12 5 3 2" xfId="39615" xr:uid="{9E6EBF6B-FE84-4508-8453-A6CD1DAE8C70}"/>
    <cellStyle name="Calculation 2 12 5 3 3" xfId="44031" xr:uid="{E21EB9DF-A70E-4F94-84B0-58BE81F1F966}"/>
    <cellStyle name="Calculation 2 12 5 4" xfId="21649" xr:uid="{FE262DB3-4183-4F2D-8B6B-6ED3B075BC97}"/>
    <cellStyle name="Calculation 2 12 5 4 2" xfId="41853" xr:uid="{E181D7BF-8C16-4C56-AC87-5B2BA191403D}"/>
    <cellStyle name="Calculation 2 12 5 5" xfId="46742" xr:uid="{702C6BBA-3A9E-4DBD-81DD-46678098F6F1}"/>
    <cellStyle name="Calculation 2 12 6" xfId="4385" xr:uid="{00000000-0005-0000-0000-00001F000000}"/>
    <cellStyle name="Calculation 2 12 6 2" xfId="11287" xr:uid="{60D6256D-A397-4025-9E73-54DA53FEBC52}"/>
    <cellStyle name="Calculation 2 12 6 2 2" xfId="33773" xr:uid="{DC553D8F-2516-4395-9070-C0382BFC7B9E}"/>
    <cellStyle name="Calculation 2 12 6 2 3" xfId="23621" xr:uid="{7679C02F-575A-4E18-ADF7-96AA87341E0B}"/>
    <cellStyle name="Calculation 2 12 6 3" xfId="16322" xr:uid="{603D4567-40EC-40F5-BF85-856019A2A1C4}"/>
    <cellStyle name="Calculation 2 12 6 3 2" xfId="38712" xr:uid="{C18F4126-0974-4C94-B1A7-947BBCE374E1}"/>
    <cellStyle name="Calculation 2 12 6 3 3" xfId="29000" xr:uid="{BF0B1D81-02E7-4EAA-BD5F-8DCDC0F15D8C}"/>
    <cellStyle name="Calculation 2 12 6 4" xfId="20742" xr:uid="{4C8CE226-3100-482C-B4BC-C975CD7945CD}"/>
    <cellStyle name="Calculation 2 12 6 4 2" xfId="54104" xr:uid="{18371873-8C44-46E4-A6FD-5F47B117E122}"/>
    <cellStyle name="Calculation 2 12 6 5" xfId="50486" xr:uid="{A339D7D0-23AB-40F1-B710-48FCE56561B4}"/>
    <cellStyle name="Calculation 2 12 7" xfId="6805" xr:uid="{00000000-0005-0000-0000-00001F000000}"/>
    <cellStyle name="Calculation 2 12 7 2" xfId="13654" xr:uid="{7E3A819B-7F2D-4586-8A00-EFF01E452F8A}"/>
    <cellStyle name="Calculation 2 12 7 2 2" xfId="36138" xr:uid="{4B2DCC66-207D-4F9A-B0D0-343CF707B77E}"/>
    <cellStyle name="Calculation 2 12 7 2 3" xfId="41602" xr:uid="{9ACEABA0-28C3-44CF-A5C8-90DB2A55E652}"/>
    <cellStyle name="Calculation 2 12 7 3" xfId="18742" xr:uid="{EBA846F0-CA02-4C65-A234-61B3E73CC3C2}"/>
    <cellStyle name="Calculation 2 12 7 3 2" xfId="41132" xr:uid="{8666188C-FB27-4939-BDCD-23900A423A47}"/>
    <cellStyle name="Calculation 2 12 7 3 3" xfId="45755" xr:uid="{976BE0C7-DC1F-462C-AED5-82F5C111AE28}"/>
    <cellStyle name="Calculation 2 12 7 4" xfId="23166" xr:uid="{7C440359-6BDF-48F6-A91F-D609FE64BD37}"/>
    <cellStyle name="Calculation 2 12 7 4 2" xfId="29916" xr:uid="{1786CBB5-3287-4F09-83B7-9426A1B2A977}"/>
    <cellStyle name="Calculation 2 12 7 5" xfId="46358" xr:uid="{67694848-E9D5-423A-B3E2-337229DD91C5}"/>
    <cellStyle name="Calculation 2 12 8" xfId="7330" xr:uid="{098A8BF0-C2C0-4EAA-99B8-2E8B97FF512E}"/>
    <cellStyle name="Calculation 2 12 8 2" xfId="30018" xr:uid="{C053BC70-EDB0-4B7E-809B-6640FBBE2E2B}"/>
    <cellStyle name="Calculation 2 12 8 3" xfId="30225" xr:uid="{ADB866B3-9C39-4010-8634-49CC74E70E17}"/>
    <cellStyle name="Calculation 2 12 9" xfId="19304" xr:uid="{55068553-7B51-43E6-B0B7-ED00C4EFF702}"/>
    <cellStyle name="Calculation 2 12 9 2" xfId="41684" xr:uid="{225D1041-813E-4B4C-82F4-B6D2B8BC2F9A}"/>
    <cellStyle name="Calculation 2 12 9 3" xfId="24796" xr:uid="{5011EC9F-AAE2-487B-B0D8-02329A3D8696}"/>
    <cellStyle name="Calculation 2 13" xfId="1048" xr:uid="{00000000-0005-0000-0000-000021000000}"/>
    <cellStyle name="Calculation 2 13 10" xfId="19678" xr:uid="{E09C8011-AB94-48B9-9BB9-9017915749E6}"/>
    <cellStyle name="Calculation 2 13 10 2" xfId="45283" xr:uid="{59FDA794-6C7A-4B9A-BCD7-45760D44D6F2}"/>
    <cellStyle name="Calculation 2 13 11" xfId="52132" xr:uid="{2FB8689D-9133-45D8-ACC0-32914A67529D}"/>
    <cellStyle name="Calculation 2 13 2" xfId="1938" xr:uid="{00000000-0005-0000-0000-000022000000}"/>
    <cellStyle name="Calculation 2 13 2 10" xfId="14608" xr:uid="{E3C0DCDD-EAB5-4E60-998D-FFCC96260B57}"/>
    <cellStyle name="Calculation 2 13 2 10 2" xfId="37069" xr:uid="{C4388C81-2061-4290-BB55-DC0DE8B1A26E}"/>
    <cellStyle name="Calculation 2 13 2 10 3" xfId="49545" xr:uid="{55AE0986-0BC0-4E8F-B5F3-2BF766BBE351}"/>
    <cellStyle name="Calculation 2 13 2 11" xfId="20808" xr:uid="{B006FD1C-0B3F-450A-AE68-1B265A0F18A7}"/>
    <cellStyle name="Calculation 2 13 2 11 2" xfId="43074" xr:uid="{16561D70-78FD-445B-90AD-C22EDD804587}"/>
    <cellStyle name="Calculation 2 13 2 11 3" xfId="52588" xr:uid="{48CF124D-E417-4B65-B0CE-E4DCD3F660D5}"/>
    <cellStyle name="Calculation 2 13 2 12" xfId="8958" xr:uid="{3E02B712-F6B2-436F-9780-CD5F442C4E29}"/>
    <cellStyle name="Calculation 2 13 2 12 2" xfId="25909" xr:uid="{86F306C8-1676-4E7D-BB18-730F37183FE0}"/>
    <cellStyle name="Calculation 2 13 2 13" xfId="26685" xr:uid="{7E40524C-757C-488A-BF6B-BA20192BDC6A}"/>
    <cellStyle name="Calculation 2 13 2 2" xfId="4035" xr:uid="{00000000-0005-0000-0000-000022000000}"/>
    <cellStyle name="Calculation 2 13 2 2 2" xfId="10939" xr:uid="{2F222508-EA74-4C00-9AEC-DBC7C655E30D}"/>
    <cellStyle name="Calculation 2 13 2 2 2 2" xfId="33425" xr:uid="{3CE403D0-69BF-44B3-9EC9-2F6D0EF4BC0F}"/>
    <cellStyle name="Calculation 2 13 2 2 2 3" xfId="50549" xr:uid="{37B85F95-88E3-4219-8974-60B2DD6C33BB}"/>
    <cellStyle name="Calculation 2 13 2 2 3" xfId="16059" xr:uid="{576B22D3-A914-4686-8BA9-37B61596E87C}"/>
    <cellStyle name="Calculation 2 13 2 2 3 2" xfId="38460" xr:uid="{86698722-40B9-4E20-87CA-EDF4B2B33A6D}"/>
    <cellStyle name="Calculation 2 13 2 2 3 3" xfId="47410" xr:uid="{48C5AB23-DCDC-4C83-AF00-2128899B6E7F}"/>
    <cellStyle name="Calculation 2 13 2 2 4" xfId="15094" xr:uid="{F3D1DCFD-896A-4CF7-9EBA-F4D365979771}"/>
    <cellStyle name="Calculation 2 13 2 2 4 2" xfId="27358" xr:uid="{DDFF05ED-58B4-4D2B-B505-0214BB6B371A}"/>
    <cellStyle name="Calculation 2 13 2 2 5" xfId="28918" xr:uid="{562B63ED-E5F4-4AAE-A63D-C56896C796CC}"/>
    <cellStyle name="Calculation 2 13 2 3" xfId="5410" xr:uid="{00000000-0005-0000-0000-000022000000}"/>
    <cellStyle name="Calculation 2 13 2 3 2" xfId="12301" xr:uid="{6D7C9BC2-25A6-4E53-9C00-1AD8EDBABB0B}"/>
    <cellStyle name="Calculation 2 13 2 3 2 2" xfId="34786" xr:uid="{E4F9F717-0F6B-4D5E-BC28-1FA1E195F583}"/>
    <cellStyle name="Calculation 2 13 2 3 2 3" xfId="27569" xr:uid="{9DB8F6EF-D7FB-44D7-8B78-86423E9475E2}"/>
    <cellStyle name="Calculation 2 13 2 3 3" xfId="17347" xr:uid="{73DE98A0-EAF8-4C92-AEF7-0F605EB627B3}"/>
    <cellStyle name="Calculation 2 13 2 3 3 2" xfId="39737" xr:uid="{2330B6D4-E5C0-4630-AB7E-530089B69A2A}"/>
    <cellStyle name="Calculation 2 13 2 3 3 3" xfId="30518" xr:uid="{D4B6FAF5-1F91-4982-9569-88DEE6BF1453}"/>
    <cellStyle name="Calculation 2 13 2 3 4" xfId="21771" xr:uid="{E0E8880C-6D80-4FC7-91CB-71C6B7B11569}"/>
    <cellStyle name="Calculation 2 13 2 3 4 2" xfId="45192" xr:uid="{9D6CB529-E336-4CC3-9480-A51A65D88967}"/>
    <cellStyle name="Calculation 2 13 2 3 5" xfId="25227" xr:uid="{6DF58DCE-80BE-4304-9006-25E04C398129}"/>
    <cellStyle name="Calculation 2 13 2 4" xfId="5823" xr:uid="{00000000-0005-0000-0000-000022000000}"/>
    <cellStyle name="Calculation 2 13 2 4 2" xfId="12706" xr:uid="{53389BF3-26A0-4BC3-94B2-48577B37BAE0}"/>
    <cellStyle name="Calculation 2 13 2 4 2 2" xfId="35191" xr:uid="{B455AD65-A0D5-4C1F-BD96-A583B97A162E}"/>
    <cellStyle name="Calculation 2 13 2 4 2 3" xfId="43942" xr:uid="{9047080C-3AAF-456B-8DC2-C7B3AD4CC38D}"/>
    <cellStyle name="Calculation 2 13 2 4 3" xfId="17760" xr:uid="{52701BC9-7A4B-43A4-B74F-5820DA304634}"/>
    <cellStyle name="Calculation 2 13 2 4 3 2" xfId="40150" xr:uid="{8DC5268E-0FA4-40B7-81A9-0DEBE60DB853}"/>
    <cellStyle name="Calculation 2 13 2 4 3 3" xfId="43570" xr:uid="{08D22F62-6ED2-476D-831C-16B8ED9CB9B7}"/>
    <cellStyle name="Calculation 2 13 2 4 4" xfId="22184" xr:uid="{6CC06077-4626-4B2F-AC50-2FB9243C5E42}"/>
    <cellStyle name="Calculation 2 13 2 4 4 2" xfId="27977" xr:uid="{17435002-4F7C-4CF6-91B6-48176D3D3A26}"/>
    <cellStyle name="Calculation 2 13 2 4 5" xfId="53009" xr:uid="{1F35D51C-515E-422E-8D79-ACD27C0EC745}"/>
    <cellStyle name="Calculation 2 13 2 5" xfId="6167" xr:uid="{00000000-0005-0000-0000-000022000000}"/>
    <cellStyle name="Calculation 2 13 2 5 2" xfId="13044" xr:uid="{DB1A34EF-BC98-428B-A737-9939219581A0}"/>
    <cellStyle name="Calculation 2 13 2 5 2 2" xfId="35528" xr:uid="{1C6F11D0-F1EE-4558-AFB9-B6AC1662952E}"/>
    <cellStyle name="Calculation 2 13 2 5 2 3" xfId="41674" xr:uid="{13C61D92-0399-40E0-ABD4-CBD2D563B006}"/>
    <cellStyle name="Calculation 2 13 2 5 3" xfId="18104" xr:uid="{BC3BCA6E-66C8-4F1A-8893-427234D134C6}"/>
    <cellStyle name="Calculation 2 13 2 5 3 2" xfId="40494" xr:uid="{5CE3169B-FA9D-4568-B5E9-766E8BE6BEFA}"/>
    <cellStyle name="Calculation 2 13 2 5 3 3" xfId="44110" xr:uid="{EA85C87F-F6FF-4834-802E-141D673243FE}"/>
    <cellStyle name="Calculation 2 13 2 5 4" xfId="22528" xr:uid="{4F771673-0BE0-41AA-9C86-25FEE95BBF4E}"/>
    <cellStyle name="Calculation 2 13 2 5 4 2" xfId="50520" xr:uid="{8B20D293-7127-4B74-B6B2-0D4CCA24AEAD}"/>
    <cellStyle name="Calculation 2 13 2 5 5" xfId="44693" xr:uid="{0F94CFA7-C193-4BF5-951E-32D2A4E66606}"/>
    <cellStyle name="Calculation 2 13 2 6" xfId="6540" xr:uid="{00000000-0005-0000-0000-000022000000}"/>
    <cellStyle name="Calculation 2 13 2 6 2" xfId="13409" xr:uid="{AF79DFB8-FC57-4661-8E63-993E502D24D1}"/>
    <cellStyle name="Calculation 2 13 2 6 2 2" xfId="35893" xr:uid="{154EA513-D972-4F88-B7EB-A095D5D8B4C8}"/>
    <cellStyle name="Calculation 2 13 2 6 2 3" xfId="46573" xr:uid="{C6D5FC87-B6D4-41AF-AB45-64BA0316E526}"/>
    <cellStyle name="Calculation 2 13 2 6 3" xfId="18477" xr:uid="{43B22F0A-8118-4E10-A78A-F7ED43B18D87}"/>
    <cellStyle name="Calculation 2 13 2 6 3 2" xfId="40867" xr:uid="{5493938D-68CA-4B20-89B6-2609A054BF6F}"/>
    <cellStyle name="Calculation 2 13 2 6 3 3" xfId="28547" xr:uid="{51188133-8276-451C-9D80-6E6CEEA8BF49}"/>
    <cellStyle name="Calculation 2 13 2 6 4" xfId="22901" xr:uid="{0A32D967-0A67-4ED0-B0A2-9AC3B37AB6F5}"/>
    <cellStyle name="Calculation 2 13 2 6 4 2" xfId="50284" xr:uid="{20782D62-BA87-4B7D-B645-299B0E926890}"/>
    <cellStyle name="Calculation 2 13 2 6 5" xfId="50741" xr:uid="{006AD661-39E2-47EA-A8D0-3504CBFDF4C4}"/>
    <cellStyle name="Calculation 2 13 2 7" xfId="6305" xr:uid="{00000000-0005-0000-0000-000022000000}"/>
    <cellStyle name="Calculation 2 13 2 7 2" xfId="13177" xr:uid="{220E73A9-C871-498F-BFF1-833B45B579B7}"/>
    <cellStyle name="Calculation 2 13 2 7 2 2" xfId="35661" xr:uid="{EFC05662-07DA-48EC-BB95-CA65D4825F98}"/>
    <cellStyle name="Calculation 2 13 2 7 2 3" xfId="51821" xr:uid="{B6C8E74D-A420-4893-A6E3-43155FCE321E}"/>
    <cellStyle name="Calculation 2 13 2 7 3" xfId="18242" xr:uid="{9CAD1B40-5944-4F8B-A43E-8428F1383967}"/>
    <cellStyle name="Calculation 2 13 2 7 3 2" xfId="40632" xr:uid="{1DE9CE8A-3F5F-4D1E-8650-F4F146A67436}"/>
    <cellStyle name="Calculation 2 13 2 7 3 3" xfId="29477" xr:uid="{7FE80DD4-C89A-4439-B0F9-68F8907DA2CD}"/>
    <cellStyle name="Calculation 2 13 2 7 4" xfId="22666" xr:uid="{0FFB3CF1-ACCB-41D8-A1F0-97CE95B81F07}"/>
    <cellStyle name="Calculation 2 13 2 7 4 2" xfId="25316" xr:uid="{D9478AF9-C355-4E67-A6A7-9E6DEEC18882}"/>
    <cellStyle name="Calculation 2 13 2 7 5" xfId="52164" xr:uid="{48ADF021-58CB-4F29-83CC-6CFE5FBD7A02}"/>
    <cellStyle name="Calculation 2 13 2 8" xfId="7024" xr:uid="{00000000-0005-0000-0000-000022000000}"/>
    <cellStyle name="Calculation 2 13 2 8 2" xfId="13861" xr:uid="{289C0C81-2154-4746-8F61-1EB50F84868F}"/>
    <cellStyle name="Calculation 2 13 2 8 2 2" xfId="36345" xr:uid="{065033B9-F81B-498E-B1DD-5464770123AC}"/>
    <cellStyle name="Calculation 2 13 2 8 2 3" xfId="53789" xr:uid="{9D0F9068-9A06-425C-B741-5C42C09FA01A}"/>
    <cellStyle name="Calculation 2 13 2 8 3" xfId="18961" xr:uid="{DCCA5FAC-4391-422F-8B01-51AE649B37E3}"/>
    <cellStyle name="Calculation 2 13 2 8 3 2" xfId="41351" xr:uid="{9B1E1D6D-F107-49A4-9C87-270B85FB0D97}"/>
    <cellStyle name="Calculation 2 13 2 8 3 3" xfId="29457" xr:uid="{7D67C5A5-5B6A-44CF-8502-130D155A0B11}"/>
    <cellStyle name="Calculation 2 13 2 8 4" xfId="23385" xr:uid="{B36F5428-DD2A-4FCA-9691-663C01B25CE2}"/>
    <cellStyle name="Calculation 2 13 2 8 4 2" xfId="52266" xr:uid="{7092D89D-2494-4248-8ABD-A2949DAA340A}"/>
    <cellStyle name="Calculation 2 13 2 8 5" xfId="25869" xr:uid="{CA7825FE-94C4-4F77-A7BE-37595C8DEC2C}"/>
    <cellStyle name="Calculation 2 13 2 9" xfId="7140" xr:uid="{00000000-0005-0000-0000-000022000000}"/>
    <cellStyle name="Calculation 2 13 2 9 2" xfId="19077" xr:uid="{48ADB299-6FE6-4BD7-9850-4DE87FE32BCD}"/>
    <cellStyle name="Calculation 2 13 2 9 2 2" xfId="41467" xr:uid="{8A5CDBDF-0EA9-40C6-97D6-2B64F7C8066F}"/>
    <cellStyle name="Calculation 2 13 2 9 2 3" xfId="37264" xr:uid="{4ED9C41B-6409-495F-9A75-E7F328709349}"/>
    <cellStyle name="Calculation 2 13 2 9 3" xfId="23501" xr:uid="{52907160-ACB5-4586-B2DF-AB417A8A3A97}"/>
    <cellStyle name="Calculation 2 13 2 9 3 2" xfId="44786" xr:uid="{D13464C6-23B2-473A-AFF6-84CDE9318ABC}"/>
    <cellStyle name="Calculation 2 13 2 9 4" xfId="51674" xr:uid="{B8CD9937-5B7B-4014-B88D-2E92187F50D6}"/>
    <cellStyle name="Calculation 2 13 3" xfId="3169" xr:uid="{00000000-0005-0000-0000-000021000000}"/>
    <cellStyle name="Calculation 2 13 3 2" xfId="10078" xr:uid="{80E779A3-B5BB-4C3E-95F1-7CFBC7A68ADA}"/>
    <cellStyle name="Calculation 2 13 3 2 2" xfId="32585" xr:uid="{0F6AAC4C-81C8-470C-A641-4E772B797239}"/>
    <cellStyle name="Calculation 2 13 3 2 3" xfId="23926" xr:uid="{5BB2CC97-9E9A-4E64-B6C9-FA6266635533}"/>
    <cellStyle name="Calculation 2 13 3 3" xfId="15456" xr:uid="{1FD32170-B90C-4322-97C3-D95DCEB43F74}"/>
    <cellStyle name="Calculation 2 13 3 3 2" xfId="37882" xr:uid="{F1AB3E4A-6102-4D91-B51A-DC76DCDD4874}"/>
    <cellStyle name="Calculation 2 13 3 3 3" xfId="48280" xr:uid="{353C9DA0-9647-490E-AF50-798EDE8E98A9}"/>
    <cellStyle name="Calculation 2 13 3 4" xfId="15091" xr:uid="{0E232723-A9AE-4499-B428-D995A16FDCDE}"/>
    <cellStyle name="Calculation 2 13 3 4 2" xfId="32464" xr:uid="{CD632EEC-755F-45C1-81D1-3982BE214888}"/>
    <cellStyle name="Calculation 2 13 3 5" xfId="47250" xr:uid="{6E01ACAE-0B0C-4749-B860-7D9AA40D99C6}"/>
    <cellStyle name="Calculation 2 13 4" xfId="4822" xr:uid="{00000000-0005-0000-0000-000021000000}"/>
    <cellStyle name="Calculation 2 13 4 2" xfId="11719" xr:uid="{1DC5117D-6D76-4952-9474-59F17698C1BB}"/>
    <cellStyle name="Calculation 2 13 4 2 2" xfId="34205" xr:uid="{2FE491BA-C519-46A0-B758-9DBEFEFFE99F}"/>
    <cellStyle name="Calculation 2 13 4 2 3" xfId="44263" xr:uid="{3DC136C4-4E19-46AC-9613-45B114A1F450}"/>
    <cellStyle name="Calculation 2 13 4 3" xfId="16759" xr:uid="{EDE52F58-0C11-4748-8CD5-E5F7D8BF01B9}"/>
    <cellStyle name="Calculation 2 13 4 3 2" xfId="39149" xr:uid="{905B2FFB-14B3-40B8-ACA0-453FA0D7325C}"/>
    <cellStyle name="Calculation 2 13 4 3 3" xfId="43459" xr:uid="{73E37D05-EA06-4537-ACBA-56A8FA2DE7B2}"/>
    <cellStyle name="Calculation 2 13 4 4" xfId="19825" xr:uid="{460E0ED9-BFDC-43CD-B60A-507C93CBCEBC}"/>
    <cellStyle name="Calculation 2 13 4 4 2" xfId="29387" xr:uid="{F1F38515-8979-42DB-9B5A-AC297FAD012F}"/>
    <cellStyle name="Calculation 2 13 4 5" xfId="50246" xr:uid="{9B737663-7423-493C-8688-5AA8DF7F1DCA}"/>
    <cellStyle name="Calculation 2 13 5" xfId="4415" xr:uid="{00000000-0005-0000-0000-000021000000}"/>
    <cellStyle name="Calculation 2 13 5 2" xfId="11317" xr:uid="{BDD1B7B0-2CBE-46C8-801D-C81FF003B923}"/>
    <cellStyle name="Calculation 2 13 5 2 2" xfId="33803" xr:uid="{E233B3C2-9244-4F24-A47E-9C1A39145F3A}"/>
    <cellStyle name="Calculation 2 13 5 2 3" xfId="44399" xr:uid="{FD496CC2-CFF0-4694-93FC-426C00A030C7}"/>
    <cellStyle name="Calculation 2 13 5 3" xfId="16352" xr:uid="{3DFF9C3D-E54B-4374-994C-C763506FD4B1}"/>
    <cellStyle name="Calculation 2 13 5 3 2" xfId="38742" xr:uid="{8523F27F-3F6F-4671-B5AD-D472ECE5FBBC}"/>
    <cellStyle name="Calculation 2 13 5 3 3" xfId="26484" xr:uid="{731461C1-A9AE-4FDE-9695-A4E664CFED09}"/>
    <cellStyle name="Calculation 2 13 5 4" xfId="14912" xr:uid="{7D1AB5EF-772D-4F38-BC22-952395BE7B90}"/>
    <cellStyle name="Calculation 2 13 5 4 2" xfId="48476" xr:uid="{7A273464-7A18-437A-944C-D7CF5210AA78}"/>
    <cellStyle name="Calculation 2 13 5 5" xfId="23766" xr:uid="{46088AA6-E3E3-4CBD-B22A-FF0EFFF59511}"/>
    <cellStyle name="Calculation 2 13 6" xfId="4854" xr:uid="{00000000-0005-0000-0000-000021000000}"/>
    <cellStyle name="Calculation 2 13 6 2" xfId="11750" xr:uid="{62AE25C8-95B8-44CD-8AA4-89071FEC470C}"/>
    <cellStyle name="Calculation 2 13 6 2 2" xfId="34236" xr:uid="{B9805DD9-1D34-4BAC-927B-C97250276350}"/>
    <cellStyle name="Calculation 2 13 6 2 3" xfId="30723" xr:uid="{D1BAA44E-4667-4631-946B-B0C0047A01E0}"/>
    <cellStyle name="Calculation 2 13 6 3" xfId="16791" xr:uid="{457DAB57-58A6-4E72-AC68-94446A7B51E8}"/>
    <cellStyle name="Calculation 2 13 6 3 2" xfId="39181" xr:uid="{36BBAD3C-3703-47FA-9675-A0EB032B3EFD}"/>
    <cellStyle name="Calculation 2 13 6 3 3" xfId="28338" xr:uid="{A3DE711B-5A56-444E-8E15-CFB8172F707F}"/>
    <cellStyle name="Calculation 2 13 6 4" xfId="19879" xr:uid="{10C88B3C-44E7-4877-8B7B-EF7CF7090226}"/>
    <cellStyle name="Calculation 2 13 6 4 2" xfId="43590" xr:uid="{EACA5B62-BF3D-4162-931C-A3513BCF3D98}"/>
    <cellStyle name="Calculation 2 13 6 5" xfId="49033" xr:uid="{340430C2-30E1-4117-8253-F1914DEBAD3E}"/>
    <cellStyle name="Calculation 2 13 7" xfId="2333" xr:uid="{00000000-0005-0000-0000-000021000000}"/>
    <cellStyle name="Calculation 2 13 7 2" xfId="9242" xr:uid="{34E0E66A-46AE-474F-8DDC-99A05EB0C797}"/>
    <cellStyle name="Calculation 2 13 7 2 2" xfId="31817" xr:uid="{0E22C028-52C1-4B46-BEEB-8559F6C7E472}"/>
    <cellStyle name="Calculation 2 13 7 2 3" xfId="28459" xr:uid="{B396C46B-CA2E-4746-ABAA-3FA5310B7168}"/>
    <cellStyle name="Calculation 2 13 7 3" xfId="14893" xr:uid="{7A04C879-E7DB-4FE9-8736-1D7712892191}"/>
    <cellStyle name="Calculation 2 13 7 3 2" xfId="37347" xr:uid="{209D23C6-A49C-4E69-9756-8812F126E9AB}"/>
    <cellStyle name="Calculation 2 13 7 3 3" xfId="43742" xr:uid="{CBE1289C-53E4-417A-B34C-79AD710BE5DC}"/>
    <cellStyle name="Calculation 2 13 7 4" xfId="20241" xr:uid="{FF50AC7B-E835-43E6-9125-E9563E0CD545}"/>
    <cellStyle name="Calculation 2 13 7 4 2" xfId="44182" xr:uid="{99A75DD2-5E43-4B3D-925E-014D9A71B8E9}"/>
    <cellStyle name="Calculation 2 13 7 5" xfId="52930" xr:uid="{B8EE0420-55E9-436A-BE1A-71651D75566C}"/>
    <cellStyle name="Calculation 2 13 8" xfId="7948" xr:uid="{7594B8D1-288B-4B95-B1F3-54C154309B13}"/>
    <cellStyle name="Calculation 2 13 8 2" xfId="30572" xr:uid="{03BE5EF4-775E-4840-BAAC-FD977830F009}"/>
    <cellStyle name="Calculation 2 13 8 3" xfId="29834" xr:uid="{6393AC80-9C4A-446E-BC5D-2733A4E3F1E6}"/>
    <cellStyle name="Calculation 2 13 9" xfId="20619" xr:uid="{17BA4C5E-59CD-46F2-84B9-BDB74DE751A8}"/>
    <cellStyle name="Calculation 2 13 9 2" xfId="42899" xr:uid="{D37392E0-62DB-4095-9308-19A06241767D}"/>
    <cellStyle name="Calculation 2 13 9 3" xfId="49311" xr:uid="{DF0169B5-D590-41E5-8987-E3BB11832052}"/>
    <cellStyle name="Calculation 2 14" xfId="668" xr:uid="{00000000-0005-0000-0000-000023000000}"/>
    <cellStyle name="Calculation 2 14 10" xfId="20893" xr:uid="{A196BDCE-7465-4766-B0E5-F702A53B3601}"/>
    <cellStyle name="Calculation 2 14 10 2" xfId="48097" xr:uid="{E7AC10BD-7A51-4B55-8B2F-850EE928B317}"/>
    <cellStyle name="Calculation 2 14 11" xfId="52214" xr:uid="{28580938-27AD-45EF-BA2A-D0052348E8C2}"/>
    <cellStyle name="Calculation 2 14 2" xfId="1755" xr:uid="{00000000-0005-0000-0000-000024000000}"/>
    <cellStyle name="Calculation 2 14 2 10" xfId="14454" xr:uid="{D225F7A4-7990-4989-A81E-C4F64129581C}"/>
    <cellStyle name="Calculation 2 14 2 10 2" xfId="36919" xr:uid="{0AB73B64-5244-4EF3-84EF-C7DFBA363C59}"/>
    <cellStyle name="Calculation 2 14 2 10 3" xfId="50670" xr:uid="{A377C083-2ADD-4BFF-883B-088D9F825421}"/>
    <cellStyle name="Calculation 2 14 2 11" xfId="21019" xr:uid="{1BDB6496-3956-4FFC-81CC-0E67C2D1A170}"/>
    <cellStyle name="Calculation 2 14 2 11 2" xfId="43269" xr:uid="{E27085D9-7CED-4C63-8C23-5327C3FF8C86}"/>
    <cellStyle name="Calculation 2 14 2 11 3" xfId="47008" xr:uid="{671C8F90-692D-4A2E-BA90-C6928ECE2225}"/>
    <cellStyle name="Calculation 2 14 2 12" xfId="19925" xr:uid="{0A1AE91C-964F-4E59-9FF5-16A22975E747}"/>
    <cellStyle name="Calculation 2 14 2 12 2" xfId="32255" xr:uid="{6A429FBD-4C6B-465D-B926-53296C091CEF}"/>
    <cellStyle name="Calculation 2 14 2 13" xfId="51353" xr:uid="{DB4CA1C8-DE38-4AA9-B572-AB28D48D51CD}"/>
    <cellStyle name="Calculation 2 14 2 2" xfId="3853" xr:uid="{00000000-0005-0000-0000-000024000000}"/>
    <cellStyle name="Calculation 2 14 2 2 2" xfId="10757" xr:uid="{C2FD5390-E79D-47F9-814D-5E24DC914DB3}"/>
    <cellStyle name="Calculation 2 14 2 2 2 2" xfId="33243" xr:uid="{8DCE8301-F9A3-42BD-A5EA-F3337E128C33}"/>
    <cellStyle name="Calculation 2 14 2 2 2 3" xfId="44125" xr:uid="{A5000252-EF53-42A8-891A-512781734305}"/>
    <cellStyle name="Calculation 2 14 2 2 3" xfId="15909" xr:uid="{1CCEA244-5F74-464C-A45B-9942C16EB794}"/>
    <cellStyle name="Calculation 2 14 2 2 3 2" xfId="38315" xr:uid="{7EBCC094-9DB7-4DF6-892C-CDBE4659E840}"/>
    <cellStyle name="Calculation 2 14 2 2 3 3" xfId="47999" xr:uid="{C5C58197-0047-4AF5-AD76-EFD44656A94B}"/>
    <cellStyle name="Calculation 2 14 2 2 4" xfId="19207" xr:uid="{F65F343A-C94A-4FAB-B73A-0960C8816D9D}"/>
    <cellStyle name="Calculation 2 14 2 2 4 2" xfId="45864" xr:uid="{A402EE5E-DC2F-4FCB-AD2B-17252B387AD3}"/>
    <cellStyle name="Calculation 2 14 2 2 5" xfId="53378" xr:uid="{51A801B6-2906-4146-A18F-46AF08DA1582}"/>
    <cellStyle name="Calculation 2 14 2 3" xfId="5267" xr:uid="{00000000-0005-0000-0000-000024000000}"/>
    <cellStyle name="Calculation 2 14 2 3 2" xfId="12159" xr:uid="{C2953A8A-E0B8-442F-9F23-C1136A04C28A}"/>
    <cellStyle name="Calculation 2 14 2 3 2 2" xfId="34644" xr:uid="{F8E6704A-14F5-4D44-9A45-2DFC8D9C9F6A}"/>
    <cellStyle name="Calculation 2 14 2 3 2 3" xfId="25866" xr:uid="{3A7893E1-D83D-493A-BBEC-81B425462D7A}"/>
    <cellStyle name="Calculation 2 14 2 3 3" xfId="17204" xr:uid="{C25694F3-179B-4DDB-9424-E1E54FDE2A40}"/>
    <cellStyle name="Calculation 2 14 2 3 3 2" xfId="39594" xr:uid="{F74FF876-EFB4-4988-BC46-9341AE96C5BD}"/>
    <cellStyle name="Calculation 2 14 2 3 3 3" xfId="45064" xr:uid="{96EECD1B-B6E3-4789-B6F3-8EBC4E030E21}"/>
    <cellStyle name="Calculation 2 14 2 3 4" xfId="21628" xr:uid="{3D0527F0-4AF3-4877-9CD3-23E609C6AFED}"/>
    <cellStyle name="Calculation 2 14 2 3 4 2" xfId="50499" xr:uid="{9E10AD73-2B8A-4EAF-8D39-0C3A3C5C16F3}"/>
    <cellStyle name="Calculation 2 14 2 3 5" xfId="49212" xr:uid="{FB3FDAA2-7B91-4F66-8627-A6EBAB81AB3C}"/>
    <cellStyle name="Calculation 2 14 2 4" xfId="5678" xr:uid="{00000000-0005-0000-0000-000024000000}"/>
    <cellStyle name="Calculation 2 14 2 4 2" xfId="12562" xr:uid="{B1AE0286-6B7C-4BB6-83CF-D01EADDC0B3B}"/>
    <cellStyle name="Calculation 2 14 2 4 2 2" xfId="35047" xr:uid="{09332ABE-749B-40F6-882F-E071799C5BBA}"/>
    <cellStyle name="Calculation 2 14 2 4 2 3" xfId="42204" xr:uid="{31E86BB0-C0A8-4184-A72F-A94852CAF1A5}"/>
    <cellStyle name="Calculation 2 14 2 4 3" xfId="17615" xr:uid="{51DBEF1B-CD7E-45CD-8E25-2DE6F239393E}"/>
    <cellStyle name="Calculation 2 14 2 4 3 2" xfId="40005" xr:uid="{0F26D86C-9877-4879-B353-8C7AAA9F302F}"/>
    <cellStyle name="Calculation 2 14 2 4 3 3" xfId="43591" xr:uid="{1873643D-815E-4999-ABA9-E652BD920167}"/>
    <cellStyle name="Calculation 2 14 2 4 4" xfId="22039" xr:uid="{33B03661-D6F7-416F-A109-9FF23BC3BCB5}"/>
    <cellStyle name="Calculation 2 14 2 4 4 2" xfId="48448" xr:uid="{656E8919-8BF8-468B-9A27-F4F015DA6DC3}"/>
    <cellStyle name="Calculation 2 14 2 4 5" xfId="29925" xr:uid="{CFE1D97D-CF05-43DB-84EA-F765BB54B305}"/>
    <cellStyle name="Calculation 2 14 2 5" xfId="6039" xr:uid="{00000000-0005-0000-0000-000024000000}"/>
    <cellStyle name="Calculation 2 14 2 5 2" xfId="12918" xr:uid="{C8043647-3580-452E-9F11-EB8645857E94}"/>
    <cellStyle name="Calculation 2 14 2 5 2 2" xfId="35402" xr:uid="{2B000149-F163-4A6C-A66D-04F1B338DFAC}"/>
    <cellStyle name="Calculation 2 14 2 5 2 3" xfId="25849" xr:uid="{A7E1CCFF-3F69-4B88-817A-B108A0BA82F0}"/>
    <cellStyle name="Calculation 2 14 2 5 3" xfId="17976" xr:uid="{5E98BF81-E353-483B-A712-F25230BA509C}"/>
    <cellStyle name="Calculation 2 14 2 5 3 2" xfId="40366" xr:uid="{F199047C-BEBC-44EE-A5AE-8994C3070223}"/>
    <cellStyle name="Calculation 2 14 2 5 3 3" xfId="44200" xr:uid="{82F3EAB7-9FEE-4C3D-86BC-B85AB5CE3FDF}"/>
    <cellStyle name="Calculation 2 14 2 5 4" xfId="22400" xr:uid="{79D98DE4-CF3E-40CF-B0F2-DF622548F9FF}"/>
    <cellStyle name="Calculation 2 14 2 5 4 2" xfId="50946" xr:uid="{460E6D8D-20A2-47DC-AC33-9D603DFE3D9B}"/>
    <cellStyle name="Calculation 2 14 2 5 5" xfId="53452" xr:uid="{256235C7-AFDF-43BA-944D-6564FFA7744A}"/>
    <cellStyle name="Calculation 2 14 2 6" xfId="6416" xr:uid="{00000000-0005-0000-0000-000024000000}"/>
    <cellStyle name="Calculation 2 14 2 6 2" xfId="13288" xr:uid="{24D71AA8-F067-4E40-B735-B1898BBC9E92}"/>
    <cellStyle name="Calculation 2 14 2 6 2 2" xfId="35772" xr:uid="{77033A86-53FE-40D5-A5AA-F67487A150F1}"/>
    <cellStyle name="Calculation 2 14 2 6 2 3" xfId="38012" xr:uid="{BF7382A4-0A7B-4BB1-BFF5-AC0F5A26F77E}"/>
    <cellStyle name="Calculation 2 14 2 6 3" xfId="18353" xr:uid="{FA72B645-5901-4772-8772-659694374AA7}"/>
    <cellStyle name="Calculation 2 14 2 6 3 2" xfId="40743" xr:uid="{95147C6D-2C57-43BC-89AF-7834E587116B}"/>
    <cellStyle name="Calculation 2 14 2 6 3 3" xfId="24413" xr:uid="{F6F2939C-7014-4B25-9102-4A619627D62D}"/>
    <cellStyle name="Calculation 2 14 2 6 4" xfId="22777" xr:uid="{A6733DA6-7130-4B22-A8D6-93E11249D45D}"/>
    <cellStyle name="Calculation 2 14 2 6 4 2" xfId="49766" xr:uid="{B6383309-3581-4A01-8B8C-70DE9886CC29}"/>
    <cellStyle name="Calculation 2 14 2 6 5" xfId="49194" xr:uid="{24F3CF50-AAE5-42C2-8C5A-7D6E60A7D5D4}"/>
    <cellStyle name="Calculation 2 14 2 7" xfId="6120" xr:uid="{00000000-0005-0000-0000-000024000000}"/>
    <cellStyle name="Calculation 2 14 2 7 2" xfId="12998" xr:uid="{4BC7A67C-8E7A-4115-A3D3-1D50C8560119}"/>
    <cellStyle name="Calculation 2 14 2 7 2 2" xfId="35482" xr:uid="{AD867D05-F2DD-4B13-8DE5-52ADCA3F65F4}"/>
    <cellStyle name="Calculation 2 14 2 7 2 3" xfId="52385" xr:uid="{E66424CD-E14C-425E-99D9-746552632B13}"/>
    <cellStyle name="Calculation 2 14 2 7 3" xfId="18057" xr:uid="{9C78779A-EC43-4E92-81B6-DB8DF9625C64}"/>
    <cellStyle name="Calculation 2 14 2 7 3 2" xfId="40447" xr:uid="{D8745BCA-B18E-43DC-AB60-8BA9BE413A2C}"/>
    <cellStyle name="Calculation 2 14 2 7 3 3" xfId="43886" xr:uid="{58005181-11AD-442A-AF46-D9D1057B656E}"/>
    <cellStyle name="Calculation 2 14 2 7 4" xfId="22481" xr:uid="{1157F25D-DC4D-4790-922F-B9259033B5D4}"/>
    <cellStyle name="Calculation 2 14 2 7 4 2" xfId="49182" xr:uid="{00697775-867B-46CF-8443-211DBC57B07D}"/>
    <cellStyle name="Calculation 2 14 2 7 5" xfId="45331" xr:uid="{B3B85644-C19A-48D4-8791-379D747BCC45}"/>
    <cellStyle name="Calculation 2 14 2 8" xfId="6930" xr:uid="{00000000-0005-0000-0000-000024000000}"/>
    <cellStyle name="Calculation 2 14 2 8 2" xfId="13768" xr:uid="{7100ACEF-2CDA-4C47-A09F-072202856808}"/>
    <cellStyle name="Calculation 2 14 2 8 2 2" xfId="36252" xr:uid="{3CD836E5-2858-4274-BAAE-0E4BE4308813}"/>
    <cellStyle name="Calculation 2 14 2 8 2 3" xfId="42464" xr:uid="{2CD1D5EC-C7A6-42D6-97F1-0F8E36701803}"/>
    <cellStyle name="Calculation 2 14 2 8 3" xfId="18867" xr:uid="{9106F33F-654F-4B13-A103-D11305694CEF}"/>
    <cellStyle name="Calculation 2 14 2 8 3 2" xfId="41257" xr:uid="{D296967A-2EE6-4740-A4AB-6547BD9A287B}"/>
    <cellStyle name="Calculation 2 14 2 8 3 3" xfId="26040" xr:uid="{761E13CC-EFFA-42CD-A243-39DC5A5F4BE5}"/>
    <cellStyle name="Calculation 2 14 2 8 4" xfId="23291" xr:uid="{72A65709-AFED-4215-90B4-31858EF3A7E4}"/>
    <cellStyle name="Calculation 2 14 2 8 4 2" xfId="48548" xr:uid="{728AB872-D569-418D-A9F7-B2D2ABF8E373}"/>
    <cellStyle name="Calculation 2 14 2 8 5" xfId="30173" xr:uid="{1CD98ABF-F3B0-48B0-BFD0-2853C3400A52}"/>
    <cellStyle name="Calculation 2 14 2 9" xfId="6181" xr:uid="{00000000-0005-0000-0000-000024000000}"/>
    <cellStyle name="Calculation 2 14 2 9 2" xfId="18118" xr:uid="{985D2EC9-9099-4DAC-9CB8-3D2DFE35B33E}"/>
    <cellStyle name="Calculation 2 14 2 9 2 2" xfId="40508" xr:uid="{085D6E47-7D69-44FA-8AF0-0741DC255622}"/>
    <cellStyle name="Calculation 2 14 2 9 2 3" xfId="29265" xr:uid="{C839159D-4707-4EA1-9B5A-517FB3AD6685}"/>
    <cellStyle name="Calculation 2 14 2 9 3" xfId="22542" xr:uid="{23CD135C-B043-46FC-8BE5-1CF754A64925}"/>
    <cellStyle name="Calculation 2 14 2 9 3 2" xfId="29081" xr:uid="{683B59F1-EEE4-475B-B3BC-82FA307A4E61}"/>
    <cellStyle name="Calculation 2 14 2 9 4" xfId="47316" xr:uid="{AF64AD34-2144-4018-B7DF-A1A088140ADA}"/>
    <cellStyle name="Calculation 2 14 3" xfId="2811" xr:uid="{00000000-0005-0000-0000-000023000000}"/>
    <cellStyle name="Calculation 2 14 3 2" xfId="9720" xr:uid="{0B13C57C-BC46-4EB8-A58A-2900673E29A3}"/>
    <cellStyle name="Calculation 2 14 3 2 2" xfId="32261" xr:uid="{0E0920E4-7DE1-42DD-BF26-9CCB64C299FA}"/>
    <cellStyle name="Calculation 2 14 3 2 3" xfId="26688" xr:uid="{FFAE1326-7020-4E71-845A-3EED52A355D2}"/>
    <cellStyle name="Calculation 2 14 3 3" xfId="15214" xr:uid="{31E1D44D-E5B3-4919-909A-75365ED89B89}"/>
    <cellStyle name="Calculation 2 14 3 3 2" xfId="37652" xr:uid="{1B87920B-597F-45C1-A9E2-207C4E6C95D6}"/>
    <cellStyle name="Calculation 2 14 3 3 3" xfId="50984" xr:uid="{02DF0ABA-79B4-47D9-8625-B4CDFFACDFB4}"/>
    <cellStyle name="Calculation 2 14 3 4" xfId="15198" xr:uid="{8EE84732-1B71-4865-899A-A9887CCE00A4}"/>
    <cellStyle name="Calculation 2 14 3 4 2" xfId="49801" xr:uid="{6BD9724F-030C-4685-A23B-76596E1B8AAD}"/>
    <cellStyle name="Calculation 2 14 3 5" xfId="44411" xr:uid="{A92365ED-CB08-4575-9F80-6AC85A5D8B35}"/>
    <cellStyle name="Calculation 2 14 4" xfId="4578" xr:uid="{00000000-0005-0000-0000-000023000000}"/>
    <cellStyle name="Calculation 2 14 4 2" xfId="11480" xr:uid="{BF1449FE-8091-4F68-B4DF-46D83107675F}"/>
    <cellStyle name="Calculation 2 14 4 2 2" xfId="33966" xr:uid="{203F0B19-86B7-4ECA-8C74-178AE724D272}"/>
    <cellStyle name="Calculation 2 14 4 2 3" xfId="41639" xr:uid="{1CE7DC55-6AC5-4072-9BAF-E70F3C34F129}"/>
    <cellStyle name="Calculation 2 14 4 3" xfId="16515" xr:uid="{1DA80D3D-C9C3-4CDC-BA29-F2BFE2E52B30}"/>
    <cellStyle name="Calculation 2 14 4 3 2" xfId="38905" xr:uid="{D1D3B347-09F6-413C-97CA-12700B043A5F}"/>
    <cellStyle name="Calculation 2 14 4 3 3" xfId="29071" xr:uid="{B0EE79A7-5952-4093-A8CD-95325CF780DD}"/>
    <cellStyle name="Calculation 2 14 4 4" xfId="11896" xr:uid="{DB92A339-0E65-4443-91F3-3C7BA7DF6E3E}"/>
    <cellStyle name="Calculation 2 14 4 4 2" xfId="23714" xr:uid="{0FF618AF-D378-4D4E-9E2E-7E54E901480B}"/>
    <cellStyle name="Calculation 2 14 4 5" xfId="51641" xr:uid="{8298A1AC-A429-4794-AF1A-23E7F220396A}"/>
    <cellStyle name="Calculation 2 14 5" xfId="6014" xr:uid="{00000000-0005-0000-0000-000023000000}"/>
    <cellStyle name="Calculation 2 14 5 2" xfId="12895" xr:uid="{D5C2B078-8264-47A9-A204-15DA6B6294F7}"/>
    <cellStyle name="Calculation 2 14 5 2 2" xfId="35379" xr:uid="{056715FD-FA1D-46CA-8E00-BA7BD22A394C}"/>
    <cellStyle name="Calculation 2 14 5 2 3" xfId="27771" xr:uid="{52E7DE02-7511-4E2A-BA73-0B305B244D64}"/>
    <cellStyle name="Calculation 2 14 5 3" xfId="17951" xr:uid="{4920C999-263D-471C-9071-72B3E580640C}"/>
    <cellStyle name="Calculation 2 14 5 3 2" xfId="40341" xr:uid="{C93138B0-84A5-4249-9D9D-3057C9F6C06A}"/>
    <cellStyle name="Calculation 2 14 5 3 3" xfId="28633" xr:uid="{2C862389-9A48-4C01-AC99-A10279C4687B}"/>
    <cellStyle name="Calculation 2 14 5 4" xfId="22375" xr:uid="{A3AB5CD6-B7FB-4647-B406-2E218A11E648}"/>
    <cellStyle name="Calculation 2 14 5 4 2" xfId="25380" xr:uid="{734EE7BE-EC9C-400B-AEEF-1BE016F72D0A}"/>
    <cellStyle name="Calculation 2 14 5 5" xfId="42161" xr:uid="{DCE45327-FFD2-4FE2-A0B6-289C538578E6}"/>
    <cellStyle name="Calculation 2 14 6" xfId="4369" xr:uid="{00000000-0005-0000-0000-000023000000}"/>
    <cellStyle name="Calculation 2 14 6 2" xfId="11272" xr:uid="{468574D6-6DC9-4CBE-B253-8F4B909D97A6}"/>
    <cellStyle name="Calculation 2 14 6 2 2" xfId="33758" xr:uid="{3CCA5A7B-3156-4BEE-AADF-914722C125FD}"/>
    <cellStyle name="Calculation 2 14 6 2 3" xfId="45725" xr:uid="{020BA548-D5DF-40E6-B6C1-A67FE163AE42}"/>
    <cellStyle name="Calculation 2 14 6 3" xfId="16306" xr:uid="{11030C7B-A803-41DC-BD11-12908DDC662B}"/>
    <cellStyle name="Calculation 2 14 6 3 2" xfId="38696" xr:uid="{756C0B74-E6D9-457B-ACBA-91227BF0F983}"/>
    <cellStyle name="Calculation 2 14 6 3 3" xfId="43339" xr:uid="{B9EE1D33-282B-4455-91C2-457373CBF9B2}"/>
    <cellStyle name="Calculation 2 14 6 4" xfId="15603" xr:uid="{F988AB07-6EAD-44A7-8B85-FE7347C4E555}"/>
    <cellStyle name="Calculation 2 14 6 4 2" xfId="46768" xr:uid="{EA32011D-F61B-4E0B-B6AB-4C8CC09CAAF7}"/>
    <cellStyle name="Calculation 2 14 6 5" xfId="26501" xr:uid="{1DA9E166-354B-4E8C-8225-975D2D1B2B69}"/>
    <cellStyle name="Calculation 2 14 7" xfId="6745" xr:uid="{00000000-0005-0000-0000-000023000000}"/>
    <cellStyle name="Calculation 2 14 7 2" xfId="13601" xr:uid="{B7DA28D8-DABF-42C8-833B-DC372106BD50}"/>
    <cellStyle name="Calculation 2 14 7 2 2" xfId="36085" xr:uid="{E51FF44D-E9DF-4044-953A-603AEEA28583}"/>
    <cellStyle name="Calculation 2 14 7 2 3" xfId="50907" xr:uid="{A6985087-BB11-4C65-85EC-9B50B9DC16F1}"/>
    <cellStyle name="Calculation 2 14 7 3" xfId="18682" xr:uid="{9495DFC4-3A38-4E11-9269-A318BF57D9CE}"/>
    <cellStyle name="Calculation 2 14 7 3 2" xfId="41072" xr:uid="{F8AE04E6-8C93-4C95-96C7-94BC3E07414A}"/>
    <cellStyle name="Calculation 2 14 7 3 3" xfId="25912" xr:uid="{AC8108B4-BC51-475A-84C8-CA1EB8804006}"/>
    <cellStyle name="Calculation 2 14 7 4" xfId="23106" xr:uid="{142A5FE9-88F7-45FF-8619-91978D60CDD6}"/>
    <cellStyle name="Calculation 2 14 7 4 2" xfId="53106" xr:uid="{9D271222-0604-41A2-A8A9-799AC180FABD}"/>
    <cellStyle name="Calculation 2 14 7 5" xfId="45181" xr:uid="{E2651520-F6CC-4683-993B-31E4807F15A5}"/>
    <cellStyle name="Calculation 2 14 8" xfId="7597" xr:uid="{F2EC79FC-1C18-494C-A7BE-D86EB2872C8E}"/>
    <cellStyle name="Calculation 2 14 8 2" xfId="30258" xr:uid="{9C75396A-2C80-452A-A520-87931189DEC9}"/>
    <cellStyle name="Calculation 2 14 8 3" xfId="28615" xr:uid="{ACF1681E-3482-4BF0-861E-86E1D00396E7}"/>
    <cellStyle name="Calculation 2 14 9" xfId="20631" xr:uid="{BFC57776-F0BA-4F96-8782-EFB97B5CA9EF}"/>
    <cellStyle name="Calculation 2 14 9 2" xfId="42910" xr:uid="{2CCB5A4C-2343-4726-A6C6-F9A760FA5FC1}"/>
    <cellStyle name="Calculation 2 14 9 3" xfId="46087" xr:uid="{6E2B9BCF-8EBB-4858-9223-421753E75624}"/>
    <cellStyle name="Calculation 2 15" xfId="1462" xr:uid="{00000000-0005-0000-0000-000025000000}"/>
    <cellStyle name="Calculation 2 15 10" xfId="20786" xr:uid="{89689D5A-62D0-4E94-988D-E03D8FE3C99F}"/>
    <cellStyle name="Calculation 2 15 10 2" xfId="50222" xr:uid="{739AE1F1-E9E3-4F60-AED7-BA87908C92BA}"/>
    <cellStyle name="Calculation 2 15 11" xfId="47400" xr:uid="{1180B7FB-4A14-4FDE-B45B-1437AE7B95E6}"/>
    <cellStyle name="Calculation 2 15 2" xfId="2189" xr:uid="{00000000-0005-0000-0000-000026000000}"/>
    <cellStyle name="Calculation 2 15 2 10" xfId="14790" xr:uid="{2860DB19-4612-4D31-B801-8ED8C7E980C6}"/>
    <cellStyle name="Calculation 2 15 2 10 2" xfId="37246" xr:uid="{2D0D61E7-5A36-42F7-B636-0D2B248ED77A}"/>
    <cellStyle name="Calculation 2 15 2 10 3" xfId="46154" xr:uid="{B15D9BCC-3182-45EF-AECE-0037A31B6D3B}"/>
    <cellStyle name="Calculation 2 15 2 11" xfId="20989" xr:uid="{1C398D08-8533-4C5C-8665-A53CFF76C754}"/>
    <cellStyle name="Calculation 2 15 2 11 2" xfId="43243" xr:uid="{26FD09FB-308F-4D20-99F7-B26DBE2FE377}"/>
    <cellStyle name="Calculation 2 15 2 11 3" xfId="47177" xr:uid="{FE27B32A-C4BD-44EE-B7C8-6E930516B6DD}"/>
    <cellStyle name="Calculation 2 15 2 12" xfId="20710" xr:uid="{B09BC761-4E6D-45DE-BAE5-FA65471F443B}"/>
    <cellStyle name="Calculation 2 15 2 12 2" xfId="48731" xr:uid="{2D6B97C9-9D8B-4C14-BBBD-668604B0EBF7}"/>
    <cellStyle name="Calculation 2 15 2 13" xfId="46549" xr:uid="{01C3C21A-2BE3-4BAD-8E45-E4788014DDCC}"/>
    <cellStyle name="Calculation 2 15 2 2" xfId="4282" xr:uid="{00000000-0005-0000-0000-000026000000}"/>
    <cellStyle name="Calculation 2 15 2 2 2" xfId="11186" xr:uid="{8BD55A23-6EFB-42BF-B959-9BA61E5340AF}"/>
    <cellStyle name="Calculation 2 15 2 2 2 2" xfId="33672" xr:uid="{8B382AD6-7D68-4FBE-9C3A-9606A5B53BBB}"/>
    <cellStyle name="Calculation 2 15 2 2 2 3" xfId="44499" xr:uid="{58B63C32-E810-40C2-94DF-F54C4C2E442F}"/>
    <cellStyle name="Calculation 2 15 2 2 3" xfId="16247" xr:uid="{C9C7C137-97AA-483C-B15C-80D91A117621}"/>
    <cellStyle name="Calculation 2 15 2 2 3 2" xfId="38640" xr:uid="{574480B4-2666-44C2-98A9-C7CFB5FCCD71}"/>
    <cellStyle name="Calculation 2 15 2 2 3 3" xfId="44900" xr:uid="{BC7231BF-31A0-4738-B5B1-49D8FE258679}"/>
    <cellStyle name="Calculation 2 15 2 2 4" xfId="16005" xr:uid="{A501BD76-1720-4689-909B-208A4196CC2F}"/>
    <cellStyle name="Calculation 2 15 2 2 4 2" xfId="24595" xr:uid="{E6C038B3-36D0-43D0-9415-6E6CA846FC88}"/>
    <cellStyle name="Calculation 2 15 2 2 5" xfId="26350" xr:uid="{0E272226-AA69-4B1E-9712-524E7827D5BC}"/>
    <cellStyle name="Calculation 2 15 2 3" xfId="5584" xr:uid="{00000000-0005-0000-0000-000026000000}"/>
    <cellStyle name="Calculation 2 15 2 3 2" xfId="12469" xr:uid="{CBA6A9CE-5B23-4586-96F2-9DE6A9691DC7}"/>
    <cellStyle name="Calculation 2 15 2 3 2 2" xfId="34954" xr:uid="{2E4B322E-72BA-4F06-B430-A9D984356F16}"/>
    <cellStyle name="Calculation 2 15 2 3 2 3" xfId="37094" xr:uid="{FCD97DBF-1A43-4446-83A3-4880FE4A5C3A}"/>
    <cellStyle name="Calculation 2 15 2 3 3" xfId="17521" xr:uid="{5416AE38-9E83-412A-8AB5-B011553319D5}"/>
    <cellStyle name="Calculation 2 15 2 3 3 2" xfId="39911" xr:uid="{65B54A7D-83FE-4C4D-B945-A64F87CCDF09}"/>
    <cellStyle name="Calculation 2 15 2 3 3 3" xfId="25997" xr:uid="{3736434D-CE07-41E2-BD44-155BAEB343FA}"/>
    <cellStyle name="Calculation 2 15 2 3 4" xfId="21945" xr:uid="{A70CE4E5-2727-4194-9796-DC755B8B4152}"/>
    <cellStyle name="Calculation 2 15 2 3 4 2" xfId="52852" xr:uid="{5C8DCAF2-9F4D-4654-96FE-B7998C4DBE31}"/>
    <cellStyle name="Calculation 2 15 2 3 5" xfId="51309" xr:uid="{79AEC353-27B5-4B12-ABD4-5729BC97FFBC}"/>
    <cellStyle name="Calculation 2 15 2 4" xfId="6000" xr:uid="{00000000-0005-0000-0000-000026000000}"/>
    <cellStyle name="Calculation 2 15 2 4 2" xfId="12881" xr:uid="{CAF74631-A04D-4BB1-83E7-114EFB786CDA}"/>
    <cellStyle name="Calculation 2 15 2 4 2 2" xfId="35365" xr:uid="{813046FA-FE68-4B1F-ABAB-C733819FCC69}"/>
    <cellStyle name="Calculation 2 15 2 4 2 3" xfId="49180" xr:uid="{8227DCC2-6CFC-4972-A035-7DE576B2AD3E}"/>
    <cellStyle name="Calculation 2 15 2 4 3" xfId="17937" xr:uid="{D7114198-DA5A-4DDD-83A7-7AEFEC02CF8E}"/>
    <cellStyle name="Calculation 2 15 2 4 3 2" xfId="40327" xr:uid="{6789BFCC-1FB7-4D3D-9D05-31DCAC503FEE}"/>
    <cellStyle name="Calculation 2 15 2 4 3 3" xfId="30079" xr:uid="{943A822F-B1B8-42D5-A7E1-D0B185DD7F05}"/>
    <cellStyle name="Calculation 2 15 2 4 4" xfId="22361" xr:uid="{E63BDEA4-D0A2-40A7-BD62-E36C829B74D4}"/>
    <cellStyle name="Calculation 2 15 2 4 4 2" xfId="43601" xr:uid="{53AFAEAE-36EB-49F6-BC7D-0CC45AD5B38A}"/>
    <cellStyle name="Calculation 2 15 2 4 5" xfId="52654" xr:uid="{574A5772-6559-466A-9967-C5E2D70424F9}"/>
    <cellStyle name="Calculation 2 15 2 5" xfId="6337" xr:uid="{00000000-0005-0000-0000-000026000000}"/>
    <cellStyle name="Calculation 2 15 2 5 2" xfId="13209" xr:uid="{79C89D97-9B87-4FD5-81D5-2B10205F6E81}"/>
    <cellStyle name="Calculation 2 15 2 5 2 2" xfId="35693" xr:uid="{880BAC17-014C-486B-9189-8518F58CB136}"/>
    <cellStyle name="Calculation 2 15 2 5 2 3" xfId="32791" xr:uid="{062881DA-28DC-4F6F-88C4-C1AB35528D3C}"/>
    <cellStyle name="Calculation 2 15 2 5 3" xfId="18274" xr:uid="{0F506A7F-8773-47C3-82A9-81CE6122DC5B}"/>
    <cellStyle name="Calculation 2 15 2 5 3 2" xfId="40664" xr:uid="{584BF254-7FBF-4FC9-B6EE-BFC6A81125E4}"/>
    <cellStyle name="Calculation 2 15 2 5 3 3" xfId="28303" xr:uid="{0B539C23-BCD8-4096-B1E5-636743661FE9}"/>
    <cellStyle name="Calculation 2 15 2 5 4" xfId="22698" xr:uid="{09C8D4E9-1F2A-4D1A-A71F-DB8A49992D1E}"/>
    <cellStyle name="Calculation 2 15 2 5 4 2" xfId="28639" xr:uid="{AB297ACB-7098-4DD6-BB8E-478B9FA7479A}"/>
    <cellStyle name="Calculation 2 15 2 5 5" xfId="46061" xr:uid="{7A74519A-78A1-4220-B803-2D066FF186B0}"/>
    <cellStyle name="Calculation 2 15 2 6" xfId="6680" xr:uid="{00000000-0005-0000-0000-000026000000}"/>
    <cellStyle name="Calculation 2 15 2 6 2" xfId="13546" xr:uid="{61AE085E-A470-49BF-93DE-8DCC62987F34}"/>
    <cellStyle name="Calculation 2 15 2 6 2 2" xfId="36030" xr:uid="{792EDD49-EE00-4730-AB1A-24A08B22F729}"/>
    <cellStyle name="Calculation 2 15 2 6 2 3" xfId="49600" xr:uid="{1A986E14-3291-4600-9C48-AA30A00DB66D}"/>
    <cellStyle name="Calculation 2 15 2 6 3" xfId="18617" xr:uid="{04BCAA02-10D1-41E1-9CDB-D80ECBC24673}"/>
    <cellStyle name="Calculation 2 15 2 6 3 2" xfId="41007" xr:uid="{38CE8DCC-9DFC-4F5F-B664-9AAD5C454D20}"/>
    <cellStyle name="Calculation 2 15 2 6 3 3" xfId="32020" xr:uid="{E1DB3081-E4D5-4520-A889-E8FAC12E7B9F}"/>
    <cellStyle name="Calculation 2 15 2 6 4" xfId="23041" xr:uid="{9AA045A9-5D96-4141-AB9A-0080CE46A511}"/>
    <cellStyle name="Calculation 2 15 2 6 4 2" xfId="44013" xr:uid="{AE3CE56A-BBF5-4102-91C5-85A2AC663FB5}"/>
    <cellStyle name="Calculation 2 15 2 6 5" xfId="45918" xr:uid="{20946459-79CC-4828-A087-44AEB5FB6FB3}"/>
    <cellStyle name="Calculation 2 15 2 7" xfId="6722" xr:uid="{00000000-0005-0000-0000-000026000000}"/>
    <cellStyle name="Calculation 2 15 2 7 2" xfId="13582" xr:uid="{0F959BA7-1975-4D71-B842-35E10A16FF5C}"/>
    <cellStyle name="Calculation 2 15 2 7 2 2" xfId="36066" xr:uid="{F623A8E6-ED44-4989-9ABA-A290C9B3603A}"/>
    <cellStyle name="Calculation 2 15 2 7 2 3" xfId="46975" xr:uid="{58317CA4-DC1A-4CBC-B39A-D84149F1F6C0}"/>
    <cellStyle name="Calculation 2 15 2 7 3" xfId="18659" xr:uid="{148EAE20-2E9D-4983-968D-60A50ED4CA6C}"/>
    <cellStyle name="Calculation 2 15 2 7 3 2" xfId="41049" xr:uid="{0B745E90-7EC0-4E13-9BBE-EE408A7DA832}"/>
    <cellStyle name="Calculation 2 15 2 7 3 3" xfId="28608" xr:uid="{CFDDB437-7B13-41E6-AE94-F7D34ECC4311}"/>
    <cellStyle name="Calculation 2 15 2 7 4" xfId="23083" xr:uid="{431CF518-0B76-44D3-A886-3148FBBA2C72}"/>
    <cellStyle name="Calculation 2 15 2 7 4 2" xfId="46502" xr:uid="{DA820E7C-9DE8-4D88-A3A5-D161ED6876B2}"/>
    <cellStyle name="Calculation 2 15 2 7 5" xfId="49161" xr:uid="{E7319515-7044-4C49-B52F-23774F1BC146}"/>
    <cellStyle name="Calculation 2 15 2 8" xfId="7122" xr:uid="{00000000-0005-0000-0000-000026000000}"/>
    <cellStyle name="Calculation 2 15 2 8 2" xfId="13958" xr:uid="{46A5A910-5692-4F50-B907-267ABB37BF33}"/>
    <cellStyle name="Calculation 2 15 2 8 2 2" xfId="36442" xr:uid="{3276D151-5D10-4BD6-AEC9-F21122B735AE}"/>
    <cellStyle name="Calculation 2 15 2 8 2 3" xfId="51721" xr:uid="{D94A4793-3B4D-4F4E-A993-1E413BCEAF31}"/>
    <cellStyle name="Calculation 2 15 2 8 3" xfId="19059" xr:uid="{C827F0F8-5437-4D1B-91E9-070D9992EF03}"/>
    <cellStyle name="Calculation 2 15 2 8 3 2" xfId="41449" xr:uid="{40334791-45C8-4832-9E4C-6C8D2A7E0B86}"/>
    <cellStyle name="Calculation 2 15 2 8 3 3" xfId="26631" xr:uid="{AB037C26-9F9E-4FA8-9762-5E97A592B11B}"/>
    <cellStyle name="Calculation 2 15 2 8 4" xfId="23483" xr:uid="{8B2C87A1-895C-489A-AA1D-37964D28F867}"/>
    <cellStyle name="Calculation 2 15 2 8 4 2" xfId="50671" xr:uid="{550362B0-5B5D-48ED-8159-FC0BFFAF3E90}"/>
    <cellStyle name="Calculation 2 15 2 8 5" xfId="29881" xr:uid="{570EE5F3-8260-4A29-9262-A0BE5E628521}"/>
    <cellStyle name="Calculation 2 15 2 9" xfId="7233" xr:uid="{00000000-0005-0000-0000-000026000000}"/>
    <cellStyle name="Calculation 2 15 2 9 2" xfId="19170" xr:uid="{2D873D6B-2693-4DE0-A554-48B9B9884132}"/>
    <cellStyle name="Calculation 2 15 2 9 2 2" xfId="41560" xr:uid="{310396C3-ACD9-42DB-8119-B98B11BA57DE}"/>
    <cellStyle name="Calculation 2 15 2 9 2 3" xfId="28817" xr:uid="{45E9FA5F-B828-47A5-8BF9-1D9EAB3959B7}"/>
    <cellStyle name="Calculation 2 15 2 9 3" xfId="23594" xr:uid="{5829CF44-9A96-40B7-8E48-B876D87E7FEB}"/>
    <cellStyle name="Calculation 2 15 2 9 3 2" xfId="28508" xr:uid="{89296317-6839-4E63-B3EC-21C6272A76DE}"/>
    <cellStyle name="Calculation 2 15 2 9 4" xfId="48267" xr:uid="{95D7103E-C16C-4D26-925E-285526C444E3}"/>
    <cellStyle name="Calculation 2 15 3" xfId="3563" xr:uid="{00000000-0005-0000-0000-000025000000}"/>
    <cellStyle name="Calculation 2 15 3 2" xfId="10469" xr:uid="{ABA4EA06-C92B-407E-8E8A-7F217CE19F12}"/>
    <cellStyle name="Calculation 2 15 3 2 2" xfId="32956" xr:uid="{8F324362-9A9D-4FD5-86B4-F324651744D3}"/>
    <cellStyle name="Calculation 2 15 3 2 3" xfId="46736" xr:uid="{FAD925CD-5648-43C0-B07B-911B2EC3AEE0}"/>
    <cellStyle name="Calculation 2 15 3 3" xfId="15713" xr:uid="{E123EB1C-14CA-4E7A-B40F-F198F7BD62AF}"/>
    <cellStyle name="Calculation 2 15 3 3 2" xfId="38126" xr:uid="{AD64ECAB-D00D-4BD5-9ED7-43EF625EA523}"/>
    <cellStyle name="Calculation 2 15 3 3 3" xfId="47457" xr:uid="{3FF85F97-FDF0-4D31-BE47-73BDF7871173}"/>
    <cellStyle name="Calculation 2 15 3 4" xfId="20158" xr:uid="{7E439ED6-973B-48BC-9B4B-12902546B005}"/>
    <cellStyle name="Calculation 2 15 3 4 2" xfId="30327" xr:uid="{EA691DAA-15BC-475A-A71D-F05F0555CA6C}"/>
    <cellStyle name="Calculation 2 15 3 5" xfId="47459" xr:uid="{2AEBA14A-967E-4585-A8A5-CECE24D93AE6}"/>
    <cellStyle name="Calculation 2 15 4" xfId="5064" xr:uid="{00000000-0005-0000-0000-000025000000}"/>
    <cellStyle name="Calculation 2 15 4 2" xfId="11957" xr:uid="{6EC81B73-7B7C-4D4C-966C-615689ABC8A5}"/>
    <cellStyle name="Calculation 2 15 4 2 2" xfId="34443" xr:uid="{804DF8FD-ECE4-4896-A1B9-76E75F8C6572}"/>
    <cellStyle name="Calculation 2 15 4 2 3" xfId="27013" xr:uid="{C0020B9C-AF9E-4FB6-84CE-A8BCE9648207}"/>
    <cellStyle name="Calculation 2 15 4 3" xfId="17001" xr:uid="{64DA4FD2-00B6-4E74-854E-E4D063B25C8F}"/>
    <cellStyle name="Calculation 2 15 4 3 2" xfId="39391" xr:uid="{B138973B-A801-4CA4-BC94-9DFFFA60E3D0}"/>
    <cellStyle name="Calculation 2 15 4 3 3" xfId="45735" xr:uid="{7F06B9DF-1667-40B0-9E7D-C18503E13F88}"/>
    <cellStyle name="Calculation 2 15 4 4" xfId="21425" xr:uid="{43DBC51B-D1CD-4938-9513-107B69D43260}"/>
    <cellStyle name="Calculation 2 15 4 4 2" xfId="26952" xr:uid="{041E353B-8304-4391-857B-766AE86B0456}"/>
    <cellStyle name="Calculation 2 15 4 5" xfId="53343" xr:uid="{F5D8EF45-21D8-44A3-8A13-36807F51067E}"/>
    <cellStyle name="Calculation 2 15 5" xfId="4759" xr:uid="{00000000-0005-0000-0000-000025000000}"/>
    <cellStyle name="Calculation 2 15 5 2" xfId="11657" xr:uid="{83D1F112-A3EB-435B-8D07-A26AA163CB62}"/>
    <cellStyle name="Calculation 2 15 5 2 2" xfId="34143" xr:uid="{539ED395-F708-4F21-96E8-CB74974C2B4B}"/>
    <cellStyle name="Calculation 2 15 5 2 3" xfId="38020" xr:uid="{C315C122-2BB1-4F42-B8F5-B84683083B04}"/>
    <cellStyle name="Calculation 2 15 5 3" xfId="16696" xr:uid="{1572D99E-8489-43DA-9696-1913B2463DF6}"/>
    <cellStyle name="Calculation 2 15 5 3 2" xfId="39086" xr:uid="{D1543409-CE04-43C6-A860-F7DD391284B4}"/>
    <cellStyle name="Calculation 2 15 5 3 3" xfId="45847" xr:uid="{7DB2AE1A-BBC0-480D-ACCF-1CA6E5E657C3}"/>
    <cellStyle name="Calculation 2 15 5 4" xfId="19558" xr:uid="{78B5E922-DD86-448D-9174-CEBD7562604A}"/>
    <cellStyle name="Calculation 2 15 5 4 2" xfId="41983" xr:uid="{0202AA2F-C7AE-44F9-B8F6-ACCC0A5D3D05}"/>
    <cellStyle name="Calculation 2 15 5 5" xfId="51850" xr:uid="{79A19403-B115-44CD-8C3C-31B90AA5C75C}"/>
    <cellStyle name="Calculation 2 15 6" xfId="4446" xr:uid="{00000000-0005-0000-0000-000025000000}"/>
    <cellStyle name="Calculation 2 15 6 2" xfId="11348" xr:uid="{C6CB9BE5-3262-4B6F-83F3-1E93C3F88870}"/>
    <cellStyle name="Calculation 2 15 6 2 2" xfId="33834" xr:uid="{FCD161A4-DE2D-48E9-8DF1-2E20CD193F6C}"/>
    <cellStyle name="Calculation 2 15 6 2 3" xfId="32155" xr:uid="{76192671-F2A9-4113-8FE4-CD5A9A0F06DD}"/>
    <cellStyle name="Calculation 2 15 6 3" xfId="16383" xr:uid="{6CA9EABF-F208-4111-AB55-CB2BCE0C5C14}"/>
    <cellStyle name="Calculation 2 15 6 3 2" xfId="38773" xr:uid="{280DEF0E-037B-4819-B705-F82F0488B635}"/>
    <cellStyle name="Calculation 2 15 6 3 3" xfId="26255" xr:uid="{0710D7CA-E434-4DBF-8943-87ED72A05ECB}"/>
    <cellStyle name="Calculation 2 15 6 4" xfId="19346" xr:uid="{5FBA8962-EB2A-4822-825C-26C2E26CF4B7}"/>
    <cellStyle name="Calculation 2 15 6 4 2" xfId="29371" xr:uid="{EA7DA884-40A5-4800-876C-B7CDC18A33F0}"/>
    <cellStyle name="Calculation 2 15 6 5" xfId="47743" xr:uid="{FF6C1545-DE38-4EE4-AD86-7273762E5B53}"/>
    <cellStyle name="Calculation 2 15 7" xfId="4974" xr:uid="{00000000-0005-0000-0000-000025000000}"/>
    <cellStyle name="Calculation 2 15 7 2" xfId="11869" xr:uid="{5F5FB6A8-6D4B-4F5A-9323-2D20934A61AE}"/>
    <cellStyle name="Calculation 2 15 7 2 2" xfId="34355" xr:uid="{2A9A81BE-81D9-46E7-B8DE-EDBE8481D637}"/>
    <cellStyle name="Calculation 2 15 7 2 3" xfId="26084" xr:uid="{97B9A616-9759-4BE7-B6CA-6D38EA38D52F}"/>
    <cellStyle name="Calculation 2 15 7 3" xfId="16911" xr:uid="{576CDD3E-566F-46A2-8CC6-57CE714A33C3}"/>
    <cellStyle name="Calculation 2 15 7 3 2" xfId="39301" xr:uid="{875E6042-9FF5-4AFB-B453-BCF36BBF45C4}"/>
    <cellStyle name="Calculation 2 15 7 3 3" xfId="29372" xr:uid="{1CCF35B9-1D9B-4D62-8ECF-D203D2E85CBD}"/>
    <cellStyle name="Calculation 2 15 7 4" xfId="21335" xr:uid="{8A3DD87F-F58A-48DB-B53D-7AD1D1AA4623}"/>
    <cellStyle name="Calculation 2 15 7 4 2" xfId="50899" xr:uid="{C52A3639-CB03-4883-B0A4-C2C128707E5A}"/>
    <cellStyle name="Calculation 2 15 7 5" xfId="48679" xr:uid="{C287A058-7F50-4266-B4DE-66C365B592CF}"/>
    <cellStyle name="Calculation 2 15 8" xfId="14247" xr:uid="{D87D1ADE-EE86-4181-8900-5BD1175E6B79}"/>
    <cellStyle name="Calculation 2 15 8 2" xfId="36720" xr:uid="{7C1A4745-0596-4A78-B2C8-EE90D95BD727}"/>
    <cellStyle name="Calculation 2 15 8 3" xfId="51617" xr:uid="{AE3A82ED-78DE-4282-9100-0681FFD2534F}"/>
    <cellStyle name="Calculation 2 15 9" xfId="13117" xr:uid="{F4566559-A156-48ED-A402-876E6091E172}"/>
    <cellStyle name="Calculation 2 15 9 2" xfId="35601" xr:uid="{1154F52B-9988-46A9-99DF-0A4CDB5A2968}"/>
    <cellStyle name="Calculation 2 15 9 3" xfId="48987" xr:uid="{81D16A3F-004A-48C0-B32B-F906BAAA83AE}"/>
    <cellStyle name="Calculation 2 16" xfId="1463" xr:uid="{00000000-0005-0000-0000-000027000000}"/>
    <cellStyle name="Calculation 2 16 10" xfId="20510" xr:uid="{DAF0066B-C900-4E35-B302-4ED1963A62AB}"/>
    <cellStyle name="Calculation 2 16 10 2" xfId="51034" xr:uid="{C5E3CC55-A906-4C85-B771-95474673E60D}"/>
    <cellStyle name="Calculation 2 16 11" xfId="42897" xr:uid="{3900FE1C-C51F-44CF-A44B-0CD2D8DC5C4A}"/>
    <cellStyle name="Calculation 2 16 2" xfId="2190" xr:uid="{00000000-0005-0000-0000-000028000000}"/>
    <cellStyle name="Calculation 2 16 2 10" xfId="14791" xr:uid="{EF10A170-87F7-46FD-8B9B-5458FD0CFF13}"/>
    <cellStyle name="Calculation 2 16 2 10 2" xfId="37247" xr:uid="{A4B17FB3-AF55-4E98-A8A4-C40261FD1A77}"/>
    <cellStyle name="Calculation 2 16 2 10 3" xfId="26590" xr:uid="{320EB0C2-533F-4715-820D-359A8BEFBF65}"/>
    <cellStyle name="Calculation 2 16 2 11" xfId="20812" xr:uid="{A9FF95DE-E447-44B9-9BA5-4C9C0423CAA3}"/>
    <cellStyle name="Calculation 2 16 2 11 2" xfId="43078" xr:uid="{96A4C65E-D68D-43C3-BFEC-E9320B666B4C}"/>
    <cellStyle name="Calculation 2 16 2 11 3" xfId="53659" xr:uid="{D8AD0978-781B-4F20-9588-6F8DAAF9048A}"/>
    <cellStyle name="Calculation 2 16 2 12" xfId="9028" xr:uid="{A783E1C1-26CF-4E42-9CAA-C7B8E8E200E7}"/>
    <cellStyle name="Calculation 2 16 2 12 2" xfId="46260" xr:uid="{68ED47B4-4EBD-49D9-8A16-40CDC619D44F}"/>
    <cellStyle name="Calculation 2 16 2 13" xfId="43039" xr:uid="{C8E517ED-F406-4B16-BA7E-E31417C475DE}"/>
    <cellStyle name="Calculation 2 16 2 2" xfId="4283" xr:uid="{00000000-0005-0000-0000-000028000000}"/>
    <cellStyle name="Calculation 2 16 2 2 2" xfId="11187" xr:uid="{EB16619C-E47F-4AE8-8C6C-5E5DE22006F4}"/>
    <cellStyle name="Calculation 2 16 2 2 2 2" xfId="33673" xr:uid="{2A848BEE-7BD1-4794-806A-0B485ADAF989}"/>
    <cellStyle name="Calculation 2 16 2 2 2 3" xfId="42361" xr:uid="{8E6D9E64-F88F-428B-85AD-27C016D9E069}"/>
    <cellStyle name="Calculation 2 16 2 2 3" xfId="16248" xr:uid="{7EDE5AD8-9736-415F-9E73-0F4ACE0B7F94}"/>
    <cellStyle name="Calculation 2 16 2 2 3 2" xfId="38641" xr:uid="{0D39D559-1E17-4604-A58D-AF97585907EB}"/>
    <cellStyle name="Calculation 2 16 2 2 3 3" xfId="26103" xr:uid="{4D9975FA-E927-45AD-B161-DAFBABBAFB7C}"/>
    <cellStyle name="Calculation 2 16 2 2 4" xfId="19223" xr:uid="{C1D3B37A-7ECE-4324-BEE0-816329DAEDB2}"/>
    <cellStyle name="Calculation 2 16 2 2 4 2" xfId="45729" xr:uid="{589B21B1-7416-4A77-85AF-ED75499F4540}"/>
    <cellStyle name="Calculation 2 16 2 2 5" xfId="48682" xr:uid="{4F392B61-7A0D-4F6B-9AA9-368D90693240}"/>
    <cellStyle name="Calculation 2 16 2 3" xfId="5585" xr:uid="{00000000-0005-0000-0000-000028000000}"/>
    <cellStyle name="Calculation 2 16 2 3 2" xfId="12470" xr:uid="{0661DAE5-A674-4DA0-B488-280A274E5D22}"/>
    <cellStyle name="Calculation 2 16 2 3 2 2" xfId="34955" xr:uid="{B19ED6BB-8B03-4B8C-8B41-FA0287EE504D}"/>
    <cellStyle name="Calculation 2 16 2 3 2 3" xfId="36514" xr:uid="{976D252C-1401-4DCD-9926-B3F93EEF31FD}"/>
    <cellStyle name="Calculation 2 16 2 3 3" xfId="17522" xr:uid="{8A24B522-66F7-4E45-89F8-9B6ABE9B2AE6}"/>
    <cellStyle name="Calculation 2 16 2 3 3 2" xfId="39912" xr:uid="{37F81CBD-3A2A-4125-A02D-C1F736D6EDE1}"/>
    <cellStyle name="Calculation 2 16 2 3 3 3" xfId="38033" xr:uid="{BE82A4C6-07D6-46AD-8B91-271F5D445551}"/>
    <cellStyle name="Calculation 2 16 2 3 4" xfId="21946" xr:uid="{02589420-D801-4060-8AC1-9D7692955EC7}"/>
    <cellStyle name="Calculation 2 16 2 3 4 2" xfId="49933" xr:uid="{C9D9A1A3-9876-4975-A93A-E9B9DAD688F1}"/>
    <cellStyle name="Calculation 2 16 2 3 5" xfId="48774" xr:uid="{ED377300-B735-408F-BD1F-B1E54E83B982}"/>
    <cellStyle name="Calculation 2 16 2 4" xfId="6001" xr:uid="{00000000-0005-0000-0000-000028000000}"/>
    <cellStyle name="Calculation 2 16 2 4 2" xfId="12882" xr:uid="{12CCA16F-DD98-4159-A490-D2F24F221710}"/>
    <cellStyle name="Calculation 2 16 2 4 2 2" xfId="35366" xr:uid="{139CBAF4-D2C5-4351-947D-D695C0D2AC2E}"/>
    <cellStyle name="Calculation 2 16 2 4 2 3" xfId="45766" xr:uid="{55B836BC-34AF-4B29-B4AE-A40E0F530D4F}"/>
    <cellStyle name="Calculation 2 16 2 4 3" xfId="17938" xr:uid="{0D2D37CB-948E-4083-87DE-D6FCA3BE7B1C}"/>
    <cellStyle name="Calculation 2 16 2 4 3 2" xfId="40328" xr:uid="{6F7C0675-FF80-4EA2-89F5-C132E7DA0B5C}"/>
    <cellStyle name="Calculation 2 16 2 4 3 3" xfId="32816" xr:uid="{1A5E570A-9D02-4914-9F4A-2A95CBA1631B}"/>
    <cellStyle name="Calculation 2 16 2 4 4" xfId="22362" xr:uid="{6BC629C7-783B-4B35-800F-3671548A1070}"/>
    <cellStyle name="Calculation 2 16 2 4 4 2" xfId="51710" xr:uid="{B9B045F1-7046-4491-A34E-039D47A3DF8A}"/>
    <cellStyle name="Calculation 2 16 2 4 5" xfId="48902" xr:uid="{9C989C0F-C4DC-4C62-9CC6-96F9711E6CEB}"/>
    <cellStyle name="Calculation 2 16 2 5" xfId="6338" xr:uid="{00000000-0005-0000-0000-000028000000}"/>
    <cellStyle name="Calculation 2 16 2 5 2" xfId="13210" xr:uid="{ED1314E7-56ED-4D38-A0EC-7A961CA7519C}"/>
    <cellStyle name="Calculation 2 16 2 5 2 2" xfId="35694" xr:uid="{22CD6AD3-CA9F-494F-843C-ABAF8F8CDD59}"/>
    <cellStyle name="Calculation 2 16 2 5 2 3" xfId="54047" xr:uid="{1BCA9320-1BBA-4156-B547-61582ED61E3F}"/>
    <cellStyle name="Calculation 2 16 2 5 3" xfId="18275" xr:uid="{4CA7858F-3FC1-4FAC-B6C5-D736A50CB4EB}"/>
    <cellStyle name="Calculation 2 16 2 5 3 2" xfId="40665" xr:uid="{6217C790-1E74-42C4-BB90-A3866FB7CA01}"/>
    <cellStyle name="Calculation 2 16 2 5 3 3" xfId="32093" xr:uid="{FEF54478-7F5D-42FF-84DF-A03DBCDA6107}"/>
    <cellStyle name="Calculation 2 16 2 5 4" xfId="22699" xr:uid="{AD0478A3-3347-4254-8AF8-F652B2752F07}"/>
    <cellStyle name="Calculation 2 16 2 5 4 2" xfId="43953" xr:uid="{E651A1CC-9474-4548-904A-882D3FA96190}"/>
    <cellStyle name="Calculation 2 16 2 5 5" xfId="29789" xr:uid="{28729807-3A8D-4F7D-A5EC-B4F812CFAA15}"/>
    <cellStyle name="Calculation 2 16 2 6" xfId="6681" xr:uid="{00000000-0005-0000-0000-000028000000}"/>
    <cellStyle name="Calculation 2 16 2 6 2" xfId="13547" xr:uid="{BF0B5F65-A46E-4116-B4B5-8FA337FBBF47}"/>
    <cellStyle name="Calculation 2 16 2 6 2 2" xfId="36031" xr:uid="{04064591-A382-46D7-BABB-67C650DE66BB}"/>
    <cellStyle name="Calculation 2 16 2 6 2 3" xfId="46247" xr:uid="{C51F2542-AAED-4C52-A3B9-1852C665E67F}"/>
    <cellStyle name="Calculation 2 16 2 6 3" xfId="18618" xr:uid="{440F3369-FC9A-4475-8360-A2B7892951B1}"/>
    <cellStyle name="Calculation 2 16 2 6 3 2" xfId="41008" xr:uid="{D5756A6B-F4DA-4C17-A367-0A09DE94F61E}"/>
    <cellStyle name="Calculation 2 16 2 6 3 3" xfId="25324" xr:uid="{3A7352F0-9CC7-4AE5-8032-45EA43BDD18E}"/>
    <cellStyle name="Calculation 2 16 2 6 4" xfId="23042" xr:uid="{F564D9B8-9E6A-43DF-98FA-7004225C457A}"/>
    <cellStyle name="Calculation 2 16 2 6 4 2" xfId="53524" xr:uid="{82390AB5-DA3A-4444-B5B0-09C974365D98}"/>
    <cellStyle name="Calculation 2 16 2 6 5" xfId="28649" xr:uid="{CE8D39DB-16E9-4F7B-A554-90E21481E3FF}"/>
    <cellStyle name="Calculation 2 16 2 7" xfId="5047" xr:uid="{00000000-0005-0000-0000-000028000000}"/>
    <cellStyle name="Calculation 2 16 2 7 2" xfId="11941" xr:uid="{98858321-12EE-4C64-A101-9411364B9059}"/>
    <cellStyle name="Calculation 2 16 2 7 2 2" xfId="34427" xr:uid="{3ADA970A-336B-4C42-A66E-A76942DCDA28}"/>
    <cellStyle name="Calculation 2 16 2 7 2 3" xfId="24141" xr:uid="{38A93ACD-4A2B-40FF-B8BF-66F403A88667}"/>
    <cellStyle name="Calculation 2 16 2 7 3" xfId="16984" xr:uid="{700D7CA6-2D09-4971-A286-0D7B483A3745}"/>
    <cellStyle name="Calculation 2 16 2 7 3 2" xfId="39374" xr:uid="{2EEB9DA3-E40E-4C62-9E27-5E49C1470C93}"/>
    <cellStyle name="Calculation 2 16 2 7 3 3" xfId="29398" xr:uid="{8CA17485-7A75-4481-A273-411189EA6733}"/>
    <cellStyle name="Calculation 2 16 2 7 4" xfId="21408" xr:uid="{35E40480-A108-40DF-ADEC-54268B3EE6B4}"/>
    <cellStyle name="Calculation 2 16 2 7 4 2" xfId="47191" xr:uid="{DA8BABA8-EEC2-4CD2-9705-3F671FAFFF38}"/>
    <cellStyle name="Calculation 2 16 2 7 5" xfId="37482" xr:uid="{89B7EDDD-E2A3-499F-A409-23A9EE9F5ADB}"/>
    <cellStyle name="Calculation 2 16 2 8" xfId="7123" xr:uid="{00000000-0005-0000-0000-000028000000}"/>
    <cellStyle name="Calculation 2 16 2 8 2" xfId="13959" xr:uid="{B78702EB-BAF7-413D-9388-5A92931CE871}"/>
    <cellStyle name="Calculation 2 16 2 8 2 2" xfId="36443" xr:uid="{0AA59CB1-48BA-4C26-AAFB-EF7B5976D665}"/>
    <cellStyle name="Calculation 2 16 2 8 2 3" xfId="48373" xr:uid="{51FC70A1-1B6E-4C3F-8508-F4B085BB8D81}"/>
    <cellStyle name="Calculation 2 16 2 8 3" xfId="19060" xr:uid="{5B705564-44DF-4365-A0E1-224473041AE1}"/>
    <cellStyle name="Calculation 2 16 2 8 3 2" xfId="41450" xr:uid="{5CAE5E7D-692B-4808-85AD-82163D1DC936}"/>
    <cellStyle name="Calculation 2 16 2 8 3 3" xfId="38174" xr:uid="{20FEADD5-2ED0-4422-823E-9A87C977EC7E}"/>
    <cellStyle name="Calculation 2 16 2 8 4" xfId="23484" xr:uid="{4BB6E38C-6EA4-4735-A3B2-1B090F331890}"/>
    <cellStyle name="Calculation 2 16 2 8 4 2" xfId="47289" xr:uid="{366C8345-485C-4F5A-9C53-B2DB16943431}"/>
    <cellStyle name="Calculation 2 16 2 8 5" xfId="27839" xr:uid="{EDCCA88A-C222-4E8E-A5FB-4B2B794BFE22}"/>
    <cellStyle name="Calculation 2 16 2 9" xfId="7234" xr:uid="{00000000-0005-0000-0000-000028000000}"/>
    <cellStyle name="Calculation 2 16 2 9 2" xfId="19171" xr:uid="{B83AF5E0-3854-4687-A881-0C7941BF5639}"/>
    <cellStyle name="Calculation 2 16 2 9 2 2" xfId="41561" xr:uid="{F1E8EFB3-99C1-4DF4-9B16-1845D5E44F07}"/>
    <cellStyle name="Calculation 2 16 2 9 2 3" xfId="30834" xr:uid="{93830BDD-441C-4FC4-9568-2EB99636C293}"/>
    <cellStyle name="Calculation 2 16 2 9 3" xfId="23595" xr:uid="{535DD422-14D1-493F-8F34-988F296BF63F}"/>
    <cellStyle name="Calculation 2 16 2 9 3 2" xfId="54141" xr:uid="{1BB4B6F9-30AD-47D6-96AA-FC578F3D9F28}"/>
    <cellStyle name="Calculation 2 16 2 9 4" xfId="49285" xr:uid="{6BEA7B9A-589E-48C1-96E7-A638A0F3BA50}"/>
    <cellStyle name="Calculation 2 16 3" xfId="3564" xr:uid="{00000000-0005-0000-0000-000027000000}"/>
    <cellStyle name="Calculation 2 16 3 2" xfId="10470" xr:uid="{457FCA5F-96BF-4EEC-94DE-CB0F53EAE223}"/>
    <cellStyle name="Calculation 2 16 3 2 2" xfId="32957" xr:uid="{48A28FA3-EFC7-4B20-8FB0-C4A837916FBB}"/>
    <cellStyle name="Calculation 2 16 3 2 3" xfId="27729" xr:uid="{7C398782-CFAA-46A5-A6C8-FF960CF76470}"/>
    <cellStyle name="Calculation 2 16 3 3" xfId="15714" xr:uid="{CFB95332-7509-4B54-A8BF-F35B78521B46}"/>
    <cellStyle name="Calculation 2 16 3 3 2" xfId="38127" xr:uid="{EA5C14CB-03A2-4B8C-87E2-6232F013C5F5}"/>
    <cellStyle name="Calculation 2 16 3 3 3" xfId="36599" xr:uid="{0CAC67BA-5674-4C14-9A64-7EC839F714E3}"/>
    <cellStyle name="Calculation 2 16 3 4" xfId="19815" xr:uid="{840999E3-7C78-4272-ABB4-ABE6A28C2610}"/>
    <cellStyle name="Calculation 2 16 3 4 2" xfId="43010" xr:uid="{9A9DFAF7-3CF3-46E9-98E4-F315F754C9D9}"/>
    <cellStyle name="Calculation 2 16 3 5" xfId="43067" xr:uid="{764DF360-D1EF-4DF0-963E-871EB5FF9A0C}"/>
    <cellStyle name="Calculation 2 16 4" xfId="5065" xr:uid="{00000000-0005-0000-0000-000027000000}"/>
    <cellStyle name="Calculation 2 16 4 2" xfId="11958" xr:uid="{7CC0FCEF-B57D-491C-BC2C-78FD6BB4F3D2}"/>
    <cellStyle name="Calculation 2 16 4 2 2" xfId="34444" xr:uid="{9FD59A8E-0292-4825-B370-CF3070FFDB72}"/>
    <cellStyle name="Calculation 2 16 4 2 3" xfId="45463" xr:uid="{055883AA-94F4-4729-BF41-A56B33EAE230}"/>
    <cellStyle name="Calculation 2 16 4 3" xfId="17002" xr:uid="{91E26594-21D7-4142-AA4D-82C969098C3D}"/>
    <cellStyle name="Calculation 2 16 4 3 2" xfId="39392" xr:uid="{67384682-3E6B-42D2-BB97-8AB3D3B3800A}"/>
    <cellStyle name="Calculation 2 16 4 3 3" xfId="44827" xr:uid="{A8D0669D-82E8-4663-B15B-E049DC23FC18}"/>
    <cellStyle name="Calculation 2 16 4 4" xfId="21426" xr:uid="{C370D5EB-152F-4B25-A371-2F220B06A622}"/>
    <cellStyle name="Calculation 2 16 4 4 2" xfId="23690" xr:uid="{BFBD7C79-ACCD-4381-9B4E-698382978D88}"/>
    <cellStyle name="Calculation 2 16 4 5" xfId="48248" xr:uid="{49193597-C8F3-4537-9BD2-CAD6E6DCF561}"/>
    <cellStyle name="Calculation 2 16 5" xfId="2331" xr:uid="{00000000-0005-0000-0000-000027000000}"/>
    <cellStyle name="Calculation 2 16 5 2" xfId="9240" xr:uid="{33000E8A-EC5B-4B1A-A0EB-19CB7D10BC58}"/>
    <cellStyle name="Calculation 2 16 5 2 2" xfId="31815" xr:uid="{E9ABAF76-E563-4694-B12C-178B2F7AF1D9}"/>
    <cellStyle name="Calculation 2 16 5 2 3" xfId="48172" xr:uid="{C057A362-2264-4EC3-8802-5E5A11F6462E}"/>
    <cellStyle name="Calculation 2 16 5 3" xfId="14891" xr:uid="{3D9CAAF9-6B66-4B6D-9E2F-784E7E4F4A1E}"/>
    <cellStyle name="Calculation 2 16 5 3 2" xfId="37345" xr:uid="{2812C261-B774-4469-A799-DF652D1F3BBD}"/>
    <cellStyle name="Calculation 2 16 5 3 3" xfId="51906" xr:uid="{4D647C64-4434-48BA-8DB5-6D28A94CB00F}"/>
    <cellStyle name="Calculation 2 16 5 4" xfId="20163" xr:uid="{99CBC792-8B25-4FF3-99AF-F6166E1DF3BF}"/>
    <cellStyle name="Calculation 2 16 5 4 2" xfId="44725" xr:uid="{A8DF0070-5D39-490E-973A-800C5130C6B9}"/>
    <cellStyle name="Calculation 2 16 5 5" xfId="46937" xr:uid="{73A82585-F042-479D-B51A-72449DC4CE43}"/>
    <cellStyle name="Calculation 2 16 6" xfId="4127" xr:uid="{00000000-0005-0000-0000-000027000000}"/>
    <cellStyle name="Calculation 2 16 6 2" xfId="11031" xr:uid="{F248A71C-9327-4869-8D6D-4252F0D964D9}"/>
    <cellStyle name="Calculation 2 16 6 2 2" xfId="33517" xr:uid="{AF024FFB-7390-4AC4-ACFA-2877240DE500}"/>
    <cellStyle name="Calculation 2 16 6 2 3" xfId="46157" xr:uid="{86031905-C9E4-40DF-8952-E917BB3C113B}"/>
    <cellStyle name="Calculation 2 16 6 3" xfId="16131" xr:uid="{6CC1C47C-CA10-4E91-86A0-5AFE5B465F6B}"/>
    <cellStyle name="Calculation 2 16 6 3 2" xfId="38531" xr:uid="{9620354E-7C27-4FBE-B061-A50B34D9A04E}"/>
    <cellStyle name="Calculation 2 16 6 3 3" xfId="27708" xr:uid="{7574AC53-EDE7-4D26-B356-F842E675491B}"/>
    <cellStyle name="Calculation 2 16 6 4" xfId="20345" xr:uid="{8437022B-CBDB-4D8F-A581-1755E7B325F9}"/>
    <cellStyle name="Calculation 2 16 6 4 2" xfId="50567" xr:uid="{44FD31FD-C703-43A7-AC0B-584B9A8DCC33}"/>
    <cellStyle name="Calculation 2 16 6 5" xfId="30375" xr:uid="{E4659EEC-314A-4AAC-99D2-7E1D396C856B}"/>
    <cellStyle name="Calculation 2 16 7" xfId="2319" xr:uid="{00000000-0005-0000-0000-000027000000}"/>
    <cellStyle name="Calculation 2 16 7 2" xfId="9229" xr:uid="{8777D8F4-0934-4A0F-91EE-6AFE395F6919}"/>
    <cellStyle name="Calculation 2 16 7 2 2" xfId="31804" xr:uid="{71E0887E-CC38-4B21-9DCB-78C0F0A5BA86}"/>
    <cellStyle name="Calculation 2 16 7 2 3" xfId="44064" xr:uid="{AFD944FE-1C7D-42B4-A079-708F88DF8DB9}"/>
    <cellStyle name="Calculation 2 16 7 3" xfId="14881" xr:uid="{EAE480D9-03B6-4F1D-A9C0-B49A50BA0404}"/>
    <cellStyle name="Calculation 2 16 7 3 2" xfId="37335" xr:uid="{F3C89B55-C4FD-44DE-ACDA-E747E8577FC3}"/>
    <cellStyle name="Calculation 2 16 7 3 3" xfId="37412" xr:uid="{3478BA2F-F424-4937-9932-825AFD45E32C}"/>
    <cellStyle name="Calculation 2 16 7 4" xfId="19549" xr:uid="{22B0CDDC-50C2-471F-BB02-B76E03AAF0AF}"/>
    <cellStyle name="Calculation 2 16 7 4 2" xfId="28856" xr:uid="{1EFC37F3-1C4C-4C45-ACCA-F41D41E9C873}"/>
    <cellStyle name="Calculation 2 16 7 5" xfId="52388" xr:uid="{A72775E2-6F13-4FC6-90EC-BECD8ECCF908}"/>
    <cellStyle name="Calculation 2 16 8" xfId="14248" xr:uid="{5AC258C6-981A-4249-82F7-5A40DAD40276}"/>
    <cellStyle name="Calculation 2 16 8 2" xfId="36721" xr:uid="{A8598083-41AE-4DA7-B384-56DF0C968DFE}"/>
    <cellStyle name="Calculation 2 16 8 3" xfId="47898" xr:uid="{8AB31D77-EA67-4078-A1F6-F5610D4FA114}"/>
    <cellStyle name="Calculation 2 16 9" xfId="21044" xr:uid="{888A0A25-A15D-405F-9C18-4C8D725EFD98}"/>
    <cellStyle name="Calculation 2 16 9 2" xfId="43292" xr:uid="{EB92766F-7AD1-44BA-8052-DACA9A97FE74}"/>
    <cellStyle name="Calculation 2 16 9 3" xfId="53859" xr:uid="{7EFED3DA-DB32-475B-9198-FD0728C348A2}"/>
    <cellStyle name="Calculation 2 17" xfId="1520" xr:uid="{00000000-0005-0000-0000-000029000000}"/>
    <cellStyle name="Calculation 2 17 10" xfId="14284" xr:uid="{78B5204E-D8B5-4B66-8DF7-379A3C71C664}"/>
    <cellStyle name="Calculation 2 17 10 2" xfId="36753" xr:uid="{6B00DEF3-2D7A-4712-BF02-6DA38B01AB93}"/>
    <cellStyle name="Calculation 2 17 10 3" xfId="53501" xr:uid="{D625F15D-2354-4F0F-BBCA-34851177F996}"/>
    <cellStyle name="Calculation 2 17 11" xfId="19665" xr:uid="{A3B7684A-F751-4C65-AD6F-142B3C275567}"/>
    <cellStyle name="Calculation 2 17 11 2" xfId="42013" xr:uid="{CEAA965B-BEBA-4EBD-8338-5AC1752B2F6F}"/>
    <cellStyle name="Calculation 2 17 11 3" xfId="43602" xr:uid="{F6AD0BCA-FB43-4C38-A24B-D9FCFD829320}"/>
    <cellStyle name="Calculation 2 17 12" xfId="15762" xr:uid="{57426E7E-F3F6-419E-BF65-4BBC343DA81B}"/>
    <cellStyle name="Calculation 2 17 12 2" xfId="54061" xr:uid="{14E4499A-4364-46E6-B732-4F8D8C7F3267}"/>
    <cellStyle name="Calculation 2 17 13" xfId="25781" xr:uid="{B70AEC18-2B1D-4201-9053-BC708ECD31D4}"/>
    <cellStyle name="Calculation 2 17 2" xfId="3621" xr:uid="{00000000-0005-0000-0000-000029000000}"/>
    <cellStyle name="Calculation 2 17 2 2" xfId="10525" xr:uid="{061E44E6-1E89-42B5-A3C9-2C7A67C00F9A}"/>
    <cellStyle name="Calculation 2 17 2 2 2" xfId="33011" xr:uid="{AD30068E-09E7-4893-8D7D-3B91A1440C49}"/>
    <cellStyle name="Calculation 2 17 2 2 3" xfId="44431" xr:uid="{2A9D81CB-66FA-4A01-A507-D8043891E38E}"/>
    <cellStyle name="Calculation 2 17 2 3" xfId="15744" xr:uid="{DC9D6BBA-1D96-4D47-8EF0-2637B33DE0F1}"/>
    <cellStyle name="Calculation 2 17 2 3 2" xfId="38156" xr:uid="{CD3DFBE1-9248-46DD-A740-5C3198F31887}"/>
    <cellStyle name="Calculation 2 17 2 3 3" xfId="49938" xr:uid="{65E33EEE-3C3D-43EE-B232-594383BBC5E0}"/>
    <cellStyle name="Calculation 2 17 2 4" xfId="19994" xr:uid="{BED1453C-D502-473E-ADD5-9ACC9B82779C}"/>
    <cellStyle name="Calculation 2 17 2 4 2" xfId="44302" xr:uid="{46F1EB27-CEAE-4FE1-B1CF-10ADB0CCD7D0}"/>
    <cellStyle name="Calculation 2 17 2 5" xfId="32117" xr:uid="{8C5C5595-C9B4-49F0-9928-B2EC59D82F74}"/>
    <cellStyle name="Calculation 2 17 3" xfId="5103" xr:uid="{00000000-0005-0000-0000-000029000000}"/>
    <cellStyle name="Calculation 2 17 3 2" xfId="11996" xr:uid="{326E1BB6-9174-40F1-A6C9-8C93B2BF347A}"/>
    <cellStyle name="Calculation 2 17 3 2 2" xfId="34482" xr:uid="{42FC763E-BFFC-491D-BDE4-22FD2B644725}"/>
    <cellStyle name="Calculation 2 17 3 2 3" xfId="23836" xr:uid="{D8493FB6-EEA7-4EC3-AE28-E77F95B15215}"/>
    <cellStyle name="Calculation 2 17 3 3" xfId="17040" xr:uid="{1FB89351-701F-4E95-B119-0FAE49E2E0E5}"/>
    <cellStyle name="Calculation 2 17 3 3 2" xfId="39430" xr:uid="{2691CD48-0624-49BF-B9FE-A44F6F078F4C}"/>
    <cellStyle name="Calculation 2 17 3 3 3" xfId="24139" xr:uid="{A3A1C595-95DE-408F-A5C3-D42864609F99}"/>
    <cellStyle name="Calculation 2 17 3 4" xfId="21464" xr:uid="{6D2263B6-127B-40B9-AD3B-9606B3C3E659}"/>
    <cellStyle name="Calculation 2 17 3 4 2" xfId="29783" xr:uid="{C79EC82E-AD41-49BC-B577-08C68770B0FC}"/>
    <cellStyle name="Calculation 2 17 3 5" xfId="53494" xr:uid="{8530F128-12C8-4DAC-83E4-8E365EE71A77}"/>
    <cellStyle name="Calculation 2 17 4" xfId="4496" xr:uid="{00000000-0005-0000-0000-000029000000}"/>
    <cellStyle name="Calculation 2 17 4 2" xfId="11398" xr:uid="{0A43CCA2-63E8-45BC-BEBE-86490D4EC157}"/>
    <cellStyle name="Calculation 2 17 4 2 2" xfId="33884" xr:uid="{EC28CA42-6320-47AB-8F26-A04F9FA68289}"/>
    <cellStyle name="Calculation 2 17 4 2 3" xfId="42407" xr:uid="{7883D7AD-7867-4404-8AFA-C7D646880925}"/>
    <cellStyle name="Calculation 2 17 4 3" xfId="16433" xr:uid="{6FD7F193-0549-4D88-92F3-A2C82F6A8B10}"/>
    <cellStyle name="Calculation 2 17 4 3 2" xfId="38823" xr:uid="{8BF18E61-72CA-4913-A04B-4E1320CC6EFF}"/>
    <cellStyle name="Calculation 2 17 4 3 3" xfId="45598" xr:uid="{5ECDC761-12C1-4115-BCE1-02F6C5188922}"/>
    <cellStyle name="Calculation 2 17 4 4" xfId="20342" xr:uid="{6F505BEB-F67C-4D77-BE30-AD2A5B82ED94}"/>
    <cellStyle name="Calculation 2 17 4 4 2" xfId="47418" xr:uid="{FA16E53C-07B1-4302-82F1-A808370ABC24}"/>
    <cellStyle name="Calculation 2 17 4 5" xfId="45971" xr:uid="{881E9631-FA1C-4043-8981-C10E74548228}"/>
    <cellStyle name="Calculation 2 17 5" xfId="4383" xr:uid="{00000000-0005-0000-0000-000029000000}"/>
    <cellStyle name="Calculation 2 17 5 2" xfId="11285" xr:uid="{32C1365F-5C13-45C4-8229-EC47DA280054}"/>
    <cellStyle name="Calculation 2 17 5 2 2" xfId="33771" xr:uid="{1ADE776F-9AA7-4645-97A2-F2D115F91529}"/>
    <cellStyle name="Calculation 2 17 5 2 3" xfId="38609" xr:uid="{DB8AACA4-81FF-4278-B8AE-A018750D51FD}"/>
    <cellStyle name="Calculation 2 17 5 3" xfId="16320" xr:uid="{E1169D52-9B3D-4600-8A55-7E0A47D2A3D2}"/>
    <cellStyle name="Calculation 2 17 5 3 2" xfId="38710" xr:uid="{CC407DA0-D078-4FDA-BED3-3FCF74F9F723}"/>
    <cellStyle name="Calculation 2 17 5 3 3" xfId="25954" xr:uid="{851313C6-BFFE-42D9-91CD-94C2E69E4240}"/>
    <cellStyle name="Calculation 2 17 5 4" xfId="15741" xr:uid="{568F152C-08F0-418C-A753-C44F91D171F3}"/>
    <cellStyle name="Calculation 2 17 5 4 2" xfId="47448" xr:uid="{16FB7114-B820-4A43-BCA1-498979FA9AB2}"/>
    <cellStyle name="Calculation 2 17 5 5" xfId="53405" xr:uid="{7FA3AC20-DAA1-4AA4-851F-C278319105F0}"/>
    <cellStyle name="Calculation 2 17 6" xfId="5563" xr:uid="{00000000-0005-0000-0000-000029000000}"/>
    <cellStyle name="Calculation 2 17 6 2" xfId="12449" xr:uid="{E5DAE72F-60C6-4BAB-90AA-5636C7A169B5}"/>
    <cellStyle name="Calculation 2 17 6 2 2" xfId="34934" xr:uid="{0E34A839-EA8F-4D21-B3EA-7742972E60C4}"/>
    <cellStyle name="Calculation 2 17 6 2 3" xfId="29749" xr:uid="{2C90F0F9-EDF8-476C-A9DE-3322ED14035D}"/>
    <cellStyle name="Calculation 2 17 6 3" xfId="17500" xr:uid="{964C674E-756A-4D6F-8461-CE6CF9DE3F1A}"/>
    <cellStyle name="Calculation 2 17 6 3 2" xfId="39890" xr:uid="{EB6FC097-79A9-402D-A729-2B42757EB87C}"/>
    <cellStyle name="Calculation 2 17 6 3 3" xfId="43336" xr:uid="{E6DCEB1A-07DF-4F4E-993C-11DC506F6DE3}"/>
    <cellStyle name="Calculation 2 17 6 4" xfId="21924" xr:uid="{B0B6754C-DFBC-4B07-8FC4-EFE924DC1A04}"/>
    <cellStyle name="Calculation 2 17 6 4 2" xfId="26054" xr:uid="{C1F0B936-2F64-47D6-B271-0072A94A9B58}"/>
    <cellStyle name="Calculation 2 17 6 5" xfId="53851" xr:uid="{CA3F638A-3021-4BA8-A3A7-4E83CDCFABA3}"/>
    <cellStyle name="Calculation 2 17 7" xfId="5594" xr:uid="{00000000-0005-0000-0000-000029000000}"/>
    <cellStyle name="Calculation 2 17 7 2" xfId="12479" xr:uid="{4B92F744-270D-4E51-B03C-ABAC0CA8E0D8}"/>
    <cellStyle name="Calculation 2 17 7 2 2" xfId="34964" xr:uid="{427436E3-417E-43E3-9746-630A7DE1F039}"/>
    <cellStyle name="Calculation 2 17 7 2 3" xfId="27901" xr:uid="{66CD8C94-C314-40A0-B99B-16CDA7240E3D}"/>
    <cellStyle name="Calculation 2 17 7 3" xfId="17531" xr:uid="{E66550E4-3BBA-4FB3-9703-8044FCEBE32A}"/>
    <cellStyle name="Calculation 2 17 7 3 2" xfId="39921" xr:uid="{0C7343D9-A75B-4322-92FB-6298E851B6F4}"/>
    <cellStyle name="Calculation 2 17 7 3 3" xfId="27587" xr:uid="{83752444-9AFB-4629-A9EE-1181CB5B9136}"/>
    <cellStyle name="Calculation 2 17 7 4" xfId="21955" xr:uid="{2B99143C-E70F-419D-B1FE-56696EA529F5}"/>
    <cellStyle name="Calculation 2 17 7 4 2" xfId="48100" xr:uid="{434D2E58-8DAA-4C46-BD8D-A687FC0D5E6D}"/>
    <cellStyle name="Calculation 2 17 7 5" xfId="51094" xr:uid="{5497053B-4CED-4988-BC70-73E26E9B8E6A}"/>
    <cellStyle name="Calculation 2 17 8" xfId="5212" xr:uid="{00000000-0005-0000-0000-000029000000}"/>
    <cellStyle name="Calculation 2 17 8 2" xfId="12105" xr:uid="{8CE7E897-F5A1-4395-956D-ABB628DAFCE6}"/>
    <cellStyle name="Calculation 2 17 8 2 2" xfId="34590" xr:uid="{57EA9E3B-FDA1-431E-A8AB-2E724FF70331}"/>
    <cellStyle name="Calculation 2 17 8 2 3" xfId="26394" xr:uid="{0BB2E97E-C025-4037-9A9C-F0FFC87E47D5}"/>
    <cellStyle name="Calculation 2 17 8 3" xfId="17149" xr:uid="{F01FE775-ECCB-45D0-A4F0-A2FEDB39C245}"/>
    <cellStyle name="Calculation 2 17 8 3 2" xfId="39539" xr:uid="{0D814C27-8144-4E18-92B0-A00BFF61F9DB}"/>
    <cellStyle name="Calculation 2 17 8 3 3" xfId="25689" xr:uid="{9EB478AB-D884-49A6-9397-A5823D6F4F03}"/>
    <cellStyle name="Calculation 2 17 8 4" xfId="21573" xr:uid="{9B970857-EA49-440D-8E8F-0EBAE1A0643D}"/>
    <cellStyle name="Calculation 2 17 8 4 2" xfId="47621" xr:uid="{103C996C-59E4-4EBA-95E0-834D62A8CE8D}"/>
    <cellStyle name="Calculation 2 17 8 5" xfId="44486" xr:uid="{565B487F-485E-46AF-90F0-FDA14462C3B6}"/>
    <cellStyle name="Calculation 2 17 9" xfId="7029" xr:uid="{00000000-0005-0000-0000-000029000000}"/>
    <cellStyle name="Calculation 2 17 9 2" xfId="18966" xr:uid="{9D30E0A0-610B-4869-B17D-D10511D017B3}"/>
    <cellStyle name="Calculation 2 17 9 2 2" xfId="41356" xr:uid="{0E6B3DDF-2EB0-404E-B826-0CCB86C0A6A1}"/>
    <cellStyle name="Calculation 2 17 9 2 3" xfId="30689" xr:uid="{E37D741A-42E9-4EB7-A0EB-DF962ACD8014}"/>
    <cellStyle name="Calculation 2 17 9 3" xfId="23390" xr:uid="{CB2B6B27-6E40-47A5-8673-747FCB2373D6}"/>
    <cellStyle name="Calculation 2 17 9 3 2" xfId="51314" xr:uid="{AE2AF69F-C066-441C-A514-20268A960A0C}"/>
    <cellStyle name="Calculation 2 17 9 4" xfId="47759" xr:uid="{E5D469E3-5E19-4817-B11F-6BCBF50F6122}"/>
    <cellStyle name="Calculation 2 18" xfId="2291" xr:uid="{00000000-0005-0000-0000-00001A000000}"/>
    <cellStyle name="Calculation 2 18 2" xfId="9202" xr:uid="{5715D59B-197E-4689-BAF0-90F9A8AFCCF9}"/>
    <cellStyle name="Calculation 2 18 2 2" xfId="31777" xr:uid="{1D89BA15-18F6-43AF-9774-AA5CF34F7E42}"/>
    <cellStyle name="Calculation 2 18 2 3" xfId="37481" xr:uid="{898300DF-7AAB-4B20-A6D3-C6A2869318BD}"/>
    <cellStyle name="Calculation 2 18 3" xfId="14858" xr:uid="{DCCFC542-244E-4526-B5B0-4CB94D09B1D6}"/>
    <cellStyle name="Calculation 2 18 3 2" xfId="37312" xr:uid="{66908196-7E28-46D4-9B34-DC6FC45F256A}"/>
    <cellStyle name="Calculation 2 18 3 3" xfId="43860" xr:uid="{DEB28E6D-42D6-4143-92AF-CE733BFF1E23}"/>
    <cellStyle name="Calculation 2 18 4" xfId="19220" xr:uid="{A59D52D1-4BBE-4E45-8744-FB3C5C06F5B7}"/>
    <cellStyle name="Calculation 2 18 4 2" xfId="29190" xr:uid="{D1C7B3A7-DBC9-447A-BB9B-FC0E3AD3AFEF}"/>
    <cellStyle name="Calculation 2 18 5" xfId="50401" xr:uid="{BFEBEB1C-EA87-40BF-A776-0A619201EB79}"/>
    <cellStyle name="Calculation 2 19" xfId="2840" xr:uid="{00000000-0005-0000-0000-00001A000000}"/>
    <cellStyle name="Calculation 2 19 2" xfId="9749" xr:uid="{A4776A9C-6E7D-496C-A017-F6B876788BB8}"/>
    <cellStyle name="Calculation 2 19 2 2" xfId="32286" xr:uid="{7C6E603E-BFF7-4F70-9189-A54711819EAF}"/>
    <cellStyle name="Calculation 2 19 2 3" xfId="42443" xr:uid="{3492B7AD-CD6A-414F-BF9F-F1FCAB3F6160}"/>
    <cellStyle name="Calculation 2 19 3" xfId="15234" xr:uid="{895D92A5-CAA8-4AC3-9850-6B1EA595A7E3}"/>
    <cellStyle name="Calculation 2 19 3 2" xfId="37670" xr:uid="{A069CFA0-FA6A-42E2-9D18-EEBBA0253542}"/>
    <cellStyle name="Calculation 2 19 3 3" xfId="46776" xr:uid="{B7DC1254-FE35-4576-963C-DB343F630281}"/>
    <cellStyle name="Calculation 2 19 4" xfId="15393" xr:uid="{30B5ABCE-0E18-4A9A-A3AE-94D1D3B19BCE}"/>
    <cellStyle name="Calculation 2 19 4 2" xfId="53325" xr:uid="{E8265F01-A9A7-49E3-BF37-A15B6419975D}"/>
    <cellStyle name="Calculation 2 19 5" xfId="46609" xr:uid="{C1E5B8CA-D61F-46EC-95AE-950A8FDCCB55}"/>
    <cellStyle name="Calculation 2 2" xfId="417" xr:uid="{00000000-0005-0000-0000-00002A000000}"/>
    <cellStyle name="Calculation 2 2 10" xfId="5706" xr:uid="{00000000-0005-0000-0000-00002A000000}"/>
    <cellStyle name="Calculation 2 2 10 2" xfId="12590" xr:uid="{3DD62ABE-813A-469C-909B-6E850D8F3942}"/>
    <cellStyle name="Calculation 2 2 10 2 2" xfId="35075" xr:uid="{713B77F6-A8FC-416C-9EA3-55089757C2F2}"/>
    <cellStyle name="Calculation 2 2 10 2 3" xfId="28648" xr:uid="{1F08D27F-E2CD-4477-B8E1-2E9F8BB3CBAF}"/>
    <cellStyle name="Calculation 2 2 10 3" xfId="17643" xr:uid="{A133FBD9-8315-4D48-A977-CBCEFCDF5116}"/>
    <cellStyle name="Calculation 2 2 10 3 2" xfId="40033" xr:uid="{E4FFA0F2-7AFA-4457-A782-03250A1275B3}"/>
    <cellStyle name="Calculation 2 2 10 3 3" xfId="29751" xr:uid="{083F2D7A-F229-4A90-8418-463071DE4EF4}"/>
    <cellStyle name="Calculation 2 2 10 4" xfId="22067" xr:uid="{AEB41547-B182-4CBD-962F-9E55AC75E50B}"/>
    <cellStyle name="Calculation 2 2 10 4 2" xfId="46467" xr:uid="{0FA969FF-77DB-4AD2-83D9-56C561D2B702}"/>
    <cellStyle name="Calculation 2 2 10 5" xfId="25948" xr:uid="{DB28454E-6B39-4C36-A7D4-570C39BEFE9B}"/>
    <cellStyle name="Calculation 2 2 11" xfId="4478" xr:uid="{00000000-0005-0000-0000-00002A000000}"/>
    <cellStyle name="Calculation 2 2 11 2" xfId="11380" xr:uid="{9B4EEA7F-3937-4145-A8C7-5C83F62328EC}"/>
    <cellStyle name="Calculation 2 2 11 2 2" xfId="33866" xr:uid="{8E19367E-BC4E-440E-A4FC-2E7BC5D84FC9}"/>
    <cellStyle name="Calculation 2 2 11 2 3" xfId="32628" xr:uid="{3858BE4A-50AB-4F79-9742-DB5717B68926}"/>
    <cellStyle name="Calculation 2 2 11 3" xfId="16415" xr:uid="{84F60541-8837-4499-A0C4-58D667BBC128}"/>
    <cellStyle name="Calculation 2 2 11 3 2" xfId="38805" xr:uid="{7FA58A9D-CAFB-48A8-8126-39A58A55F42A}"/>
    <cellStyle name="Calculation 2 2 11 3 3" xfId="28134" xr:uid="{D3F1D775-50CA-47C8-995D-2E203C72F94B}"/>
    <cellStyle name="Calculation 2 2 11 4" xfId="20245" xr:uid="{6890B9DF-5C52-457A-9524-F0B681D8878A}"/>
    <cellStyle name="Calculation 2 2 11 4 2" xfId="26941" xr:uid="{E25DD9A3-9844-4296-B028-824455C0F3D0}"/>
    <cellStyle name="Calculation 2 2 11 5" xfId="43411" xr:uid="{10A3063B-C541-4AD6-80E7-C5EA5DF16670}"/>
    <cellStyle name="Calculation 2 2 12" xfId="5773" xr:uid="{00000000-0005-0000-0000-00002A000000}"/>
    <cellStyle name="Calculation 2 2 12 2" xfId="12656" xr:uid="{3F443400-BE73-46CB-BA1B-AE3AB5EF9856}"/>
    <cellStyle name="Calculation 2 2 12 2 2" xfId="35141" xr:uid="{531C487A-A4A2-4F68-8B6F-6C5F76A497D6}"/>
    <cellStyle name="Calculation 2 2 12 2 3" xfId="27868" xr:uid="{8FF47745-0F5C-4209-8615-C3A653C1E884}"/>
    <cellStyle name="Calculation 2 2 12 3" xfId="17710" xr:uid="{BD86D6EC-07BD-42CC-891D-10F54566714F}"/>
    <cellStyle name="Calculation 2 2 12 3 2" xfId="40100" xr:uid="{938C5F33-2330-4F3C-A940-E2860D86EC62}"/>
    <cellStyle name="Calculation 2 2 12 3 3" xfId="44633" xr:uid="{94812F87-91C3-45B8-BF9E-318146C3B5DF}"/>
    <cellStyle name="Calculation 2 2 12 4" xfId="22134" xr:uid="{D5BA64C6-E2B2-4BD3-B1C8-4783A033C094}"/>
    <cellStyle name="Calculation 2 2 12 4 2" xfId="48203" xr:uid="{3664E659-0B54-4136-900B-674E7157C631}"/>
    <cellStyle name="Calculation 2 2 12 5" xfId="48078" xr:uid="{EC67AB32-81E2-4595-9210-C9647C489AA2}"/>
    <cellStyle name="Calculation 2 2 13" xfId="8660" xr:uid="{655C9F56-9E6B-4A4E-A000-AB8D7E854C9C}"/>
    <cellStyle name="Calculation 2 2 13 2" xfId="31246" xr:uid="{D8C1A095-94B6-49A0-9EA8-5FDDADD865DC}"/>
    <cellStyle name="Calculation 2 2 13 3" xfId="53955" xr:uid="{96394E7A-D1CE-423E-AE4E-B62DB6D7D855}"/>
    <cellStyle name="Calculation 2 2 14" xfId="19914" xr:uid="{BA57A8FD-50D3-4E09-B42E-97D2CE57FAE4}"/>
    <cellStyle name="Calculation 2 2 14 2" xfId="42246" xr:uid="{F418AC4F-F98F-48E4-AD6E-FC6AF53148E9}"/>
    <cellStyle name="Calculation 2 2 14 3" xfId="28776" xr:uid="{3112FA48-3006-45D6-B5F7-B8E1E927431C}"/>
    <cellStyle name="Calculation 2 2 15" xfId="20449" xr:uid="{022D4415-57E5-48D9-B93C-F988F0C3C73E}"/>
    <cellStyle name="Calculation 2 2 15 2" xfId="43696" xr:uid="{EA86E693-2236-4A22-A9BF-55318C8C5FC8}"/>
    <cellStyle name="Calculation 2 2 16" xfId="27990" xr:uid="{196A2176-598B-41E3-9EA3-47EEF524A3EE}"/>
    <cellStyle name="Calculation 2 2 2" xfId="574" xr:uid="{00000000-0005-0000-0000-00002B000000}"/>
    <cellStyle name="Calculation 2 2 2 10" xfId="21271" xr:uid="{F01F614B-ABE6-4A58-8BA7-160764441E19}"/>
    <cellStyle name="Calculation 2 2 2 10 2" xfId="29313" xr:uid="{12D5D887-0D84-4B96-A72E-2B49F03A4994}"/>
    <cellStyle name="Calculation 2 2 2 11" xfId="46296" xr:uid="{70755CE8-2801-4A20-B959-38CF2245FEA0}"/>
    <cellStyle name="Calculation 2 2 2 2" xfId="1708" xr:uid="{00000000-0005-0000-0000-00002C000000}"/>
    <cellStyle name="Calculation 2 2 2 2 10" xfId="14409" xr:uid="{8B3B7211-ABD2-471F-9067-F70EB4C6E095}"/>
    <cellStyle name="Calculation 2 2 2 2 10 2" xfId="36875" xr:uid="{B481A0D5-9268-4BC9-8908-65F0BC6BC11D}"/>
    <cellStyle name="Calculation 2 2 2 2 10 3" xfId="28825" xr:uid="{91CB9803-7E4D-49C7-AF5D-26863A591E0E}"/>
    <cellStyle name="Calculation 2 2 2 2 11" xfId="20116" xr:uid="{7CA5DB78-03E8-439B-87E7-079DF8692D53}"/>
    <cellStyle name="Calculation 2 2 2 2 11 2" xfId="42431" xr:uid="{BEFC8208-4EEC-4BA9-963C-92A901B1422C}"/>
    <cellStyle name="Calculation 2 2 2 2 11 3" xfId="23605" xr:uid="{F2F96D7E-BACB-4E88-9C0A-8D51D765D195}"/>
    <cellStyle name="Calculation 2 2 2 2 12" xfId="19591" xr:uid="{85AFBE48-A72C-4483-BB5F-5732E87127AF}"/>
    <cellStyle name="Calculation 2 2 2 2 12 2" xfId="43737" xr:uid="{48811BEF-019C-4F5F-A129-C36C298708C1}"/>
    <cellStyle name="Calculation 2 2 2 2 13" xfId="42355" xr:uid="{4ED7F564-6AEF-429F-8933-5DEA34B7EE7D}"/>
    <cellStyle name="Calculation 2 2 2 2 2" xfId="3806" xr:uid="{00000000-0005-0000-0000-00002C000000}"/>
    <cellStyle name="Calculation 2 2 2 2 2 2" xfId="10710" xr:uid="{D60DCB40-53E6-423C-9813-55ED90FB2200}"/>
    <cellStyle name="Calculation 2 2 2 2 2 2 2" xfId="33196" xr:uid="{0EF8C647-D581-4E16-B253-93DA608E6249}"/>
    <cellStyle name="Calculation 2 2 2 2 2 2 3" xfId="52909" xr:uid="{EA39461B-D829-4D74-B385-B70D4F7890E9}"/>
    <cellStyle name="Calculation 2 2 2 2 2 3" xfId="15866" xr:uid="{BB9DF898-E372-44B7-9A25-87CB6111927E}"/>
    <cellStyle name="Calculation 2 2 2 2 2 3 2" xfId="38272" xr:uid="{2081DC3F-807F-48C4-8543-19D7458AE776}"/>
    <cellStyle name="Calculation 2 2 2 2 2 3 3" xfId="49327" xr:uid="{9E347560-0B79-4D14-AAF4-CC8DCF908E33}"/>
    <cellStyle name="Calculation 2 2 2 2 2 4" xfId="19793" xr:uid="{0F0E22DA-FDEB-4D61-8952-0EF8875EA2A0}"/>
    <cellStyle name="Calculation 2 2 2 2 2 4 2" xfId="45409" xr:uid="{F109481F-A7D4-479C-BEDE-41ED040FDA24}"/>
    <cellStyle name="Calculation 2 2 2 2 2 5" xfId="45050" xr:uid="{C5E4DFEB-460E-4232-AFF4-62D6301226FD}"/>
    <cellStyle name="Calculation 2 2 2 2 3" xfId="5222" xr:uid="{00000000-0005-0000-0000-00002C000000}"/>
    <cellStyle name="Calculation 2 2 2 2 3 2" xfId="12114" xr:uid="{682C528B-C66D-4746-9DFD-82839ADA761C}"/>
    <cellStyle name="Calculation 2 2 2 2 3 2 2" xfId="34599" xr:uid="{0BDF823D-7C92-43B7-A424-5726B43621ED}"/>
    <cellStyle name="Calculation 2 2 2 2 3 2 3" xfId="24479" xr:uid="{D419B83C-36B9-4180-A96C-9BD18D6AD93D}"/>
    <cellStyle name="Calculation 2 2 2 2 3 3" xfId="17159" xr:uid="{531E0C5F-4CD1-4C52-B52C-12F67611B022}"/>
    <cellStyle name="Calculation 2 2 2 2 3 3 2" xfId="39549" xr:uid="{BB7CC199-68E6-4DC0-9909-1AE9CEC3DC26}"/>
    <cellStyle name="Calculation 2 2 2 2 3 3 3" xfId="26624" xr:uid="{3493EAF7-F409-423F-9745-5184AA752AC6}"/>
    <cellStyle name="Calculation 2 2 2 2 3 4" xfId="21583" xr:uid="{6978A933-B04B-4829-80E1-9FE6450C9F2D}"/>
    <cellStyle name="Calculation 2 2 2 2 3 4 2" xfId="53355" xr:uid="{38D2A6FF-3E79-4446-8207-00D022EDCD09}"/>
    <cellStyle name="Calculation 2 2 2 2 3 5" xfId="44628" xr:uid="{C72CD516-80EA-4BB7-8F41-3135091EF2F9}"/>
    <cellStyle name="Calculation 2 2 2 2 4" xfId="5634" xr:uid="{00000000-0005-0000-0000-00002C000000}"/>
    <cellStyle name="Calculation 2 2 2 2 4 2" xfId="12518" xr:uid="{80A05761-51E3-4E35-BD99-4C3554E731E2}"/>
    <cellStyle name="Calculation 2 2 2 2 4 2 2" xfId="35003" xr:uid="{DB53C2AA-7DE3-4F94-91ED-C58E880F0115}"/>
    <cellStyle name="Calculation 2 2 2 2 4 2 3" xfId="43924" xr:uid="{EF7F1D4B-F951-4126-B6FF-555B53E7593F}"/>
    <cellStyle name="Calculation 2 2 2 2 4 3" xfId="17571" xr:uid="{2FB9EDA2-7D2D-4520-BE04-842B4A8FD4C6}"/>
    <cellStyle name="Calculation 2 2 2 2 4 3 2" xfId="39961" xr:uid="{47BD3AAA-E3C8-413B-9A7C-D0DCA5AB3600}"/>
    <cellStyle name="Calculation 2 2 2 2 4 3 3" xfId="36205" xr:uid="{2365CD2C-AFE7-4FF4-8702-387FBD8F073C}"/>
    <cellStyle name="Calculation 2 2 2 2 4 4" xfId="21995" xr:uid="{40801CB2-386A-4393-9557-B7A2010A5527}"/>
    <cellStyle name="Calculation 2 2 2 2 4 4 2" xfId="42830" xr:uid="{B790308F-B7DB-49EC-B992-6A8D107BC5C3}"/>
    <cellStyle name="Calculation 2 2 2 2 4 5" xfId="47127" xr:uid="{FF4D54BA-2915-4862-A55A-1C56C76DD9BE}"/>
    <cellStyle name="Calculation 2 2 2 2 5" xfId="2590" xr:uid="{00000000-0005-0000-0000-00002C000000}"/>
    <cellStyle name="Calculation 2 2 2 2 5 2" xfId="9499" xr:uid="{5D31D119-A45F-4D3F-BAAF-0856422E233C}"/>
    <cellStyle name="Calculation 2 2 2 2 5 2 2" xfId="32051" xr:uid="{114CB454-7381-4020-A64B-F6B11FBE3FD6}"/>
    <cellStyle name="Calculation 2 2 2 2 5 2 3" xfId="47206" xr:uid="{C731BD52-979B-45AD-8EE3-A64D5F8AA093}"/>
    <cellStyle name="Calculation 2 2 2 2 5 3" xfId="15068" xr:uid="{2090FFC0-FFAD-4EFE-8A47-15F6F27BDE76}"/>
    <cellStyle name="Calculation 2 2 2 2 5 3 2" xfId="37513" xr:uid="{022B0B1F-4FED-426F-A03B-D12497B7E0CD}"/>
    <cellStyle name="Calculation 2 2 2 2 5 3 3" xfId="52562" xr:uid="{13803FD4-F635-4AEF-830B-A0C5220A5DF0}"/>
    <cellStyle name="Calculation 2 2 2 2 5 4" xfId="15204" xr:uid="{BC0BBD4E-C3F6-499B-8B3D-A5BE56F33B11}"/>
    <cellStyle name="Calculation 2 2 2 2 5 4 2" xfId="43814" xr:uid="{35012A0F-FA9E-4B8E-8315-1C33C4ABEB8A}"/>
    <cellStyle name="Calculation 2 2 2 2 5 5" xfId="51407" xr:uid="{E2DB63C7-B485-49E2-9F9D-405AA7E6F21D}"/>
    <cellStyle name="Calculation 2 2 2 2 6" xfId="6373" xr:uid="{00000000-0005-0000-0000-00002C000000}"/>
    <cellStyle name="Calculation 2 2 2 2 6 2" xfId="13245" xr:uid="{0B5920EB-E466-4302-B1A8-C95628FD865A}"/>
    <cellStyle name="Calculation 2 2 2 2 6 2 2" xfId="35729" xr:uid="{85415212-DD63-4C11-BDC1-EDDEB52A5107}"/>
    <cellStyle name="Calculation 2 2 2 2 6 2 3" xfId="47823" xr:uid="{A121775B-524F-47D4-9B5B-1669C4BD610F}"/>
    <cellStyle name="Calculation 2 2 2 2 6 3" xfId="18310" xr:uid="{F8003200-3CED-4640-AF4B-7AE9CA8853E1}"/>
    <cellStyle name="Calculation 2 2 2 2 6 3 2" xfId="40700" xr:uid="{2E4334F3-5E79-4F69-ACD6-4DAEB8037481}"/>
    <cellStyle name="Calculation 2 2 2 2 6 3 3" xfId="44085" xr:uid="{D9BD1289-7B25-4E73-9965-52CEBED65B62}"/>
    <cellStyle name="Calculation 2 2 2 2 6 4" xfId="22734" xr:uid="{CFA39C93-97C9-4A47-8741-F0340AB6EAB4}"/>
    <cellStyle name="Calculation 2 2 2 2 6 4 2" xfId="50624" xr:uid="{1EFCE729-0132-4D1B-B642-F5A627BC2AF8}"/>
    <cellStyle name="Calculation 2 2 2 2 6 5" xfId="46366" xr:uid="{17FB497D-5CFE-4CEB-8810-4CEBE21FE84E}"/>
    <cellStyle name="Calculation 2 2 2 2 7" xfId="4557" xr:uid="{00000000-0005-0000-0000-00002C000000}"/>
    <cellStyle name="Calculation 2 2 2 2 7 2" xfId="11459" xr:uid="{CC76D298-8772-4281-8AA4-8BDF559C8649}"/>
    <cellStyle name="Calculation 2 2 2 2 7 2 2" xfId="33945" xr:uid="{7F2B7A28-D453-48C6-8B76-C887A4476289}"/>
    <cellStyle name="Calculation 2 2 2 2 7 2 3" xfId="43697" xr:uid="{1838EF54-4E2D-4A8A-BFF1-175F842AC527}"/>
    <cellStyle name="Calculation 2 2 2 2 7 3" xfId="16494" xr:uid="{2623A8AF-1B84-4550-AC07-1770B61BC35C}"/>
    <cellStyle name="Calculation 2 2 2 2 7 3 2" xfId="38884" xr:uid="{0410C2F4-F542-49A3-A216-FC84A7B8CEB8}"/>
    <cellStyle name="Calculation 2 2 2 2 7 3 3" xfId="29895" xr:uid="{555C41A7-6E16-49BA-BD32-25DDB503CE32}"/>
    <cellStyle name="Calculation 2 2 2 2 7 4" xfId="14998" xr:uid="{E105E170-AB5F-4702-B1A1-6DF5048E2532}"/>
    <cellStyle name="Calculation 2 2 2 2 7 4 2" xfId="46978" xr:uid="{C8085EEF-309E-4FB4-BE45-E8AB41AB0E7D}"/>
    <cellStyle name="Calculation 2 2 2 2 7 5" xfId="51598" xr:uid="{B6659EA3-E52C-4609-BB40-7A5B43F3F835}"/>
    <cellStyle name="Calculation 2 2 2 2 8" xfId="6890" xr:uid="{00000000-0005-0000-0000-00002C000000}"/>
    <cellStyle name="Calculation 2 2 2 2 8 2" xfId="13728" xr:uid="{78AB6803-9172-4405-BCC8-03967813690B}"/>
    <cellStyle name="Calculation 2 2 2 2 8 2 2" xfId="36212" xr:uid="{85720F5C-635A-44AC-9D98-50034F337D3B}"/>
    <cellStyle name="Calculation 2 2 2 2 8 2 3" xfId="46123" xr:uid="{692B38A1-6D61-4BE5-AE1D-E13BAFC90E8C}"/>
    <cellStyle name="Calculation 2 2 2 2 8 3" xfId="18827" xr:uid="{22C5D45E-A3CD-4FBE-A7EC-FFA478AB1F8F}"/>
    <cellStyle name="Calculation 2 2 2 2 8 3 2" xfId="41217" xr:uid="{DA404563-8F87-4534-848E-FA479BB8893E}"/>
    <cellStyle name="Calculation 2 2 2 2 8 3 3" xfId="27769" xr:uid="{747F1CE2-E2DD-40AF-BE20-A6F716671F8E}"/>
    <cellStyle name="Calculation 2 2 2 2 8 4" xfId="23251" xr:uid="{B9872DFD-410C-49A9-96C7-80A18ACC5DC5}"/>
    <cellStyle name="Calculation 2 2 2 2 8 4 2" xfId="50610" xr:uid="{363171E1-A181-4448-B30D-5FC4E7335ABA}"/>
    <cellStyle name="Calculation 2 2 2 2 8 5" xfId="51101" xr:uid="{FFAB56D1-1676-477A-9D10-31ABE36C3F6F}"/>
    <cellStyle name="Calculation 2 2 2 2 9" xfId="6849" xr:uid="{00000000-0005-0000-0000-00002C000000}"/>
    <cellStyle name="Calculation 2 2 2 2 9 2" xfId="18786" xr:uid="{55922783-B135-49CD-891A-D1902BDACCA1}"/>
    <cellStyle name="Calculation 2 2 2 2 9 2 2" xfId="41176" xr:uid="{CEF1C4C8-71E0-4DD5-A734-77E50094072F}"/>
    <cellStyle name="Calculation 2 2 2 2 9 2 3" xfId="26657" xr:uid="{3F99533C-8280-4FDF-B0B2-ACB3B99210D7}"/>
    <cellStyle name="Calculation 2 2 2 2 9 3" xfId="23210" xr:uid="{D4ED8F54-3DF4-483C-8C82-117388E2A536}"/>
    <cellStyle name="Calculation 2 2 2 2 9 3 2" xfId="27794" xr:uid="{D0061187-2B38-4400-A0D9-875C0DA85E9A}"/>
    <cellStyle name="Calculation 2 2 2 2 9 4" xfId="45772" xr:uid="{BFF9327A-9DCA-464F-A2FB-26C1EB9D0D37}"/>
    <cellStyle name="Calculation 2 2 2 3" xfId="2723" xr:uid="{00000000-0005-0000-0000-00002B000000}"/>
    <cellStyle name="Calculation 2 2 2 3 2" xfId="9632" xr:uid="{DD842A53-4C84-4676-829D-44DCA7E43FED}"/>
    <cellStyle name="Calculation 2 2 2 3 2 2" xfId="32180" xr:uid="{0183DCB6-96C0-4443-BCC1-F73CCEE02F96}"/>
    <cellStyle name="Calculation 2 2 2 3 2 3" xfId="50856" xr:uid="{6A5307D1-84A0-4091-81C4-19DE24C051D9}"/>
    <cellStyle name="Calculation 2 2 2 3 3" xfId="15150" xr:uid="{66A32CE1-D927-43B9-979A-AB7490922F0E}"/>
    <cellStyle name="Calculation 2 2 2 3 3 2" xfId="37590" xr:uid="{29780C50-7CA1-4541-8954-48579543A556}"/>
    <cellStyle name="Calculation 2 2 2 3 3 3" xfId="51327" xr:uid="{249950EF-BCE0-4731-84EB-9B7A4436A349}"/>
    <cellStyle name="Calculation 2 2 2 3 4" xfId="15766" xr:uid="{7D26B901-0560-46BE-8C9E-BC0BC2D3E38E}"/>
    <cellStyle name="Calculation 2 2 2 3 4 2" xfId="52601" xr:uid="{68C875DF-3B3A-4474-B7F3-BDCF4E588A68}"/>
    <cellStyle name="Calculation 2 2 2 3 5" xfId="48397" xr:uid="{0110E885-90B4-4630-8D69-409FB23A3871}"/>
    <cellStyle name="Calculation 2 2 2 4" xfId="4513" xr:uid="{00000000-0005-0000-0000-00002B000000}"/>
    <cellStyle name="Calculation 2 2 2 4 2" xfId="11415" xr:uid="{92EB67A6-E65A-4CD7-8B74-27EC7002B8ED}"/>
    <cellStyle name="Calculation 2 2 2 4 2 2" xfId="33901" xr:uid="{02C5E39A-EA1C-452D-AA09-2D5604547C87}"/>
    <cellStyle name="Calculation 2 2 2 4 2 3" xfId="38110" xr:uid="{40CF07C0-912A-40BB-A37D-A2A141DE85AB}"/>
    <cellStyle name="Calculation 2 2 2 4 3" xfId="16450" xr:uid="{90C46D67-1E8D-4508-84B4-5BA5EC4CF3AC}"/>
    <cellStyle name="Calculation 2 2 2 4 3 2" xfId="38840" xr:uid="{566C0776-85E0-4958-A9B0-A7CD0E3EE7AE}"/>
    <cellStyle name="Calculation 2 2 2 4 3 3" xfId="29016" xr:uid="{335421ED-6796-455E-A065-8688B820FE7F}"/>
    <cellStyle name="Calculation 2 2 2 4 4" xfId="16227" xr:uid="{13BEDFEE-4DE6-4565-B3D8-DC83E60C790D}"/>
    <cellStyle name="Calculation 2 2 2 4 4 2" xfId="42780" xr:uid="{88BDC4FC-60E3-411C-B52E-C4D7A6051813}"/>
    <cellStyle name="Calculation 2 2 2 4 5" xfId="51679" xr:uid="{D0C4B956-CA50-48C0-A060-5E22F1F39E79}"/>
    <cellStyle name="Calculation 2 2 2 5" xfId="4750" xr:uid="{00000000-0005-0000-0000-00002B000000}"/>
    <cellStyle name="Calculation 2 2 2 5 2" xfId="11648" xr:uid="{07981C8B-7EA4-4765-B748-C5FED1CBCA4A}"/>
    <cellStyle name="Calculation 2 2 2 5 2 2" xfId="34134" xr:uid="{6464B39F-5608-4111-8A2B-39271B90E564}"/>
    <cellStyle name="Calculation 2 2 2 5 2 3" xfId="26274" xr:uid="{8CAC88CB-92A7-44AA-B8D5-320889327222}"/>
    <cellStyle name="Calculation 2 2 2 5 3" xfId="16687" xr:uid="{64060D4C-2160-4455-9F20-85D0871A1090}"/>
    <cellStyle name="Calculation 2 2 2 5 3 2" xfId="39077" xr:uid="{F3ED5B44-1118-4125-970E-CA86A09E441A}"/>
    <cellStyle name="Calculation 2 2 2 5 3 3" xfId="45351" xr:uid="{00047B1E-E309-413D-82DD-805EB1829848}"/>
    <cellStyle name="Calculation 2 2 2 5 4" xfId="19821" xr:uid="{C350394F-0732-4CFD-9826-C5C1E2D9053D}"/>
    <cellStyle name="Calculation 2 2 2 5 4 2" xfId="43059" xr:uid="{0C525E02-24CD-4AC3-84F0-3AB99B4C5C4F}"/>
    <cellStyle name="Calculation 2 2 2 5 5" xfId="50300" xr:uid="{FE433355-F8C6-4255-BE28-D7AA79FDFD2A}"/>
    <cellStyle name="Calculation 2 2 2 6" xfId="6328" xr:uid="{00000000-0005-0000-0000-00002B000000}"/>
    <cellStyle name="Calculation 2 2 2 6 2" xfId="13200" xr:uid="{5CF533E6-04DC-4B55-913F-5742F2A30783}"/>
    <cellStyle name="Calculation 2 2 2 6 2 2" xfId="35684" xr:uid="{442D073B-1BE8-4852-9588-B4DFC338CA74}"/>
    <cellStyle name="Calculation 2 2 2 6 2 3" xfId="49714" xr:uid="{A4B45F63-8590-4F45-9795-ADB3E52BB478}"/>
    <cellStyle name="Calculation 2 2 2 6 3" xfId="18265" xr:uid="{857C0DFA-EBCF-43AA-BD6B-BCF09452E51F}"/>
    <cellStyle name="Calculation 2 2 2 6 3 2" xfId="40655" xr:uid="{AD144552-58F7-4A19-9EAE-DEC132112CE0}"/>
    <cellStyle name="Calculation 2 2 2 6 3 3" xfId="28801" xr:uid="{45C7A26D-2663-40CB-9309-327E6F4B395B}"/>
    <cellStyle name="Calculation 2 2 2 6 4" xfId="22689" xr:uid="{6017A5DD-8E1C-4563-9C0A-B9E470C2D7D8}"/>
    <cellStyle name="Calculation 2 2 2 6 4 2" xfId="52873" xr:uid="{15AB9655-BA00-4A7C-B511-5042CBEC1908}"/>
    <cellStyle name="Calculation 2 2 2 6 5" xfId="29192" xr:uid="{A518F536-3FDA-42A9-8B11-092DB6C8CC52}"/>
    <cellStyle name="Calculation 2 2 2 7" xfId="5071" xr:uid="{00000000-0005-0000-0000-00002B000000}"/>
    <cellStyle name="Calculation 2 2 2 7 2" xfId="11964" xr:uid="{DC7C9544-EEDC-4E83-BCB2-EEB15C715FBD}"/>
    <cellStyle name="Calculation 2 2 2 7 2 2" xfId="34450" xr:uid="{71F3AA41-98A0-40F0-92DB-BBE5B95517D3}"/>
    <cellStyle name="Calculation 2 2 2 7 2 3" xfId="32684" xr:uid="{D14C4D8B-418C-451B-82BF-52DB8ABBFC44}"/>
    <cellStyle name="Calculation 2 2 2 7 3" xfId="17008" xr:uid="{56DFAD64-2256-40AF-869B-789F44DC7496}"/>
    <cellStyle name="Calculation 2 2 2 7 3 2" xfId="39398" xr:uid="{547A8E1B-4597-4C4A-A49D-902A7915859A}"/>
    <cellStyle name="Calculation 2 2 2 7 3 3" xfId="24065" xr:uid="{6A5D76B5-3467-4DD0-82EA-1DB39A606691}"/>
    <cellStyle name="Calculation 2 2 2 7 4" xfId="21432" xr:uid="{42373E1F-77DC-4AF9-88A0-9D0324E71D7A}"/>
    <cellStyle name="Calculation 2 2 2 7 4 2" xfId="47522" xr:uid="{724D4854-3875-47F7-B0DA-91895A4FB83E}"/>
    <cellStyle name="Calculation 2 2 2 7 5" xfId="49673" xr:uid="{627466B1-72BC-4980-BEBF-DF26D0446B43}"/>
    <cellStyle name="Calculation 2 2 2 8" xfId="7541" xr:uid="{0B85537A-7505-461B-BBC6-627E27080424}"/>
    <cellStyle name="Calculation 2 2 2 8 2" xfId="30205" xr:uid="{9F5209AC-2C61-4F81-AA48-2FC897FDADCC}"/>
    <cellStyle name="Calculation 2 2 2 8 3" xfId="51249" xr:uid="{61482837-858C-4D4A-85F5-3783535DC1C8}"/>
    <cellStyle name="Calculation 2 2 2 9" xfId="20805" xr:uid="{F6A5AD01-F274-4336-843C-9796DD71BE39}"/>
    <cellStyle name="Calculation 2 2 2 9 2" xfId="43071" xr:uid="{E9616F5F-C484-4BE2-B874-4592083B5D20}"/>
    <cellStyle name="Calculation 2 2 2 9 3" xfId="51084" xr:uid="{9FC028BE-9BC5-42BD-BD8C-60695FEFC7C3}"/>
    <cellStyle name="Calculation 2 2 3" xfId="818" xr:uid="{00000000-0005-0000-0000-00002D000000}"/>
    <cellStyle name="Calculation 2 2 3 10" xfId="20628" xr:uid="{1ABA0AB9-B723-459E-97B4-87301376B4CC}"/>
    <cellStyle name="Calculation 2 2 3 10 2" xfId="26308" xr:uid="{95B7355C-27CE-4FF8-8448-1FEEC127D9E3}"/>
    <cellStyle name="Calculation 2 2 3 11" xfId="49774" xr:uid="{7B9BF32B-5FC8-4701-A92D-D9BB652912E8}"/>
    <cellStyle name="Calculation 2 2 3 2" xfId="1805" xr:uid="{00000000-0005-0000-0000-00002E000000}"/>
    <cellStyle name="Calculation 2 2 3 2 10" xfId="14489" xr:uid="{1D8A349D-16C8-4A9A-89DA-D0735D10CD64}"/>
    <cellStyle name="Calculation 2 2 3 2 10 2" xfId="36950" xr:uid="{1571368E-6389-46D3-BB8F-8A4493BE6AC8}"/>
    <cellStyle name="Calculation 2 2 3 2 10 3" xfId="53476" xr:uid="{291547A3-E90C-4C57-B9BB-E7EE3E63F3BA}"/>
    <cellStyle name="Calculation 2 2 3 2 11" xfId="20620" xr:uid="{802F9E08-5FF8-4D08-AC3A-3A7488440E27}"/>
    <cellStyle name="Calculation 2 2 3 2 11 2" xfId="42900" xr:uid="{3236C66B-9AE7-4141-895E-7A3FC83B162E}"/>
    <cellStyle name="Calculation 2 2 3 2 11 3" xfId="45966" xr:uid="{59C80480-C8B9-4C4D-AA75-443DFF547EF6}"/>
    <cellStyle name="Calculation 2 2 3 2 12" xfId="15627" xr:uid="{F637741B-02F8-4A4D-97E8-978704D1D701}"/>
    <cellStyle name="Calculation 2 2 3 2 12 2" xfId="49897" xr:uid="{6197BDA3-43F6-4548-B91C-B263B00796E9}"/>
    <cellStyle name="Calculation 2 2 3 2 13" xfId="54128" xr:uid="{9D2F8E29-EF55-4060-82DE-53421E6BDBDE}"/>
    <cellStyle name="Calculation 2 2 3 2 2" xfId="3903" xr:uid="{00000000-0005-0000-0000-00002E000000}"/>
    <cellStyle name="Calculation 2 2 3 2 2 2" xfId="10807" xr:uid="{6662F5B2-ED8B-485A-9F60-15DF21B608BF}"/>
    <cellStyle name="Calculation 2 2 3 2 2 2 2" xfId="33293" xr:uid="{AA2BF8FE-F40B-44B7-B619-3DB956E9A5E7}"/>
    <cellStyle name="Calculation 2 2 3 2 2 2 3" xfId="46181" xr:uid="{23A81D66-393C-4F4B-BBE7-C71236B33438}"/>
    <cellStyle name="Calculation 2 2 3 2 2 3" xfId="15945" xr:uid="{89A5F804-4553-43F1-B719-12C66167232A}"/>
    <cellStyle name="Calculation 2 2 3 2 2 3 2" xfId="38348" xr:uid="{23A8D8A2-9BAE-4AAA-9817-788D2218E679}"/>
    <cellStyle name="Calculation 2 2 3 2 2 3 3" xfId="47004" xr:uid="{296D7F0F-4A11-4B41-BCDF-7F7703CC51D8}"/>
    <cellStyle name="Calculation 2 2 3 2 2 4" xfId="19449" xr:uid="{50CB1E55-2685-4699-A968-C1A22019246B}"/>
    <cellStyle name="Calculation 2 2 3 2 2 4 2" xfId="44238" xr:uid="{3CF84053-49EB-4B0E-A048-580EB1F1636F}"/>
    <cellStyle name="Calculation 2 2 3 2 2 5" xfId="48553" xr:uid="{9174CD9E-4CEA-4E37-8259-5FB78D4880A7}"/>
    <cellStyle name="Calculation 2 2 3 2 3" xfId="5298" xr:uid="{00000000-0005-0000-0000-00002E000000}"/>
    <cellStyle name="Calculation 2 2 3 2 3 2" xfId="12190" xr:uid="{AD9F320E-DCC3-4A42-88AB-1BC49CBBBFD5}"/>
    <cellStyle name="Calculation 2 2 3 2 3 2 2" xfId="34675" xr:uid="{9CBC3DCE-9307-4046-AD02-B8CF399B4AF0}"/>
    <cellStyle name="Calculation 2 2 3 2 3 2 3" xfId="26410" xr:uid="{88940024-E7FE-4714-B8D5-5E4AD39A6318}"/>
    <cellStyle name="Calculation 2 2 3 2 3 3" xfId="17235" xr:uid="{B00A696E-957B-41EE-9305-5F7AC07EB442}"/>
    <cellStyle name="Calculation 2 2 3 2 3 3 2" xfId="39625" xr:uid="{935B807B-70F0-4809-83E9-2C48E55702F1}"/>
    <cellStyle name="Calculation 2 2 3 2 3 3 3" xfId="24724" xr:uid="{722433F8-0DE4-4CD9-A4B1-CC576A00E763}"/>
    <cellStyle name="Calculation 2 2 3 2 3 4" xfId="21659" xr:uid="{0F62FD17-65BA-4DD7-8DF0-DF0882CC150E}"/>
    <cellStyle name="Calculation 2 2 3 2 3 4 2" xfId="51947" xr:uid="{4C531714-0BE2-458A-8675-784C630DDDC1}"/>
    <cellStyle name="Calculation 2 2 3 2 3 5" xfId="28335" xr:uid="{3C8B2F64-AF0E-4806-9BCF-BCC71C640888}"/>
    <cellStyle name="Calculation 2 2 3 2 4" xfId="5709" xr:uid="{00000000-0005-0000-0000-00002E000000}"/>
    <cellStyle name="Calculation 2 2 3 2 4 2" xfId="12593" xr:uid="{E0F30FDC-B3BF-4A30-AED3-41E91A948146}"/>
    <cellStyle name="Calculation 2 2 3 2 4 2 2" xfId="35078" xr:uid="{8C658EC5-C6A7-4436-8F92-113B6E3EEA98}"/>
    <cellStyle name="Calculation 2 2 3 2 4 2 3" xfId="30597" xr:uid="{FD212AA1-4B03-414B-87DC-1CEA51F1194F}"/>
    <cellStyle name="Calculation 2 2 3 2 4 3" xfId="17646" xr:uid="{6531BA18-CF62-4490-9253-50EA72E747A9}"/>
    <cellStyle name="Calculation 2 2 3 2 4 3 2" xfId="40036" xr:uid="{2A1D4D80-E9C6-4625-9D32-BFBD2EE18FCB}"/>
    <cellStyle name="Calculation 2 2 3 2 4 3 3" xfId="41959" xr:uid="{F312BA3C-F9C2-4021-99E8-8F955CCAD327}"/>
    <cellStyle name="Calculation 2 2 3 2 4 4" xfId="22070" xr:uid="{FD3FACB3-1342-40DD-A7A9-7897E8B472F1}"/>
    <cellStyle name="Calculation 2 2 3 2 4 4 2" xfId="48954" xr:uid="{66DED0E5-DD42-472B-923E-F63B83FC77B4}"/>
    <cellStyle name="Calculation 2 2 3 2 4 5" xfId="49901" xr:uid="{4ECD1670-23EB-444B-B9AF-F5DD17F1D250}"/>
    <cellStyle name="Calculation 2 2 3 2 5" xfId="6063" xr:uid="{00000000-0005-0000-0000-00002E000000}"/>
    <cellStyle name="Calculation 2 2 3 2 5 2" xfId="12941" xr:uid="{5841B153-1F81-463E-9D98-DA3AC11356D4}"/>
    <cellStyle name="Calculation 2 2 3 2 5 2 2" xfId="35425" xr:uid="{468CCC9E-BE45-4697-A644-3BFA6A3DEA1A}"/>
    <cellStyle name="Calculation 2 2 3 2 5 2 3" xfId="45694" xr:uid="{74AF9EBE-59D1-4AC1-8092-370B461D8971}"/>
    <cellStyle name="Calculation 2 2 3 2 5 3" xfId="18000" xr:uid="{E075D787-C5E0-42DC-8638-954E529D4DC5}"/>
    <cellStyle name="Calculation 2 2 3 2 5 3 2" xfId="40390" xr:uid="{D0BF6524-7920-446C-A484-B49C03F661A3}"/>
    <cellStyle name="Calculation 2 2 3 2 5 3 3" xfId="45439" xr:uid="{85ACBA24-F5D9-48EE-B95A-99418AFB9391}"/>
    <cellStyle name="Calculation 2 2 3 2 5 4" xfId="22424" xr:uid="{4C2C03AA-725B-4461-8FB7-75FD79118EA7}"/>
    <cellStyle name="Calculation 2 2 3 2 5 4 2" xfId="48951" xr:uid="{30DC4E32-AB34-4635-9769-D024FCA6607A}"/>
    <cellStyle name="Calculation 2 2 3 2 5 5" xfId="52327" xr:uid="{10346FBF-EB59-4DDB-B617-6960DB50FBF0}"/>
    <cellStyle name="Calculation 2 2 3 2 6" xfId="6438" xr:uid="{00000000-0005-0000-0000-00002E000000}"/>
    <cellStyle name="Calculation 2 2 3 2 6 2" xfId="13308" xr:uid="{1304C5BE-B788-4925-8631-3CEA1F562453}"/>
    <cellStyle name="Calculation 2 2 3 2 6 2 2" xfId="35792" xr:uid="{37A872A6-BA1F-4E58-B225-4ADF10A8ECD4}"/>
    <cellStyle name="Calculation 2 2 3 2 6 2 3" xfId="28916" xr:uid="{4CCC1B81-0289-47D8-BD4D-8B8196F5CB65}"/>
    <cellStyle name="Calculation 2 2 3 2 6 3" xfId="18375" xr:uid="{D9343376-8EC3-4EE9-B72F-CBE851E7FCE8}"/>
    <cellStyle name="Calculation 2 2 3 2 6 3 2" xfId="40765" xr:uid="{1D12E68E-8E94-4B57-9E05-2E489C203C9F}"/>
    <cellStyle name="Calculation 2 2 3 2 6 3 3" xfId="25633" xr:uid="{2F3BD9C8-0BCE-4A89-9F96-B6C1EFCCF806}"/>
    <cellStyle name="Calculation 2 2 3 2 6 4" xfId="22799" xr:uid="{DAAB2F2B-ED3D-430C-BDFC-2FE49ED8754D}"/>
    <cellStyle name="Calculation 2 2 3 2 6 4 2" xfId="28944" xr:uid="{B1774BD0-0B20-4110-9F6D-E418DA917753}"/>
    <cellStyle name="Calculation 2 2 3 2 6 5" xfId="32339" xr:uid="{5DF92E20-95FB-4EB6-B4F3-FEEADB1F4825}"/>
    <cellStyle name="Calculation 2 2 3 2 7" xfId="6549" xr:uid="{00000000-0005-0000-0000-00002E000000}"/>
    <cellStyle name="Calculation 2 2 3 2 7 2" xfId="13417" xr:uid="{D8AA2A02-A958-4103-A23E-FBBBA8727EAF}"/>
    <cellStyle name="Calculation 2 2 3 2 7 2 2" xfId="35901" xr:uid="{1A968A01-9E9B-46C3-A548-A920CEC04503}"/>
    <cellStyle name="Calculation 2 2 3 2 7 2 3" xfId="48092" xr:uid="{9BC5C2B1-F705-413D-9DE3-56F06318A8FC}"/>
    <cellStyle name="Calculation 2 2 3 2 7 3" xfId="18486" xr:uid="{35A87555-8DBB-4113-AB5A-5AA630340324}"/>
    <cellStyle name="Calculation 2 2 3 2 7 3 2" xfId="40876" xr:uid="{E3FE412E-5FBE-453E-A9C3-551951A96A99}"/>
    <cellStyle name="Calculation 2 2 3 2 7 3 3" xfId="36929" xr:uid="{756775F0-BD98-4F35-8012-0B3F674AB3B7}"/>
    <cellStyle name="Calculation 2 2 3 2 7 4" xfId="22910" xr:uid="{5751B321-39F7-47B0-BE19-69E9E88A5EEF}"/>
    <cellStyle name="Calculation 2 2 3 2 7 4 2" xfId="45688" xr:uid="{C8D5F1E2-F8DD-424B-8821-47C38B17CDAA}"/>
    <cellStyle name="Calculation 2 2 3 2 7 5" xfId="47951" xr:uid="{CDB30D7B-F6D9-4B3A-A0C2-8B0BE09AEB4F}"/>
    <cellStyle name="Calculation 2 2 3 2 8" xfId="6938" xr:uid="{00000000-0005-0000-0000-00002E000000}"/>
    <cellStyle name="Calculation 2 2 3 2 8 2" xfId="13775" xr:uid="{341238AE-2D4B-4842-81DF-B0EBB3711727}"/>
    <cellStyle name="Calculation 2 2 3 2 8 2 2" xfId="36259" xr:uid="{792B41C4-0ABE-43D6-A894-B21033C50E18}"/>
    <cellStyle name="Calculation 2 2 3 2 8 2 3" xfId="48875" xr:uid="{905D56D5-3D28-4769-A290-7F96A8300349}"/>
    <cellStyle name="Calculation 2 2 3 2 8 3" xfId="18875" xr:uid="{7E867CE1-E7A1-4A5F-A61A-BB55FA19E5C6}"/>
    <cellStyle name="Calculation 2 2 3 2 8 3 2" xfId="41265" xr:uid="{BCD029EE-070E-473F-B60F-D945F4B02A8C}"/>
    <cellStyle name="Calculation 2 2 3 2 8 3 3" xfId="30455" xr:uid="{F8A08BD8-B431-4BB4-9DD4-ACDEA3AA044C}"/>
    <cellStyle name="Calculation 2 2 3 2 8 4" xfId="23299" xr:uid="{9F6B45B9-A095-4296-BFE4-06B6206B38C6}"/>
    <cellStyle name="Calculation 2 2 3 2 8 4 2" xfId="47608" xr:uid="{2DCA83EC-1DE0-41DA-8CDD-D68379F49342}"/>
    <cellStyle name="Calculation 2 2 3 2 8 5" xfId="49848" xr:uid="{F1991F0F-6D62-4F6D-8DFC-FF889FE5A2F2}"/>
    <cellStyle name="Calculation 2 2 3 2 9" xfId="6760" xr:uid="{00000000-0005-0000-0000-00002E000000}"/>
    <cellStyle name="Calculation 2 2 3 2 9 2" xfId="18697" xr:uid="{EEC2F497-6048-4002-A165-48B4B2D779B9}"/>
    <cellStyle name="Calculation 2 2 3 2 9 2 2" xfId="41087" xr:uid="{54AF34EB-A415-42C7-A459-30755A91E736}"/>
    <cellStyle name="Calculation 2 2 3 2 9 2 3" xfId="26331" xr:uid="{F5953FF0-B9AF-4234-9B98-9B5DE69D6CA3}"/>
    <cellStyle name="Calculation 2 2 3 2 9 3" xfId="23121" xr:uid="{96DA4744-C7B2-4ED4-81EF-B814A0A9F029}"/>
    <cellStyle name="Calculation 2 2 3 2 9 3 2" xfId="32328" xr:uid="{D4BDCF54-712B-45FC-BF7B-0A03AFC53794}"/>
    <cellStyle name="Calculation 2 2 3 2 9 4" xfId="27893" xr:uid="{6C9CF422-9AB8-41AE-9BAA-8F7E3BD48876}"/>
    <cellStyle name="Calculation 2 2 3 3" xfId="2954" xr:uid="{00000000-0005-0000-0000-00002D000000}"/>
    <cellStyle name="Calculation 2 2 3 3 2" xfId="9863" xr:uid="{06A7CAB0-CFEF-4784-A77D-AF2B3EAAB1A9}"/>
    <cellStyle name="Calculation 2 2 3 3 2 2" xfId="32386" xr:uid="{E0CDFD0F-A2EF-46F3-927B-0224ADC3A421}"/>
    <cellStyle name="Calculation 2 2 3 3 2 3" xfId="52328" xr:uid="{C116942E-55ED-4F98-8393-B284DED204D2}"/>
    <cellStyle name="Calculation 2 2 3 3 3" xfId="15302" xr:uid="{E1CDB0F6-084C-42A7-B867-83A41F14EBD2}"/>
    <cellStyle name="Calculation 2 2 3 3 3 2" xfId="37734" xr:uid="{9BDD02F9-50CB-4346-B682-544E40D341C2}"/>
    <cellStyle name="Calculation 2 2 3 3 3 3" xfId="46265" xr:uid="{F0D223A7-8DFD-440A-B0DA-BC1EC0B2129E}"/>
    <cellStyle name="Calculation 2 2 3 3 4" xfId="19537" xr:uid="{A2F462C9-07F8-4DBB-A1D5-E7F38EBBD6DE}"/>
    <cellStyle name="Calculation 2 2 3 3 4 2" xfId="29406" xr:uid="{2F7C3EFF-BD79-4459-A1D6-5D5A945B0E18}"/>
    <cellStyle name="Calculation 2 2 3 3 5" xfId="50321" xr:uid="{A19D3058-E510-47E0-8A84-62784A83698F}"/>
    <cellStyle name="Calculation 2 2 3 4" xfId="4662" xr:uid="{00000000-0005-0000-0000-00002D000000}"/>
    <cellStyle name="Calculation 2 2 3 4 2" xfId="11560" xr:uid="{023609BE-C78C-49D6-8111-1E164459457C}"/>
    <cellStyle name="Calculation 2 2 3 4 2 2" xfId="34046" xr:uid="{A4E6DB13-E098-444F-B401-585294A06647}"/>
    <cellStyle name="Calculation 2 2 3 4 2 3" xfId="32106" xr:uid="{6A645ACA-2B61-49BC-B33B-999DF8CEBA2A}"/>
    <cellStyle name="Calculation 2 2 3 4 3" xfId="16599" xr:uid="{F220D8B4-17A9-49EA-9144-C26E4000C864}"/>
    <cellStyle name="Calculation 2 2 3 4 3 2" xfId="38989" xr:uid="{08CCA2A5-5B05-42DA-93D7-3B2E7BDA6400}"/>
    <cellStyle name="Calculation 2 2 3 4 3 3" xfId="29774" xr:uid="{A41E8BE8-B090-4994-885D-96E94C2138E0}"/>
    <cellStyle name="Calculation 2 2 3 4 4" xfId="7255" xr:uid="{1F2F1190-64BB-444A-A2CB-F507BCE935A1}"/>
    <cellStyle name="Calculation 2 2 3 4 4 2" xfId="28417" xr:uid="{E63D8663-D8CA-430F-A33C-823A29AAC4B4}"/>
    <cellStyle name="Calculation 2 2 3 4 5" xfId="31947" xr:uid="{1D819E3A-513E-43EC-8B12-6FD0F8CBE886}"/>
    <cellStyle name="Calculation 2 2 3 5" xfId="4375" xr:uid="{00000000-0005-0000-0000-00002D000000}"/>
    <cellStyle name="Calculation 2 2 3 5 2" xfId="11277" xr:uid="{F3B887C3-547F-467C-B483-BE8F251AB16B}"/>
    <cellStyle name="Calculation 2 2 3 5 2 2" xfId="33763" xr:uid="{688F8612-C38D-4A92-BA93-F11558846FCE}"/>
    <cellStyle name="Calculation 2 2 3 5 2 3" xfId="25133" xr:uid="{1CCCD89E-038D-4B90-AC2C-BF134B8EAD59}"/>
    <cellStyle name="Calculation 2 2 3 5 3" xfId="16312" xr:uid="{0284046E-7AEF-45CC-9F75-5FC29EF6BF55}"/>
    <cellStyle name="Calculation 2 2 3 5 3 2" xfId="38702" xr:uid="{E4249510-9A45-4BED-A679-FD38A6F1B12F}"/>
    <cellStyle name="Calculation 2 2 3 5 3 3" xfId="30526" xr:uid="{3040DB8B-9A88-40AE-A66E-BA3AF6237552}"/>
    <cellStyle name="Calculation 2 2 3 5 4" xfId="14310" xr:uid="{06776C90-6320-4199-A881-5D78D75C70C3}"/>
    <cellStyle name="Calculation 2 2 3 5 4 2" xfId="46673" xr:uid="{B89EA891-BD38-471E-82D2-1FC518A776A6}"/>
    <cellStyle name="Calculation 2 2 3 5 5" xfId="49354" xr:uid="{832FA799-10BF-4455-8868-9C229E7F0971}"/>
    <cellStyle name="Calculation 2 2 3 6" xfId="5989" xr:uid="{00000000-0005-0000-0000-00002D000000}"/>
    <cellStyle name="Calculation 2 2 3 6 2" xfId="12870" xr:uid="{9EA61359-5094-4435-8117-0C60806EEC99}"/>
    <cellStyle name="Calculation 2 2 3 6 2 2" xfId="35354" xr:uid="{47056333-D2E8-4D22-A9BC-4F620541B904}"/>
    <cellStyle name="Calculation 2 2 3 6 2 3" xfId="47190" xr:uid="{04E54FB1-1326-4D29-AD60-4F0AA535801F}"/>
    <cellStyle name="Calculation 2 2 3 6 3" xfId="17926" xr:uid="{6EE43EBF-E010-4148-B6F0-F928AFD05136}"/>
    <cellStyle name="Calculation 2 2 3 6 3 2" xfId="40316" xr:uid="{45D60670-62FA-4BB2-BE9A-D133617A4FC8}"/>
    <cellStyle name="Calculation 2 2 3 6 3 3" xfId="23625" xr:uid="{6311A123-80CB-4D3C-AA36-203C11BE3D99}"/>
    <cellStyle name="Calculation 2 2 3 6 4" xfId="22350" xr:uid="{F0DB310B-0651-4A06-B918-A4C6782760F9}"/>
    <cellStyle name="Calculation 2 2 3 6 4 2" xfId="52589" xr:uid="{CA06F051-5E62-4C38-BDFD-93177D23B833}"/>
    <cellStyle name="Calculation 2 2 3 6 5" xfId="48238" xr:uid="{63660E86-FB2F-4FBE-9288-71A69B231435}"/>
    <cellStyle name="Calculation 2 2 3 7" xfId="4876" xr:uid="{00000000-0005-0000-0000-00002D000000}"/>
    <cellStyle name="Calculation 2 2 3 7 2" xfId="11771" xr:uid="{0E2E36C2-7473-45B4-898D-446774C044D4}"/>
    <cellStyle name="Calculation 2 2 3 7 2 2" xfId="34257" xr:uid="{8B5853DD-3EFE-4B90-B2F4-E8E92B8CA61B}"/>
    <cellStyle name="Calculation 2 2 3 7 2 3" xfId="29220" xr:uid="{8A48A0B2-1BD0-4861-8CA6-905A4E9A2CDF}"/>
    <cellStyle name="Calculation 2 2 3 7 3" xfId="16813" xr:uid="{0B5AE5F7-E495-4DD9-9DC5-11F7FD28D949}"/>
    <cellStyle name="Calculation 2 2 3 7 3 2" xfId="39203" xr:uid="{19236D6A-13C7-4A45-B304-6097D9E56288}"/>
    <cellStyle name="Calculation 2 2 3 7 3 3" xfId="30695" xr:uid="{7F56BE0C-992B-4786-A787-E3E2C5F55EF3}"/>
    <cellStyle name="Calculation 2 2 3 7 4" xfId="8132" xr:uid="{74C58DB2-04B7-4151-B088-1432CDD99703}"/>
    <cellStyle name="Calculation 2 2 3 7 4 2" xfId="49823" xr:uid="{CC0BF6E2-1E42-4381-90FC-F6269A0DEBFF}"/>
    <cellStyle name="Calculation 2 2 3 7 5" xfId="32242" xr:uid="{337005AA-5824-42B9-AC6E-1D8911BFCE8E}"/>
    <cellStyle name="Calculation 2 2 3 8" xfId="9023" xr:uid="{B871FDAB-5ADF-4CC6-AFBC-876B8573B499}"/>
    <cellStyle name="Calculation 2 2 3 8 2" xfId="31601" xr:uid="{C7AF821F-D24E-4E3A-80FA-1D458F1F5C2D}"/>
    <cellStyle name="Calculation 2 2 3 8 3" xfId="52418" xr:uid="{852BC991-7C35-4195-BD15-17240685D941}"/>
    <cellStyle name="Calculation 2 2 3 9" xfId="20539" xr:uid="{D93B5187-AC14-4C1B-B2BF-E8F0329C524B}"/>
    <cellStyle name="Calculation 2 2 3 9 2" xfId="42825" xr:uid="{309E56D8-A153-41A8-8E48-A1D772AD6109}"/>
    <cellStyle name="Calculation 2 2 3 9 3" xfId="48077" xr:uid="{36775E3D-E47C-4EB6-961B-705DF371BBA1}"/>
    <cellStyle name="Calculation 2 2 4" xfId="1004" xr:uid="{00000000-0005-0000-0000-00002F000000}"/>
    <cellStyle name="Calculation 2 2 4 10" xfId="19552" xr:uid="{59879BA4-CD7F-4E81-B47E-231E272B97AF}"/>
    <cellStyle name="Calculation 2 2 4 10 2" xfId="42429" xr:uid="{7E449D6F-3C51-464B-84C6-99889EFA6B9D}"/>
    <cellStyle name="Calculation 2 2 4 11" xfId="48484" xr:uid="{A46E5E45-11C5-4B5D-82CE-57293DD81D13}"/>
    <cellStyle name="Calculation 2 2 4 2" xfId="1894" xr:uid="{00000000-0005-0000-0000-000030000000}"/>
    <cellStyle name="Calculation 2 2 4 2 10" xfId="14565" xr:uid="{99934B96-F879-407A-8998-BBC407369EEA}"/>
    <cellStyle name="Calculation 2 2 4 2 10 2" xfId="37026" xr:uid="{0C682212-FBA7-4C5E-A0B6-3CDD8C4BD83D}"/>
    <cellStyle name="Calculation 2 2 4 2 10 3" xfId="25146" xr:uid="{773419C9-3EB3-4B7A-85AE-A58112D7EBFE}"/>
    <cellStyle name="Calculation 2 2 4 2 11" xfId="20495" xr:uid="{4B20B64C-883F-4A6C-BA4C-CB4DAB7083BA}"/>
    <cellStyle name="Calculation 2 2 4 2 11 2" xfId="42782" xr:uid="{6D582741-0766-46BE-9450-1D38F5B26E6C}"/>
    <cellStyle name="Calculation 2 2 4 2 11 3" xfId="49084" xr:uid="{B72541DE-696E-42D8-AF5F-2B8A90123EC0}"/>
    <cellStyle name="Calculation 2 2 4 2 12" xfId="20658" xr:uid="{5E6F3731-B899-494A-AFC3-8361779C8B3C}"/>
    <cellStyle name="Calculation 2 2 4 2 12 2" xfId="51831" xr:uid="{9CA85E13-FF01-424B-9C63-E70B04D8463A}"/>
    <cellStyle name="Calculation 2 2 4 2 13" xfId="47396" xr:uid="{0208941D-9CC3-4EFA-8369-A1EAA525F691}"/>
    <cellStyle name="Calculation 2 2 4 2 2" xfId="3992" xr:uid="{00000000-0005-0000-0000-000030000000}"/>
    <cellStyle name="Calculation 2 2 4 2 2 2" xfId="10896" xr:uid="{2F73A212-AD41-4140-8FE7-712DE6701A03}"/>
    <cellStyle name="Calculation 2 2 4 2 2 2 2" xfId="33382" xr:uid="{9B1AF695-61DB-4B1B-8A4B-717E3BCE90AF}"/>
    <cellStyle name="Calculation 2 2 4 2 2 2 3" xfId="49210" xr:uid="{8D69089E-7023-4CBE-AD82-674C43F4AEE5}"/>
    <cellStyle name="Calculation 2 2 4 2 2 3" xfId="16016" xr:uid="{3EBB99B4-26B6-4723-A968-2A925C3F18A8}"/>
    <cellStyle name="Calculation 2 2 4 2 2 3 2" xfId="38417" xr:uid="{04BB137F-B612-4BAB-A842-C363FF69B6E7}"/>
    <cellStyle name="Calculation 2 2 4 2 2 3 3" xfId="46802" xr:uid="{1E2C1B44-9C44-47D8-A312-2ECD7B446612}"/>
    <cellStyle name="Calculation 2 2 4 2 2 4" xfId="19339" xr:uid="{1AD1BAC3-3C82-4D2A-8AD9-1E28A5F6ACD3}"/>
    <cellStyle name="Calculation 2 2 4 2 2 4 2" xfId="32609" xr:uid="{0D63DBC1-D28A-44D2-BEB4-E4A1410CF085}"/>
    <cellStyle name="Calculation 2 2 4 2 2 5" xfId="51394" xr:uid="{CE91CC24-47FB-4C4F-8965-43493D71AFC6}"/>
    <cellStyle name="Calculation 2 2 4 2 3" xfId="5366" xr:uid="{00000000-0005-0000-0000-000030000000}"/>
    <cellStyle name="Calculation 2 2 4 2 3 2" xfId="12258" xr:uid="{AF7A5107-AB9B-498F-BE68-1B4587550265}"/>
    <cellStyle name="Calculation 2 2 4 2 3 2 2" xfId="34743" xr:uid="{0D4AD449-B7FB-48AD-AEF4-8000A5ECD634}"/>
    <cellStyle name="Calculation 2 2 4 2 3 2 3" xfId="23671" xr:uid="{5C1E5909-21F4-4D0D-9EE7-5E02BABC30CD}"/>
    <cellStyle name="Calculation 2 2 4 2 3 3" xfId="17303" xr:uid="{27F64216-FFB4-455E-95AA-ACA439F0AE18}"/>
    <cellStyle name="Calculation 2 2 4 2 3 3 2" xfId="39693" xr:uid="{E76B7223-54BA-4112-A0EE-3E6EFF87ADC5}"/>
    <cellStyle name="Calculation 2 2 4 2 3 3 3" xfId="37007" xr:uid="{16247577-D76C-41E3-BE9E-F1E358322E09}"/>
    <cellStyle name="Calculation 2 2 4 2 3 4" xfId="21727" xr:uid="{BC5D575F-47E8-447A-BC59-112EB57432B9}"/>
    <cellStyle name="Calculation 2 2 4 2 3 4 2" xfId="47331" xr:uid="{40EF344E-06D9-4386-958F-24B345DFD44A}"/>
    <cellStyle name="Calculation 2 2 4 2 3 5" xfId="23971" xr:uid="{141CCD8C-70D8-4779-B11C-92062D0D2BA1}"/>
    <cellStyle name="Calculation 2 2 4 2 4" xfId="5782" xr:uid="{00000000-0005-0000-0000-000030000000}"/>
    <cellStyle name="Calculation 2 2 4 2 4 2" xfId="12665" xr:uid="{3E8D6D6D-F2F1-4BE9-B9E9-AF4E6CC59135}"/>
    <cellStyle name="Calculation 2 2 4 2 4 2 2" xfId="35150" xr:uid="{3ECBB2AF-0204-48ED-A444-36517E9BFB18}"/>
    <cellStyle name="Calculation 2 2 4 2 4 2 3" xfId="24583" xr:uid="{DCDCA4B9-76D1-4CCD-BC71-DB4649D54666}"/>
    <cellStyle name="Calculation 2 2 4 2 4 3" xfId="17719" xr:uid="{50F42208-8FC5-4B55-8AA4-20B5B2F9807F}"/>
    <cellStyle name="Calculation 2 2 4 2 4 3 2" xfId="40109" xr:uid="{C84D3AF7-21F4-423B-BB02-6D818904AF38}"/>
    <cellStyle name="Calculation 2 2 4 2 4 3 3" xfId="27018" xr:uid="{EDBC7981-8C93-4D6B-AA09-232A1D4E7154}"/>
    <cellStyle name="Calculation 2 2 4 2 4 4" xfId="22143" xr:uid="{777BE35C-B353-4E91-8B55-D289071C1C62}"/>
    <cellStyle name="Calculation 2 2 4 2 4 4 2" xfId="49534" xr:uid="{F125BE3B-5A93-4732-8332-8262C6AF42AA}"/>
    <cellStyle name="Calculation 2 2 4 2 4 5" xfId="47487" xr:uid="{68DD4DF7-8323-46A9-8BD1-549C7646DE1B}"/>
    <cellStyle name="Calculation 2 2 4 2 5" xfId="6127" xr:uid="{00000000-0005-0000-0000-000030000000}"/>
    <cellStyle name="Calculation 2 2 4 2 5 2" xfId="13004" xr:uid="{C192B4D5-5539-468D-937C-FA61AF6BEA08}"/>
    <cellStyle name="Calculation 2 2 4 2 5 2 2" xfId="35488" xr:uid="{B6C260A3-37A4-40B6-A558-5B3F6BDCB694}"/>
    <cellStyle name="Calculation 2 2 4 2 5 2 3" xfId="48126" xr:uid="{037691E0-6442-4DFB-9908-9E971DB36F16}"/>
    <cellStyle name="Calculation 2 2 4 2 5 3" xfId="18064" xr:uid="{0E64C84F-DEE3-4203-A061-4527E7F2E7E7}"/>
    <cellStyle name="Calculation 2 2 4 2 5 3 2" xfId="40454" xr:uid="{1F4FCD48-1DD4-4394-955A-ABA5E66E42EA}"/>
    <cellStyle name="Calculation 2 2 4 2 5 3 3" xfId="29853" xr:uid="{D63E1C42-6BEE-497C-B061-F51090974AD1}"/>
    <cellStyle name="Calculation 2 2 4 2 5 4" xfId="22488" xr:uid="{2DF5C332-4664-4DC7-ACAD-8C1F37B30A83}"/>
    <cellStyle name="Calculation 2 2 4 2 5 4 2" xfId="48598" xr:uid="{11A6A202-BDC7-45A7-8D23-9E62AA6C2B78}"/>
    <cellStyle name="Calculation 2 2 4 2 5 5" xfId="51367" xr:uid="{A1561E80-7FBA-4264-9E62-0E7C64CF3F7B}"/>
    <cellStyle name="Calculation 2 2 4 2 6" xfId="6500" xr:uid="{00000000-0005-0000-0000-000030000000}"/>
    <cellStyle name="Calculation 2 2 4 2 6 2" xfId="13369" xr:uid="{0575CDF3-61CF-4EE8-874C-A5C69A5B25D4}"/>
    <cellStyle name="Calculation 2 2 4 2 6 2 2" xfId="35853" xr:uid="{9B16FC11-4F46-47FE-AF18-2544733F93F0}"/>
    <cellStyle name="Calculation 2 2 4 2 6 2 3" xfId="49274" xr:uid="{B3604390-96A1-47EF-A2EC-E425D67AAEB4}"/>
    <cellStyle name="Calculation 2 2 4 2 6 3" xfId="18437" xr:uid="{76D0039E-7205-4803-8415-8943E8F00DA9}"/>
    <cellStyle name="Calculation 2 2 4 2 6 3 2" xfId="40827" xr:uid="{A347CF1B-E4D4-43B2-9B05-5EEBBE151F84}"/>
    <cellStyle name="Calculation 2 2 4 2 6 3 3" xfId="41813" xr:uid="{ED89AE57-D48B-4912-A36D-449FA68F2416}"/>
    <cellStyle name="Calculation 2 2 4 2 6 4" xfId="22861" xr:uid="{E59AB04C-AF1C-4703-AFFF-DF4F6AC748D4}"/>
    <cellStyle name="Calculation 2 2 4 2 6 4 2" xfId="53678" xr:uid="{3405F866-299C-4D73-BB8E-DEE340F8E3EB}"/>
    <cellStyle name="Calculation 2 2 4 2 6 5" xfId="47886" xr:uid="{435B7C97-08CA-4532-8173-F06FAE1D8467}"/>
    <cellStyle name="Calculation 2 2 4 2 7" xfId="5491" xr:uid="{00000000-0005-0000-0000-000030000000}"/>
    <cellStyle name="Calculation 2 2 4 2 7 2" xfId="12380" xr:uid="{F87BF4E6-8C32-43B1-9778-8663F5AB6BC7}"/>
    <cellStyle name="Calculation 2 2 4 2 7 2 2" xfId="34865" xr:uid="{F6E753AD-BCDF-4928-A6CB-5F857516F727}"/>
    <cellStyle name="Calculation 2 2 4 2 7 2 3" xfId="37933" xr:uid="{123C3C89-8303-4017-BBBB-B0424F3456E2}"/>
    <cellStyle name="Calculation 2 2 4 2 7 3" xfId="17428" xr:uid="{DBEEB5C7-D4D9-43D7-A45F-12EC0B67497F}"/>
    <cellStyle name="Calculation 2 2 4 2 7 3 2" xfId="39818" xr:uid="{E1F81827-13DA-4FFD-BF30-3766A1E89A5D}"/>
    <cellStyle name="Calculation 2 2 4 2 7 3 3" xfId="44762" xr:uid="{7596DF2B-B685-4060-ABF3-6F4B13B8B67F}"/>
    <cellStyle name="Calculation 2 2 4 2 7 4" xfId="21852" xr:uid="{2A3883EA-B9BB-47CA-90E1-2295D52BF993}"/>
    <cellStyle name="Calculation 2 2 4 2 7 4 2" xfId="49896" xr:uid="{DF43944D-7599-45F1-A82A-64D7406707CB}"/>
    <cellStyle name="Calculation 2 2 4 2 7 5" xfId="51957" xr:uid="{C5DA0BBD-8BFD-42B6-950E-1683CD7D5C60}"/>
    <cellStyle name="Calculation 2 2 4 2 8" xfId="6984" xr:uid="{00000000-0005-0000-0000-000030000000}"/>
    <cellStyle name="Calculation 2 2 4 2 8 2" xfId="13821" xr:uid="{0FC2D510-B386-44BF-B5A4-9F650486F9A6}"/>
    <cellStyle name="Calculation 2 2 4 2 8 2 2" xfId="36305" xr:uid="{DAF58DF8-1028-40D0-ADAF-CD55DF0F1D6B}"/>
    <cellStyle name="Calculation 2 2 4 2 8 2 3" xfId="49860" xr:uid="{37451CD1-20F0-41EE-904F-3A7CE6655ADE}"/>
    <cellStyle name="Calculation 2 2 4 2 8 3" xfId="18921" xr:uid="{E032495F-5301-45FF-9FD4-35E508976E16}"/>
    <cellStyle name="Calculation 2 2 4 2 8 3 2" xfId="41311" xr:uid="{7C05527F-384A-44E8-83C3-6E712924387F}"/>
    <cellStyle name="Calculation 2 2 4 2 8 3 3" xfId="45198" xr:uid="{EBA09A29-38FE-4244-B4B6-74ABC55841EE}"/>
    <cellStyle name="Calculation 2 2 4 2 8 4" xfId="23345" xr:uid="{1AD4646C-57A6-4895-A10F-7D0A5CE06DE2}"/>
    <cellStyle name="Calculation 2 2 4 2 8 4 2" xfId="51628" xr:uid="{6F46D0E6-F75E-4C72-A905-27531183BB32}"/>
    <cellStyle name="Calculation 2 2 4 2 8 5" xfId="24810" xr:uid="{7CEA2F16-F48B-4E39-A8ED-F37B549A9D02}"/>
    <cellStyle name="Calculation 2 2 4 2 9" xfId="5576" xr:uid="{00000000-0005-0000-0000-000030000000}"/>
    <cellStyle name="Calculation 2 2 4 2 9 2" xfId="17513" xr:uid="{8DC20929-A711-4B72-AF80-D45214DFD475}"/>
    <cellStyle name="Calculation 2 2 4 2 9 2 2" xfId="39903" xr:uid="{6348D8F8-7984-4B92-82A3-51734CB68134}"/>
    <cellStyle name="Calculation 2 2 4 2 9 2 3" xfId="24048" xr:uid="{97EE4CEA-4371-42E6-9521-B6F9CDD2EE6D}"/>
    <cellStyle name="Calculation 2 2 4 2 9 3" xfId="21937" xr:uid="{4859424B-A606-4BE7-9CAD-2B6EC064098C}"/>
    <cellStyle name="Calculation 2 2 4 2 9 3 2" xfId="53374" xr:uid="{B6D2D270-8708-438E-9B26-9E2111F2BE40}"/>
    <cellStyle name="Calculation 2 2 4 2 9 4" xfId="46754" xr:uid="{2B52E171-DB77-43EF-BF73-0ADC1B5789DD}"/>
    <cellStyle name="Calculation 2 2 4 3" xfId="3131" xr:uid="{00000000-0005-0000-0000-00002F000000}"/>
    <cellStyle name="Calculation 2 2 4 3 2" xfId="10040" xr:uid="{A2B955A3-6CE0-430F-B17D-2CEF5788250C}"/>
    <cellStyle name="Calculation 2 2 4 3 2 2" xfId="32547" xr:uid="{9219E242-A0B7-4DA8-899C-B128C39C3915}"/>
    <cellStyle name="Calculation 2 2 4 3 2 3" xfId="50851" xr:uid="{C9480FE8-42A7-4DF8-B262-8E1DE84B983E}"/>
    <cellStyle name="Calculation 2 2 4 3 3" xfId="15418" xr:uid="{AA5896E6-8AFD-40DA-B8E3-464AF7301266}"/>
    <cellStyle name="Calculation 2 2 4 3 3 2" xfId="37844" xr:uid="{04D6B739-9CBC-4BA8-810A-6B998144A63F}"/>
    <cellStyle name="Calculation 2 2 4 3 3 3" xfId="47375" xr:uid="{105633E9-4FB5-43D9-A0F2-DEBCD997D8F4}"/>
    <cellStyle name="Calculation 2 2 4 3 4" xfId="19387" xr:uid="{620BB089-0FA9-4C4A-B73C-A9DE049B5B25}"/>
    <cellStyle name="Calculation 2 2 4 3 4 2" xfId="29131" xr:uid="{70D91756-93FF-4ECE-8567-AE4513E341C1}"/>
    <cellStyle name="Calculation 2 2 4 3 5" xfId="47417" xr:uid="{E69F1028-C3B8-4EFE-AE02-7682189E5BEC}"/>
    <cellStyle name="Calculation 2 2 4 4" xfId="4779" xr:uid="{00000000-0005-0000-0000-00002F000000}"/>
    <cellStyle name="Calculation 2 2 4 4 2" xfId="11676" xr:uid="{42F75244-8100-405F-8896-D72C2C61F960}"/>
    <cellStyle name="Calculation 2 2 4 4 2 2" xfId="34162" xr:uid="{BDC8ED81-0BD8-490A-B27C-6EFB9163D0B3}"/>
    <cellStyle name="Calculation 2 2 4 4 2 3" xfId="29605" xr:uid="{52D9E021-7E61-4488-8EB7-EE800E50DA10}"/>
    <cellStyle name="Calculation 2 2 4 4 3" xfId="16716" xr:uid="{9318FC06-5BC1-4625-8274-04E63CD87604}"/>
    <cellStyle name="Calculation 2 2 4 4 3 2" xfId="39106" xr:uid="{49862C13-3C0A-44FB-B21D-895ABC189999}"/>
    <cellStyle name="Calculation 2 2 4 4 3 3" xfId="24580" xr:uid="{794B8A7B-0B0A-4D78-8400-43B2B0008554}"/>
    <cellStyle name="Calculation 2 2 4 4 4" xfId="20070" xr:uid="{5E5D212C-893E-46C4-9E6E-C78C5E4E0ABD}"/>
    <cellStyle name="Calculation 2 2 4 4 4 2" xfId="26562" xr:uid="{5511DBC3-2B49-4C57-BEBD-3E3B8EF22DCB}"/>
    <cellStyle name="Calculation 2 2 4 4 5" xfId="47012" xr:uid="{590A0E69-CDAE-4704-AE06-5E8B4F22E85A}"/>
    <cellStyle name="Calculation 2 2 4 5" xfId="4736" xr:uid="{00000000-0005-0000-0000-00002F000000}"/>
    <cellStyle name="Calculation 2 2 4 5 2" xfId="11634" xr:uid="{CA8B51B8-B506-4DA0-B44D-390AD378660D}"/>
    <cellStyle name="Calculation 2 2 4 5 2 2" xfId="34120" xr:uid="{FA34DB10-53ED-4ED8-A7F1-C498A0FA418A}"/>
    <cellStyle name="Calculation 2 2 4 5 2 3" xfId="43580" xr:uid="{D9E947C5-C90A-4420-81D9-F665A8B445B5}"/>
    <cellStyle name="Calculation 2 2 4 5 3" xfId="16673" xr:uid="{38C4A4E2-4DFC-4FF4-BE2B-F90D75316C9A}"/>
    <cellStyle name="Calculation 2 2 4 5 3 2" xfId="39063" xr:uid="{13CBAD29-D615-4447-9204-6F8027F7266C}"/>
    <cellStyle name="Calculation 2 2 4 5 3 3" xfId="42213" xr:uid="{775B9434-A50C-44DD-B982-755C2B2BF51F}"/>
    <cellStyle name="Calculation 2 2 4 5 4" xfId="19361" xr:uid="{EB2B8651-9BF9-40B8-BE32-19AA0CBE59D7}"/>
    <cellStyle name="Calculation 2 2 4 5 4 2" xfId="27762" xr:uid="{6ACB6993-E4E9-404E-8840-4B92F69FC4FA}"/>
    <cellStyle name="Calculation 2 2 4 5 5" xfId="47475" xr:uid="{CFD256CB-A776-4F04-8DFB-2F2F63DBC48E}"/>
    <cellStyle name="Calculation 2 2 4 6" xfId="5767" xr:uid="{00000000-0005-0000-0000-00002F000000}"/>
    <cellStyle name="Calculation 2 2 4 6 2" xfId="12650" xr:uid="{1EEA8A27-FE65-4418-9AA7-BF51FFC666A2}"/>
    <cellStyle name="Calculation 2 2 4 6 2 2" xfId="35135" xr:uid="{E6F55BE2-6848-4ACA-865F-A06605EA77CE}"/>
    <cellStyle name="Calculation 2 2 4 6 2 3" xfId="44895" xr:uid="{7A7E474D-2A69-4213-96FE-60EBE043D8CC}"/>
    <cellStyle name="Calculation 2 2 4 6 3" xfId="17704" xr:uid="{6F251EDC-AA90-4020-8925-3B40AD5FA01B}"/>
    <cellStyle name="Calculation 2 2 4 6 3 2" xfId="40094" xr:uid="{72C199A6-1278-4CE2-9467-A2D0565A23B4}"/>
    <cellStyle name="Calculation 2 2 4 6 3 3" xfId="29326" xr:uid="{3C6F7E2A-3CA6-46A0-8EC0-793A0FC529C9}"/>
    <cellStyle name="Calculation 2 2 4 6 4" xfId="22128" xr:uid="{BD5685AA-2FC2-4F83-BBB0-1BA23836B3C4}"/>
    <cellStyle name="Calculation 2 2 4 6 4 2" xfId="45771" xr:uid="{214B3275-7DBE-4D61-B7FF-F4669A60B92F}"/>
    <cellStyle name="Calculation 2 2 4 6 5" xfId="52330" xr:uid="{DEB22D12-A99E-4FD6-8E5E-C352B727D333}"/>
    <cellStyle name="Calculation 2 2 4 7" xfId="6830" xr:uid="{00000000-0005-0000-0000-00002F000000}"/>
    <cellStyle name="Calculation 2 2 4 7 2" xfId="13675" xr:uid="{CDFF0159-D30A-4489-AA44-78462012A402}"/>
    <cellStyle name="Calculation 2 2 4 7 2 2" xfId="36159" xr:uid="{8DD56524-C171-4C5F-A303-8D62544BDA30}"/>
    <cellStyle name="Calculation 2 2 4 7 2 3" xfId="49119" xr:uid="{8CBCB7FD-C376-4089-BD2D-75C2C65C82D2}"/>
    <cellStyle name="Calculation 2 2 4 7 3" xfId="18767" xr:uid="{EF59A076-1AA8-4D83-9B64-05F441F7C4A8}"/>
    <cellStyle name="Calculation 2 2 4 7 3 2" xfId="41157" xr:uid="{CF0216CF-003D-4C5B-8C32-81E84000BF7F}"/>
    <cellStyle name="Calculation 2 2 4 7 3 3" xfId="29407" xr:uid="{FC235916-CCBE-421E-88C2-2DB72FF41AD9}"/>
    <cellStyle name="Calculation 2 2 4 7 4" xfId="23191" xr:uid="{386D5DE2-3B5E-4C02-824F-1E85BBA9C119}"/>
    <cellStyle name="Calculation 2 2 4 7 4 2" xfId="53530" xr:uid="{D638CB30-4EBE-446A-96BD-A28267535A1B}"/>
    <cellStyle name="Calculation 2 2 4 7 5" xfId="44517" xr:uid="{155C5211-4FBE-43CE-940C-80DFDEDF3BB8}"/>
    <cellStyle name="Calculation 2 2 4 8" xfId="13983" xr:uid="{A7D587F6-EE64-443D-BCB3-765DA92AB656}"/>
    <cellStyle name="Calculation 2 2 4 8 2" xfId="36467" xr:uid="{2BE83967-D314-424D-8BD4-814966396599}"/>
    <cellStyle name="Calculation 2 2 4 8 3" xfId="45917" xr:uid="{193F1C60-5AF3-4148-B6DC-783F40D3C4B2}"/>
    <cellStyle name="Calculation 2 2 4 9" xfId="21037" xr:uid="{6A84E95E-D8F3-4CAC-954B-81CBF07C2504}"/>
    <cellStyle name="Calculation 2 2 4 9 2" xfId="43286" xr:uid="{1052BA62-893C-4FBE-98CC-39FC4D29C123}"/>
    <cellStyle name="Calculation 2 2 4 9 3" xfId="54134" xr:uid="{D5E8F213-55C9-48C1-8B86-17EC5E2ED374}"/>
    <cellStyle name="Calculation 2 2 5" xfId="1188" xr:uid="{00000000-0005-0000-0000-000031000000}"/>
    <cellStyle name="Calculation 2 2 5 10" xfId="20282" xr:uid="{47BBB599-E530-4AD7-9D7A-4A438B77E676}"/>
    <cellStyle name="Calculation 2 2 5 10 2" xfId="43576" xr:uid="{CD0107AF-9363-49CB-A351-7D66189E4B85}"/>
    <cellStyle name="Calculation 2 2 5 11" xfId="49924" xr:uid="{3F03B2FF-2F72-4DE1-91D9-0AE07CB43B63}"/>
    <cellStyle name="Calculation 2 2 5 2" xfId="1989" xr:uid="{00000000-0005-0000-0000-000032000000}"/>
    <cellStyle name="Calculation 2 2 5 2 10" xfId="14638" xr:uid="{2B0D117F-9A84-4B50-BB32-9ADB01186956}"/>
    <cellStyle name="Calculation 2 2 5 2 10 2" xfId="37098" xr:uid="{BA4DC02E-A63E-4D63-AA4A-EE1DBCDF0EEC}"/>
    <cellStyle name="Calculation 2 2 5 2 10 3" xfId="53495" xr:uid="{1F6A29DC-8051-440C-A130-401D6613166A}"/>
    <cellStyle name="Calculation 2 2 5 2 11" xfId="7262" xr:uid="{C5E99835-3BBB-4987-9A05-AFBAF18136EE}"/>
    <cellStyle name="Calculation 2 2 5 2 11 2" xfId="29951" xr:uid="{AECAEEB5-5AD6-4F76-B2F3-84F27C61AB18}"/>
    <cellStyle name="Calculation 2 2 5 2 11 3" xfId="51767" xr:uid="{5AF7B692-925A-4016-9D02-E984396E5B38}"/>
    <cellStyle name="Calculation 2 2 5 2 12" xfId="13569" xr:uid="{F70E309A-F782-440D-8AA3-916DA1D30192}"/>
    <cellStyle name="Calculation 2 2 5 2 12 2" xfId="49504" xr:uid="{E9B766E2-08CC-44A4-A850-18511EA9C6D9}"/>
    <cellStyle name="Calculation 2 2 5 2 13" xfId="51612" xr:uid="{1A2B9C63-AE28-4F43-A215-6D25CC4299DB}"/>
    <cellStyle name="Calculation 2 2 5 2 2" xfId="4085" xr:uid="{00000000-0005-0000-0000-000032000000}"/>
    <cellStyle name="Calculation 2 2 5 2 2 2" xfId="10989" xr:uid="{C2D39898-69A1-4E6D-81EC-7411700022EC}"/>
    <cellStyle name="Calculation 2 2 5 2 2 2 2" xfId="33475" xr:uid="{0478EAC9-AA24-4B82-9413-12F0FA508EEF}"/>
    <cellStyle name="Calculation 2 2 5 2 2 2 3" xfId="53665" xr:uid="{01EA68C7-D59D-4AF3-B644-476986C237C0}"/>
    <cellStyle name="Calculation 2 2 5 2 2 3" xfId="16089" xr:uid="{3BC1BCE9-668A-4202-8FF0-6FF854CDFD5F}"/>
    <cellStyle name="Calculation 2 2 5 2 2 3 2" xfId="38489" xr:uid="{9E669C06-DA48-43AD-A5D3-0502829972F1}"/>
    <cellStyle name="Calculation 2 2 5 2 2 3 3" xfId="47132" xr:uid="{E3C1889C-1457-49FC-95A1-D0F07F168F6B}"/>
    <cellStyle name="Calculation 2 2 5 2 2 4" xfId="7344" xr:uid="{29C68479-D7C0-40FE-B384-B0556269510B}"/>
    <cellStyle name="Calculation 2 2 5 2 2 4 2" xfId="49213" xr:uid="{E565AEC5-17A5-4B09-B203-0C0CA764E4DF}"/>
    <cellStyle name="Calculation 2 2 5 2 2 5" xfId="45545" xr:uid="{7699E685-4476-4C04-AD47-76FD646AB486}"/>
    <cellStyle name="Calculation 2 2 5 2 3" xfId="5430" xr:uid="{00000000-0005-0000-0000-000032000000}"/>
    <cellStyle name="Calculation 2 2 5 2 3 2" xfId="12320" xr:uid="{8C589AB1-A252-42B6-B0BF-4A379AB37329}"/>
    <cellStyle name="Calculation 2 2 5 2 3 2 2" xfId="34805" xr:uid="{15874513-2612-4024-8962-12FAA94F18A6}"/>
    <cellStyle name="Calculation 2 2 5 2 3 2 3" xfId="45514" xr:uid="{20C0DD75-F9F6-4681-9D85-D574D4AF5B22}"/>
    <cellStyle name="Calculation 2 2 5 2 3 3" xfId="17367" xr:uid="{B6ACA8A6-4BA2-4D93-9E6C-E88F51C710E0}"/>
    <cellStyle name="Calculation 2 2 5 2 3 3 2" xfId="39757" xr:uid="{153675D0-7316-491D-9840-A8FD27939CBC}"/>
    <cellStyle name="Calculation 2 2 5 2 3 3 3" xfId="24475" xr:uid="{E6A5B625-2173-477E-9672-FC36C0E079DE}"/>
    <cellStyle name="Calculation 2 2 5 2 3 4" xfId="21791" xr:uid="{80D696BC-A691-43D9-A811-897E3719E811}"/>
    <cellStyle name="Calculation 2 2 5 2 3 4 2" xfId="25381" xr:uid="{D3DD730E-6D36-4819-ADA8-BAD434567F54}"/>
    <cellStyle name="Calculation 2 2 5 2 3 5" xfId="52464" xr:uid="{4B28928D-740D-49B3-A610-C5527F7BC8D1}"/>
    <cellStyle name="Calculation 2 2 5 2 4" xfId="5854" xr:uid="{00000000-0005-0000-0000-000032000000}"/>
    <cellStyle name="Calculation 2 2 5 2 4 2" xfId="12736" xr:uid="{95E73695-4F94-43F1-AAFF-000C2D8219B4}"/>
    <cellStyle name="Calculation 2 2 5 2 4 2 2" xfId="35220" xr:uid="{D6E8C0F5-3B3D-4195-9B7D-51C454A63953}"/>
    <cellStyle name="Calculation 2 2 5 2 4 2 3" xfId="42566" xr:uid="{FA337C76-6A8B-4C9F-9A33-2055EC245BBB}"/>
    <cellStyle name="Calculation 2 2 5 2 4 3" xfId="17791" xr:uid="{19A500A9-2ADE-43C8-91DC-0EFF18FC3841}"/>
    <cellStyle name="Calculation 2 2 5 2 4 3 2" xfId="40181" xr:uid="{FC137956-E874-42D8-AD7E-818CA9BA0FCC}"/>
    <cellStyle name="Calculation 2 2 5 2 4 3 3" xfId="28793" xr:uid="{AE3B195C-5A69-4C6C-9403-DCA98FFDD3C2}"/>
    <cellStyle name="Calculation 2 2 5 2 4 4" xfId="22215" xr:uid="{882C688C-6E55-4145-BA24-1D8984DADDAF}"/>
    <cellStyle name="Calculation 2 2 5 2 4 4 2" xfId="44810" xr:uid="{4AD9AFE8-0805-4C7A-9561-E8F1122EA7AB}"/>
    <cellStyle name="Calculation 2 2 5 2 4 5" xfId="50916" xr:uid="{141C93BB-12AE-4E22-B157-E90653CEF886}"/>
    <cellStyle name="Calculation 2 2 5 2 5" xfId="6192" xr:uid="{00000000-0005-0000-0000-000032000000}"/>
    <cellStyle name="Calculation 2 2 5 2 5 2" xfId="13067" xr:uid="{9FB60335-CA80-4A83-9E69-E6FE54BEF6AB}"/>
    <cellStyle name="Calculation 2 2 5 2 5 2 2" xfId="35551" xr:uid="{77DB2D48-89F5-4CF2-8F4C-F8547CD2BD17}"/>
    <cellStyle name="Calculation 2 2 5 2 5 2 3" xfId="48754" xr:uid="{B1A64F67-B037-436C-AA4B-3480BF0906C2}"/>
    <cellStyle name="Calculation 2 2 5 2 5 3" xfId="18129" xr:uid="{FE53B896-F0BA-4E18-AF03-66B0CF69CC19}"/>
    <cellStyle name="Calculation 2 2 5 2 5 3 2" xfId="40519" xr:uid="{43011A7C-DC37-4458-8831-58F1FF428BE2}"/>
    <cellStyle name="Calculation 2 2 5 2 5 3 3" xfId="26156" xr:uid="{99270BA8-3FD2-40F7-830B-F60A88FC5EDF}"/>
    <cellStyle name="Calculation 2 2 5 2 5 4" xfId="22553" xr:uid="{C8F97C1A-6FDF-4109-B972-77CF5FCA1035}"/>
    <cellStyle name="Calculation 2 2 5 2 5 4 2" xfId="47579" xr:uid="{EC90447F-B876-419E-96A6-8B6988415E82}"/>
    <cellStyle name="Calculation 2 2 5 2 5 5" xfId="43498" xr:uid="{627EF275-05B6-4547-B982-C510A361B7E1}"/>
    <cellStyle name="Calculation 2 2 5 2 6" xfId="6559" xr:uid="{00000000-0005-0000-0000-000032000000}"/>
    <cellStyle name="Calculation 2 2 5 2 6 2" xfId="13425" xr:uid="{86F30336-4BB1-4A1A-9980-74EA63766FC9}"/>
    <cellStyle name="Calculation 2 2 5 2 6 2 2" xfId="35909" xr:uid="{3452787B-19AC-44F4-8838-33087536BFDF}"/>
    <cellStyle name="Calculation 2 2 5 2 6 2 3" xfId="47442" xr:uid="{00F59D47-21F9-4CFF-846F-516FB3C75D5E}"/>
    <cellStyle name="Calculation 2 2 5 2 6 3" xfId="18496" xr:uid="{0EBED796-74CB-4D6F-9DD2-31B60510BF6F}"/>
    <cellStyle name="Calculation 2 2 5 2 6 3 2" xfId="40886" xr:uid="{79D25E0C-8D1F-4B89-B58B-5F8D888F4FAC}"/>
    <cellStyle name="Calculation 2 2 5 2 6 3 3" xfId="26072" xr:uid="{27AB6FB9-C171-42A6-BC0A-1C40D03922B8}"/>
    <cellStyle name="Calculation 2 2 5 2 6 4" xfId="22920" xr:uid="{FDFF930D-B67F-4826-ACB8-434E8BD87F44}"/>
    <cellStyle name="Calculation 2 2 5 2 6 4 2" xfId="53858" xr:uid="{61DCFB91-EC7C-4A66-AA14-7BBEA7100835}"/>
    <cellStyle name="Calculation 2 2 5 2 6 5" xfId="52520" xr:uid="{D86F2283-FD11-46B9-9BF8-A46A50E05BF3}"/>
    <cellStyle name="Calculation 2 2 5 2 7" xfId="4731" xr:uid="{00000000-0005-0000-0000-000032000000}"/>
    <cellStyle name="Calculation 2 2 5 2 7 2" xfId="11629" xr:uid="{C41BB957-CFF0-4883-A723-47EE690CCF78}"/>
    <cellStyle name="Calculation 2 2 5 2 7 2 2" xfId="34115" xr:uid="{8862B08B-333F-4650-949F-9EED3ABDA6E2}"/>
    <cellStyle name="Calculation 2 2 5 2 7 2 3" xfId="31914" xr:uid="{709E18AB-41F9-4AD7-846A-B90C5C16DD49}"/>
    <cellStyle name="Calculation 2 2 5 2 7 3" xfId="16668" xr:uid="{50F6BA68-13D6-4AE0-A386-72B4984FC270}"/>
    <cellStyle name="Calculation 2 2 5 2 7 3 2" xfId="39058" xr:uid="{9BE91191-AE84-4FCE-9422-2EB182EEEFCB}"/>
    <cellStyle name="Calculation 2 2 5 2 7 3 3" xfId="44259" xr:uid="{55676E80-CE70-48BC-B74C-EDE2C547EC0D}"/>
    <cellStyle name="Calculation 2 2 5 2 7 4" xfId="15847" xr:uid="{ED99E82A-C653-4807-8D20-75492526FB92}"/>
    <cellStyle name="Calculation 2 2 5 2 7 4 2" xfId="45716" xr:uid="{8CCFAFAD-6C0B-43F5-808F-B287EFBD6E9E}"/>
    <cellStyle name="Calculation 2 2 5 2 7 5" xfId="47690" xr:uid="{1C3B1FA8-5AF0-4EDD-8C81-393D22D8FB04}"/>
    <cellStyle name="Calculation 2 2 5 2 8" xfId="7030" xr:uid="{00000000-0005-0000-0000-000032000000}"/>
    <cellStyle name="Calculation 2 2 5 2 8 2" xfId="13866" xr:uid="{B43DF0FE-66CB-4AFB-B9B9-6A02856F82DA}"/>
    <cellStyle name="Calculation 2 2 5 2 8 2 2" xfId="36350" xr:uid="{2F9F44E0-F579-4702-A97A-B7CEB9282B4B}"/>
    <cellStyle name="Calculation 2 2 5 2 8 2 3" xfId="49403" xr:uid="{12EA37E7-7C18-4D82-9E97-CD22412C6E0A}"/>
    <cellStyle name="Calculation 2 2 5 2 8 3" xfId="18967" xr:uid="{8E559453-7A1E-451B-A678-7B64F9C58C2D}"/>
    <cellStyle name="Calculation 2 2 5 2 8 3 2" xfId="41357" xr:uid="{BF7A8884-8866-4AA1-AAC5-D870E534E0BB}"/>
    <cellStyle name="Calculation 2 2 5 2 8 3 3" xfId="28171" xr:uid="{FBB5436F-DD70-48B7-9F0E-CF8312AA09BE}"/>
    <cellStyle name="Calculation 2 2 5 2 8 4" xfId="23391" xr:uid="{3D4D1D31-ABDB-402A-B046-75A3E2DA1924}"/>
    <cellStyle name="Calculation 2 2 5 2 8 4 2" xfId="30393" xr:uid="{9E07FA6A-78E2-421F-BAEF-C954A346B9E0}"/>
    <cellStyle name="Calculation 2 2 5 2 8 5" xfId="49421" xr:uid="{71C59431-60C6-47FC-B1BE-A3742074C54F}"/>
    <cellStyle name="Calculation 2 2 5 2 9" xfId="7145" xr:uid="{00000000-0005-0000-0000-000032000000}"/>
    <cellStyle name="Calculation 2 2 5 2 9 2" xfId="19082" xr:uid="{A541D43A-5488-4C77-8601-28B6B9110C85}"/>
    <cellStyle name="Calculation 2 2 5 2 9 2 2" xfId="41472" xr:uid="{D58DFEDE-9276-4646-95B3-26E18721B794}"/>
    <cellStyle name="Calculation 2 2 5 2 9 2 3" xfId="29889" xr:uid="{E98FF1EB-0A85-4616-A5F7-66B948D04E8A}"/>
    <cellStyle name="Calculation 2 2 5 2 9 3" xfId="23506" xr:uid="{241BB642-C0AE-4596-A894-71FF5BFDC003}"/>
    <cellStyle name="Calculation 2 2 5 2 9 3 2" xfId="52507" xr:uid="{A539E683-8D02-42F7-87CB-2E9010EFF334}"/>
    <cellStyle name="Calculation 2 2 5 2 9 4" xfId="52279" xr:uid="{3A3C694A-8ECF-41D3-81B7-C7F261136CFF}"/>
    <cellStyle name="Calculation 2 2 5 3" xfId="3305" xr:uid="{00000000-0005-0000-0000-000031000000}"/>
    <cellStyle name="Calculation 2 2 5 3 2" xfId="10213" xr:uid="{1ABFCCEA-790A-4658-8A67-21CF8703F382}"/>
    <cellStyle name="Calculation 2 2 5 3 2 2" xfId="32707" xr:uid="{40C5A20F-4A14-4786-A423-25C007845A7C}"/>
    <cellStyle name="Calculation 2 2 5 3 2 3" xfId="50526" xr:uid="{6B26EAFD-26E3-4B8A-A5DF-17981AD975B0}"/>
    <cellStyle name="Calculation 2 2 5 3 3" xfId="15531" xr:uid="{D6A465B2-6FE3-44C6-BD96-4FD37E4D81AC}"/>
    <cellStyle name="Calculation 2 2 5 3 3 2" xfId="37950" xr:uid="{82DC8048-86FD-4058-A96D-9E31A7C3C7C7}"/>
    <cellStyle name="Calculation 2 2 5 3 3 3" xfId="49281" xr:uid="{9FE9909C-2E51-4692-B865-AD18C8B27239}"/>
    <cellStyle name="Calculation 2 2 5 3 4" xfId="20397" xr:uid="{81D3A441-451E-4D9D-A13A-28A4D91AF7A3}"/>
    <cellStyle name="Calculation 2 2 5 3 4 2" xfId="46204" xr:uid="{91FDF187-31F1-415D-B9B5-16C00308622B}"/>
    <cellStyle name="Calculation 2 2 5 3 5" xfId="46898" xr:uid="{D04D5433-7DF3-4315-BD79-F61C7CD6FD2F}"/>
    <cellStyle name="Calculation 2 2 5 4" xfId="4890" xr:uid="{00000000-0005-0000-0000-000031000000}"/>
    <cellStyle name="Calculation 2 2 5 4 2" xfId="11785" xr:uid="{81F7F3F3-474D-4E8A-BAD7-8B4C69985082}"/>
    <cellStyle name="Calculation 2 2 5 4 2 2" xfId="34271" xr:uid="{A6B6E4C5-A055-4B46-B33D-939D083A621F}"/>
    <cellStyle name="Calculation 2 2 5 4 2 3" xfId="44577" xr:uid="{7FB51AD7-A9A1-4C0D-A2EB-FB84F82E4F2D}"/>
    <cellStyle name="Calculation 2 2 5 4 3" xfId="16827" xr:uid="{0C867FD9-3345-4344-AEF7-9CD832C05B62}"/>
    <cellStyle name="Calculation 2 2 5 4 3 2" xfId="39217" xr:uid="{44922856-76A6-4A47-B98F-A116BCB84CE8}"/>
    <cellStyle name="Calculation 2 2 5 4 3 3" xfId="28339" xr:uid="{3102E684-63A2-4AA6-A806-01210D0B4128}"/>
    <cellStyle name="Calculation 2 2 5 4 4" xfId="19476" xr:uid="{E1BB5AA9-33AC-46A1-B3A9-EC6C4D2C717C}"/>
    <cellStyle name="Calculation 2 2 5 4 4 2" xfId="37924" xr:uid="{6CB17149-625F-4A96-9096-49DE8B8AE5B4}"/>
    <cellStyle name="Calculation 2 2 5 4 5" xfId="47070" xr:uid="{4CA03812-50B6-470F-8030-FA740CF75433}"/>
    <cellStyle name="Calculation 2 2 5 5" xfId="6031" xr:uid="{00000000-0005-0000-0000-000031000000}"/>
    <cellStyle name="Calculation 2 2 5 5 2" xfId="12911" xr:uid="{C83FF39F-8DE0-4DDA-9ED3-47F9183BE72C}"/>
    <cellStyle name="Calculation 2 2 5 5 2 2" xfId="35395" xr:uid="{85D6374B-E302-4905-817C-2F08A378C0D2}"/>
    <cellStyle name="Calculation 2 2 5 5 2 3" xfId="44465" xr:uid="{30606DFB-BC5E-4FA1-A9B3-D693AC5E67E5}"/>
    <cellStyle name="Calculation 2 2 5 5 3" xfId="17968" xr:uid="{ED0E215C-BCE2-4892-BB2F-2D1D2912BA0B}"/>
    <cellStyle name="Calculation 2 2 5 5 3 2" xfId="40358" xr:uid="{BA29EB39-59F4-4B30-967E-583EA49020C9}"/>
    <cellStyle name="Calculation 2 2 5 5 3 3" xfId="43692" xr:uid="{55B32293-46E9-4207-9AE9-3BEC8E39157E}"/>
    <cellStyle name="Calculation 2 2 5 5 4" xfId="22392" xr:uid="{BE0DB604-2615-4FA2-93CE-4DC604B2F8CB}"/>
    <cellStyle name="Calculation 2 2 5 5 4 2" xfId="51722" xr:uid="{18944910-4966-4F5F-81E3-7D82ED63C732}"/>
    <cellStyle name="Calculation 2 2 5 5 5" xfId="49904" xr:uid="{0A6898F3-7A37-4B52-849D-1F6C7049316D}"/>
    <cellStyle name="Calculation 2 2 5 6" xfId="5621" xr:uid="{00000000-0005-0000-0000-000031000000}"/>
    <cellStyle name="Calculation 2 2 5 6 2" xfId="12505" xr:uid="{3BAA3085-29E7-4DC8-90DD-8B5958F99132}"/>
    <cellStyle name="Calculation 2 2 5 6 2 2" xfId="34990" xr:uid="{92E044C6-BEFA-4F70-99B4-D44A6257352B}"/>
    <cellStyle name="Calculation 2 2 5 6 2 3" xfId="28558" xr:uid="{72EA9E39-4561-4705-ABE2-185CC123D95D}"/>
    <cellStyle name="Calculation 2 2 5 6 3" xfId="17558" xr:uid="{529BCEFD-B80A-4B9F-8E70-00C2A94D0141}"/>
    <cellStyle name="Calculation 2 2 5 6 3 2" xfId="39948" xr:uid="{F4D86852-7343-4A65-9FD3-06DE6772FD74}"/>
    <cellStyle name="Calculation 2 2 5 6 3 3" xfId="30790" xr:uid="{AF917DBB-384C-46C3-B0C3-A5F5F170DBB8}"/>
    <cellStyle name="Calculation 2 2 5 6 4" xfId="21982" xr:uid="{A144FFCB-409B-4EBB-B4ED-043EE7A25D7B}"/>
    <cellStyle name="Calculation 2 2 5 6 4 2" xfId="50266" xr:uid="{DC5BB75D-AF8D-4FEB-A120-72BCC3F1AC51}"/>
    <cellStyle name="Calculation 2 2 5 6 5" xfId="24789" xr:uid="{DB67BE03-D6DC-4060-8157-266B8C042104}"/>
    <cellStyle name="Calculation 2 2 5 7" xfId="6560" xr:uid="{00000000-0005-0000-0000-000031000000}"/>
    <cellStyle name="Calculation 2 2 5 7 2" xfId="13426" xr:uid="{E8A1F2A6-9465-4A8F-A18F-5648506B25B7}"/>
    <cellStyle name="Calculation 2 2 5 7 2 2" xfId="35910" xr:uid="{FE342A3A-96EA-4901-9E1B-C3E7964EB713}"/>
    <cellStyle name="Calculation 2 2 5 7 2 3" xfId="29670" xr:uid="{A6445016-66F4-4ED9-9051-C720B7508697}"/>
    <cellStyle name="Calculation 2 2 5 7 3" xfId="18497" xr:uid="{23E10263-37ED-4012-9B0B-25511E12BB4F}"/>
    <cellStyle name="Calculation 2 2 5 7 3 2" xfId="40887" xr:uid="{F54FA032-71EC-4887-A360-34B8F26477A9}"/>
    <cellStyle name="Calculation 2 2 5 7 3 3" xfId="29858" xr:uid="{B13326B2-9A02-4AC7-96BD-500A862EC150}"/>
    <cellStyle name="Calculation 2 2 5 7 4" xfId="22921" xr:uid="{B6FF4741-90AA-4B5C-9EB3-E61A6E515315}"/>
    <cellStyle name="Calculation 2 2 5 7 4 2" xfId="50951" xr:uid="{83BC2546-C097-422D-A266-80BE805BB441}"/>
    <cellStyle name="Calculation 2 2 5 7 5" xfId="49101" xr:uid="{5C3ACA36-0B11-46E7-8C89-A6F0C122E313}"/>
    <cellStyle name="Calculation 2 2 5 8" xfId="14064" xr:uid="{C7D9DF0F-67C0-4600-B717-2E4F7A65BAE9}"/>
    <cellStyle name="Calculation 2 2 5 8 2" xfId="36542" xr:uid="{E5A77C14-A583-4C71-AF1C-57F171BFB77A}"/>
    <cellStyle name="Calculation 2 2 5 8 3" xfId="48752" xr:uid="{CE030D74-4D8E-4A93-B935-2CC4B6CC2E31}"/>
    <cellStyle name="Calculation 2 2 5 9" xfId="19481" xr:uid="{0DD999E7-91F1-47E6-B0F8-EC4D9A220FCC}"/>
    <cellStyle name="Calculation 2 2 5 9 2" xfId="41845" xr:uid="{B1BED3EE-7FFC-43AE-8DE2-CF5F3A04B2C0}"/>
    <cellStyle name="Calculation 2 2 5 9 3" xfId="30221" xr:uid="{1B04F99B-1B7F-4BE1-A1FE-9EDEA0F2976B}"/>
    <cellStyle name="Calculation 2 2 6" xfId="1350" xr:uid="{00000000-0005-0000-0000-000033000000}"/>
    <cellStyle name="Calculation 2 2 6 10" xfId="19443" xr:uid="{EEDDC6DD-26A8-4727-9CEB-01475A0B900D}"/>
    <cellStyle name="Calculation 2 2 6 10 2" xfId="24404" xr:uid="{B78E1788-323E-444C-98EA-878CC7B15173}"/>
    <cellStyle name="Calculation 2 2 6 11" xfId="49625" xr:uid="{4C4CDD3D-9EEE-46A9-B2A3-4877D0BA3817}"/>
    <cellStyle name="Calculation 2 2 6 2" xfId="2079" xr:uid="{00000000-0005-0000-0000-000034000000}"/>
    <cellStyle name="Calculation 2 2 6 2 10" xfId="14709" xr:uid="{EF67EA03-8E95-4ECC-B207-91F9E2E6C008}"/>
    <cellStyle name="Calculation 2 2 6 2 10 2" xfId="37167" xr:uid="{D83883C2-DBE4-429C-B000-E1AA750A24B8}"/>
    <cellStyle name="Calculation 2 2 6 2 10 3" xfId="51379" xr:uid="{A7C91669-A4D9-459F-BBAE-3B10DB0E0965}"/>
    <cellStyle name="Calculation 2 2 6 2 11" xfId="20688" xr:uid="{F4DF2D17-0F89-45DA-82F1-AE59B05CF3D7}"/>
    <cellStyle name="Calculation 2 2 6 2 11 2" xfId="42961" xr:uid="{8F4EE99A-8C67-4C9D-8681-9A2164D35FF9}"/>
    <cellStyle name="Calculation 2 2 6 2 11 3" xfId="47731" xr:uid="{642FC0F6-B20A-4412-B705-E1E599816EE9}"/>
    <cellStyle name="Calculation 2 2 6 2 12" xfId="20868" xr:uid="{542C998D-E03B-4E28-A2A4-76F81B17AF76}"/>
    <cellStyle name="Calculation 2 2 6 2 12 2" xfId="50168" xr:uid="{612F1BB3-B050-49D0-8DE0-BB9CEBBB459A}"/>
    <cellStyle name="Calculation 2 2 6 2 13" xfId="51626" xr:uid="{BE580855-9073-43D1-99CE-0666062E3813}"/>
    <cellStyle name="Calculation 2 2 6 2 2" xfId="4174" xr:uid="{00000000-0005-0000-0000-000034000000}"/>
    <cellStyle name="Calculation 2 2 6 2 2 2" xfId="11078" xr:uid="{32565E2C-1E8B-4482-978E-26CA4D76C1EA}"/>
    <cellStyle name="Calculation 2 2 6 2 2 2 2" xfId="33564" xr:uid="{EC9A4352-BCB3-4569-9D84-F9A73571FE94}"/>
    <cellStyle name="Calculation 2 2 6 2 2 2 3" xfId="47092" xr:uid="{88A3FD39-A359-4AAD-8D01-B59C3B7C28D0}"/>
    <cellStyle name="Calculation 2 2 6 2 2 3" xfId="16167" xr:uid="{D641910F-4B48-4934-94AA-1E2FABE3E0DA}"/>
    <cellStyle name="Calculation 2 2 6 2 2 3 2" xfId="38566" xr:uid="{F299F86A-9A32-4BA2-A5D9-F2F97DCDAEA3}"/>
    <cellStyle name="Calculation 2 2 6 2 2 3 3" xfId="26499" xr:uid="{A1BD32A2-7275-47BB-8E7C-935683D79B2D}"/>
    <cellStyle name="Calculation 2 2 6 2 2 4" xfId="16253" xr:uid="{20BBD635-0E9F-40EC-A36F-02A65C337833}"/>
    <cellStyle name="Calculation 2 2 6 2 2 4 2" xfId="24257" xr:uid="{5F438A46-6963-46AB-BBFF-C5B22CC19AEB}"/>
    <cellStyle name="Calculation 2 2 6 2 2 5" xfId="48121" xr:uid="{0E944413-529F-4ACD-8965-5924DCF13C13}"/>
    <cellStyle name="Calculation 2 2 6 2 3" xfId="5501" xr:uid="{00000000-0005-0000-0000-000034000000}"/>
    <cellStyle name="Calculation 2 2 6 2 3 2" xfId="12390" xr:uid="{D9EAC424-B5EA-484C-B910-94C662D1B3E4}"/>
    <cellStyle name="Calculation 2 2 6 2 3 2 2" xfId="34875" xr:uid="{411DFAA9-6179-4BC3-ABE4-CD1C77AA572E}"/>
    <cellStyle name="Calculation 2 2 6 2 3 2 3" xfId="44147" xr:uid="{E3F87EE2-6CA5-46FC-824A-0C45A6554B13}"/>
    <cellStyle name="Calculation 2 2 6 2 3 3" xfId="17438" xr:uid="{86CC09CF-EB00-4B9F-BA24-148A96CBF3A2}"/>
    <cellStyle name="Calculation 2 2 6 2 3 3 2" xfId="39828" xr:uid="{AD4BDA57-FBBA-4036-B5E4-0A229674E3FF}"/>
    <cellStyle name="Calculation 2 2 6 2 3 3 3" xfId="30806" xr:uid="{8568AD95-AEFC-4326-B99E-A1808760AE00}"/>
    <cellStyle name="Calculation 2 2 6 2 3 4" xfId="21862" xr:uid="{C5058072-40FC-441F-A00F-767ABAA2BA65}"/>
    <cellStyle name="Calculation 2 2 6 2 3 4 2" xfId="28031" xr:uid="{19ABD994-AAEC-4F42-BDCD-4B0A7DBA3921}"/>
    <cellStyle name="Calculation 2 2 6 2 3 5" xfId="53294" xr:uid="{BB7FD6B2-FDB9-4D51-9A50-AED8658F29AB}"/>
    <cellStyle name="Calculation 2 2 6 2 4" xfId="5922" xr:uid="{00000000-0005-0000-0000-000034000000}"/>
    <cellStyle name="Calculation 2 2 6 2 4 2" xfId="12803" xr:uid="{4B821718-7239-4895-945F-78C0C475D45A}"/>
    <cellStyle name="Calculation 2 2 6 2 4 2 2" xfId="35287" xr:uid="{4846C5A3-B5C3-455C-9318-6DBBC63D37A8}"/>
    <cellStyle name="Calculation 2 2 6 2 4 2 3" xfId="53774" xr:uid="{47FD5E78-5CA9-407D-BC65-8ADFC1F7BE6F}"/>
    <cellStyle name="Calculation 2 2 6 2 4 3" xfId="17859" xr:uid="{AF409681-228A-47E1-9D67-CB3299631D1C}"/>
    <cellStyle name="Calculation 2 2 6 2 4 3 2" xfId="40249" xr:uid="{647FA37D-60E7-4C0E-87F3-B5BF4E90E17A}"/>
    <cellStyle name="Calculation 2 2 6 2 4 3 3" xfId="32796" xr:uid="{800D73AE-D617-44EC-8D00-81CAD0E6CFC0}"/>
    <cellStyle name="Calculation 2 2 6 2 4 4" xfId="22283" xr:uid="{8D72F8F7-FC38-4D08-A198-7C19F6FCCD3E}"/>
    <cellStyle name="Calculation 2 2 6 2 4 4 2" xfId="52684" xr:uid="{367E3F02-B160-4C4C-AA1A-0AEB8350F03D}"/>
    <cellStyle name="Calculation 2 2 6 2 4 5" xfId="47896" xr:uid="{4928521A-E9DB-44A2-ADDA-724A97C37866}"/>
    <cellStyle name="Calculation 2 2 6 2 5" xfId="6261" xr:uid="{00000000-0005-0000-0000-000034000000}"/>
    <cellStyle name="Calculation 2 2 6 2 5 2" xfId="13133" xr:uid="{269C9418-5BE6-4E7D-98AE-5B83E23C42D5}"/>
    <cellStyle name="Calculation 2 2 6 2 5 2 2" xfId="35617" xr:uid="{9DF27C48-3802-4F6B-8433-7308B2FBD5FE}"/>
    <cellStyle name="Calculation 2 2 6 2 5 2 3" xfId="51986" xr:uid="{AAD1EDBD-B5B2-4730-A877-D7FF1F60B683}"/>
    <cellStyle name="Calculation 2 2 6 2 5 3" xfId="18198" xr:uid="{EA817C43-5533-4217-9338-D5D9DDD87F94}"/>
    <cellStyle name="Calculation 2 2 6 2 5 3 2" xfId="40588" xr:uid="{E01D22B9-45BB-42D8-BF80-BC9F8809386B}"/>
    <cellStyle name="Calculation 2 2 6 2 5 3 3" xfId="45076" xr:uid="{F924E9C3-E5C2-48C8-BDEA-D6E4586E9F24}"/>
    <cellStyle name="Calculation 2 2 6 2 5 4" xfId="22622" xr:uid="{E7D30F97-449A-4393-918A-C32946ACE316}"/>
    <cellStyle name="Calculation 2 2 6 2 5 4 2" xfId="30209" xr:uid="{8625CC95-9FFE-4B44-AD5F-1CB7D51810A5}"/>
    <cellStyle name="Calculation 2 2 6 2 5 5" xfId="48012" xr:uid="{566EF3F6-DE9E-4CA2-8F32-7C4D5328A6A0}"/>
    <cellStyle name="Calculation 2 2 6 2 6" xfId="6618" xr:uid="{00000000-0005-0000-0000-000034000000}"/>
    <cellStyle name="Calculation 2 2 6 2 6 2" xfId="13484" xr:uid="{D0590881-3A28-4C56-B146-E90F2E4C996F}"/>
    <cellStyle name="Calculation 2 2 6 2 6 2 2" xfId="35968" xr:uid="{85CE7B73-F962-478B-B5F0-E396A1B63BA0}"/>
    <cellStyle name="Calculation 2 2 6 2 6 2 3" xfId="49889" xr:uid="{8C0A639F-6A92-47F3-A276-CF7F4E43138A}"/>
    <cellStyle name="Calculation 2 2 6 2 6 3" xfId="18555" xr:uid="{A204C98F-79E9-4E5E-8B3C-91E979E09F30}"/>
    <cellStyle name="Calculation 2 2 6 2 6 3 2" xfId="40945" xr:uid="{555C24AA-8C7B-4340-8EEA-4921993580CD}"/>
    <cellStyle name="Calculation 2 2 6 2 6 3 3" xfId="28938" xr:uid="{6B14DC7C-0DF2-4666-8985-DCD70061CBBD}"/>
    <cellStyle name="Calculation 2 2 6 2 6 4" xfId="22979" xr:uid="{BF840326-61FF-4EDA-9DE4-B31CC5FD2015}"/>
    <cellStyle name="Calculation 2 2 6 2 6 4 2" xfId="26654" xr:uid="{C06B0DBD-8FCE-4FBB-81C9-F1A484E05359}"/>
    <cellStyle name="Calculation 2 2 6 2 6 5" xfId="47077" xr:uid="{B05D9139-24AC-4A1F-8796-D15A287A677E}"/>
    <cellStyle name="Calculation 2 2 6 2 7" xfId="6677" xr:uid="{00000000-0005-0000-0000-000034000000}"/>
    <cellStyle name="Calculation 2 2 6 2 7 2" xfId="13543" xr:uid="{8A42642A-9BAD-411F-838A-389BD33D3143}"/>
    <cellStyle name="Calculation 2 2 6 2 7 2 2" xfId="36027" xr:uid="{1354D27D-DA68-4C58-B61F-F597A64E4CCF}"/>
    <cellStyle name="Calculation 2 2 6 2 7 2 3" xfId="44748" xr:uid="{19802374-388E-4BB5-AF01-F5061F8D53CF}"/>
    <cellStyle name="Calculation 2 2 6 2 7 3" xfId="18614" xr:uid="{307A58E0-A5FF-4096-B3BE-ABDDA1E73672}"/>
    <cellStyle name="Calculation 2 2 6 2 7 3 2" xfId="41004" xr:uid="{7369F65E-77DC-4B04-AFD2-ED7A94B07CA0}"/>
    <cellStyle name="Calculation 2 2 6 2 7 3 3" xfId="28313" xr:uid="{404E643B-4E39-43A7-9424-CCA55C9E89AD}"/>
    <cellStyle name="Calculation 2 2 6 2 7 4" xfId="23038" xr:uid="{47B7497E-CABE-4E1F-8754-1AEB93E728F1}"/>
    <cellStyle name="Calculation 2 2 6 2 7 4 2" xfId="52671" xr:uid="{8E0D044E-4F4E-406D-927E-12E05F0634CA}"/>
    <cellStyle name="Calculation 2 2 6 2 7 5" xfId="51970" xr:uid="{78920A63-B6DA-43EB-9414-9BF43E9290FE}"/>
    <cellStyle name="Calculation 2 2 6 2 8" xfId="7074" xr:uid="{00000000-0005-0000-0000-000034000000}"/>
    <cellStyle name="Calculation 2 2 6 2 8 2" xfId="13910" xr:uid="{22D6C057-88FF-4A30-98FE-4A17960D4FC9}"/>
    <cellStyle name="Calculation 2 2 6 2 8 2 2" xfId="36394" xr:uid="{48671396-7EC0-471C-9A75-66BD4BD670FD}"/>
    <cellStyle name="Calculation 2 2 6 2 8 2 3" xfId="27567" xr:uid="{B3B710AF-FABF-45DA-ABA8-46ED0D5730DC}"/>
    <cellStyle name="Calculation 2 2 6 2 8 3" xfId="19011" xr:uid="{1B9270A6-E3A9-49F9-9D18-3AC8C9A1DCEA}"/>
    <cellStyle name="Calculation 2 2 6 2 8 3 2" xfId="41401" xr:uid="{081EFDC1-1E79-431D-820E-A5607BEF62AA}"/>
    <cellStyle name="Calculation 2 2 6 2 8 3 3" xfId="32764" xr:uid="{A0663F8B-0908-4EF1-9953-B490AB4FBB7A}"/>
    <cellStyle name="Calculation 2 2 6 2 8 4" xfId="23435" xr:uid="{4413C7E1-105C-465F-A4C4-6749CD4A363E}"/>
    <cellStyle name="Calculation 2 2 6 2 8 4 2" xfId="52853" xr:uid="{0E57ED39-B5D1-4909-9988-EC7C209E6533}"/>
    <cellStyle name="Calculation 2 2 6 2 8 5" xfId="23796" xr:uid="{E5E65842-9DB9-4ED9-AC59-79DD7600A593}"/>
    <cellStyle name="Calculation 2 2 6 2 9" xfId="7189" xr:uid="{00000000-0005-0000-0000-000034000000}"/>
    <cellStyle name="Calculation 2 2 6 2 9 2" xfId="19126" xr:uid="{35A9B1B8-D39E-4F57-9A6C-50F1A7900C10}"/>
    <cellStyle name="Calculation 2 2 6 2 9 2 2" xfId="41516" xr:uid="{9A166C1A-D2B4-4D87-82A2-7777CE97ECC8}"/>
    <cellStyle name="Calculation 2 2 6 2 9 2 3" xfId="32617" xr:uid="{F54A3D05-E0F9-4429-A329-E0C23661638E}"/>
    <cellStyle name="Calculation 2 2 6 2 9 3" xfId="23550" xr:uid="{C1F3E23E-D9E8-45D3-9DCF-9DDA61CDCC29}"/>
    <cellStyle name="Calculation 2 2 6 2 9 3 2" xfId="49461" xr:uid="{CAE8D512-EB3B-40A0-BB53-4EAF32615EDC}"/>
    <cellStyle name="Calculation 2 2 6 2 9 4" xfId="50857" xr:uid="{789FF85A-1E77-406E-BCAF-BEDD3F5D4AFB}"/>
    <cellStyle name="Calculation 2 2 6 3" xfId="3457" xr:uid="{00000000-0005-0000-0000-000033000000}"/>
    <cellStyle name="Calculation 2 2 6 3 2" xfId="10365" xr:uid="{0D72492D-2961-4F80-BB45-147B8DD374FA}"/>
    <cellStyle name="Calculation 2 2 6 3 2 2" xfId="32852" xr:uid="{AA36DB2F-42B6-433F-A500-E34305CA1D12}"/>
    <cellStyle name="Calculation 2 2 6 3 2 3" xfId="53913" xr:uid="{040573DB-DC19-46CA-93F8-21CFDFBE83C2}"/>
    <cellStyle name="Calculation 2 2 6 3 3" xfId="15635" xr:uid="{A8255F8B-80E8-4CD3-8180-4E9523EFB7D0}"/>
    <cellStyle name="Calculation 2 2 6 3 3 2" xfId="38051" xr:uid="{36A4A54E-E45C-470A-A7F2-AECA95150F9D}"/>
    <cellStyle name="Calculation 2 2 6 3 3 3" xfId="51708" xr:uid="{E219022C-A359-4D74-8DF4-DA2ABEE18D54}"/>
    <cellStyle name="Calculation 2 2 6 3 4" xfId="16074" xr:uid="{BF5F2310-DBA3-488B-9D59-0220CED4524E}"/>
    <cellStyle name="Calculation 2 2 6 3 4 2" xfId="49361" xr:uid="{0FAD1497-D7F9-4F08-9C4F-F3DE50267F4E}"/>
    <cellStyle name="Calculation 2 2 6 3 5" xfId="50225" xr:uid="{FE7F09E8-1FF8-4B94-A22B-5DE3E605833B}"/>
    <cellStyle name="Calculation 2 2 6 4" xfId="4989" xr:uid="{00000000-0005-0000-0000-000033000000}"/>
    <cellStyle name="Calculation 2 2 6 4 2" xfId="11883" xr:uid="{0F5F129A-53FB-4F8A-A57C-CD028781B9A9}"/>
    <cellStyle name="Calculation 2 2 6 4 2 2" xfId="34369" xr:uid="{1C50E413-27A2-46F5-A681-642872DEC889}"/>
    <cellStyle name="Calculation 2 2 6 4 2 3" xfId="45241" xr:uid="{43B2FC38-0512-4858-829B-09B86CDD5F1F}"/>
    <cellStyle name="Calculation 2 2 6 4 3" xfId="16926" xr:uid="{B7B0DE6D-E559-4F77-8C3F-840A38A8639E}"/>
    <cellStyle name="Calculation 2 2 6 4 3 2" xfId="39316" xr:uid="{9F3E5411-6DEB-4FA4-92AA-4A0FB0AB623C}"/>
    <cellStyle name="Calculation 2 2 6 4 3 3" xfId="44579" xr:uid="{98FDEFCD-E6FC-4DF6-80DC-00687FB0FDDC}"/>
    <cellStyle name="Calculation 2 2 6 4 4" xfId="21350" xr:uid="{6A9F0A67-5C81-4CBB-8294-2474441D0AF1}"/>
    <cellStyle name="Calculation 2 2 6 4 4 2" xfId="50026" xr:uid="{3865E02C-A56F-4BB7-B728-7A11A745FCBC}"/>
    <cellStyle name="Calculation 2 2 6 4 5" xfId="51482" xr:uid="{4162C662-18A6-4713-94AC-B2D41C12E567}"/>
    <cellStyle name="Calculation 2 2 6 5" xfId="4644" xr:uid="{00000000-0005-0000-0000-000033000000}"/>
    <cellStyle name="Calculation 2 2 6 5 2" xfId="11544" xr:uid="{528DE674-BD31-4920-8282-9B6040DA479F}"/>
    <cellStyle name="Calculation 2 2 6 5 2 2" xfId="34030" xr:uid="{60303C52-7894-4DFB-8503-6F55DAD07595}"/>
    <cellStyle name="Calculation 2 2 6 5 2 3" xfId="26329" xr:uid="{4FB4B327-30AA-4CBD-9AC9-B4C136C6A791}"/>
    <cellStyle name="Calculation 2 2 6 5 3" xfId="16581" xr:uid="{585E158D-DA6D-47E7-BBF8-FE25DCC7711E}"/>
    <cellStyle name="Calculation 2 2 6 5 3 2" xfId="38971" xr:uid="{2C096C36-9EE3-466D-B958-BBCD5CDB9CF0}"/>
    <cellStyle name="Calculation 2 2 6 5 3 3" xfId="30621" xr:uid="{6C251EE9-AC9B-4159-B8ED-9D7D7949A23A}"/>
    <cellStyle name="Calculation 2 2 6 5 4" xfId="21222" xr:uid="{893560B1-D553-43B9-8A4B-32DF5DD538FE}"/>
    <cellStyle name="Calculation 2 2 6 5 4 2" xfId="50509" xr:uid="{09922709-BB1B-4766-ADA6-573891AB7409}"/>
    <cellStyle name="Calculation 2 2 6 5 5" xfId="49709" xr:uid="{DDB7862C-0359-4125-A7EF-99696CD2B04A}"/>
    <cellStyle name="Calculation 2 2 6 6" xfId="6179" xr:uid="{00000000-0005-0000-0000-000033000000}"/>
    <cellStyle name="Calculation 2 2 6 6 2" xfId="13055" xr:uid="{AD7509C2-E05B-47B5-B046-EB669947131F}"/>
    <cellStyle name="Calculation 2 2 6 6 2 2" xfId="35539" xr:uid="{550793AB-9E7F-467A-9682-CB64AA7082DF}"/>
    <cellStyle name="Calculation 2 2 6 6 2 3" xfId="46562" xr:uid="{B32FF2D5-AB8B-4E3D-8424-910C77C3580D}"/>
    <cellStyle name="Calculation 2 2 6 6 3" xfId="18116" xr:uid="{13F72871-6B65-4E66-A6CF-0CA0D1BD3CA0}"/>
    <cellStyle name="Calculation 2 2 6 6 3 2" xfId="40506" xr:uid="{9454833E-B3AA-41B7-BE9F-969F62ACDDF2}"/>
    <cellStyle name="Calculation 2 2 6 6 3 3" xfId="44108" xr:uid="{F05F3E80-F2AA-4186-9BCC-8ED8365BBEDE}"/>
    <cellStyle name="Calculation 2 2 6 6 4" xfId="22540" xr:uid="{5B6B5CCD-38B9-4934-AF74-F65720D10FDC}"/>
    <cellStyle name="Calculation 2 2 6 6 4 2" xfId="49132" xr:uid="{26238441-F709-4E28-A1C9-E5C43E29F491}"/>
    <cellStyle name="Calculation 2 2 6 6 5" xfId="51738" xr:uid="{2D41DE5C-0A58-46A0-B987-572788E87CAF}"/>
    <cellStyle name="Calculation 2 2 6 7" xfId="5766" xr:uid="{00000000-0005-0000-0000-000033000000}"/>
    <cellStyle name="Calculation 2 2 6 7 2" xfId="12649" xr:uid="{9257C9ED-F08A-4C11-8733-C7E365EC808C}"/>
    <cellStyle name="Calculation 2 2 6 7 2 2" xfId="35134" xr:uid="{785A15D1-8CEC-4349-93CA-4225C0800B19}"/>
    <cellStyle name="Calculation 2 2 6 7 2 3" xfId="32228" xr:uid="{2821218C-F490-4EF6-82E2-1114D9D873A7}"/>
    <cellStyle name="Calculation 2 2 6 7 3" xfId="17703" xr:uid="{05CF67B7-F766-45B1-BB07-97E6E687E18D}"/>
    <cellStyle name="Calculation 2 2 6 7 3 2" xfId="40093" xr:uid="{9AA698A2-1677-47FB-BD17-454D08DA23FF}"/>
    <cellStyle name="Calculation 2 2 6 7 3 3" xfId="29558" xr:uid="{8D2BA3D1-8743-4605-8BC7-7D7562B0E8F8}"/>
    <cellStyle name="Calculation 2 2 6 7 4" xfId="22127" xr:uid="{984545EB-C417-4E0C-84AD-D89CF6069328}"/>
    <cellStyle name="Calculation 2 2 6 7 4 2" xfId="49185" xr:uid="{52CB2D8C-58A1-46BF-A508-9B4832748F17}"/>
    <cellStyle name="Calculation 2 2 6 7 5" xfId="51451" xr:uid="{AAC7D9E3-293F-4D28-9986-8595147C24EB}"/>
    <cellStyle name="Calculation 2 2 6 8" xfId="14170" xr:uid="{F4E06DFF-9605-4096-9FDB-75C6F2860F7E}"/>
    <cellStyle name="Calculation 2 2 6 8 2" xfId="36646" xr:uid="{4D16FAFE-DC79-4FF1-AC46-17495B0CC06C}"/>
    <cellStyle name="Calculation 2 2 6 8 3" xfId="53080" xr:uid="{D171DA13-65FE-45EF-8DD6-8AC1AE459EC3}"/>
    <cellStyle name="Calculation 2 2 6 9" xfId="21055" xr:uid="{08B6C648-F4A1-4767-A69B-8F7EF664ED3F}"/>
    <cellStyle name="Calculation 2 2 6 9 2" xfId="43303" xr:uid="{229EE493-B083-4E2F-A266-2C0A48FE6D4E}"/>
    <cellStyle name="Calculation 2 2 6 9 3" xfId="43772" xr:uid="{26604260-4EB2-4B12-B2B9-D21C76AD8901}"/>
    <cellStyle name="Calculation 2 2 7" xfId="1623" xr:uid="{00000000-0005-0000-0000-000035000000}"/>
    <cellStyle name="Calculation 2 2 7 10" xfId="14337" xr:uid="{21C70255-DF7A-4B3A-A671-2947BD17E74F}"/>
    <cellStyle name="Calculation 2 2 7 10 2" xfId="36805" xr:uid="{30BA4448-ACF5-4FB0-ABB8-B94EB6B04E2F}"/>
    <cellStyle name="Calculation 2 2 7 10 3" xfId="46960" xr:uid="{7BDD1323-7C79-4FFD-A89F-F968025BF0EA}"/>
    <cellStyle name="Calculation 2 2 7 11" xfId="20883" xr:uid="{5A4B8DAD-748C-42C0-95C4-3064488D5ED2}"/>
    <cellStyle name="Calculation 2 2 7 11 2" xfId="43147" xr:uid="{59FB3AC8-7736-476A-8439-4090607C4E09}"/>
    <cellStyle name="Calculation 2 2 7 11 3" xfId="52849" xr:uid="{0FB84B7B-45FF-43CD-B9CF-D6B76A34E6BC}"/>
    <cellStyle name="Calculation 2 2 7 12" xfId="14782" xr:uid="{8C1831E3-E2E3-491B-8DEC-4B88D0779509}"/>
    <cellStyle name="Calculation 2 2 7 12 2" xfId="47559" xr:uid="{68058690-B7B1-4EAF-A8A7-37FD07663118}"/>
    <cellStyle name="Calculation 2 2 7 13" xfId="51812" xr:uid="{8C539DB0-3A2C-4C6D-879E-227720D9215E}"/>
    <cellStyle name="Calculation 2 2 7 2" xfId="3724" xr:uid="{00000000-0005-0000-0000-000035000000}"/>
    <cellStyle name="Calculation 2 2 7 2 2" xfId="10628" xr:uid="{4D1A6CCB-7CAB-4535-BBE0-F678A523B845}"/>
    <cellStyle name="Calculation 2 2 7 2 2 2" xfId="33114" xr:uid="{591D7701-3693-45B6-8834-B19406EED800}"/>
    <cellStyle name="Calculation 2 2 7 2 2 3" xfId="37699" xr:uid="{607AE536-64AF-467C-ABCE-5186E11ECEC2}"/>
    <cellStyle name="Calculation 2 2 7 2 3" xfId="15805" xr:uid="{B2C0A63B-DD4E-4E8B-A24C-D2B220A2A589}"/>
    <cellStyle name="Calculation 2 2 7 2 3 2" xfId="38213" xr:uid="{02219777-F68B-4F54-8A4F-7845D7C4261E}"/>
    <cellStyle name="Calculation 2 2 7 2 3 3" xfId="29119" xr:uid="{F3016606-6A70-4B2E-A008-101BF6C2DFB8}"/>
    <cellStyle name="Calculation 2 2 7 2 4" xfId="16280" xr:uid="{03B658BE-6440-4B94-9AAE-10164C362A27}"/>
    <cellStyle name="Calculation 2 2 7 2 4 2" xfId="24419" xr:uid="{40AEFD5D-DBFB-4A02-B217-D861739FD287}"/>
    <cellStyle name="Calculation 2 2 7 2 5" xfId="52037" xr:uid="{001BDA63-56B9-4B0D-BEA5-6B91D2B3264D}"/>
    <cellStyle name="Calculation 2 2 7 3" xfId="5157" xr:uid="{00000000-0005-0000-0000-000035000000}"/>
    <cellStyle name="Calculation 2 2 7 3 2" xfId="12050" xr:uid="{2E08749C-E0DD-43F3-A881-4DC495EF6CF8}"/>
    <cellStyle name="Calculation 2 2 7 3 2 2" xfId="34536" xr:uid="{83D722AA-4C3B-4724-B2D9-06F35A0BD091}"/>
    <cellStyle name="Calculation 2 2 7 3 2 3" xfId="28685" xr:uid="{16D0A5F9-8BDF-4D83-91F2-25D41238B8EB}"/>
    <cellStyle name="Calculation 2 2 7 3 3" xfId="17094" xr:uid="{53E5BCBC-3126-422B-82CE-B05B61F4556A}"/>
    <cellStyle name="Calculation 2 2 7 3 3 2" xfId="39484" xr:uid="{1491A4B3-FAF6-4CBC-B30E-5865AC14DD4D}"/>
    <cellStyle name="Calculation 2 2 7 3 3 3" xfId="25080" xr:uid="{6E797658-AF18-400C-B266-C50C8D3C4A4F}"/>
    <cellStyle name="Calculation 2 2 7 3 4" xfId="21518" xr:uid="{82F835EF-AA0D-4A6E-B11A-668F43EED664}"/>
    <cellStyle name="Calculation 2 2 7 3 4 2" xfId="46665" xr:uid="{59372F22-B4D5-418F-8E19-357B9739A857}"/>
    <cellStyle name="Calculation 2 2 7 3 5" xfId="26163" xr:uid="{C3BF02DE-BFFC-4AD0-914A-5BE29DC741C3}"/>
    <cellStyle name="Calculation 2 2 7 4" xfId="4765" xr:uid="{00000000-0005-0000-0000-000035000000}"/>
    <cellStyle name="Calculation 2 2 7 4 2" xfId="11663" xr:uid="{51D39ED3-2D06-46F4-B7F0-4AAB5DDAD9AE}"/>
    <cellStyle name="Calculation 2 2 7 4 2 2" xfId="34149" xr:uid="{14995ECE-0ED5-4D11-AA29-E8F468BE6E6E}"/>
    <cellStyle name="Calculation 2 2 7 4 2 3" xfId="44614" xr:uid="{35F2AB2B-09F2-452E-BEF0-DEDD2BA4F999}"/>
    <cellStyle name="Calculation 2 2 7 4 3" xfId="16702" xr:uid="{F8D2341E-31BB-4B3B-9451-A8C2B010D15F}"/>
    <cellStyle name="Calculation 2 2 7 4 3 2" xfId="39092" xr:uid="{FF1772AE-84CA-4BB0-87E0-8ACE395D1EFE}"/>
    <cellStyle name="Calculation 2 2 7 4 3 3" xfId="27927" xr:uid="{FDFC364D-FC8A-4C40-BB53-D146503F9A5E}"/>
    <cellStyle name="Calculation 2 2 7 4 4" xfId="20052" xr:uid="{74CE7CD4-0FB7-4901-8B9C-6A8688E54A1B}"/>
    <cellStyle name="Calculation 2 2 7 4 4 2" xfId="42323" xr:uid="{1B0CA7E7-057A-4366-B343-2642EEFE4302}"/>
    <cellStyle name="Calculation 2 2 7 4 5" xfId="48185" xr:uid="{95FD5DD0-D6CC-4DCA-93CB-C7FDCF0D6C5C}"/>
    <cellStyle name="Calculation 2 2 7 5" xfId="4984" xr:uid="{00000000-0005-0000-0000-000035000000}"/>
    <cellStyle name="Calculation 2 2 7 5 2" xfId="11879" xr:uid="{E6FE2FC1-E97E-4949-AC14-3BA361EF2AA3}"/>
    <cellStyle name="Calculation 2 2 7 5 2 2" xfId="34365" xr:uid="{455AE1E7-5BD6-4D68-BE8A-097CCB630ADB}"/>
    <cellStyle name="Calculation 2 2 7 5 2 3" xfId="42433" xr:uid="{1D299ECF-B36C-4681-A945-0D308D8C65E5}"/>
    <cellStyle name="Calculation 2 2 7 5 3" xfId="16921" xr:uid="{4A874AA9-242A-40CE-BD2B-040AAF8028AA}"/>
    <cellStyle name="Calculation 2 2 7 5 3 2" xfId="39311" xr:uid="{6BDDEF86-10F9-4049-8431-6A3078DA7209}"/>
    <cellStyle name="Calculation 2 2 7 5 3 3" xfId="45838" xr:uid="{A1D237E6-FB73-46F5-BECB-105FF323AD99}"/>
    <cellStyle name="Calculation 2 2 7 5 4" xfId="21345" xr:uid="{7A4988E3-787C-45F7-AFD6-F487D17AB73D}"/>
    <cellStyle name="Calculation 2 2 7 5 4 2" xfId="51934" xr:uid="{E72BD7AE-4CC6-48CB-A504-88FCC4BC8088}"/>
    <cellStyle name="Calculation 2 2 7 5 5" xfId="37462" xr:uid="{E1F8321F-FC70-420A-A791-8ED7D69DB1D6}"/>
    <cellStyle name="Calculation 2 2 7 6" xfId="5097" xr:uid="{00000000-0005-0000-0000-000035000000}"/>
    <cellStyle name="Calculation 2 2 7 6 2" xfId="11990" xr:uid="{2E0163FC-C9F7-4BD1-960E-0317035EC519}"/>
    <cellStyle name="Calculation 2 2 7 6 2 2" xfId="34476" xr:uid="{7F0235CA-4A37-44E5-8C29-D24FF94B5272}"/>
    <cellStyle name="Calculation 2 2 7 6 2 3" xfId="27292" xr:uid="{96B1B694-F994-4A0A-B425-05FF12722445}"/>
    <cellStyle name="Calculation 2 2 7 6 3" xfId="17034" xr:uid="{FFDD4DF8-28C7-4213-82B4-254367AB0FE2}"/>
    <cellStyle name="Calculation 2 2 7 6 3 2" xfId="39424" xr:uid="{41E277A5-A736-4F23-AFA6-73F3920AD0C5}"/>
    <cellStyle name="Calculation 2 2 7 6 3 3" xfId="45281" xr:uid="{C8BF180A-1A6C-41B7-AAEC-821459C408E6}"/>
    <cellStyle name="Calculation 2 2 7 6 4" xfId="21458" xr:uid="{F6394EFB-EC96-4C0F-B974-097C503D016D}"/>
    <cellStyle name="Calculation 2 2 7 6 4 2" xfId="49741" xr:uid="{B8CB1FB3-514F-4EE5-A3B7-8E48780DA464}"/>
    <cellStyle name="Calculation 2 2 7 6 5" xfId="44811" xr:uid="{7EBEE26E-08C6-455F-84D5-6993FFC789D8}"/>
    <cellStyle name="Calculation 2 2 7 7" xfId="4486" xr:uid="{00000000-0005-0000-0000-000035000000}"/>
    <cellStyle name="Calculation 2 2 7 7 2" xfId="11388" xr:uid="{E15D2871-0EB6-4C18-B8A4-D5E8EDDFCDC8}"/>
    <cellStyle name="Calculation 2 2 7 7 2 2" xfId="33874" xr:uid="{9E5FDD57-664F-4F6B-8A4B-FE5EA32D7487}"/>
    <cellStyle name="Calculation 2 2 7 7 2 3" xfId="25773" xr:uid="{E62C7A4B-768B-4927-8971-D2A8A1AB20E6}"/>
    <cellStyle name="Calculation 2 2 7 7 3" xfId="16423" xr:uid="{2E40FD4B-E9AA-4ECD-80EC-14F0E75870E3}"/>
    <cellStyle name="Calculation 2 2 7 7 3 2" xfId="38813" xr:uid="{5F6651D9-EAEC-44AF-8A12-47F5F77E0531}"/>
    <cellStyle name="Calculation 2 2 7 7 3 3" xfId="44890" xr:uid="{AE23E1A5-5050-4928-882C-9564FAA3ED42}"/>
    <cellStyle name="Calculation 2 2 7 7 4" xfId="8110" xr:uid="{43988610-DC77-42A3-9909-8B7265BAD723}"/>
    <cellStyle name="Calculation 2 2 7 7 4 2" xfId="29571" xr:uid="{1935D748-DD15-4DBC-A88A-3C53E448E4A9}"/>
    <cellStyle name="Calculation 2 2 7 7 5" xfId="47514" xr:uid="{E87F921D-9102-4E1E-943C-493A9E3F09AD}"/>
    <cellStyle name="Calculation 2 2 7 8" xfId="5764" xr:uid="{00000000-0005-0000-0000-000035000000}"/>
    <cellStyle name="Calculation 2 2 7 8 2" xfId="12647" xr:uid="{AE791C69-6AC9-45E4-9172-6ECFAD79AF5A}"/>
    <cellStyle name="Calculation 2 2 7 8 2 2" xfId="35132" xr:uid="{AB425788-3D90-4972-83FD-471A2F62FA95}"/>
    <cellStyle name="Calculation 2 2 7 8 2 3" xfId="44759" xr:uid="{7A7A6229-0F70-42B1-A182-FDB70961AA63}"/>
    <cellStyle name="Calculation 2 2 7 8 3" xfId="17701" xr:uid="{0959BE3A-D46D-4B94-8F63-46EE39771E74}"/>
    <cellStyle name="Calculation 2 2 7 8 3 2" xfId="40091" xr:uid="{632E879E-2103-488A-AC07-BB417E1F48BC}"/>
    <cellStyle name="Calculation 2 2 7 8 3 3" xfId="30605" xr:uid="{9AEEF82F-E9EC-42FF-86A1-37270E852286}"/>
    <cellStyle name="Calculation 2 2 7 8 4" xfId="22125" xr:uid="{E01264D1-615E-43E3-AE5A-360B22A262AA}"/>
    <cellStyle name="Calculation 2 2 7 8 4 2" xfId="44808" xr:uid="{7DBA55AD-B5BA-43CD-8C34-53F6CDFA1410}"/>
    <cellStyle name="Calculation 2 2 7 8 5" xfId="46561" xr:uid="{E0CB309B-4E30-4294-8BFE-839748524B28}"/>
    <cellStyle name="Calculation 2 2 7 9" xfId="5556" xr:uid="{00000000-0005-0000-0000-000035000000}"/>
    <cellStyle name="Calculation 2 2 7 9 2" xfId="17493" xr:uid="{756D19A1-80B6-4746-B6C8-A3DEC33ACAA3}"/>
    <cellStyle name="Calculation 2 2 7 9 2 2" xfId="39883" xr:uid="{CA76D61F-C51D-49F9-A386-1F6EDCE516D3}"/>
    <cellStyle name="Calculation 2 2 7 9 2 3" xfId="43782" xr:uid="{E5F7F840-7021-4B32-9C66-31CA71B73CF5}"/>
    <cellStyle name="Calculation 2 2 7 9 3" xfId="21917" xr:uid="{51A99F71-5F8E-41F0-A726-820C0D56DB09}"/>
    <cellStyle name="Calculation 2 2 7 9 3 2" xfId="23960" xr:uid="{5946AB83-A2E4-4BD2-8149-05858AA78917}"/>
    <cellStyle name="Calculation 2 2 7 9 4" xfId="52568" xr:uid="{42FC76BE-DA5A-4175-843D-1A21EB424D1F}"/>
    <cellStyle name="Calculation 2 2 8" xfId="2574" xr:uid="{00000000-0005-0000-0000-00002A000000}"/>
    <cellStyle name="Calculation 2 2 8 2" xfId="9483" xr:uid="{C469D8D1-EC18-4241-B89B-8FDFD44AC1A6}"/>
    <cellStyle name="Calculation 2 2 8 2 2" xfId="32035" xr:uid="{D1FD0987-2F18-401A-BA92-21979ADD5977}"/>
    <cellStyle name="Calculation 2 2 8 2 3" xfId="51221" xr:uid="{FA9BA2E6-E1C7-41C7-9AB6-83975F9B44C3}"/>
    <cellStyle name="Calculation 2 2 8 3" xfId="15052" xr:uid="{69EAD326-352A-47CD-B37B-1707833C0324}"/>
    <cellStyle name="Calculation 2 2 8 3 2" xfId="37497" xr:uid="{C2CDA090-85D6-4D17-B246-E82977F8E9AD}"/>
    <cellStyle name="Calculation 2 2 8 3 3" xfId="50524" xr:uid="{B1A61D24-7B8D-4F92-A75C-9EC4EB50D547}"/>
    <cellStyle name="Calculation 2 2 8 4" xfId="20974" xr:uid="{2316745D-39FC-44A2-B37B-4226B3C24AE8}"/>
    <cellStyle name="Calculation 2 2 8 4 2" xfId="45968" xr:uid="{1FA8EB24-61D5-4E7A-A545-847083949D07}"/>
    <cellStyle name="Calculation 2 2 8 5" xfId="48739" xr:uid="{75ED39D4-C448-4B8C-BCD2-1C2A869452AF}"/>
    <cellStyle name="Calculation 2 2 9" xfId="4401" xr:uid="{00000000-0005-0000-0000-00002A000000}"/>
    <cellStyle name="Calculation 2 2 9 2" xfId="11303" xr:uid="{B671C904-E556-4900-8BFB-8F12540E2A7B}"/>
    <cellStyle name="Calculation 2 2 9 2 2" xfId="33789" xr:uid="{2B6FEBD5-519D-4101-92D7-C16FCAC8DC91}"/>
    <cellStyle name="Calculation 2 2 9 2 3" xfId="23931" xr:uid="{479E3F37-9091-412F-B04B-B6F86A6771B4}"/>
    <cellStyle name="Calculation 2 2 9 3" xfId="16338" xr:uid="{646C144B-1460-4A7E-8208-383DAE9122DC}"/>
    <cellStyle name="Calculation 2 2 9 3 2" xfId="38728" xr:uid="{8A63363A-07CF-4FFE-9DB2-AD24120C066F}"/>
    <cellStyle name="Calculation 2 2 9 3 3" xfId="29140" xr:uid="{2415EAE6-F920-4406-B7BF-F136C88D1936}"/>
    <cellStyle name="Calculation 2 2 9 4" xfId="19300" xr:uid="{A481F1BB-52BE-4A78-86B3-401E2E3B53D3}"/>
    <cellStyle name="Calculation 2 2 9 4 2" xfId="35844" xr:uid="{24CC691B-3B7B-42C5-8173-30175169245A}"/>
    <cellStyle name="Calculation 2 2 9 5" xfId="45632" xr:uid="{8783F894-06DE-47E8-A13D-7BCFA04F424E}"/>
    <cellStyle name="Calculation 2 20" xfId="4773" xr:uid="{00000000-0005-0000-0000-00001A000000}"/>
    <cellStyle name="Calculation 2 20 2" xfId="11670" xr:uid="{C34D31DB-DA6B-41FF-8829-F0CD614EDB42}"/>
    <cellStyle name="Calculation 2 20 2 2" xfId="34156" xr:uid="{4818490A-FF03-4DC4-B713-18C4B28D41EB}"/>
    <cellStyle name="Calculation 2 20 2 3" xfId="29635" xr:uid="{CC0B557F-B4E8-42E9-AFA1-7A17A63A4040}"/>
    <cellStyle name="Calculation 2 20 3" xfId="16710" xr:uid="{B9365DBA-BEA7-48AF-9D2F-654B5E6960B6}"/>
    <cellStyle name="Calculation 2 20 3 2" xfId="39100" xr:uid="{0E566B4D-5718-4D1E-8BCD-075BF035D4C8}"/>
    <cellStyle name="Calculation 2 20 3 3" xfId="28150" xr:uid="{C600E2D1-48B3-4AC6-8224-9A472670EFD0}"/>
    <cellStyle name="Calculation 2 20 4" xfId="8897" xr:uid="{7DD56A18-244C-410E-87FD-39F30C45737B}"/>
    <cellStyle name="Calculation 2 20 4 2" xfId="50303" xr:uid="{306171D1-55E3-4193-9AA4-9433A9B19D84}"/>
    <cellStyle name="Calculation 2 20 5" xfId="49253" xr:uid="{AE6F35EB-3301-46A8-BEC6-394E2D52CC06}"/>
    <cellStyle name="Calculation 2 21" xfId="5279" xr:uid="{00000000-0005-0000-0000-00001A000000}"/>
    <cellStyle name="Calculation 2 21 2" xfId="12171" xr:uid="{9593DD78-2DA1-4B50-96DF-B13915DA8775}"/>
    <cellStyle name="Calculation 2 21 2 2" xfId="34656" xr:uid="{F4E7A8B5-1FA1-401D-8AA1-DDCB3254FA03}"/>
    <cellStyle name="Calculation 2 21 2 3" xfId="27941" xr:uid="{A01370E3-C3A9-4CDB-A39D-E40F3C88D72C}"/>
    <cellStyle name="Calculation 2 21 3" xfId="17216" xr:uid="{EBB2B520-236D-4746-B357-11C9CE53CA82}"/>
    <cellStyle name="Calculation 2 21 3 2" xfId="39606" xr:uid="{7C8E0E3E-F8D3-4E9C-A318-3C30D3DCA7FE}"/>
    <cellStyle name="Calculation 2 21 3 3" xfId="44276" xr:uid="{BB4BAE60-176C-4645-8E12-03607CBDA267}"/>
    <cellStyle name="Calculation 2 21 4" xfId="21640" xr:uid="{53239182-A9F3-4E46-AF5F-DF986D081E48}"/>
    <cellStyle name="Calculation 2 21 4 2" xfId="47263" xr:uid="{9031DD78-3554-40F5-8FBD-32EB07AE5018}"/>
    <cellStyle name="Calculation 2 21 5" xfId="44615" xr:uid="{DF24FEC3-2BD1-4FBE-A373-631D42935FE8}"/>
    <cellStyle name="Calculation 2 22" xfId="5844" xr:uid="{00000000-0005-0000-0000-00001A000000}"/>
    <cellStyle name="Calculation 2 22 2" xfId="12726" xr:uid="{6E99C05F-9445-44B2-A5D7-6FD727794E60}"/>
    <cellStyle name="Calculation 2 22 2 2" xfId="35210" xr:uid="{D9A89D38-FF31-45DE-8462-B571D1B80979}"/>
    <cellStyle name="Calculation 2 22 2 3" xfId="37150" xr:uid="{EC5B94DB-40E9-47BF-9BE0-DD406EA526FF}"/>
    <cellStyle name="Calculation 2 22 3" xfId="17781" xr:uid="{28A9145A-F2E8-4EBF-8E18-67D94694EAB9}"/>
    <cellStyle name="Calculation 2 22 3 2" xfId="40171" xr:uid="{886225DA-3522-47A9-A955-D3B60AB79E0B}"/>
    <cellStyle name="Calculation 2 22 3 3" xfId="43133" xr:uid="{E66F0969-2F2C-4288-A1E0-C842AA94EAEC}"/>
    <cellStyle name="Calculation 2 22 4" xfId="22205" xr:uid="{2BB2AD61-9C96-4A25-830D-3C2BDE479E6E}"/>
    <cellStyle name="Calculation 2 22 4 2" xfId="51952" xr:uid="{CEFB668C-7314-4D7C-9C39-B399B3FACA33}"/>
    <cellStyle name="Calculation 2 22 5" xfId="52206" xr:uid="{D7B58BDB-DBAB-48D4-AC74-7323761BD091}"/>
    <cellStyle name="Calculation 2 23" xfId="13526" xr:uid="{7551AFCC-1621-4FB7-973D-DA453A28D537}"/>
    <cellStyle name="Calculation 2 23 2" xfId="36010" xr:uid="{1AC8E0F4-46BD-4173-8C04-05A65D5FBFE6}"/>
    <cellStyle name="Calculation 2 23 3" xfId="23794" xr:uid="{893AB1DD-149F-4B8E-8154-ECA2C34EFF66}"/>
    <cellStyle name="Calculation 2 24" xfId="20759" xr:uid="{16E0D050-C8DE-4035-AFEE-107C8C1449BB}"/>
    <cellStyle name="Calculation 2 24 2" xfId="43028" xr:uid="{BA6DEA9A-538D-43C2-B33F-D4C192E8436A}"/>
    <cellStyle name="Calculation 2 24 3" xfId="47165" xr:uid="{4E4A521C-4766-40DD-9CB1-C131586A8B19}"/>
    <cellStyle name="Calculation 2 25" xfId="11995" xr:uid="{B503DAA0-6665-476D-8A0F-CF95DED90401}"/>
    <cellStyle name="Calculation 2 25 2" xfId="25561" xr:uid="{75C241AB-0BAB-4B64-875B-7CC694737F7C}"/>
    <cellStyle name="Calculation 2 26" xfId="23667" xr:uid="{B49F37C4-71CE-48BC-B49B-1F7D6F73EAA8}"/>
    <cellStyle name="Calculation 2 3" xfId="429" xr:uid="{00000000-0005-0000-0000-000036000000}"/>
    <cellStyle name="Calculation 2 3 10" xfId="5918" xr:uid="{00000000-0005-0000-0000-000036000000}"/>
    <cellStyle name="Calculation 2 3 10 2" xfId="12799" xr:uid="{A3F0AA57-8EA5-40C9-853C-DBF89766F6FE}"/>
    <cellStyle name="Calculation 2 3 10 2 2" xfId="35283" xr:uid="{E546EA3E-A0D7-4105-BAB5-60DAEF468D3A}"/>
    <cellStyle name="Calculation 2 3 10 2 3" xfId="53840" xr:uid="{054C8240-D247-4AAB-A7D8-7A735D026938}"/>
    <cellStyle name="Calculation 2 3 10 3" xfId="17855" xr:uid="{03F52424-F9DA-418A-BB3E-C7FA61A25925}"/>
    <cellStyle name="Calculation 2 3 10 3 2" xfId="40245" xr:uid="{8113393D-9FD7-4ED2-95D4-1ABA0EC5D216}"/>
    <cellStyle name="Calculation 2 3 10 3 3" xfId="30515" xr:uid="{3BBEA58A-F092-454D-AEDE-C6E61D1513CA}"/>
    <cellStyle name="Calculation 2 3 10 4" xfId="22279" xr:uid="{27A6371F-934B-45A8-B328-4499EDEFD37A}"/>
    <cellStyle name="Calculation 2 3 10 4 2" xfId="53949" xr:uid="{50366663-1FD4-41E4-A20C-704550CFF695}"/>
    <cellStyle name="Calculation 2 3 10 5" xfId="52417" xr:uid="{B313C743-609A-4954-A95C-DA1F4350E4C6}"/>
    <cellStyle name="Calculation 2 3 11" xfId="6357" xr:uid="{00000000-0005-0000-0000-000036000000}"/>
    <cellStyle name="Calculation 2 3 11 2" xfId="13229" xr:uid="{868200D7-D7C3-4225-B404-52A76CB28071}"/>
    <cellStyle name="Calculation 2 3 11 2 2" xfId="35713" xr:uid="{1ADCF47F-E93D-4791-8259-E4B994D00683}"/>
    <cellStyle name="Calculation 2 3 11 2 3" xfId="36764" xr:uid="{9515AC55-8404-4722-8977-21236906FDBD}"/>
    <cellStyle name="Calculation 2 3 11 3" xfId="18294" xr:uid="{CAD138C4-413E-4964-890C-8EB95A6C6B71}"/>
    <cellStyle name="Calculation 2 3 11 3 2" xfId="40684" xr:uid="{82BF88DF-E543-41CC-B6A0-EA76D3310CF6}"/>
    <cellStyle name="Calculation 2 3 11 3 3" xfId="24511" xr:uid="{9BCF62F7-774E-4DC1-8713-DDF8811BD295}"/>
    <cellStyle name="Calculation 2 3 11 4" xfId="22718" xr:uid="{98686940-B326-4A6F-B2E3-8C00578D6555}"/>
    <cellStyle name="Calculation 2 3 11 4 2" xfId="23651" xr:uid="{034D07C7-B563-4ACC-BC4C-1FB2C8A44349}"/>
    <cellStyle name="Calculation 2 3 11 5" xfId="48360" xr:uid="{11A56883-1677-45C4-B6E8-82428B8A503C}"/>
    <cellStyle name="Calculation 2 3 12" xfId="4353" xr:uid="{00000000-0005-0000-0000-000036000000}"/>
    <cellStyle name="Calculation 2 3 12 2" xfId="11256" xr:uid="{4EC7BD6A-978F-4303-93BC-397D9C8153D3}"/>
    <cellStyle name="Calculation 2 3 12 2 2" xfId="33742" xr:uid="{56C8917F-2F3C-4645-A3E0-E6BB8415DC6D}"/>
    <cellStyle name="Calculation 2 3 12 2 3" xfId="45860" xr:uid="{E6C7E9ED-AAB9-402E-BA3C-18928E266C3B}"/>
    <cellStyle name="Calculation 2 3 12 3" xfId="16290" xr:uid="{9DA4982C-F260-4779-AE3E-9DBBC6BA8FB3}"/>
    <cellStyle name="Calculation 2 3 12 3 2" xfId="38680" xr:uid="{375BFFE2-4B38-4539-8B87-C9462472B664}"/>
    <cellStyle name="Calculation 2 3 12 3 3" xfId="28956" xr:uid="{A68C67FA-A829-419C-8CEE-E4AA9820829A}"/>
    <cellStyle name="Calculation 2 3 12 4" xfId="14213" xr:uid="{C87B3D20-05F7-4009-BD68-3A74CF4528BB}"/>
    <cellStyle name="Calculation 2 3 12 4 2" xfId="50716" xr:uid="{B788C17D-2E6E-492A-B720-F77B9F094EF0}"/>
    <cellStyle name="Calculation 2 3 12 5" xfId="27186" xr:uid="{C10B8882-C9EB-4353-87D5-0D74F02F5116}"/>
    <cellStyle name="Calculation 2 3 13" xfId="7942" xr:uid="{E4604F6E-77C0-4711-B416-309CC3B5E01B}"/>
    <cellStyle name="Calculation 2 3 13 2" xfId="30566" xr:uid="{F4DB28BB-A545-4F6A-93A4-577EB9C30A0D}"/>
    <cellStyle name="Calculation 2 3 13 3" xfId="46583" xr:uid="{9F5A049D-3E5C-4C4E-9328-CCCED08722B4}"/>
    <cellStyle name="Calculation 2 3 14" xfId="15942" xr:uid="{227D0468-F9C1-4AC1-92BA-CF26FFABEB3F}"/>
    <cellStyle name="Calculation 2 3 14 2" xfId="38345" xr:uid="{02D1C8D8-A063-421F-9634-3801DC3A5948}"/>
    <cellStyle name="Calculation 2 3 14 3" xfId="32362" xr:uid="{7FE84032-7004-4120-9F89-F36385FF8917}"/>
    <cellStyle name="Calculation 2 3 15" xfId="20569" xr:uid="{496CD6ED-C2A1-443C-BB43-B0F9495FFDDB}"/>
    <cellStyle name="Calculation 2 3 15 2" xfId="50998" xr:uid="{89CDB4B7-0F0E-4B0E-B6AB-658FAEDD879F}"/>
    <cellStyle name="Calculation 2 3 16" xfId="52481" xr:uid="{C9EA1AC2-6482-4DFA-98B9-D6FD98AC756C}"/>
    <cellStyle name="Calculation 2 3 2" xfId="584" xr:uid="{00000000-0005-0000-0000-000037000000}"/>
    <cellStyle name="Calculation 2 3 2 10" xfId="20268" xr:uid="{366F371B-A53B-4E58-9FD7-B4CDA716F4BB}"/>
    <cellStyle name="Calculation 2 3 2 10 2" xfId="26240" xr:uid="{C78D54DF-B5AC-4EC9-9D41-8A96782BD2AB}"/>
    <cellStyle name="Calculation 2 3 2 11" xfId="26649" xr:uid="{0DF1507E-94BF-4BCA-8F39-328F8395AB80}"/>
    <cellStyle name="Calculation 2 3 2 2" xfId="1718" xr:uid="{00000000-0005-0000-0000-000038000000}"/>
    <cellStyle name="Calculation 2 3 2 2 10" xfId="14419" xr:uid="{BF003C73-7EE0-4A7C-932E-F94B9B21F508}"/>
    <cellStyle name="Calculation 2 3 2 2 10 2" xfId="36885" xr:uid="{6F87F698-F515-40EE-AF72-B7005F2E5DCD}"/>
    <cellStyle name="Calculation 2 3 2 2 10 3" xfId="48874" xr:uid="{7F98F012-3183-447E-856A-44EFAFD46440}"/>
    <cellStyle name="Calculation 2 3 2 2 11" xfId="19628" xr:uid="{426D44A4-B99A-48FF-87D8-C981680EE378}"/>
    <cellStyle name="Calculation 2 3 2 2 11 2" xfId="41979" xr:uid="{F337D638-275F-4451-B52F-BB1F20260B18}"/>
    <cellStyle name="Calculation 2 3 2 2 11 3" xfId="27798" xr:uid="{7EC03144-736A-4B08-BCDF-4E8707850266}"/>
    <cellStyle name="Calculation 2 3 2 2 12" xfId="15211" xr:uid="{B73E8F3E-A8B2-4CE9-9878-F7A4CF782FF9}"/>
    <cellStyle name="Calculation 2 3 2 2 12 2" xfId="41864" xr:uid="{249868F6-75F6-4D64-88BC-0E1E7695FBD3}"/>
    <cellStyle name="Calculation 2 3 2 2 13" xfId="43722" xr:uid="{FE7D381A-86D1-441D-8EE6-BDF22C8847A6}"/>
    <cellStyle name="Calculation 2 3 2 2 2" xfId="3816" xr:uid="{00000000-0005-0000-0000-000038000000}"/>
    <cellStyle name="Calculation 2 3 2 2 2 2" xfId="10720" xr:uid="{26A8FFB0-D847-4721-B853-EF4772969439}"/>
    <cellStyle name="Calculation 2 3 2 2 2 2 2" xfId="33206" xr:uid="{355B726D-A9EE-4B96-9989-F314FFDBB30D}"/>
    <cellStyle name="Calculation 2 3 2 2 2 2 3" xfId="46749" xr:uid="{EA1741C6-07A5-4E2F-A318-6278F16561F7}"/>
    <cellStyle name="Calculation 2 3 2 2 2 3" xfId="15876" xr:uid="{A1C5155F-4CD4-426B-830E-EDCCD4B120BA}"/>
    <cellStyle name="Calculation 2 3 2 2 2 3 2" xfId="38282" xr:uid="{7A80EBDF-ACC8-4D70-9585-69F04C7C0DE5}"/>
    <cellStyle name="Calculation 2 3 2 2 2 3 3" xfId="24945" xr:uid="{8A8F2FCA-5370-4343-A562-889B500E8811}"/>
    <cellStyle name="Calculation 2 3 2 2 2 4" xfId="20266" xr:uid="{7BB1D060-B825-4701-96B2-90704C7E18EC}"/>
    <cellStyle name="Calculation 2 3 2 2 2 4 2" xfId="45944" xr:uid="{606F53F0-C090-4527-B40F-6282885980AD}"/>
    <cellStyle name="Calculation 2 3 2 2 2 5" xfId="50269" xr:uid="{B3C2B90E-6201-4B75-A538-0A87C0346D84}"/>
    <cellStyle name="Calculation 2 3 2 2 3" xfId="5232" xr:uid="{00000000-0005-0000-0000-000038000000}"/>
    <cellStyle name="Calculation 2 3 2 2 3 2" xfId="12124" xr:uid="{443473CE-3A39-45F2-B98A-4C6EF7BDA3D4}"/>
    <cellStyle name="Calculation 2 3 2 2 3 2 2" xfId="34609" xr:uid="{8F6E4BE9-2615-4AA0-A723-34E158FEB621}"/>
    <cellStyle name="Calculation 2 3 2 2 3 2 3" xfId="26540" xr:uid="{3CD101A9-05D3-4879-A355-05C1D6B3D368}"/>
    <cellStyle name="Calculation 2 3 2 2 3 3" xfId="17169" xr:uid="{C371B63A-A610-4CAD-A6FC-3C1C07A6AF8D}"/>
    <cellStyle name="Calculation 2 3 2 2 3 3 2" xfId="39559" xr:uid="{F57B5AD3-D6BE-464A-9961-145F88206F3D}"/>
    <cellStyle name="Calculation 2 3 2 2 3 3 3" xfId="28604" xr:uid="{0B0447A8-5350-4604-9D8E-547CFFC7E889}"/>
    <cellStyle name="Calculation 2 3 2 2 3 4" xfId="21593" xr:uid="{10C61966-694A-40FC-81C1-B490C89B1F49}"/>
    <cellStyle name="Calculation 2 3 2 2 3 4 2" xfId="46563" xr:uid="{3CF267C4-4C92-4E8C-A5B1-ABD57AB233BA}"/>
    <cellStyle name="Calculation 2 3 2 2 3 5" xfId="53983" xr:uid="{B6D4F32E-A332-41E1-A7E2-9967BC693415}"/>
    <cellStyle name="Calculation 2 3 2 2 4" xfId="5644" xr:uid="{00000000-0005-0000-0000-000038000000}"/>
    <cellStyle name="Calculation 2 3 2 2 4 2" xfId="12528" xr:uid="{F280F37E-DF99-433E-A59B-88D04506BE15}"/>
    <cellStyle name="Calculation 2 3 2 2 4 2 2" xfId="35013" xr:uid="{CCE6403B-7720-44FC-9A02-1F7216CE3B6C}"/>
    <cellStyle name="Calculation 2 3 2 2 4 2 3" xfId="30665" xr:uid="{67F92879-54C4-4DA5-B8FE-C16C48C90D83}"/>
    <cellStyle name="Calculation 2 3 2 2 4 3" xfId="17581" xr:uid="{79E94E4E-7315-45F5-8004-23A6F4CD4B78}"/>
    <cellStyle name="Calculation 2 3 2 2 4 3 2" xfId="39971" xr:uid="{5BC0FC31-8DD7-4080-89E9-D97160CA5DBE}"/>
    <cellStyle name="Calculation 2 3 2 2 4 3 3" xfId="44732" xr:uid="{5B29D750-1F7F-45F7-BE99-1812602EA4AC}"/>
    <cellStyle name="Calculation 2 3 2 2 4 4" xfId="22005" xr:uid="{D567EF16-64FE-4F94-9714-D47DD9B2A339}"/>
    <cellStyle name="Calculation 2 3 2 2 4 4 2" xfId="49880" xr:uid="{E4396C8B-F43C-4621-9F44-7CFAC215FF39}"/>
    <cellStyle name="Calculation 2 3 2 2 4 5" xfId="28390" xr:uid="{32DF60B1-20AE-4690-913E-78D67287AD6F}"/>
    <cellStyle name="Calculation 2 3 2 2 5" xfId="4877" xr:uid="{00000000-0005-0000-0000-000038000000}"/>
    <cellStyle name="Calculation 2 3 2 2 5 2" xfId="11772" xr:uid="{0E32E500-D83A-4071-9B40-F3396C88A34F}"/>
    <cellStyle name="Calculation 2 3 2 2 5 2 2" xfId="34258" xr:uid="{0FDE8B3C-404C-4B5F-9F07-C7FB1294446F}"/>
    <cellStyle name="Calculation 2 3 2 2 5 2 3" xfId="28075" xr:uid="{A507D1F1-54E2-4462-B3E4-6A2ABCF71461}"/>
    <cellStyle name="Calculation 2 3 2 2 5 3" xfId="16814" xr:uid="{73F1B935-48C8-49EA-8B59-0CEDF76D44EF}"/>
    <cellStyle name="Calculation 2 3 2 2 5 3 2" xfId="39204" xr:uid="{D56FA893-7831-4C94-87C3-F402583770BE}"/>
    <cellStyle name="Calculation 2 3 2 2 5 3 3" xfId="29555" xr:uid="{53A604EF-1B8B-4263-897E-3DBA750CFCCC}"/>
    <cellStyle name="Calculation 2 3 2 2 5 4" xfId="8668" xr:uid="{2B12E44A-581C-4978-A02F-497C6B0CFE6E}"/>
    <cellStyle name="Calculation 2 3 2 2 5 4 2" xfId="53615" xr:uid="{33C8396E-D56D-45E9-B33A-21F0DE9177EE}"/>
    <cellStyle name="Calculation 2 3 2 2 5 5" xfId="53536" xr:uid="{60D3338C-F618-4A17-A67A-77B6286B47FA}"/>
    <cellStyle name="Calculation 2 3 2 2 6" xfId="6383" xr:uid="{00000000-0005-0000-0000-000038000000}"/>
    <cellStyle name="Calculation 2 3 2 2 6 2" xfId="13255" xr:uid="{F4241067-6137-4545-8ECA-163B6414D285}"/>
    <cellStyle name="Calculation 2 3 2 2 6 2 2" xfId="35739" xr:uid="{E0AAB213-2AB3-411D-B260-610D02E8FF62}"/>
    <cellStyle name="Calculation 2 3 2 2 6 2 3" xfId="50384" xr:uid="{3CA29D45-DBF0-4FF8-8B8C-3CC13DF4D770}"/>
    <cellStyle name="Calculation 2 3 2 2 6 3" xfId="18320" xr:uid="{E29CE63B-01E2-4212-9F9F-2270F465509E}"/>
    <cellStyle name="Calculation 2 3 2 2 6 3 2" xfId="40710" xr:uid="{086F57AC-2E14-4CC9-B002-28BBA3D9B91F}"/>
    <cellStyle name="Calculation 2 3 2 2 6 3 3" xfId="31409" xr:uid="{7D2586AC-BAB1-4FD4-8446-1A83397B5A73}"/>
    <cellStyle name="Calculation 2 3 2 2 6 4" xfId="22744" xr:uid="{02472429-F91E-4DF3-A571-9117D15E4190}"/>
    <cellStyle name="Calculation 2 3 2 2 6 4 2" xfId="47443" xr:uid="{A0A745D8-86EF-4F77-833B-7DCE67595AFD}"/>
    <cellStyle name="Calculation 2 3 2 2 6 5" xfId="30800" xr:uid="{4CD3667B-82E2-4C6E-AFE8-AE77A07A5EA2}"/>
    <cellStyle name="Calculation 2 3 2 2 7" xfId="2320" xr:uid="{00000000-0005-0000-0000-000038000000}"/>
    <cellStyle name="Calculation 2 3 2 2 7 2" xfId="9230" xr:uid="{1D38ACCF-3197-4D8C-AC53-1B6D90B06A9C}"/>
    <cellStyle name="Calculation 2 3 2 2 7 2 2" xfId="31805" xr:uid="{F4E5FE5D-DB74-4208-B6AA-16D1FD862DF3}"/>
    <cellStyle name="Calculation 2 3 2 2 7 2 3" xfId="52912" xr:uid="{36932E73-27D8-4723-9468-F884ED7CC5BA}"/>
    <cellStyle name="Calculation 2 3 2 2 7 3" xfId="14882" xr:uid="{3EEA1320-D96C-425D-930C-6C6BE7EF13D2}"/>
    <cellStyle name="Calculation 2 3 2 2 7 3 2" xfId="37336" xr:uid="{D962AA1E-D94B-4503-BF90-F435D2F87A21}"/>
    <cellStyle name="Calculation 2 3 2 2 7 3 3" xfId="52790" xr:uid="{3664C43A-B117-4CA5-BEEE-1B98634C59EF}"/>
    <cellStyle name="Calculation 2 3 2 2 7 4" xfId="19261" xr:uid="{039375EB-FAC2-424D-84DA-0FB8351D759C}"/>
    <cellStyle name="Calculation 2 3 2 2 7 4 2" xfId="45432" xr:uid="{C1E1301E-0B4D-4028-8B1F-ADA0104FD4A4}"/>
    <cellStyle name="Calculation 2 3 2 2 7 5" xfId="50781" xr:uid="{F16F2A24-E98A-4042-9250-0533EB2BEF94}"/>
    <cellStyle name="Calculation 2 3 2 2 8" xfId="6900" xr:uid="{00000000-0005-0000-0000-000038000000}"/>
    <cellStyle name="Calculation 2 3 2 2 8 2" xfId="13738" xr:uid="{69940301-8450-4876-94FB-18DD57A86E44}"/>
    <cellStyle name="Calculation 2 3 2 2 8 2 2" xfId="36222" xr:uid="{6CA47FED-F55A-4DDA-A8EC-B8B88DD8F615}"/>
    <cellStyle name="Calculation 2 3 2 2 8 2 3" xfId="53189" xr:uid="{4F2FC373-E62E-4439-A844-89F8CEE50A18}"/>
    <cellStyle name="Calculation 2 3 2 2 8 3" xfId="18837" xr:uid="{0C58C6EF-A497-4115-B3E7-67E2D14FB808}"/>
    <cellStyle name="Calculation 2 3 2 2 8 3 2" xfId="41227" xr:uid="{60008EF8-DF67-4AB8-B0D1-CF3E5F706893}"/>
    <cellStyle name="Calculation 2 3 2 2 8 3 3" xfId="26174" xr:uid="{1D472DBE-BAFF-47F5-B310-0092B3D83774}"/>
    <cellStyle name="Calculation 2 3 2 2 8 4" xfId="23261" xr:uid="{51A14305-C9A6-4D15-A9BB-0D0339848808}"/>
    <cellStyle name="Calculation 2 3 2 2 8 4 2" xfId="28229" xr:uid="{178F2C28-EEF1-4773-B947-F8699A97258F}"/>
    <cellStyle name="Calculation 2 3 2 2 8 5" xfId="50773" xr:uid="{6A5EF90C-AC6F-48FA-B5C9-9E22F0C5CED6}"/>
    <cellStyle name="Calculation 2 3 2 2 9" xfId="5374" xr:uid="{00000000-0005-0000-0000-000038000000}"/>
    <cellStyle name="Calculation 2 3 2 2 9 2" xfId="17311" xr:uid="{C2C1E295-46CA-4357-B0A2-1F296DBF1D1E}"/>
    <cellStyle name="Calculation 2 3 2 2 9 2 2" xfId="39701" xr:uid="{E07A6CC6-5403-4AC0-B5FF-4B7B78409E0D}"/>
    <cellStyle name="Calculation 2 3 2 2 9 2 3" xfId="44697" xr:uid="{E0402C29-3EE1-4C3A-9C43-C5EEC8559A5E}"/>
    <cellStyle name="Calculation 2 3 2 2 9 3" xfId="21735" xr:uid="{BB2F7E42-9677-48AD-AC6C-086D70A75F0F}"/>
    <cellStyle name="Calculation 2 3 2 2 9 3 2" xfId="46333" xr:uid="{171869C9-D524-4B87-BE3A-F17D42E02C38}"/>
    <cellStyle name="Calculation 2 3 2 2 9 4" xfId="50680" xr:uid="{0AE3DACE-D650-4D5C-A564-1F08D037EC1E}"/>
    <cellStyle name="Calculation 2 3 2 3" xfId="2732" xr:uid="{00000000-0005-0000-0000-000037000000}"/>
    <cellStyle name="Calculation 2 3 2 3 2" xfId="9641" xr:uid="{53138A24-3F1D-4E52-9B6B-E1B987819BB5}"/>
    <cellStyle name="Calculation 2 3 2 3 2 2" xfId="32189" xr:uid="{80507797-F7BD-4F52-87CA-6ADF5D1C2B54}"/>
    <cellStyle name="Calculation 2 3 2 3 2 3" xfId="46437" xr:uid="{49189B01-6739-4650-96DC-7A4AC3A3156B}"/>
    <cellStyle name="Calculation 2 3 2 3 3" xfId="15159" xr:uid="{EAF1BA34-49B6-4EEF-8D4E-861CF48D896B}"/>
    <cellStyle name="Calculation 2 3 2 3 3 2" xfId="37599" xr:uid="{B90941C4-69D3-4241-AF79-138CE1CC56FC}"/>
    <cellStyle name="Calculation 2 3 2 3 3 3" xfId="47624" xr:uid="{E7C7B55C-6306-4667-A88A-D8E4757A271E}"/>
    <cellStyle name="Calculation 2 3 2 3 4" xfId="15405" xr:uid="{D3C1A7DA-40B0-4F18-B8B7-966163002E7C}"/>
    <cellStyle name="Calculation 2 3 2 3 4 2" xfId="54078" xr:uid="{52A80761-E3AC-43DA-AAB9-5179CFAEB4DC}"/>
    <cellStyle name="Calculation 2 3 2 3 5" xfId="47785" xr:uid="{81FBCAB9-AD55-42C7-9E2D-0D79F4DB645A}"/>
    <cellStyle name="Calculation 2 3 2 4" xfId="4523" xr:uid="{00000000-0005-0000-0000-000037000000}"/>
    <cellStyle name="Calculation 2 3 2 4 2" xfId="11425" xr:uid="{FF219833-606A-4CEC-9B14-F637299CF8DD}"/>
    <cellStyle name="Calculation 2 3 2 4 2 2" xfId="33911" xr:uid="{F2E49D8D-9873-477C-8F6A-410D1AA73B17}"/>
    <cellStyle name="Calculation 2 3 2 4 2 3" xfId="28969" xr:uid="{DF5ECA75-F0A8-4045-A1C2-0C2135D3472C}"/>
    <cellStyle name="Calculation 2 3 2 4 3" xfId="16460" xr:uid="{E3833E3D-09EA-4A3B-8FA0-36B3E8A6D70D}"/>
    <cellStyle name="Calculation 2 3 2 4 3 2" xfId="38850" xr:uid="{3FE7D475-2835-41F8-98C5-CB1743141665}"/>
    <cellStyle name="Calculation 2 3 2 4 3 3" xfId="36117" xr:uid="{79D31299-5D82-4E9B-B8D1-0C791DA698C4}"/>
    <cellStyle name="Calculation 2 3 2 4 4" xfId="14785" xr:uid="{19481D2E-1A18-45D1-9376-B1B97B8A1B9F}"/>
    <cellStyle name="Calculation 2 3 2 4 4 2" xfId="49320" xr:uid="{958883EC-49A5-4BE6-867D-AFF9164406AE}"/>
    <cellStyle name="Calculation 2 3 2 4 5" xfId="51605" xr:uid="{309B5F16-AFAF-47FC-9DD9-ABDC331F15BF}"/>
    <cellStyle name="Calculation 2 3 2 5" xfId="4717" xr:uid="{00000000-0005-0000-0000-000037000000}"/>
    <cellStyle name="Calculation 2 3 2 5 2" xfId="11615" xr:uid="{9B9AF080-2471-47EB-A5C0-0FCD0B5AC53F}"/>
    <cellStyle name="Calculation 2 3 2 5 2 2" xfId="34101" xr:uid="{C8AD28E6-66B2-4687-9A31-B411B5821F28}"/>
    <cellStyle name="Calculation 2 3 2 5 2 3" xfId="37423" xr:uid="{0DD96907-778D-4ED5-A860-17A7C964AA76}"/>
    <cellStyle name="Calculation 2 3 2 5 3" xfId="16654" xr:uid="{9C90B9BC-4F30-4BBC-9495-A61B112BA3E6}"/>
    <cellStyle name="Calculation 2 3 2 5 3 2" xfId="39044" xr:uid="{571F913D-79AD-457E-B9B5-6A898AD22EA4}"/>
    <cellStyle name="Calculation 2 3 2 5 3 3" xfId="24106" xr:uid="{1A11FDED-8AB4-415E-9F06-B534D6443CBA}"/>
    <cellStyle name="Calculation 2 3 2 5 4" xfId="19474" xr:uid="{6B14D48F-692A-43AC-BCA6-3229D3E2AB9E}"/>
    <cellStyle name="Calculation 2 3 2 5 4 2" xfId="45060" xr:uid="{B7334F9C-3D16-4116-AAAF-BEB3B7A05237}"/>
    <cellStyle name="Calculation 2 3 2 5 5" xfId="46292" xr:uid="{802F6FC9-CE85-4C70-BBD3-FDDDF00AADE8}"/>
    <cellStyle name="Calculation 2 3 2 6" xfId="5620" xr:uid="{00000000-0005-0000-0000-000037000000}"/>
    <cellStyle name="Calculation 2 3 2 6 2" xfId="12504" xr:uid="{4123CC26-8263-4207-B3BE-EBC32FD41651}"/>
    <cellStyle name="Calculation 2 3 2 6 2 2" xfId="34989" xr:uid="{2278ED0F-C732-40E3-995C-2B89D4087EE3}"/>
    <cellStyle name="Calculation 2 3 2 6 2 3" xfId="45014" xr:uid="{DAC7BA7A-9D69-4ABE-AB46-28B64CE0B0BD}"/>
    <cellStyle name="Calculation 2 3 2 6 3" xfId="17557" xr:uid="{639C8264-000A-4EC6-B55A-30D9FB641CEB}"/>
    <cellStyle name="Calculation 2 3 2 6 3 2" xfId="39947" xr:uid="{2AC150AA-C3B7-4FDF-8835-11175F265265}"/>
    <cellStyle name="Calculation 2 3 2 6 3 3" xfId="29300" xr:uid="{BF4AC2BB-5B20-45D2-90B8-79930207D963}"/>
    <cellStyle name="Calculation 2 3 2 6 4" xfId="21981" xr:uid="{17C839DB-8C45-4729-9CB3-00AF935AF3ED}"/>
    <cellStyle name="Calculation 2 3 2 6 4 2" xfId="53190" xr:uid="{092255B0-C192-42DE-A790-2111E4F989E3}"/>
    <cellStyle name="Calculation 2 3 2 6 5" xfId="46639" xr:uid="{8B57872C-174B-434B-94F1-C9309EAF6043}"/>
    <cellStyle name="Calculation 2 3 2 7" xfId="2336" xr:uid="{00000000-0005-0000-0000-000037000000}"/>
    <cellStyle name="Calculation 2 3 2 7 2" xfId="9245" xr:uid="{EF705E78-ABBC-45E3-8BC0-DAAE8B108370}"/>
    <cellStyle name="Calculation 2 3 2 7 2 2" xfId="31820" xr:uid="{FE60BF6F-780D-44C2-B8B8-1E3282D18B00}"/>
    <cellStyle name="Calculation 2 3 2 7 2 3" xfId="47171" xr:uid="{5A4EA26B-FC1B-4E29-8D93-6C63E7F20C46}"/>
    <cellStyle name="Calculation 2 3 2 7 3" xfId="14896" xr:uid="{59B697FD-F83D-4B1D-901F-A9BE829B2ACB}"/>
    <cellStyle name="Calculation 2 3 2 7 3 2" xfId="37350" xr:uid="{B28FC5F0-48F5-45CC-9969-2F40556FBE9A}"/>
    <cellStyle name="Calculation 2 3 2 7 3 3" xfId="52360" xr:uid="{C3C6ABA0-7B17-47B8-8514-6A51FB47BE96}"/>
    <cellStyle name="Calculation 2 3 2 7 4" xfId="20177" xr:uid="{C31DDF5B-A4C9-4510-8877-F1EFDF2E1618}"/>
    <cellStyle name="Calculation 2 3 2 7 4 2" xfId="45073" xr:uid="{D60351E6-EFC7-49C4-8FA2-3919DA523F05}"/>
    <cellStyle name="Calculation 2 3 2 7 5" xfId="46654" xr:uid="{A13D3698-4A08-4A8D-BBC5-D2E4EE8C8085}"/>
    <cellStyle name="Calculation 2 3 2 8" xfId="7484" xr:uid="{108C8E27-D38D-4518-8E81-AFCF66D8326F}"/>
    <cellStyle name="Calculation 2 3 2 8 2" xfId="30153" xr:uid="{34EE608B-C117-4F17-8892-CF99A3B8CFCB}"/>
    <cellStyle name="Calculation 2 3 2 8 3" xfId="50980" xr:uid="{F83FAAD8-D6D8-4B70-82C1-B98F8667208E}"/>
    <cellStyle name="Calculation 2 3 2 9" xfId="19216" xr:uid="{E2710781-77D8-41F7-AAB4-F6791BB45969}"/>
    <cellStyle name="Calculation 2 3 2 9 2" xfId="41604" xr:uid="{7DED187C-5C0F-4D59-B6C9-BF11E6F61DC1}"/>
    <cellStyle name="Calculation 2 3 2 9 3" xfId="24668" xr:uid="{9DD8303B-96D5-4BC2-9CC6-0AD6F01CD96E}"/>
    <cellStyle name="Calculation 2 3 3" xfId="830" xr:uid="{00000000-0005-0000-0000-000039000000}"/>
    <cellStyle name="Calculation 2 3 3 10" xfId="19323" xr:uid="{E98E9B1D-73A1-4CC7-BE4A-C742F3D75B6C}"/>
    <cellStyle name="Calculation 2 3 3 10 2" xfId="26496" xr:uid="{46D78B9E-4FBF-4CFF-8D3C-DBA92823237D}"/>
    <cellStyle name="Calculation 2 3 3 11" xfId="27820" xr:uid="{2DDEC8B3-15FE-4A0A-BB5D-818D42C8B3D6}"/>
    <cellStyle name="Calculation 2 3 3 2" xfId="1816" xr:uid="{00000000-0005-0000-0000-00003A000000}"/>
    <cellStyle name="Calculation 2 3 3 2 10" xfId="14500" xr:uid="{13AB2E37-43E7-4AE3-9D44-D528432DB8CF}"/>
    <cellStyle name="Calculation 2 3 3 2 10 2" xfId="36961" xr:uid="{3334E7D7-8685-4A12-9F7F-E3CC6D597502}"/>
    <cellStyle name="Calculation 2 3 3 2 10 3" xfId="27524" xr:uid="{0424ACB9-FE23-4D38-945F-1D761AD28DEE}"/>
    <cellStyle name="Calculation 2 3 3 2 11" xfId="15193" xr:uid="{064073F6-285B-4E6E-B6F4-901C7E28D9B2}"/>
    <cellStyle name="Calculation 2 3 3 2 11 2" xfId="37633" xr:uid="{008F86F5-13C2-42BC-A6BE-95D27549CA4E}"/>
    <cellStyle name="Calculation 2 3 3 2 11 3" xfId="53672" xr:uid="{92FFF51C-EC5E-4DA4-B368-46F84801A7C9}"/>
    <cellStyle name="Calculation 2 3 3 2 12" xfId="20884" xr:uid="{EFDBC8CE-FBDA-4D9D-8DA1-9E0C1E8AE943}"/>
    <cellStyle name="Calculation 2 3 3 2 12 2" xfId="49930" xr:uid="{90191F6F-D1B2-47CE-BA89-C28CE82D5F92}"/>
    <cellStyle name="Calculation 2 3 3 2 13" xfId="50021" xr:uid="{8C827358-8BAF-435B-8E35-FFC057F8DA7B}"/>
    <cellStyle name="Calculation 2 3 3 2 2" xfId="3914" xr:uid="{00000000-0005-0000-0000-00003A000000}"/>
    <cellStyle name="Calculation 2 3 3 2 2 2" xfId="10818" xr:uid="{09B975B5-066F-4D8D-9FBB-A1A3F7F7F003}"/>
    <cellStyle name="Calculation 2 3 3 2 2 2 2" xfId="33304" xr:uid="{CAAD9F3B-7672-4FB4-91B0-DB6926D23808}"/>
    <cellStyle name="Calculation 2 3 3 2 2 2 3" xfId="47741" xr:uid="{DC009710-49B3-487B-B2FC-4B482242E743}"/>
    <cellStyle name="Calculation 2 3 3 2 2 3" xfId="15956" xr:uid="{F2AD5151-761A-43BC-9C7C-A5328825483F}"/>
    <cellStyle name="Calculation 2 3 3 2 2 3 2" xfId="38359" xr:uid="{1B403178-FF1F-4AD6-A545-5D105A620355}"/>
    <cellStyle name="Calculation 2 3 3 2 2 3 3" xfId="50212" xr:uid="{ACAEFF2B-BD35-4AE2-A158-6EC6CF72CE72}"/>
    <cellStyle name="Calculation 2 3 3 2 2 4" xfId="20931" xr:uid="{BDF6B97C-5F88-4C50-88A6-0DC6CB238E02}"/>
    <cellStyle name="Calculation 2 3 3 2 2 4 2" xfId="50663" xr:uid="{E7FCE2AE-187B-4905-945D-D75822948E8F}"/>
    <cellStyle name="Calculation 2 3 3 2 2 5" xfId="32495" xr:uid="{0F7B23FD-C249-4AA3-84D7-3E6F8DB2D877}"/>
    <cellStyle name="Calculation 2 3 3 2 3" xfId="5309" xr:uid="{00000000-0005-0000-0000-00003A000000}"/>
    <cellStyle name="Calculation 2 3 3 2 3 2" xfId="12201" xr:uid="{3CCBF0B9-30AB-4989-A681-D979FB3CC05B}"/>
    <cellStyle name="Calculation 2 3 3 2 3 2 2" xfId="34686" xr:uid="{21086EFA-AC80-4CFE-A6AF-221723EE0696}"/>
    <cellStyle name="Calculation 2 3 3 2 3 2 3" xfId="29277" xr:uid="{0416DECD-1D05-40FC-AE2C-B94EED7035E0}"/>
    <cellStyle name="Calculation 2 3 3 2 3 3" xfId="17246" xr:uid="{804FFAC0-30FB-4071-83CB-BE7512E321BE}"/>
    <cellStyle name="Calculation 2 3 3 2 3 3 2" xfId="39636" xr:uid="{279306C4-53ED-414B-9DF3-781944AEA9DC}"/>
    <cellStyle name="Calculation 2 3 3 2 3 3 3" xfId="45365" xr:uid="{6ED57546-F566-410E-8EEA-702BFFFD6B36}"/>
    <cellStyle name="Calculation 2 3 3 2 3 4" xfId="21670" xr:uid="{C6F6ED60-EB56-4073-B6F2-F996EB88D7D4}"/>
    <cellStyle name="Calculation 2 3 3 2 3 4 2" xfId="24529" xr:uid="{DAE43B7E-A005-4CC9-99A8-9EE936CB706D}"/>
    <cellStyle name="Calculation 2 3 3 2 3 5" xfId="52663" xr:uid="{FB0B40B1-3776-45E6-8D0A-1C2E38722AFB}"/>
    <cellStyle name="Calculation 2 3 3 2 4" xfId="5719" xr:uid="{00000000-0005-0000-0000-00003A000000}"/>
    <cellStyle name="Calculation 2 3 3 2 4 2" xfId="12603" xr:uid="{AD9A105C-FD40-47EE-8D8C-B6A30B9790F0}"/>
    <cellStyle name="Calculation 2 3 3 2 4 2 2" xfId="35088" xr:uid="{4464744A-3913-40ED-A856-275A1E03CB02}"/>
    <cellStyle name="Calculation 2 3 3 2 4 2 3" xfId="42996" xr:uid="{D159175D-C6C0-4824-B5E5-D11C3F733B24}"/>
    <cellStyle name="Calculation 2 3 3 2 4 3" xfId="17656" xr:uid="{752A5D53-319F-4E6B-BBD7-2AE61FB82112}"/>
    <cellStyle name="Calculation 2 3 3 2 4 3 2" xfId="40046" xr:uid="{A4DAE970-0633-401C-9F2C-7C588224910D}"/>
    <cellStyle name="Calculation 2 3 3 2 4 3 3" xfId="28632" xr:uid="{B6D3FF98-886E-47B5-8478-71278A1C4734}"/>
    <cellStyle name="Calculation 2 3 3 2 4 4" xfId="22080" xr:uid="{2B96A06F-4391-4276-B95A-369D169001F2}"/>
    <cellStyle name="Calculation 2 3 3 2 4 4 2" xfId="50219" xr:uid="{B6C86E86-6D30-443B-84EA-F5CA742A53E5}"/>
    <cellStyle name="Calculation 2 3 3 2 4 5" xfId="49408" xr:uid="{25B3BD25-26DE-4D65-8F56-2FFE19BC566C}"/>
    <cellStyle name="Calculation 2 3 3 2 5" xfId="6073" xr:uid="{00000000-0005-0000-0000-00003A000000}"/>
    <cellStyle name="Calculation 2 3 3 2 5 2" xfId="12951" xr:uid="{EEA7752D-1CCB-4C45-AD3F-6AB382F017A7}"/>
    <cellStyle name="Calculation 2 3 3 2 5 2 2" xfId="35435" xr:uid="{B311AF73-4960-4399-9B32-A3F046E1592D}"/>
    <cellStyle name="Calculation 2 3 3 2 5 2 3" xfId="53239" xr:uid="{B30B4B9D-7DE9-46A0-B8A3-F469E6EF3527}"/>
    <cellStyle name="Calculation 2 3 3 2 5 3" xfId="18010" xr:uid="{87812433-8A16-4362-8EC4-7F86DC6B4BD5}"/>
    <cellStyle name="Calculation 2 3 3 2 5 3 2" xfId="40400" xr:uid="{073F0A69-A488-4683-A76D-FD9AC80D37F0}"/>
    <cellStyle name="Calculation 2 3 3 2 5 3 3" xfId="45405" xr:uid="{5CFA78B5-6BA9-4F96-A4FF-B939714A0B9F}"/>
    <cellStyle name="Calculation 2 3 3 2 5 4" xfId="22434" xr:uid="{6D12CE95-289B-46A5-B904-FD55D98C5B66}"/>
    <cellStyle name="Calculation 2 3 3 2 5 4 2" xfId="49737" xr:uid="{B155FC94-50A5-473B-8AFF-88B9B4FC9583}"/>
    <cellStyle name="Calculation 2 3 3 2 5 5" xfId="48564" xr:uid="{D1B5CDC7-AC09-49DF-B3D6-7D3A2A176D01}"/>
    <cellStyle name="Calculation 2 3 3 2 6" xfId="6448" xr:uid="{00000000-0005-0000-0000-00003A000000}"/>
    <cellStyle name="Calculation 2 3 3 2 6 2" xfId="13318" xr:uid="{9FE8560E-52C8-4A4F-A75B-0B7FF6688FB5}"/>
    <cellStyle name="Calculation 2 3 3 2 6 2 2" xfId="35802" xr:uid="{2A1A102A-7882-41D7-ADA3-A38F4F6CFFEB}"/>
    <cellStyle name="Calculation 2 3 3 2 6 2 3" xfId="49582" xr:uid="{1AB3972C-6B70-476D-9EB4-06391FE5E117}"/>
    <cellStyle name="Calculation 2 3 3 2 6 3" xfId="18385" xr:uid="{397FDF7E-B778-44D5-9CC6-5DA525C5F4B1}"/>
    <cellStyle name="Calculation 2 3 3 2 6 3 2" xfId="40775" xr:uid="{4EE0CAA8-7B95-4903-9B7D-C08CBAB9B5DB}"/>
    <cellStyle name="Calculation 2 3 3 2 6 3 3" xfId="28462" xr:uid="{5261DB06-3C0D-4E0F-8398-646C3C7D18BF}"/>
    <cellStyle name="Calculation 2 3 3 2 6 4" xfId="22809" xr:uid="{73E352D9-5FB7-4AC1-B4D1-CE71E696026A}"/>
    <cellStyle name="Calculation 2 3 3 2 6 4 2" xfId="44311" xr:uid="{1FF88439-AB85-4EB4-8F77-F2D9CC0D53AA}"/>
    <cellStyle name="Calculation 2 3 3 2 6 5" xfId="49065" xr:uid="{93357381-A4AD-4403-9312-108F88E5DBE5}"/>
    <cellStyle name="Calculation 2 3 3 2 7" xfId="6769" xr:uid="{00000000-0005-0000-0000-00003A000000}"/>
    <cellStyle name="Calculation 2 3 3 2 7 2" xfId="13620" xr:uid="{23E91683-2F94-4507-A506-B0CDE2A3FF20}"/>
    <cellStyle name="Calculation 2 3 3 2 7 2 2" xfId="36104" xr:uid="{1C8D85BA-5B0D-4FD7-83E4-8AD92E1AE291}"/>
    <cellStyle name="Calculation 2 3 3 2 7 2 3" xfId="54086" xr:uid="{865AE24A-F9FA-48F7-8A76-6302AD543A14}"/>
    <cellStyle name="Calculation 2 3 3 2 7 3" xfId="18706" xr:uid="{3538387C-74C0-46F5-8A0F-FAD325A6C6C1}"/>
    <cellStyle name="Calculation 2 3 3 2 7 3 2" xfId="41096" xr:uid="{54F33B59-12B3-4FAE-A4F5-1EEADBAC0A46}"/>
    <cellStyle name="Calculation 2 3 3 2 7 3 3" xfId="44645" xr:uid="{0834B556-3DAB-47EF-8812-391D778E820D}"/>
    <cellStyle name="Calculation 2 3 3 2 7 4" xfId="23130" xr:uid="{88870420-A379-488C-9F4B-EA1363C6B364}"/>
    <cellStyle name="Calculation 2 3 3 2 7 4 2" xfId="53002" xr:uid="{2441EC2E-2F2D-4F09-8AE1-D8445975A6A7}"/>
    <cellStyle name="Calculation 2 3 3 2 7 5" xfId="45194" xr:uid="{C9649AA0-E3F0-4CDB-A7C0-FBDEE813A137}"/>
    <cellStyle name="Calculation 2 3 3 2 8" xfId="6948" xr:uid="{00000000-0005-0000-0000-00003A000000}"/>
    <cellStyle name="Calculation 2 3 3 2 8 2" xfId="13785" xr:uid="{C38EFB59-46A9-4328-9768-32585192110B}"/>
    <cellStyle name="Calculation 2 3 3 2 8 2 2" xfId="36269" xr:uid="{70A5BBBB-980F-454D-813D-D0AE6B4A04F3}"/>
    <cellStyle name="Calculation 2 3 3 2 8 2 3" xfId="52675" xr:uid="{D830A0F4-9A80-48AB-91B8-4BDD70FF04F1}"/>
    <cellStyle name="Calculation 2 3 3 2 8 3" xfId="18885" xr:uid="{D0FED5DB-6491-4AD6-A7F6-AD3A6955AB78}"/>
    <cellStyle name="Calculation 2 3 3 2 8 3 2" xfId="41275" xr:uid="{6BE80B28-17C8-4B09-BE7F-279116260929}"/>
    <cellStyle name="Calculation 2 3 3 2 8 3 3" xfId="28727" xr:uid="{23B643C3-3089-4DF4-BF06-3902A6B7C151}"/>
    <cellStyle name="Calculation 2 3 3 2 8 4" xfId="23309" xr:uid="{0D415559-AF5E-4D43-991A-92A34B721DDE}"/>
    <cellStyle name="Calculation 2 3 3 2 8 4 2" xfId="53332" xr:uid="{83DD0AA5-5C93-41C5-879B-DDB427DA50F7}"/>
    <cellStyle name="Calculation 2 3 3 2 8 5" xfId="49575" xr:uid="{1BDB1EC5-CFE8-4B5A-B197-C3414B7B564D}"/>
    <cellStyle name="Calculation 2 3 3 2 9" xfId="4504" xr:uid="{00000000-0005-0000-0000-00003A000000}"/>
    <cellStyle name="Calculation 2 3 3 2 9 2" xfId="16441" xr:uid="{85FCA8ED-7608-46BF-BA39-7F7D8F696513}"/>
    <cellStyle name="Calculation 2 3 3 2 9 2 2" xfId="38831" xr:uid="{2C16B76F-FB3F-4946-803B-107086288798}"/>
    <cellStyle name="Calculation 2 3 3 2 9 2 3" xfId="45528" xr:uid="{1DBDB66D-8911-4BD3-8B3E-75EA72E89741}"/>
    <cellStyle name="Calculation 2 3 3 2 9 3" xfId="21209" xr:uid="{DEFB8129-943D-4B78-9891-CDB0D58461AD}"/>
    <cellStyle name="Calculation 2 3 3 2 9 3 2" xfId="28881" xr:uid="{EC8085B2-B1AE-4207-A760-BDCD2BAD5D99}"/>
    <cellStyle name="Calculation 2 3 3 2 9 4" xfId="51446" xr:uid="{345F6115-2CAE-4F27-A8C5-585B1C0DEC6E}"/>
    <cellStyle name="Calculation 2 3 3 3" xfId="2964" xr:uid="{00000000-0005-0000-0000-000039000000}"/>
    <cellStyle name="Calculation 2 3 3 3 2" xfId="9873" xr:uid="{53410107-6DFA-4398-AC3A-DC76859CE674}"/>
    <cellStyle name="Calculation 2 3 3 3 2 2" xfId="32396" xr:uid="{4751290E-5128-4B9A-82D2-AB843D091769}"/>
    <cellStyle name="Calculation 2 3 3 3 2 3" xfId="25832" xr:uid="{F94FA0B4-0ADC-431C-B874-5491D5062F13}"/>
    <cellStyle name="Calculation 2 3 3 3 3" xfId="15312" xr:uid="{B085D6E2-5FF8-441A-86A7-AA8860794DC1}"/>
    <cellStyle name="Calculation 2 3 3 3 3 2" xfId="37744" xr:uid="{E32CBB5A-E5AC-442F-B6F6-040FC42F0DB8}"/>
    <cellStyle name="Calculation 2 3 3 3 3 3" xfId="52728" xr:uid="{DE8B3098-1DCB-4345-AB79-42EF82B2FF75}"/>
    <cellStyle name="Calculation 2 3 3 3 4" xfId="14889" xr:uid="{D7CFF667-DC19-42AF-A1A7-C154A10708C4}"/>
    <cellStyle name="Calculation 2 3 3 3 4 2" xfId="24331" xr:uid="{1A7AFB5E-F9E9-40FF-B83D-B455E75E7A91}"/>
    <cellStyle name="Calculation 2 3 3 3 5" xfId="47085" xr:uid="{5078455A-E5C0-4A97-A07C-EE6E753D5CCA}"/>
    <cellStyle name="Calculation 2 3 3 4" xfId="4674" xr:uid="{00000000-0005-0000-0000-000039000000}"/>
    <cellStyle name="Calculation 2 3 3 4 2" xfId="11572" xr:uid="{0FF11415-65EA-4CED-BD25-9FAC95CA4448}"/>
    <cellStyle name="Calculation 2 3 3 4 2 2" xfId="34058" xr:uid="{776ED546-ED45-449C-BBE6-C10862AC0B4E}"/>
    <cellStyle name="Calculation 2 3 3 4 2 3" xfId="42605" xr:uid="{2DE94111-3BFD-4A3B-A228-E45E3F691F78}"/>
    <cellStyle name="Calculation 2 3 3 4 3" xfId="16611" xr:uid="{861F1508-8588-4F28-8BE9-647FF7696B95}"/>
    <cellStyle name="Calculation 2 3 3 4 3 2" xfId="39001" xr:uid="{4A10B505-4607-4E11-9AE0-3BB24BFA1513}"/>
    <cellStyle name="Calculation 2 3 3 4 3 3" xfId="26575" xr:uid="{3362A526-12CA-493C-87C6-EB650AEDB72A}"/>
    <cellStyle name="Calculation 2 3 3 4 4" xfId="7954" xr:uid="{CFF2A5BF-36B9-40B0-B8AD-7E175251FCA9}"/>
    <cellStyle name="Calculation 2 3 3 4 4 2" xfId="27556" xr:uid="{D3CCA05E-382D-441C-8748-DBF7D8812F62}"/>
    <cellStyle name="Calculation 2 3 3 4 5" xfId="47198" xr:uid="{A2207290-4F20-4A57-95EE-BE9A1C13097F}"/>
    <cellStyle name="Calculation 2 3 3 5" xfId="4642" xr:uid="{00000000-0005-0000-0000-000039000000}"/>
    <cellStyle name="Calculation 2 3 3 5 2" xfId="11542" xr:uid="{11E77C37-A0B3-4196-81F2-F2B469FC25E9}"/>
    <cellStyle name="Calculation 2 3 3 5 2 2" xfId="34028" xr:uid="{62E5D022-6612-434B-BC5B-FB594715EAAB}"/>
    <cellStyle name="Calculation 2 3 3 5 2 3" xfId="37727" xr:uid="{70ECAD43-9A97-4EAE-A5B9-BDEA0C3DFD02}"/>
    <cellStyle name="Calculation 2 3 3 5 3" xfId="16579" xr:uid="{2EAA22B3-6822-48BA-B260-4EBFE42B83EF}"/>
    <cellStyle name="Calculation 2 3 3 5 3 2" xfId="38969" xr:uid="{A11A02C3-46A6-41FF-883D-2E34BB4E7E15}"/>
    <cellStyle name="Calculation 2 3 3 5 3 3" xfId="29650" xr:uid="{C2082717-1E25-47FB-B71D-3A25D613C5D5}"/>
    <cellStyle name="Calculation 2 3 3 5 4" xfId="15674" xr:uid="{34709C48-2121-46CD-9652-34EB2682D6D1}"/>
    <cellStyle name="Calculation 2 3 3 5 4 2" xfId="51940" xr:uid="{A4D5E638-4270-4385-87A5-ACB2076565B0}"/>
    <cellStyle name="Calculation 2 3 3 5 5" xfId="52630" xr:uid="{76C26F75-5F3E-47BD-A9BC-087C2D066A31}"/>
    <cellStyle name="Calculation 2 3 3 6" xfId="4634" xr:uid="{00000000-0005-0000-0000-000039000000}"/>
    <cellStyle name="Calculation 2 3 3 6 2" xfId="11535" xr:uid="{169740FB-7E34-49CD-B7E1-B5AF533FA5BB}"/>
    <cellStyle name="Calculation 2 3 3 6 2 2" xfId="34021" xr:uid="{0A77F3AE-DF51-4E34-B8D4-C195583AC187}"/>
    <cellStyle name="Calculation 2 3 3 6 2 3" xfId="45285" xr:uid="{1CD02E2A-A8B1-45C6-B658-7D30B77ACC35}"/>
    <cellStyle name="Calculation 2 3 3 6 3" xfId="16571" xr:uid="{7933CD7C-0DD3-40FF-8302-AB42020A2A6C}"/>
    <cellStyle name="Calculation 2 3 3 6 3 2" xfId="38961" xr:uid="{7052B2C6-7B14-45B7-A95E-C01278E206ED}"/>
    <cellStyle name="Calculation 2 3 3 6 3 3" xfId="44606" xr:uid="{D868B3B1-A73E-40F4-ACD3-4CA6B709EB8C}"/>
    <cellStyle name="Calculation 2 3 3 6 4" xfId="19394" xr:uid="{283E69E6-8889-4932-A236-A52DCB53C754}"/>
    <cellStyle name="Calculation 2 3 3 6 4 2" xfId="28843" xr:uid="{9E022E5D-D4D7-4F45-BD83-28ED1AD57448}"/>
    <cellStyle name="Calculation 2 3 3 6 5" xfId="49842" xr:uid="{8BD9783A-45C7-4521-89E6-D0500619D5ED}"/>
    <cellStyle name="Calculation 2 3 3 7" xfId="6750" xr:uid="{00000000-0005-0000-0000-000039000000}"/>
    <cellStyle name="Calculation 2 3 3 7 2" xfId="13606" xr:uid="{F66E9D7D-99B8-4B0E-876F-859EFD649143}"/>
    <cellStyle name="Calculation 2 3 3 7 2 2" xfId="36090" xr:uid="{74EBA684-786B-4A88-81CF-FE0D294E47F5}"/>
    <cellStyle name="Calculation 2 3 3 7 2 3" xfId="46168" xr:uid="{6FBD1672-5C00-476F-A214-03877294A004}"/>
    <cellStyle name="Calculation 2 3 3 7 3" xfId="18687" xr:uid="{3F71A4D0-56BF-4C14-B0F4-05D78AFC4B22}"/>
    <cellStyle name="Calculation 2 3 3 7 3 2" xfId="41077" xr:uid="{41C21E54-138D-4C83-8357-ECEA378F79E7}"/>
    <cellStyle name="Calculation 2 3 3 7 3 3" xfId="42286" xr:uid="{2601052C-9B22-4723-9EE1-CCBECA022B3F}"/>
    <cellStyle name="Calculation 2 3 3 7 4" xfId="23111" xr:uid="{0AE7DFF1-D3E1-46A9-AB23-6C01B32A2067}"/>
    <cellStyle name="Calculation 2 3 3 7 4 2" xfId="48671" xr:uid="{4BB91B62-71A5-4CEC-AB14-6D5318FDB2EF}"/>
    <cellStyle name="Calculation 2 3 3 7 5" xfId="45242" xr:uid="{40E7710A-FFF9-499C-AC9D-C245C8F4EAC6}"/>
    <cellStyle name="Calculation 2 3 3 8" xfId="8884" xr:uid="{64DB6E6A-3985-482F-90B1-2C480E3B3759}"/>
    <cellStyle name="Calculation 2 3 3 8 2" xfId="31465" xr:uid="{F535CC7D-EFFD-45D9-AC3A-E6D54CC05B67}"/>
    <cellStyle name="Calculation 2 3 3 8 3" xfId="53765" xr:uid="{EB53C0CF-A762-49A1-BE20-858580F12AB0}"/>
    <cellStyle name="Calculation 2 3 3 9" xfId="19945" xr:uid="{E76E802D-ED73-4996-B911-7BBB3F891E88}"/>
    <cellStyle name="Calculation 2 3 3 9 2" xfId="42275" xr:uid="{273F6DCE-4741-4015-8C98-2817AC1232DC}"/>
    <cellStyle name="Calculation 2 3 3 9 3" xfId="24804" xr:uid="{02ED183E-15DF-4D48-B71B-0C4D4F02BBA5}"/>
    <cellStyle name="Calculation 2 3 4" xfId="1016" xr:uid="{00000000-0005-0000-0000-00003B000000}"/>
    <cellStyle name="Calculation 2 3 4 10" xfId="14230" xr:uid="{7B498B15-DD2E-4F0C-91A5-6158FAE62A41}"/>
    <cellStyle name="Calculation 2 3 4 10 2" xfId="27661" xr:uid="{510A5BDF-09EB-4E1A-8E3D-B2D9484DFB4A}"/>
    <cellStyle name="Calculation 2 3 4 11" xfId="24747" xr:uid="{4FD9100B-21AA-4632-A389-AB5E5C67975C}"/>
    <cellStyle name="Calculation 2 3 4 2" xfId="1906" xr:uid="{00000000-0005-0000-0000-00003C000000}"/>
    <cellStyle name="Calculation 2 3 4 2 10" xfId="14576" xr:uid="{36BFD921-D771-4204-9ABF-CE97FAED2031}"/>
    <cellStyle name="Calculation 2 3 4 2 10 2" xfId="37037" xr:uid="{278823BB-D552-432F-BD1A-94B7B3068FAA}"/>
    <cellStyle name="Calculation 2 3 4 2 10 3" xfId="28011" xr:uid="{C85A92D2-80D6-4FC7-A73A-682841D0473E}"/>
    <cellStyle name="Calculation 2 3 4 2 11" xfId="19926" xr:uid="{2FE52BF5-C32F-4B1F-BA7C-FE66591716B6}"/>
    <cellStyle name="Calculation 2 3 4 2 11 2" xfId="42258" xr:uid="{8DF6D88E-F46E-4C37-BC3D-8514523084FF}"/>
    <cellStyle name="Calculation 2 3 4 2 11 3" xfId="44660" xr:uid="{7037BDAF-2428-49F0-B78B-2423B1DC6DC2}"/>
    <cellStyle name="Calculation 2 3 4 2 12" xfId="15927" xr:uid="{DF702CD7-8485-4098-AEF5-B02A91ED38A3}"/>
    <cellStyle name="Calculation 2 3 4 2 12 2" xfId="44005" xr:uid="{0974192A-DA7E-4AB5-AAE3-1B8B749103D4}"/>
    <cellStyle name="Calculation 2 3 4 2 13" xfId="52933" xr:uid="{C90D43AF-ADFE-4BF4-9BE8-B01908C56EF2}"/>
    <cellStyle name="Calculation 2 3 4 2 2" xfId="4004" xr:uid="{00000000-0005-0000-0000-00003C000000}"/>
    <cellStyle name="Calculation 2 3 4 2 2 2" xfId="10908" xr:uid="{11726385-9A1B-4806-B0F7-FBEAEB7AFEC3}"/>
    <cellStyle name="Calculation 2 3 4 2 2 2 2" xfId="33394" xr:uid="{7B9E9F88-5178-4FC4-9777-CD08E7A3F19D}"/>
    <cellStyle name="Calculation 2 3 4 2 2 2 3" xfId="50712" xr:uid="{82FF0331-B229-485C-933E-8DA5B227DAC3}"/>
    <cellStyle name="Calculation 2 3 4 2 2 3" xfId="16028" xr:uid="{9CB391CF-4923-4C62-8693-B9DC63017952}"/>
    <cellStyle name="Calculation 2 3 4 2 2 3 2" xfId="38429" xr:uid="{A46D5648-D021-479E-957B-F6660D2CB672}"/>
    <cellStyle name="Calculation 2 3 4 2 2 3 3" xfId="48054" xr:uid="{252D1F04-BC00-4302-B7F5-4D072DB4AA6F}"/>
    <cellStyle name="Calculation 2 3 4 2 2 4" xfId="20071" xr:uid="{1B6D8C4E-16A8-48F8-B193-A83DDE24D26F}"/>
    <cellStyle name="Calculation 2 3 4 2 2 4 2" xfId="26196" xr:uid="{40197516-364B-48D7-BFD9-ECB8E7080E9E}"/>
    <cellStyle name="Calculation 2 3 4 2 2 5" xfId="49680" xr:uid="{35E6CC7A-3CAF-4495-97F0-0AA5E7000870}"/>
    <cellStyle name="Calculation 2 3 4 2 3" xfId="5378" xr:uid="{00000000-0005-0000-0000-00003C000000}"/>
    <cellStyle name="Calculation 2 3 4 2 3 2" xfId="12269" xr:uid="{8A83F40C-B69A-48EA-9B1C-5719EEBF9340}"/>
    <cellStyle name="Calculation 2 3 4 2 3 2 2" xfId="34754" xr:uid="{B0A63D3D-56B9-4FEC-981B-CE00BACEEB64}"/>
    <cellStyle name="Calculation 2 3 4 2 3 2 3" xfId="29390" xr:uid="{A199A435-BEEE-410E-A7E8-748638CCB3D4}"/>
    <cellStyle name="Calculation 2 3 4 2 3 3" xfId="17315" xr:uid="{A1428A95-6B76-4092-B786-F3944F21F2BD}"/>
    <cellStyle name="Calculation 2 3 4 2 3 3 2" xfId="39705" xr:uid="{622CFAAB-3F99-417D-9BAD-798BC0353BDC}"/>
    <cellStyle name="Calculation 2 3 4 2 3 3 3" xfId="29236" xr:uid="{D7FBA684-ED1C-4B4B-BE8D-AF16E91079B5}"/>
    <cellStyle name="Calculation 2 3 4 2 3 4" xfId="21739" xr:uid="{19DC902C-8D78-40B4-AE34-A593B34A7D0F}"/>
    <cellStyle name="Calculation 2 3 4 2 3 4 2" xfId="46372" xr:uid="{41198E52-CF7F-454A-BEB1-F93C24A8828D}"/>
    <cellStyle name="Calculation 2 3 4 2 3 5" xfId="51010" xr:uid="{B148C4BB-DE95-4BC8-A00C-A5F479A95352}"/>
    <cellStyle name="Calculation 2 3 4 2 4" xfId="5792" xr:uid="{00000000-0005-0000-0000-00003C000000}"/>
    <cellStyle name="Calculation 2 3 4 2 4 2" xfId="12675" xr:uid="{BC4F566E-2BBB-4CAC-AC3B-3B967CFB13C3}"/>
    <cellStyle name="Calculation 2 3 4 2 4 2 2" xfId="35160" xr:uid="{E367E739-B98B-44AF-90A5-9F2E95DD1D66}"/>
    <cellStyle name="Calculation 2 3 4 2 4 2 3" xfId="27652" xr:uid="{AC96F641-EA02-457B-A0B6-45E3FE5D8040}"/>
    <cellStyle name="Calculation 2 3 4 2 4 3" xfId="17729" xr:uid="{E3CC443C-8CB5-4D31-99B7-DF2560BFA084}"/>
    <cellStyle name="Calculation 2 3 4 2 4 3 2" xfId="40119" xr:uid="{7470EAA3-5527-46FC-991B-6CF5101AA840}"/>
    <cellStyle name="Calculation 2 3 4 2 4 3 3" xfId="44412" xr:uid="{4E7F0A7E-37AB-4FBC-A1AF-56B52A16CB1D}"/>
    <cellStyle name="Calculation 2 3 4 2 4 4" xfId="22153" xr:uid="{3B180726-F1FE-476A-9E87-2738C6559AD4}"/>
    <cellStyle name="Calculation 2 3 4 2 4 4 2" xfId="29505" xr:uid="{D999E8A7-EAB1-4F18-A2DD-EAC034EF8619}"/>
    <cellStyle name="Calculation 2 3 4 2 4 5" xfId="45924" xr:uid="{C75261C6-C31B-4411-A08C-381F90823370}"/>
    <cellStyle name="Calculation 2 3 4 2 5" xfId="6137" xr:uid="{00000000-0005-0000-0000-00003C000000}"/>
    <cellStyle name="Calculation 2 3 4 2 5 2" xfId="13014" xr:uid="{25DA0521-D2E0-4AED-84E5-7D21F5238C35}"/>
    <cellStyle name="Calculation 2 3 4 2 5 2 2" xfId="35498" xr:uid="{EC9780E9-D18A-4085-A198-CB73966A63E3}"/>
    <cellStyle name="Calculation 2 3 4 2 5 2 3" xfId="52495" xr:uid="{B2C8101F-6780-45D1-9758-6072EE1FDD67}"/>
    <cellStyle name="Calculation 2 3 4 2 5 3" xfId="18074" xr:uid="{969760F0-FFC8-4C00-9F45-771E110FC962}"/>
    <cellStyle name="Calculation 2 3 4 2 5 3 2" xfId="40464" xr:uid="{CD624CEF-BE25-4BB3-8D10-4CCED35EFC08}"/>
    <cellStyle name="Calculation 2 3 4 2 5 3 3" xfId="32767" xr:uid="{EF995787-BD39-42A6-A06D-E34D477BCC30}"/>
    <cellStyle name="Calculation 2 3 4 2 5 4" xfId="22498" xr:uid="{0CC9660A-3E5A-47E2-AAAA-FDFC8A0BB4D2}"/>
    <cellStyle name="Calculation 2 3 4 2 5 4 2" xfId="46078" xr:uid="{1FF16337-2D34-43F6-B01C-D2E243BD3DB0}"/>
    <cellStyle name="Calculation 2 3 4 2 5 5" xfId="48569" xr:uid="{CACC4FF7-D999-492E-A841-9FA3D7E9FC01}"/>
    <cellStyle name="Calculation 2 3 4 2 6" xfId="6510" xr:uid="{00000000-0005-0000-0000-00003C000000}"/>
    <cellStyle name="Calculation 2 3 4 2 6 2" xfId="13379" xr:uid="{65741F1A-CB21-43C8-9048-7771CEF22BB0}"/>
    <cellStyle name="Calculation 2 3 4 2 6 2 2" xfId="35863" xr:uid="{F807F993-7B7F-413A-8DC5-DFDEE3CC963A}"/>
    <cellStyle name="Calculation 2 3 4 2 6 2 3" xfId="43776" xr:uid="{76E4CA7B-E2F1-4A0E-9B2D-C574A5B1C700}"/>
    <cellStyle name="Calculation 2 3 4 2 6 3" xfId="18447" xr:uid="{C0EE60C1-9D10-49BB-9A5A-31D94EFC2258}"/>
    <cellStyle name="Calculation 2 3 4 2 6 3 2" xfId="40837" xr:uid="{6BAD402D-F952-4F05-B771-CF384D3B0C69}"/>
    <cellStyle name="Calculation 2 3 4 2 6 3 3" xfId="23790" xr:uid="{6E297DD8-78E0-4016-9E48-D68881B269C9}"/>
    <cellStyle name="Calculation 2 3 4 2 6 4" xfId="22871" xr:uid="{6F288891-4B55-45F8-BB7C-4F1BF8BE9B1A}"/>
    <cellStyle name="Calculation 2 3 4 2 6 4 2" xfId="47038" xr:uid="{6EA9014E-8EDA-4FFA-A6CB-90D39A21D593}"/>
    <cellStyle name="Calculation 2 3 4 2 6 5" xfId="48492" xr:uid="{0F97091C-EF4B-43B1-8CDE-C55BADC57587}"/>
    <cellStyle name="Calculation 2 3 4 2 7" xfId="6178" xr:uid="{00000000-0005-0000-0000-00003C000000}"/>
    <cellStyle name="Calculation 2 3 4 2 7 2" xfId="13054" xr:uid="{87CCCC54-2496-4197-BF61-84214AF9E1F6}"/>
    <cellStyle name="Calculation 2 3 4 2 7 2 2" xfId="35538" xr:uid="{ED16889F-70B0-4E84-8395-B689B05F0B6E}"/>
    <cellStyle name="Calculation 2 3 4 2 7 2 3" xfId="49913" xr:uid="{C3877210-F904-4699-8025-F33751A5317E}"/>
    <cellStyle name="Calculation 2 3 4 2 7 3" xfId="18115" xr:uid="{E0B1FEDC-D3EB-4211-925D-D8ABAAE935AC}"/>
    <cellStyle name="Calculation 2 3 4 2 7 3 2" xfId="40505" xr:uid="{D4DA8C29-0339-40C4-9A31-12D9F5866A08}"/>
    <cellStyle name="Calculation 2 3 4 2 7 3 3" xfId="45063" xr:uid="{1105E5A4-1D63-4EFA-92CE-216F9C0A4AC9}"/>
    <cellStyle name="Calculation 2 3 4 2 7 4" xfId="22539" xr:uid="{3FBF4C5F-8880-4A9C-A35A-C6CF9F951E93}"/>
    <cellStyle name="Calculation 2 3 4 2 7 4 2" xfId="51707" xr:uid="{F43EC5BA-3B4D-42C1-9DBA-1103167F8CE0}"/>
    <cellStyle name="Calculation 2 3 4 2 7 5" xfId="53617" xr:uid="{5F887E4A-BD71-4FA7-8113-7FC53EA82E01}"/>
    <cellStyle name="Calculation 2 3 4 2 8" xfId="6994" xr:uid="{00000000-0005-0000-0000-00003C000000}"/>
    <cellStyle name="Calculation 2 3 4 2 8 2" xfId="13831" xr:uid="{94599DDA-B9A9-478A-9005-618F855E6445}"/>
    <cellStyle name="Calculation 2 3 4 2 8 2 2" xfId="36315" xr:uid="{604D1444-CAC0-4871-99AE-B02D0E95B56C}"/>
    <cellStyle name="Calculation 2 3 4 2 8 2 3" xfId="45027" xr:uid="{B559D5D8-C02D-4349-9866-82B5FAC4F7BB}"/>
    <cellStyle name="Calculation 2 3 4 2 8 3" xfId="18931" xr:uid="{ADA08D5F-7BE9-4835-9976-B5E8AFEC3403}"/>
    <cellStyle name="Calculation 2 3 4 2 8 3 2" xfId="41321" xr:uid="{590F2C8E-34F9-4C1D-A8E2-DAB711AA8937}"/>
    <cellStyle name="Calculation 2 3 4 2 8 3 3" xfId="25828" xr:uid="{D9DD1FA4-30B4-40A7-92BD-CC06C14A5348}"/>
    <cellStyle name="Calculation 2 3 4 2 8 4" xfId="23355" xr:uid="{5DE4B7B1-5920-43EE-B613-7854B730B7FA}"/>
    <cellStyle name="Calculation 2 3 4 2 8 4 2" xfId="30988" xr:uid="{A3FCD6C3-7BA1-438E-B9A4-FB05145902CF}"/>
    <cellStyle name="Calculation 2 3 4 2 8 5" xfId="29208" xr:uid="{2AAD092D-CCE7-4AAA-B688-63AF7E062ED1}"/>
    <cellStyle name="Calculation 2 3 4 2 9" xfId="5002" xr:uid="{00000000-0005-0000-0000-00003C000000}"/>
    <cellStyle name="Calculation 2 3 4 2 9 2" xfId="16939" xr:uid="{36543341-4135-4DF8-8995-8842B806E697}"/>
    <cellStyle name="Calculation 2 3 4 2 9 2 2" xfId="39329" xr:uid="{30C8FA35-77CF-4AFC-B52C-0D96D1116930}"/>
    <cellStyle name="Calculation 2 3 4 2 9 2 3" xfId="42295" xr:uid="{14946F7D-5154-4908-9E8B-83BEFA92F6F7}"/>
    <cellStyle name="Calculation 2 3 4 2 9 3" xfId="21363" xr:uid="{EF812197-C070-4177-97DD-B7B3A3F19194}"/>
    <cellStyle name="Calculation 2 3 4 2 9 3 2" xfId="28682" xr:uid="{92129676-DBDE-4682-B037-9BD27ED5D677}"/>
    <cellStyle name="Calculation 2 3 4 2 9 4" xfId="36793" xr:uid="{63A665B0-AEDF-425C-8BE2-9BB2D08FCCB0}"/>
    <cellStyle name="Calculation 2 3 4 3" xfId="3143" xr:uid="{00000000-0005-0000-0000-00003B000000}"/>
    <cellStyle name="Calculation 2 3 4 3 2" xfId="10052" xr:uid="{FD8A1B2B-353C-4C32-AD08-2BC8D77EA7DD}"/>
    <cellStyle name="Calculation 2 3 4 3 2 2" xfId="32559" xr:uid="{2476B29E-7838-4FBB-ACE0-F3A1957DCB5C}"/>
    <cellStyle name="Calculation 2 3 4 3 2 3" xfId="50154" xr:uid="{13204341-1C92-4089-ABBE-087BAFA995D1}"/>
    <cellStyle name="Calculation 2 3 4 3 3" xfId="15430" xr:uid="{3095D8F1-05DC-46ED-9B87-CBC2E171037C}"/>
    <cellStyle name="Calculation 2 3 4 3 3 2" xfId="37856" xr:uid="{E9399691-DAA3-415D-8C33-2D4DA5F78BE2}"/>
    <cellStyle name="Calculation 2 3 4 3 3 3" xfId="46635" xr:uid="{77275BBB-88CB-4868-A62C-EC666AEF6EFC}"/>
    <cellStyle name="Calculation 2 3 4 3 4" xfId="15295" xr:uid="{1FB8B323-C896-4DF6-9984-034D05FAB705}"/>
    <cellStyle name="Calculation 2 3 4 3 4 2" xfId="44792" xr:uid="{A1A9EC52-678F-4A1B-9E87-1D75C6A2CA00}"/>
    <cellStyle name="Calculation 2 3 4 3 5" xfId="52961" xr:uid="{50C18155-E91D-433F-9039-5E77416545A0}"/>
    <cellStyle name="Calculation 2 3 4 4" xfId="4791" xr:uid="{00000000-0005-0000-0000-00003B000000}"/>
    <cellStyle name="Calculation 2 3 4 4 2" xfId="11688" xr:uid="{2744CF3E-0FD1-477C-A252-C927737244D1}"/>
    <cellStyle name="Calculation 2 3 4 4 2 2" xfId="34174" xr:uid="{A6EE95FB-2122-4078-9893-8B3D2145D998}"/>
    <cellStyle name="Calculation 2 3 4 4 2 3" xfId="30954" xr:uid="{7CAFACB7-218C-4A3B-B888-23FCAF227F94}"/>
    <cellStyle name="Calculation 2 3 4 4 3" xfId="16728" xr:uid="{F41F630C-ED6D-44B0-A515-290BC728127B}"/>
    <cellStyle name="Calculation 2 3 4 4 3 2" xfId="39118" xr:uid="{56246381-1F1D-46E6-8BAD-1E8D9297E379}"/>
    <cellStyle name="Calculation 2 3 4 4 3 3" xfId="45499" xr:uid="{2CBC0121-8EB4-4DEB-AB3E-90F75365A25F}"/>
    <cellStyle name="Calculation 2 3 4 4 4" xfId="12854" xr:uid="{43A8E4BE-EB20-4E74-96E0-3923CE087DB9}"/>
    <cellStyle name="Calculation 2 3 4 4 4 2" xfId="51205" xr:uid="{671A36DC-04DF-4664-8636-A077F3570886}"/>
    <cellStyle name="Calculation 2 3 4 4 5" xfId="51500" xr:uid="{82B19665-C38E-47A5-A6D7-FC01172E3970}"/>
    <cellStyle name="Calculation 2 3 4 5" xfId="4715" xr:uid="{00000000-0005-0000-0000-00003B000000}"/>
    <cellStyle name="Calculation 2 3 4 5 2" xfId="11613" xr:uid="{EB4752AB-7F8A-4A50-A67F-F61CD36E77E1}"/>
    <cellStyle name="Calculation 2 3 4 5 2 2" xfId="34099" xr:uid="{D9E1F357-7933-4527-8D16-F0B761612EBB}"/>
    <cellStyle name="Calculation 2 3 4 5 2 3" xfId="24692" xr:uid="{7C63CA7D-CB4A-4B1A-AF70-EC32623AC7CC}"/>
    <cellStyle name="Calculation 2 3 4 5 3" xfId="16652" xr:uid="{2D2B59EC-F094-415C-8066-3FF6883F5AEC}"/>
    <cellStyle name="Calculation 2 3 4 5 3 2" xfId="39042" xr:uid="{BF1A7FB1-479A-452B-94C0-C16E8B5647C4}"/>
    <cellStyle name="Calculation 2 3 4 5 3 3" xfId="44768" xr:uid="{B3CED550-1B5A-491B-83D8-0CB3239C016A}"/>
    <cellStyle name="Calculation 2 3 4 5 4" xfId="14325" xr:uid="{5115C570-E635-48ED-8039-444A0CE24F70}"/>
    <cellStyle name="Calculation 2 3 4 5 4 2" xfId="48793" xr:uid="{55054FA9-3B64-40E9-B7CD-80C19BC65624}"/>
    <cellStyle name="Calculation 2 3 4 5 5" xfId="49160" xr:uid="{EC6B83A5-86CB-4E8B-83C9-8A1C4C84CEDD}"/>
    <cellStyle name="Calculation 2 3 4 6" xfId="4481" xr:uid="{00000000-0005-0000-0000-00003B000000}"/>
    <cellStyle name="Calculation 2 3 4 6 2" xfId="11383" xr:uid="{D1CA866F-9E99-487D-9A8F-15ACC35F2C83}"/>
    <cellStyle name="Calculation 2 3 4 6 2 2" xfId="33869" xr:uid="{5EBA65D9-6E99-4F6D-BB7A-4C18D29E69BB}"/>
    <cellStyle name="Calculation 2 3 4 6 2 3" xfId="32632" xr:uid="{513B8538-48EA-4D39-9FC7-9979F590CF48}"/>
    <cellStyle name="Calculation 2 3 4 6 3" xfId="16418" xr:uid="{386A5282-4D68-4DEA-816A-E605ABF7ABBA}"/>
    <cellStyle name="Calculation 2 3 4 6 3 2" xfId="38808" xr:uid="{879B5CDB-4E91-455A-9B3A-4C8E911D2CD3}"/>
    <cellStyle name="Calculation 2 3 4 6 3 3" xfId="28329" xr:uid="{D0901FAC-D271-4C86-A555-FBB44E2B9395}"/>
    <cellStyle name="Calculation 2 3 4 6 4" xfId="15043" xr:uid="{9C1F2BC6-8A4A-4D27-B915-5DE7E61DD9E9}"/>
    <cellStyle name="Calculation 2 3 4 6 4 2" xfId="52147" xr:uid="{80FC066F-8C0F-4A90-9461-6E4FCFC5E967}"/>
    <cellStyle name="Calculation 2 3 4 6 5" xfId="52009" xr:uid="{3405CFD1-FDE3-4D82-B06B-87590FC7079E}"/>
    <cellStyle name="Calculation 2 3 4 7" xfId="6887" xr:uid="{00000000-0005-0000-0000-00003B000000}"/>
    <cellStyle name="Calculation 2 3 4 7 2" xfId="13725" xr:uid="{A77F9A97-4C3C-46C0-B4E1-1D030638BE43}"/>
    <cellStyle name="Calculation 2 3 4 7 2 2" xfId="36209" xr:uid="{31A12AC1-5E42-4537-A6D9-766E55814EB4}"/>
    <cellStyle name="Calculation 2 3 4 7 2 3" xfId="28981" xr:uid="{FEC9BB30-F6C0-4FC1-B317-DE20230BC1AE}"/>
    <cellStyle name="Calculation 2 3 4 7 3" xfId="18824" xr:uid="{DC568485-A266-4A80-8C4D-EAF8135FE31C}"/>
    <cellStyle name="Calculation 2 3 4 7 3 2" xfId="41214" xr:uid="{50AAF2C7-D5CA-4FF2-93A8-C09BBF3DF3E7}"/>
    <cellStyle name="Calculation 2 3 4 7 3 3" xfId="26557" xr:uid="{63028E72-ED7E-402F-A551-3A5BEC591D11}"/>
    <cellStyle name="Calculation 2 3 4 7 4" xfId="23248" xr:uid="{C1288A02-135D-4ECC-8D42-F722CBF68B88}"/>
    <cellStyle name="Calculation 2 3 4 7 4 2" xfId="47455" xr:uid="{F25D59E9-B5B9-4057-930F-80EE91036205}"/>
    <cellStyle name="Calculation 2 3 4 7 5" xfId="30227" xr:uid="{FB449D67-4F8B-485A-B250-3E2E994D1875}"/>
    <cellStyle name="Calculation 2 3 4 8" xfId="7585" xr:uid="{E91F8C71-B8C5-41E5-A95B-665FB0CFAEEE}"/>
    <cellStyle name="Calculation 2 3 4 8 2" xfId="30248" xr:uid="{CDE1F48D-3584-4033-B61A-E4B83C0527E4}"/>
    <cellStyle name="Calculation 2 3 4 8 3" xfId="52181" xr:uid="{18FC4A14-84AB-495E-8E05-71516CC3A99A}"/>
    <cellStyle name="Calculation 2 3 4 9" xfId="20207" xr:uid="{DB737857-88CA-4AC7-BEF0-D966DD83C58D}"/>
    <cellStyle name="Calculation 2 3 4 9 2" xfId="42515" xr:uid="{9D8CC25E-A899-4983-96C7-2641033047F8}"/>
    <cellStyle name="Calculation 2 3 4 9 3" xfId="27508" xr:uid="{4C573310-C5D6-4603-B48A-54B3E8656C6C}"/>
    <cellStyle name="Calculation 2 3 5" xfId="1200" xr:uid="{00000000-0005-0000-0000-00003D000000}"/>
    <cellStyle name="Calculation 2 3 5 10" xfId="19521" xr:uid="{336A9EA0-1B04-4E14-9E41-0D6F6086525B}"/>
    <cellStyle name="Calculation 2 3 5 10 2" xfId="31904" xr:uid="{B4785C16-63A4-4077-9E7C-546631489335}"/>
    <cellStyle name="Calculation 2 3 5 11" xfId="51680" xr:uid="{3EAD0F7A-F897-4B5C-A60E-02D1EE6E85F6}"/>
    <cellStyle name="Calculation 2 3 5 2" xfId="2000" xr:uid="{00000000-0005-0000-0000-00003E000000}"/>
    <cellStyle name="Calculation 2 3 5 2 10" xfId="14648" xr:uid="{31726C95-FFA8-4403-8703-50111A128F4A}"/>
    <cellStyle name="Calculation 2 3 5 2 10 2" xfId="37108" xr:uid="{85265CBC-BE12-49BD-A1CE-D60E919E2CFE}"/>
    <cellStyle name="Calculation 2 3 5 2 10 3" xfId="46696" xr:uid="{91EB092C-40E2-4B67-9BF6-CF3E92029981}"/>
    <cellStyle name="Calculation 2 3 5 2 11" xfId="21034" xr:uid="{73F5A475-BD47-4E9A-8140-0586E510B1A4}"/>
    <cellStyle name="Calculation 2 3 5 2 11 2" xfId="43283" xr:uid="{4774F3B3-4CE5-448B-BE7A-DB858EDB7F7A}"/>
    <cellStyle name="Calculation 2 3 5 2 11 3" xfId="48861" xr:uid="{8CE8EF25-0DA9-4249-9B4E-6261C43C4DA9}"/>
    <cellStyle name="Calculation 2 3 5 2 12" xfId="20383" xr:uid="{4DFB96AF-FF47-458D-AA07-D89992864629}"/>
    <cellStyle name="Calculation 2 3 5 2 12 2" xfId="29492" xr:uid="{29FC2F8B-8937-46B0-80FE-2A824AFFA372}"/>
    <cellStyle name="Calculation 2 3 5 2 13" xfId="29930" xr:uid="{4D22F03E-69F4-48ED-9532-7BE773751181}"/>
    <cellStyle name="Calculation 2 3 5 2 2" xfId="4096" xr:uid="{00000000-0005-0000-0000-00003E000000}"/>
    <cellStyle name="Calculation 2 3 5 2 2 2" xfId="11000" xr:uid="{DD997BC4-D512-47DA-BE28-DA46DC79081F}"/>
    <cellStyle name="Calculation 2 3 5 2 2 2 2" xfId="33486" xr:uid="{AA3A5A83-7299-49A4-88F1-F525AAE409C9}"/>
    <cellStyle name="Calculation 2 3 5 2 2 2 3" xfId="42097" xr:uid="{927161AA-4337-4A9C-9E42-ABC26075A153}"/>
    <cellStyle name="Calculation 2 3 5 2 2 3" xfId="16100" xr:uid="{4B656505-FB9D-4715-9241-0FEB0D5664CB}"/>
    <cellStyle name="Calculation 2 3 5 2 2 3 2" xfId="38500" xr:uid="{CE239BD6-44D3-49AC-BADD-4F5DAE74315D}"/>
    <cellStyle name="Calculation 2 3 5 2 2 3 3" xfId="43739" xr:uid="{CDEDE8F3-9F0B-48CA-AB8A-2218DA095876}"/>
    <cellStyle name="Calculation 2 3 5 2 2 4" xfId="19962" xr:uid="{A766DE85-A443-48DF-B804-2013DCD075B6}"/>
    <cellStyle name="Calculation 2 3 5 2 2 4 2" xfId="25048" xr:uid="{AC786411-F1A1-403A-8FBF-77E5700A94AB}"/>
    <cellStyle name="Calculation 2 3 5 2 2 5" xfId="43608" xr:uid="{9E95BC01-87CD-4772-B8FC-171BD407AF85}"/>
    <cellStyle name="Calculation 2 3 5 2 3" xfId="5441" xr:uid="{00000000-0005-0000-0000-00003E000000}"/>
    <cellStyle name="Calculation 2 3 5 2 3 2" xfId="12331" xr:uid="{1785EE2C-9A91-4AFE-8A0F-B6C02736E239}"/>
    <cellStyle name="Calculation 2 3 5 2 3 2 2" xfId="34816" xr:uid="{6FB3B043-93D7-417C-8B64-5F2AF7EF4024}"/>
    <cellStyle name="Calculation 2 3 5 2 3 2 3" xfId="29517" xr:uid="{05DDB022-361B-45A7-BF4C-C53C0D941AA5}"/>
    <cellStyle name="Calculation 2 3 5 2 3 3" xfId="17378" xr:uid="{3B9B7248-FE9B-46AE-835F-277675E59960}"/>
    <cellStyle name="Calculation 2 3 5 2 3 3 2" xfId="39768" xr:uid="{CABC8C0A-9930-4152-995F-765F9A3735F8}"/>
    <cellStyle name="Calculation 2 3 5 2 3 3 3" xfId="44400" xr:uid="{DB282CFF-E72C-4851-A077-75D10431984F}"/>
    <cellStyle name="Calculation 2 3 5 2 3 4" xfId="21802" xr:uid="{FD4BBF76-BCAE-4D14-A5A6-47576383D9A1}"/>
    <cellStyle name="Calculation 2 3 5 2 3 4 2" xfId="44104" xr:uid="{17FBAAEA-91A6-493B-B0CA-560E9CDCF171}"/>
    <cellStyle name="Calculation 2 3 5 2 3 5" xfId="52183" xr:uid="{47227EAB-DEF5-47E2-A561-207C79F0F374}"/>
    <cellStyle name="Calculation 2 3 5 2 4" xfId="5864" xr:uid="{00000000-0005-0000-0000-00003E000000}"/>
    <cellStyle name="Calculation 2 3 5 2 4 2" xfId="12746" xr:uid="{A13FA322-5F8C-4085-A913-B2930FBB37E9}"/>
    <cellStyle name="Calculation 2 3 5 2 4 2 2" xfId="35230" xr:uid="{694E73C3-2E4F-4A84-84ED-A6556B763FFC}"/>
    <cellStyle name="Calculation 2 3 5 2 4 2 3" xfId="23995" xr:uid="{27A6B999-8989-4642-A4BB-1562BC84E0BE}"/>
    <cellStyle name="Calculation 2 3 5 2 4 3" xfId="17801" xr:uid="{E6133E5D-A8F1-4231-95BE-FBEF08F3F6A2}"/>
    <cellStyle name="Calculation 2 3 5 2 4 3 2" xfId="40191" xr:uid="{3F6452EE-857C-44DD-85C5-C4D59D2E5572}"/>
    <cellStyle name="Calculation 2 3 5 2 4 3 3" xfId="43985" xr:uid="{D0AA1E87-C684-4146-86B6-7A7DD0DDB739}"/>
    <cellStyle name="Calculation 2 3 5 2 4 4" xfId="22225" xr:uid="{5880E0E6-6670-41E7-BE11-0678F146E654}"/>
    <cellStyle name="Calculation 2 3 5 2 4 4 2" xfId="50603" xr:uid="{D7DC8528-69A3-45C3-B8C8-91F31D067372}"/>
    <cellStyle name="Calculation 2 3 5 2 4 5" xfId="49456" xr:uid="{294516EB-62E1-4E00-AF5C-A89762566DBD}"/>
    <cellStyle name="Calculation 2 3 5 2 5" xfId="6202" xr:uid="{00000000-0005-0000-0000-00003E000000}"/>
    <cellStyle name="Calculation 2 3 5 2 5 2" xfId="13077" xr:uid="{19CD7A6F-2E3F-4D1D-8656-194046FC52A3}"/>
    <cellStyle name="Calculation 2 3 5 2 5 2 2" xfId="35561" xr:uid="{6592B7A9-794A-42A5-80AE-AD19B7C329D9}"/>
    <cellStyle name="Calculation 2 3 5 2 5 2 3" xfId="52723" xr:uid="{E35E1623-D33A-4C01-9B61-FFA96EC8A980}"/>
    <cellStyle name="Calculation 2 3 5 2 5 3" xfId="18139" xr:uid="{12D112F0-E4E6-469D-96EF-D8E1FD04F888}"/>
    <cellStyle name="Calculation 2 3 5 2 5 3 2" xfId="40529" xr:uid="{93B971FF-42FC-4F5E-B187-EA403EA1A1E5}"/>
    <cellStyle name="Calculation 2 3 5 2 5 3 3" xfId="28653" xr:uid="{179395F5-500A-4BBC-851A-CDDDF819FC0F}"/>
    <cellStyle name="Calculation 2 3 5 2 5 4" xfId="22563" xr:uid="{B3876350-5F9C-44A9-B7A6-314308CD3B15}"/>
    <cellStyle name="Calculation 2 3 5 2 5 4 2" xfId="47001" xr:uid="{84CFC911-2F27-4529-B31E-CBEA44108665}"/>
    <cellStyle name="Calculation 2 3 5 2 5 5" xfId="28422" xr:uid="{66C071BA-7219-4CC1-AE32-53E4FE003E0C}"/>
    <cellStyle name="Calculation 2 3 5 2 6" xfId="6570" xr:uid="{00000000-0005-0000-0000-00003E000000}"/>
    <cellStyle name="Calculation 2 3 5 2 6 2" xfId="13436" xr:uid="{11B033D3-B112-432B-9672-27EDC6F7ADA9}"/>
    <cellStyle name="Calculation 2 3 5 2 6 2 2" xfId="35920" xr:uid="{2C85DC9C-CAB7-4847-BF8B-E0B5B4304ACD}"/>
    <cellStyle name="Calculation 2 3 5 2 6 2 3" xfId="49386" xr:uid="{F1A3C53A-F5BD-4FB7-B37B-26B2485E4831}"/>
    <cellStyle name="Calculation 2 3 5 2 6 3" xfId="18507" xr:uid="{BE5C9DE0-C10B-4004-9702-8F5CBCF955CD}"/>
    <cellStyle name="Calculation 2 3 5 2 6 3 2" xfId="40897" xr:uid="{BFE3B69B-411C-47E6-926F-38706C903712}"/>
    <cellStyle name="Calculation 2 3 5 2 6 3 3" xfId="27968" xr:uid="{DD053DA8-DC8D-4737-A69C-0ECB5631055F}"/>
    <cellStyle name="Calculation 2 3 5 2 6 4" xfId="22931" xr:uid="{1070F057-EF54-4AFD-A135-689E1AEB2753}"/>
    <cellStyle name="Calculation 2 3 5 2 6 4 2" xfId="45479" xr:uid="{34D01AAA-7CE5-4894-A00E-9E8280D8E2AB}"/>
    <cellStyle name="Calculation 2 3 5 2 6 5" xfId="32545" xr:uid="{7D14D1C4-870E-4F34-BC74-E3B2DF64F6BD}"/>
    <cellStyle name="Calculation 2 3 5 2 7" xfId="4977" xr:uid="{00000000-0005-0000-0000-00003E000000}"/>
    <cellStyle name="Calculation 2 3 5 2 7 2" xfId="11872" xr:uid="{3F687896-9523-4B84-AEC9-E98B7BBF5473}"/>
    <cellStyle name="Calculation 2 3 5 2 7 2 2" xfId="34358" xr:uid="{4DD2957F-289C-4522-A9A3-6E74E40AB725}"/>
    <cellStyle name="Calculation 2 3 5 2 7 2 3" xfId="25834" xr:uid="{A7C182BD-ADE8-4C35-A59F-CE0289643121}"/>
    <cellStyle name="Calculation 2 3 5 2 7 3" xfId="16914" xr:uid="{E96C543A-C49F-4978-A1A0-7964E044CFC0}"/>
    <cellStyle name="Calculation 2 3 5 2 7 3 2" xfId="39304" xr:uid="{0F25CA11-49C0-4EAC-88B5-57B60DADC9C7}"/>
    <cellStyle name="Calculation 2 3 5 2 7 3 3" xfId="42107" xr:uid="{9DEB0C39-D4B2-46A1-986F-96481811DBE0}"/>
    <cellStyle name="Calculation 2 3 5 2 7 4" xfId="21338" xr:uid="{17B3783E-CE76-4DC2-88C4-588C8A26DB75}"/>
    <cellStyle name="Calculation 2 3 5 2 7 4 2" xfId="50460" xr:uid="{E5D1664E-C418-4A95-A72F-3C71F23B297C}"/>
    <cellStyle name="Calculation 2 3 5 2 7 5" xfId="23644" xr:uid="{2692CC9E-9A04-4518-BCDF-1FDB07B34B6A}"/>
    <cellStyle name="Calculation 2 3 5 2 8" xfId="7040" xr:uid="{00000000-0005-0000-0000-00003E000000}"/>
    <cellStyle name="Calculation 2 3 5 2 8 2" xfId="13876" xr:uid="{0E7C5E59-3D85-404F-9472-AAD0400294F7}"/>
    <cellStyle name="Calculation 2 3 5 2 8 2 2" xfId="36360" xr:uid="{86266DE0-9C41-4B48-8109-848C71D9B11D}"/>
    <cellStyle name="Calculation 2 3 5 2 8 2 3" xfId="28774" xr:uid="{C8970CC8-DAB9-4531-A770-CADB91D0A980}"/>
    <cellStyle name="Calculation 2 3 5 2 8 3" xfId="18977" xr:uid="{03F80A3A-329A-424F-AB01-7268FCDCF571}"/>
    <cellStyle name="Calculation 2 3 5 2 8 3 2" xfId="41367" xr:uid="{880B5B28-C1E5-48EB-8F18-23985A3DBF61}"/>
    <cellStyle name="Calculation 2 3 5 2 8 3 3" xfId="43873" xr:uid="{D38F7430-0E9F-4AF9-9501-5AA44F164805}"/>
    <cellStyle name="Calculation 2 3 5 2 8 4" xfId="23401" xr:uid="{4AB68139-8C90-438F-90A6-D399506C308A}"/>
    <cellStyle name="Calculation 2 3 5 2 8 4 2" xfId="49900" xr:uid="{641D0680-D5BB-4517-8B59-29BEEA02C4CF}"/>
    <cellStyle name="Calculation 2 3 5 2 8 5" xfId="47409" xr:uid="{6897DB92-9D96-4263-B2C1-A5DEF404BF03}"/>
    <cellStyle name="Calculation 2 3 5 2 9" xfId="7155" xr:uid="{00000000-0005-0000-0000-00003E000000}"/>
    <cellStyle name="Calculation 2 3 5 2 9 2" xfId="19092" xr:uid="{5FF4B539-7565-4D76-97CC-50B4B95A829C}"/>
    <cellStyle name="Calculation 2 3 5 2 9 2 2" xfId="41482" xr:uid="{C3F2D44B-69B9-4685-982A-98EAB27DD543}"/>
    <cellStyle name="Calculation 2 3 5 2 9 2 3" xfId="42020" xr:uid="{C058A565-6BFE-4E7B-B343-FED466EC405F}"/>
    <cellStyle name="Calculation 2 3 5 2 9 3" xfId="23516" xr:uid="{D354056F-D8BE-4FF8-8DA3-503C191C1D84}"/>
    <cellStyle name="Calculation 2 3 5 2 9 3 2" xfId="46731" xr:uid="{095C9E6C-B1FF-4F82-8EE9-F5D05847C216}"/>
    <cellStyle name="Calculation 2 3 5 2 9 4" xfId="49906" xr:uid="{80C46DAB-264B-4C8C-9DFB-0FF87FCBBD00}"/>
    <cellStyle name="Calculation 2 3 5 3" xfId="3315" xr:uid="{00000000-0005-0000-0000-00003D000000}"/>
    <cellStyle name="Calculation 2 3 5 3 2" xfId="10223" xr:uid="{3F05765E-3026-43D3-9A63-A190D1A07A55}"/>
    <cellStyle name="Calculation 2 3 5 3 2 2" xfId="32717" xr:uid="{EA338C25-D0B4-4B75-AFE4-FCE62ADE1BD7}"/>
    <cellStyle name="Calculation 2 3 5 3 2 3" xfId="43437" xr:uid="{109748C5-A1E1-4401-A2AF-158848103D31}"/>
    <cellStyle name="Calculation 2 3 5 3 3" xfId="15541" xr:uid="{08DE26EB-0904-4698-A6D6-9FC68F16FEA0}"/>
    <cellStyle name="Calculation 2 3 5 3 3 2" xfId="37960" xr:uid="{9B4B8F73-27F6-42D2-B85F-814DD6FCDFBC}"/>
    <cellStyle name="Calculation 2 3 5 3 3 3" xfId="27117" xr:uid="{FCB95915-2029-43EB-B4A6-056E7354E973}"/>
    <cellStyle name="Calculation 2 3 5 3 4" xfId="15197" xr:uid="{6BAFBF23-4F0B-4366-A516-754A1A0EB56E}"/>
    <cellStyle name="Calculation 2 3 5 3 4 2" xfId="52724" xr:uid="{165D1028-E3AF-44E7-9395-5682866E4FFB}"/>
    <cellStyle name="Calculation 2 3 5 3 5" xfId="53083" xr:uid="{DE6DE135-063B-4720-A9E6-C60153F31D3E}"/>
    <cellStyle name="Calculation 2 3 5 4" xfId="4901" xr:uid="{00000000-0005-0000-0000-00003D000000}"/>
    <cellStyle name="Calculation 2 3 5 4 2" xfId="11796" xr:uid="{DA1BC504-9C24-4A42-BEEA-69FEF6D1A968}"/>
    <cellStyle name="Calculation 2 3 5 4 2 2" xfId="34282" xr:uid="{40206A5B-6CA8-4697-A82D-10A98C1BE2C3}"/>
    <cellStyle name="Calculation 2 3 5 4 2 3" xfId="42091" xr:uid="{AFFA1FF5-B351-4FDF-9726-5D74C412BFAB}"/>
    <cellStyle name="Calculation 2 3 5 4 3" xfId="16838" xr:uid="{8102BDD1-8ED0-45B4-B372-17284B0B3D9B}"/>
    <cellStyle name="Calculation 2 3 5 4 3 2" xfId="39228" xr:uid="{548E3521-267D-488B-9CD9-794DD837666D}"/>
    <cellStyle name="Calculation 2 3 5 4 3 3" xfId="42474" xr:uid="{56DEF04D-E1EC-4E60-A86B-F0635E73E643}"/>
    <cellStyle name="Calculation 2 3 5 4 4" xfId="21199" xr:uid="{966B1278-314B-44C8-B29E-0833D10393D5}"/>
    <cellStyle name="Calculation 2 3 5 4 4 2" xfId="49422" xr:uid="{BF1B345B-7D3B-46CF-852A-E39780BD76E7}"/>
    <cellStyle name="Calculation 2 3 5 4 5" xfId="25314" xr:uid="{28B1A8EA-4C68-4242-85FB-A72E5D39995B}"/>
    <cellStyle name="Calculation 2 3 5 5" xfId="2260" xr:uid="{00000000-0005-0000-0000-00003D000000}"/>
    <cellStyle name="Calculation 2 3 5 5 2" xfId="9172" xr:uid="{D29B3838-7026-4D7E-B860-6A4BBB66C33B}"/>
    <cellStyle name="Calculation 2 3 5 5 2 2" xfId="31747" xr:uid="{B5CB6EB4-9C9C-4C31-9F3E-6AF7B60B785F}"/>
    <cellStyle name="Calculation 2 3 5 5 2 3" xfId="50339" xr:uid="{82583D5B-8BEC-4C49-A5AA-625A05D49557}"/>
    <cellStyle name="Calculation 2 3 5 5 3" xfId="14830" xr:uid="{69E9BB9F-20E2-4D1E-B35F-E8FF402F7D82}"/>
    <cellStyle name="Calculation 2 3 5 5 3 2" xfId="37284" xr:uid="{72EC641E-1BF5-480A-BA08-84332B9BB958}"/>
    <cellStyle name="Calculation 2 3 5 5 3 3" xfId="45025" xr:uid="{917FB183-9DF5-4B8C-AFEE-2540DF426458}"/>
    <cellStyle name="Calculation 2 3 5 5 4" xfId="21204" xr:uid="{B3E31FFD-74CC-4FAA-A389-190759E6D25D}"/>
    <cellStyle name="Calculation 2 3 5 5 4 2" xfId="46263" xr:uid="{B978D888-7A17-484C-BDC5-5084569EA6A2}"/>
    <cellStyle name="Calculation 2 3 5 5 5" xfId="42873" xr:uid="{F48ECEF3-6E1C-492F-B26B-5F05F0DE6CA4}"/>
    <cellStyle name="Calculation 2 3 5 6" xfId="4597" xr:uid="{00000000-0005-0000-0000-00003D000000}"/>
    <cellStyle name="Calculation 2 3 5 6 2" xfId="11498" xr:uid="{6A90592A-98D6-423D-8E69-F8754E177BD7}"/>
    <cellStyle name="Calculation 2 3 5 6 2 2" xfId="33984" xr:uid="{4B8DABA7-6CB7-4A00-AA9E-84A52498F8DD}"/>
    <cellStyle name="Calculation 2 3 5 6 2 3" xfId="44148" xr:uid="{A87D84C4-97F5-462D-840B-EC9870D3FA04}"/>
    <cellStyle name="Calculation 2 3 5 6 3" xfId="16534" xr:uid="{8E72ADF2-212B-4FDB-9A87-CCC85597EB75}"/>
    <cellStyle name="Calculation 2 3 5 6 3 2" xfId="38924" xr:uid="{080B1E03-4EE7-433C-A984-F24FAA4E2E5D}"/>
    <cellStyle name="Calculation 2 3 5 6 3 3" xfId="44038" xr:uid="{6323C554-D3E9-4FCD-A301-69976B46A046}"/>
    <cellStyle name="Calculation 2 3 5 6 4" xfId="19715" xr:uid="{833A5E91-0B50-416D-B74F-CF8D2FDD18EA}"/>
    <cellStyle name="Calculation 2 3 5 6 4 2" xfId="45421" xr:uid="{69329CD8-E3FD-4A18-AAEB-BDE524B956A3}"/>
    <cellStyle name="Calculation 2 3 5 6 5" xfId="51930" xr:uid="{35CCC1D3-6EE5-4F79-BDF3-819B6FBC47F2}"/>
    <cellStyle name="Calculation 2 3 5 7" xfId="2362" xr:uid="{00000000-0005-0000-0000-00003D000000}"/>
    <cellStyle name="Calculation 2 3 5 7 2" xfId="9271" xr:uid="{8B618138-EB83-4ADE-9130-F7B9EA570504}"/>
    <cellStyle name="Calculation 2 3 5 7 2 2" xfId="31846" xr:uid="{0680CA1F-4AA9-4F71-B72B-3BD8AECFD3DF}"/>
    <cellStyle name="Calculation 2 3 5 7 2 3" xfId="46712" xr:uid="{A13D2619-DEF8-42EF-BF2C-735683FE3BA4}"/>
    <cellStyle name="Calculation 2 3 5 7 3" xfId="14917" xr:uid="{E5982D63-B29B-40AE-A986-DED85033E88D}"/>
    <cellStyle name="Calculation 2 3 5 7 3 2" xfId="37371" xr:uid="{7C179EF2-6928-4930-A1A5-5DA208D5D981}"/>
    <cellStyle name="Calculation 2 3 5 7 3 3" xfId="48447" xr:uid="{FCDA6AC1-AE63-4DBA-B694-CD911AF12ED2}"/>
    <cellStyle name="Calculation 2 3 5 7 4" xfId="20877" xr:uid="{46AAB4B3-0F06-4BBE-9460-3C6940D86E0D}"/>
    <cellStyle name="Calculation 2 3 5 7 4 2" xfId="47080" xr:uid="{3DC67DC4-9E41-4388-9516-378E4FA7FAC5}"/>
    <cellStyle name="Calculation 2 3 5 7 5" xfId="30646" xr:uid="{4CB2CA7F-3F58-49C9-84F7-59BBE6A47A34}"/>
    <cellStyle name="Calculation 2 3 5 8" xfId="14076" xr:uid="{FA0F10D8-5845-43DE-854C-0F19771687F7}"/>
    <cellStyle name="Calculation 2 3 5 8 2" xfId="36554" xr:uid="{35098B51-CD4A-453F-A60C-E7A0E99EB854}"/>
    <cellStyle name="Calculation 2 3 5 8 3" xfId="52275" xr:uid="{B94CB615-782A-4A87-87A3-CF3AD59D0B48}"/>
    <cellStyle name="Calculation 2 3 5 9" xfId="21038" xr:uid="{23E83F2E-A0DF-4FDF-B299-09A1F878402C}"/>
    <cellStyle name="Calculation 2 3 5 9 2" xfId="43287" xr:uid="{831C15C5-1F5F-4415-9621-5DF47B992C97}"/>
    <cellStyle name="Calculation 2 3 5 9 3" xfId="51226" xr:uid="{454FD773-3C56-4899-B306-0BB2F5C823F2}"/>
    <cellStyle name="Calculation 2 3 6" xfId="1362" xr:uid="{00000000-0005-0000-0000-00003F000000}"/>
    <cellStyle name="Calculation 2 3 6 10" xfId="15291" xr:uid="{74264FC1-AD7B-41DD-8988-04A37CB199BB}"/>
    <cellStyle name="Calculation 2 3 6 10 2" xfId="24190" xr:uid="{FE070303-3467-4970-A653-912AE88ACEAA}"/>
    <cellStyle name="Calculation 2 3 6 11" xfId="23628" xr:uid="{62A83328-897E-4BEF-8991-E25D1F59B3C1}"/>
    <cellStyle name="Calculation 2 3 6 2" xfId="2091" xr:uid="{00000000-0005-0000-0000-000040000000}"/>
    <cellStyle name="Calculation 2 3 6 2 10" xfId="14721" xr:uid="{334AE883-D602-4D0D-9F53-C89D8317E22A}"/>
    <cellStyle name="Calculation 2 3 6 2 10 2" xfId="37179" xr:uid="{2D8BEA20-D0BC-4D4C-B99D-8636FC24C60E}"/>
    <cellStyle name="Calculation 2 3 6 2 10 3" xfId="47926" xr:uid="{6828616F-BB51-4E13-9D2E-D34C27A2F33F}"/>
    <cellStyle name="Calculation 2 3 6 2 11" xfId="21025" xr:uid="{82AA6D3A-2144-41C8-9DD4-D939D5A73E2B}"/>
    <cellStyle name="Calculation 2 3 6 2 11 2" xfId="43275" xr:uid="{C1F7016D-6550-43C1-B942-DFC49E575376}"/>
    <cellStyle name="Calculation 2 3 6 2 11 3" xfId="48000" xr:uid="{65F09786-BA05-4689-9273-F43638D74128}"/>
    <cellStyle name="Calculation 2 3 6 2 12" xfId="20122" xr:uid="{73DEACBA-32B5-418A-81CC-8D6CFF0512DF}"/>
    <cellStyle name="Calculation 2 3 6 2 12 2" xfId="45238" xr:uid="{4A7C31A5-4507-4F9A-A7AB-71A44651DE46}"/>
    <cellStyle name="Calculation 2 3 6 2 13" xfId="26396" xr:uid="{4324AB7F-4357-4EDC-8AF5-C87F9A8F38A9}"/>
    <cellStyle name="Calculation 2 3 6 2 2" xfId="4186" xr:uid="{00000000-0005-0000-0000-000040000000}"/>
    <cellStyle name="Calculation 2 3 6 2 2 2" xfId="11090" xr:uid="{93551050-114A-4114-BD00-BB6BF8CBAFD8}"/>
    <cellStyle name="Calculation 2 3 6 2 2 2 2" xfId="33576" xr:uid="{16881BA6-515A-4298-8DA1-CBAB2AABB1BC}"/>
    <cellStyle name="Calculation 2 3 6 2 2 2 3" xfId="25460" xr:uid="{437E33E1-AF96-43A3-9BA3-D986DC20ECE9}"/>
    <cellStyle name="Calculation 2 3 6 2 2 3" xfId="16179" xr:uid="{E1B17126-D50C-4D02-982D-C45C62B0FAAA}"/>
    <cellStyle name="Calculation 2 3 6 2 2 3 2" xfId="38578" xr:uid="{F3718EB1-68BE-4B6A-B199-0EA34978ACB2}"/>
    <cellStyle name="Calculation 2 3 6 2 2 3 3" xfId="44142" xr:uid="{6DD7F422-1EF1-4DA0-9594-820EC8E50DA1}"/>
    <cellStyle name="Calculation 2 3 6 2 2 4" xfId="15789" xr:uid="{F8370D27-66F3-4FA2-9B16-22C19CC4BF94}"/>
    <cellStyle name="Calculation 2 3 6 2 2 4 2" xfId="37163" xr:uid="{0FA1B905-6B76-408A-9C90-48273A54B227}"/>
    <cellStyle name="Calculation 2 3 6 2 2 5" xfId="48959" xr:uid="{C818D49B-9547-496F-BD04-3456C05272C0}"/>
    <cellStyle name="Calculation 2 3 6 2 3" xfId="5512" xr:uid="{00000000-0005-0000-0000-000040000000}"/>
    <cellStyle name="Calculation 2 3 6 2 3 2" xfId="12401" xr:uid="{3C749B62-D735-4759-8D52-29701769EB0C}"/>
    <cellStyle name="Calculation 2 3 6 2 3 2 2" xfId="34886" xr:uid="{7A088A41-6AC4-41E3-9114-E5E9451C126F}"/>
    <cellStyle name="Calculation 2 3 6 2 3 2 3" xfId="45121" xr:uid="{13062317-7D65-439A-A6FE-35200E42C00A}"/>
    <cellStyle name="Calculation 2 3 6 2 3 3" xfId="17449" xr:uid="{D86BED75-AC6E-44A0-B482-A2ADDE2E5D2F}"/>
    <cellStyle name="Calculation 2 3 6 2 3 3 2" xfId="39839" xr:uid="{951F3BBD-7EA0-4DDA-9C83-FB12EE49498A}"/>
    <cellStyle name="Calculation 2 3 6 2 3 3 3" xfId="45012" xr:uid="{43BCB8F1-A140-4124-90A8-5443D76119BD}"/>
    <cellStyle name="Calculation 2 3 6 2 3 4" xfId="21873" xr:uid="{F2B12BED-48F0-4434-8256-491D7BBDDD86}"/>
    <cellStyle name="Calculation 2 3 6 2 3 4 2" xfId="29750" xr:uid="{8CE509C0-F8CE-4ABA-9D25-22D54A940889}"/>
    <cellStyle name="Calculation 2 3 6 2 3 5" xfId="49154" xr:uid="{84282CBC-C75B-4C5F-8A30-8E6D0A08A478}"/>
    <cellStyle name="Calculation 2 3 6 2 4" xfId="5932" xr:uid="{00000000-0005-0000-0000-000040000000}"/>
    <cellStyle name="Calculation 2 3 6 2 4 2" xfId="12813" xr:uid="{DC75BE5F-44C9-4D1F-8892-2D6F622A390E}"/>
    <cellStyle name="Calculation 2 3 6 2 4 2 2" xfId="35297" xr:uid="{6A5B8D67-3B18-40A2-8229-BED7F25C1443}"/>
    <cellStyle name="Calculation 2 3 6 2 4 2 3" xfId="46012" xr:uid="{787BA3FB-8241-424B-8160-9C3559BA168A}"/>
    <cellStyle name="Calculation 2 3 6 2 4 3" xfId="17869" xr:uid="{C23E6103-3FFE-4450-9BF3-DCB494A3BF93}"/>
    <cellStyle name="Calculation 2 3 6 2 4 3 2" xfId="40259" xr:uid="{86406940-CDB6-43CC-9D2A-88CDE5F72D90}"/>
    <cellStyle name="Calculation 2 3 6 2 4 3 3" xfId="38142" xr:uid="{5AC46FC9-4ED3-4F6A-AF4D-84E4BDB98B10}"/>
    <cellStyle name="Calculation 2 3 6 2 4 4" xfId="22293" xr:uid="{5E413F94-CF1C-4838-A048-CE34ECCB9F53}"/>
    <cellStyle name="Calculation 2 3 6 2 4 4 2" xfId="47068" xr:uid="{763D6139-9B0D-4E3A-9163-83F2B9993F59}"/>
    <cellStyle name="Calculation 2 3 6 2 4 5" xfId="29403" xr:uid="{3D0BFC0B-EE49-4FE1-9036-E1587C1BB30A}"/>
    <cellStyle name="Calculation 2 3 6 2 5" xfId="6272" xr:uid="{00000000-0005-0000-0000-000040000000}"/>
    <cellStyle name="Calculation 2 3 6 2 5 2" xfId="13144" xr:uid="{EA299F63-289C-434D-91DA-A87E3E2A82F2}"/>
    <cellStyle name="Calculation 2 3 6 2 5 2 2" xfId="35628" xr:uid="{D1E59393-1A8A-418D-BBD1-20AD94BF1293}"/>
    <cellStyle name="Calculation 2 3 6 2 5 2 3" xfId="45961" xr:uid="{C8753078-E376-45A3-B905-CA8E1C0A5D28}"/>
    <cellStyle name="Calculation 2 3 6 2 5 3" xfId="18209" xr:uid="{6B82A301-1755-4D74-93B2-301CF9520667}"/>
    <cellStyle name="Calculation 2 3 6 2 5 3 2" xfId="40599" xr:uid="{48C879E9-28C5-46A4-B0F5-52A54C4B0C31}"/>
    <cellStyle name="Calculation 2 3 6 2 5 3 3" xfId="26945" xr:uid="{81583D91-0007-4AD0-A3D5-451C1DD3B8FA}"/>
    <cellStyle name="Calculation 2 3 6 2 5 4" xfId="22633" xr:uid="{D821CA25-3775-4784-81F2-DAF54AA871AA}"/>
    <cellStyle name="Calculation 2 3 6 2 5 4 2" xfId="53946" xr:uid="{CBD1D925-5DB4-47C4-A542-93F07B24911A}"/>
    <cellStyle name="Calculation 2 3 6 2 5 5" xfId="49003" xr:uid="{353EADCE-D3E2-4522-ACC7-38C4EE70EB76}"/>
    <cellStyle name="Calculation 2 3 6 2 6" xfId="6629" xr:uid="{00000000-0005-0000-0000-000040000000}"/>
    <cellStyle name="Calculation 2 3 6 2 6 2" xfId="13495" xr:uid="{F25292FA-014A-410E-9803-1E58E2C0D300}"/>
    <cellStyle name="Calculation 2 3 6 2 6 2 2" xfId="35979" xr:uid="{F1275F61-13FE-428D-B53D-19BF10B32684}"/>
    <cellStyle name="Calculation 2 3 6 2 6 2 3" xfId="28024" xr:uid="{AA8E41A1-B72D-4C0F-A848-BF6FBDBF85EA}"/>
    <cellStyle name="Calculation 2 3 6 2 6 3" xfId="18566" xr:uid="{FB0C06D3-8116-4CBD-83BF-464EBCC57F17}"/>
    <cellStyle name="Calculation 2 3 6 2 6 3 2" xfId="40956" xr:uid="{33F47E65-1B3E-43FD-A5CB-4BCCB029AFD1}"/>
    <cellStyle name="Calculation 2 3 6 2 6 3 3" xfId="28071" xr:uid="{4B7ED9FF-6D72-45C9-BC96-971211FD0D5E}"/>
    <cellStyle name="Calculation 2 3 6 2 6 4" xfId="22990" xr:uid="{5B9A25AE-69DF-498E-9E68-3B3F46129200}"/>
    <cellStyle name="Calculation 2 3 6 2 6 4 2" xfId="28107" xr:uid="{7E6BDED5-7352-4786-9450-F87A8EEB660E}"/>
    <cellStyle name="Calculation 2 3 6 2 6 5" xfId="45381" xr:uid="{BE5B6940-DA1E-4E30-AE51-769AA0783AE4}"/>
    <cellStyle name="Calculation 2 3 6 2 7" xfId="6674" xr:uid="{00000000-0005-0000-0000-000040000000}"/>
    <cellStyle name="Calculation 2 3 6 2 7 2" xfId="13540" xr:uid="{3DAC3F01-179F-4EB7-96E0-E3399C289508}"/>
    <cellStyle name="Calculation 2 3 6 2 7 2 2" xfId="36024" xr:uid="{AC023831-0497-4600-8B4D-3B9A532FA32F}"/>
    <cellStyle name="Calculation 2 3 6 2 7 2 3" xfId="47885" xr:uid="{96F6EDA1-768C-4D09-AB46-56049558E061}"/>
    <cellStyle name="Calculation 2 3 6 2 7 3" xfId="18611" xr:uid="{C75BA171-B6DD-45E4-B384-FB0704244A9D}"/>
    <cellStyle name="Calculation 2 3 6 2 7 3 2" xfId="41001" xr:uid="{30303DE5-05E8-4D82-9783-294917EB5B22}"/>
    <cellStyle name="Calculation 2 3 6 2 7 3 3" xfId="45056" xr:uid="{38E4F79E-78C0-4013-8FCC-03ED210D46C4}"/>
    <cellStyle name="Calculation 2 3 6 2 7 4" xfId="23035" xr:uid="{E9A1246C-54E7-43D2-BAE6-10C8FD50D58B}"/>
    <cellStyle name="Calculation 2 3 6 2 7 4 2" xfId="28131" xr:uid="{E58BB1EB-66F7-4920-B693-008CB8D2F9F8}"/>
    <cellStyle name="Calculation 2 3 6 2 7 5" xfId="51017" xr:uid="{38382693-2496-4789-8B4E-47A99CF83CED}"/>
    <cellStyle name="Calculation 2 3 6 2 8" xfId="7084" xr:uid="{00000000-0005-0000-0000-000040000000}"/>
    <cellStyle name="Calculation 2 3 6 2 8 2" xfId="13920" xr:uid="{DA90D6BC-B547-42E2-8C67-0BBA7F9C6DE8}"/>
    <cellStyle name="Calculation 2 3 6 2 8 2 2" xfId="36404" xr:uid="{20E8C337-C77F-45F6-A677-9BFF2E889D00}"/>
    <cellStyle name="Calculation 2 3 6 2 8 2 3" xfId="47732" xr:uid="{34030200-6A92-4318-B82A-B547728E9240}"/>
    <cellStyle name="Calculation 2 3 6 2 8 3" xfId="19021" xr:uid="{99D7C0AB-0279-4C08-A2CD-2116823E1ED6}"/>
    <cellStyle name="Calculation 2 3 6 2 8 3 2" xfId="41411" xr:uid="{BDAC7092-FE56-4AC3-8645-F3EA936D468D}"/>
    <cellStyle name="Calculation 2 3 6 2 8 3 3" xfId="45226" xr:uid="{3468EB59-DFDB-4146-A171-C4595CC2F215}"/>
    <cellStyle name="Calculation 2 3 6 2 8 4" xfId="23445" xr:uid="{D911D5FE-1D05-4123-ABED-2D76A2111021}"/>
    <cellStyle name="Calculation 2 3 6 2 8 4 2" xfId="48101" xr:uid="{CD4D8EE5-C361-4C06-A69C-DC21FE0C072D}"/>
    <cellStyle name="Calculation 2 3 6 2 8 5" xfId="37484" xr:uid="{72DE782A-AD04-4DF8-AD5C-CA18BB4253D3}"/>
    <cellStyle name="Calculation 2 3 6 2 9" xfId="7199" xr:uid="{00000000-0005-0000-0000-000040000000}"/>
    <cellStyle name="Calculation 2 3 6 2 9 2" xfId="19136" xr:uid="{B766B3B1-1EB7-48A0-8428-EFC929EEDA04}"/>
    <cellStyle name="Calculation 2 3 6 2 9 2 2" xfId="41526" xr:uid="{A83484BE-B445-4261-8B3B-CCEFCA1B87C0}"/>
    <cellStyle name="Calculation 2 3 6 2 9 2 3" xfId="43178" xr:uid="{82FA0598-A8BA-407C-9277-5D12ECC1228D}"/>
    <cellStyle name="Calculation 2 3 6 2 9 3" xfId="23560" xr:uid="{F03602B0-C5D0-4D0E-BF1F-D19BEC33EDBD}"/>
    <cellStyle name="Calculation 2 3 6 2 9 3 2" xfId="44140" xr:uid="{7B76B99F-162E-4BC3-A869-7F5BDA7C9602}"/>
    <cellStyle name="Calculation 2 3 6 2 9 4" xfId="46155" xr:uid="{1EA88CF0-A128-4F58-A2F4-A6E8167D0FC8}"/>
    <cellStyle name="Calculation 2 3 6 3" xfId="3467" xr:uid="{00000000-0005-0000-0000-00003F000000}"/>
    <cellStyle name="Calculation 2 3 6 3 2" xfId="10375" xr:uid="{27AB486A-C978-4AC8-B540-995A0A6772B6}"/>
    <cellStyle name="Calculation 2 3 6 3 2 2" xfId="32862" xr:uid="{5B8D6F30-0506-44EF-9693-3A8FBF32F486}"/>
    <cellStyle name="Calculation 2 3 6 3 2 3" xfId="47268" xr:uid="{1C182319-B8C7-4946-999E-098444801581}"/>
    <cellStyle name="Calculation 2 3 6 3 3" xfId="15645" xr:uid="{E5EAC907-D30D-4BFF-BA9D-3E717A4F8CD3}"/>
    <cellStyle name="Calculation 2 3 6 3 3 2" xfId="38061" xr:uid="{4A105A7D-E3C8-4300-9FFA-1DA6078A8FBA}"/>
    <cellStyle name="Calculation 2 3 6 3 3 3" xfId="28958" xr:uid="{9EA8BFC5-15E6-4679-8140-6C917136AD1E}"/>
    <cellStyle name="Calculation 2 3 6 3 4" xfId="16140" xr:uid="{EB91DFEF-C70B-41EB-B3C8-35B7CE74EB4D}"/>
    <cellStyle name="Calculation 2 3 6 3 4 2" xfId="26349" xr:uid="{1A26BD0D-07E2-4AF0-89E5-3C878D9BEFF8}"/>
    <cellStyle name="Calculation 2 3 6 3 5" xfId="48386" xr:uid="{C84218DF-2F2E-4CA4-BCEF-D98DB6F73EEC}"/>
    <cellStyle name="Calculation 2 3 6 4" xfId="5000" xr:uid="{00000000-0005-0000-0000-00003F000000}"/>
    <cellStyle name="Calculation 2 3 6 4 2" xfId="11894" xr:uid="{8250BBAF-27FE-4616-9DCD-20314DEECDEC}"/>
    <cellStyle name="Calculation 2 3 6 4 2 2" xfId="34380" xr:uid="{D7999E35-CBD5-4C1C-8BF8-200BCE54E64E}"/>
    <cellStyle name="Calculation 2 3 6 4 2 3" xfId="27658" xr:uid="{D41C1B46-4EF1-451E-8E2B-73C79BA0AB6E}"/>
    <cellStyle name="Calculation 2 3 6 4 3" xfId="16937" xr:uid="{4BE5A7E4-0405-4C95-B1AB-88EA92DB8F38}"/>
    <cellStyle name="Calculation 2 3 6 4 3 2" xfId="39327" xr:uid="{BA931EA6-984C-47E3-B887-A2A9B0A9269F}"/>
    <cellStyle name="Calculation 2 3 6 4 3 3" xfId="45669" xr:uid="{BE9B3566-A626-4C7E-A1CB-0784A80E83C1}"/>
    <cellStyle name="Calculation 2 3 6 4 4" xfId="21361" xr:uid="{BC70412F-9BA5-4763-9F9C-EC586F1D589C}"/>
    <cellStyle name="Calculation 2 3 6 4 4 2" xfId="47868" xr:uid="{5D64BE68-02DB-494B-B44A-BD68452C412D}"/>
    <cellStyle name="Calculation 2 3 6 4 5" xfId="49561" xr:uid="{0320713B-5E89-4A49-AFAE-CE28C683D5E2}"/>
    <cellStyle name="Calculation 2 3 6 5" xfId="4834" xr:uid="{00000000-0005-0000-0000-00003F000000}"/>
    <cellStyle name="Calculation 2 3 6 5 2" xfId="11731" xr:uid="{0423F9DE-65C4-4863-9033-499574425B46}"/>
    <cellStyle name="Calculation 2 3 6 5 2 2" xfId="34217" xr:uid="{F4D2FE60-A6CE-496A-8AC4-90E496A55062}"/>
    <cellStyle name="Calculation 2 3 6 5 2 3" xfId="44630" xr:uid="{267D770C-A0A5-4D7E-AFD7-5CCA0AE2D19C}"/>
    <cellStyle name="Calculation 2 3 6 5 3" xfId="16771" xr:uid="{9AAC31C6-623E-4781-AA07-11D3E58130FF}"/>
    <cellStyle name="Calculation 2 3 6 5 3 2" xfId="39161" xr:uid="{16F1E8AB-C73D-4A4E-BDAA-6A0A17C8E068}"/>
    <cellStyle name="Calculation 2 3 6 5 3 3" xfId="29648" xr:uid="{4E9D2287-DF7E-4437-BD42-D001CD0A2791}"/>
    <cellStyle name="Calculation 2 3 6 5 4" xfId="7958" xr:uid="{84E303B5-95C4-4CD1-ABA5-1AE042580074}"/>
    <cellStyle name="Calculation 2 3 6 5 4 2" xfId="52344" xr:uid="{60D818B8-0E10-44C6-9375-DA9CD0FB452D}"/>
    <cellStyle name="Calculation 2 3 6 5 5" xfId="27765" xr:uid="{39F01970-88BD-4B80-B83D-86BA81EBC26C}"/>
    <cellStyle name="Calculation 2 3 6 6" xfId="6349" xr:uid="{00000000-0005-0000-0000-00003F000000}"/>
    <cellStyle name="Calculation 2 3 6 6 2" xfId="13221" xr:uid="{CE65DA1C-840C-4007-B6B1-81140BCC3F45}"/>
    <cellStyle name="Calculation 2 3 6 6 2 2" xfId="35705" xr:uid="{87D4C328-54AC-47D0-ABF3-1C1BC63C7CC8}"/>
    <cellStyle name="Calculation 2 3 6 6 2 3" xfId="45144" xr:uid="{54929FFD-27DB-49F9-9032-2D7CE2EA1D4E}"/>
    <cellStyle name="Calculation 2 3 6 6 3" xfId="18286" xr:uid="{C3E2689B-094B-4BE3-B79C-7C67DE5A8BA7}"/>
    <cellStyle name="Calculation 2 3 6 6 3 2" xfId="40676" xr:uid="{6183C182-458D-4845-B446-61A76FC8FC40}"/>
    <cellStyle name="Calculation 2 3 6 6 3 3" xfId="27206" xr:uid="{1247CD0F-559E-4CC7-871D-4F4ADCCAC200}"/>
    <cellStyle name="Calculation 2 3 6 6 4" xfId="22710" xr:uid="{1CC6B579-CB6B-4592-BC24-9884F9F11EC9}"/>
    <cellStyle name="Calculation 2 3 6 6 4 2" xfId="46774" xr:uid="{8DF364E3-253D-4C94-8B1E-FF777A386862}"/>
    <cellStyle name="Calculation 2 3 6 6 5" xfId="51418" xr:uid="{A54AE258-0AC2-4592-926F-D779DF3496BC}"/>
    <cellStyle name="Calculation 2 3 6 7" xfId="5056" xr:uid="{00000000-0005-0000-0000-00003F000000}"/>
    <cellStyle name="Calculation 2 3 6 7 2" xfId="11949" xr:uid="{1F0035D5-74B5-4E76-AA3B-AA152C210712}"/>
    <cellStyle name="Calculation 2 3 6 7 2 2" xfId="34435" xr:uid="{954BF707-88D2-47E9-B138-0B47C2FCBE06}"/>
    <cellStyle name="Calculation 2 3 6 7 2 3" xfId="30427" xr:uid="{C00F9EF1-F181-44F5-8E75-F410908603AA}"/>
    <cellStyle name="Calculation 2 3 6 7 3" xfId="16993" xr:uid="{307FE4FC-3583-4668-974B-EF6AC8A18216}"/>
    <cellStyle name="Calculation 2 3 6 7 3 2" xfId="39383" xr:uid="{61F7F367-4D29-4C88-AE94-9AC921E8C62E}"/>
    <cellStyle name="Calculation 2 3 6 7 3 3" xfId="45808" xr:uid="{92AC8B0A-CE01-4D47-9DD2-DF0DAFE3D3CA}"/>
    <cellStyle name="Calculation 2 3 6 7 4" xfId="21417" xr:uid="{367588E8-70E3-413C-AA51-CD0E4F069E53}"/>
    <cellStyle name="Calculation 2 3 6 7 4 2" xfId="45234" xr:uid="{D985B765-808B-46F0-9E16-1009D7D521BD}"/>
    <cellStyle name="Calculation 2 3 6 7 5" xfId="42680" xr:uid="{C1D8F430-125A-44BB-9F30-62927D41D723}"/>
    <cellStyle name="Calculation 2 3 6 8" xfId="14181" xr:uid="{8091DA84-E589-4EA5-B49C-F0AAC0B41FA0}"/>
    <cellStyle name="Calculation 2 3 6 8 2" xfId="36656" xr:uid="{F124FFBC-878B-49E5-9F2D-D0CFD9ADE4D6}"/>
    <cellStyle name="Calculation 2 3 6 8 3" xfId="44081" xr:uid="{4FB7D4FE-5706-43A2-8469-1B6EED52B43A}"/>
    <cellStyle name="Calculation 2 3 6 9" xfId="19934" xr:uid="{2BC9CAED-5393-4465-8655-06E599E954F9}"/>
    <cellStyle name="Calculation 2 3 6 9 2" xfId="42265" xr:uid="{8E5C6E72-3013-4F95-8572-B6B2A56752A7}"/>
    <cellStyle name="Calculation 2 3 6 9 3" xfId="25980" xr:uid="{509ADF1F-05A8-4DA9-B6CD-669FACC82AD8}"/>
    <cellStyle name="Calculation 2 3 7" xfId="1634" xr:uid="{00000000-0005-0000-0000-000041000000}"/>
    <cellStyle name="Calculation 2 3 7 10" xfId="14348" xr:uid="{8076EF5D-7E8D-4CB9-AD6A-EF6D6671C1BA}"/>
    <cellStyle name="Calculation 2 3 7 10 2" xfId="36816" xr:uid="{8538E289-2211-4E14-8D6C-FEF2E9AA265F}"/>
    <cellStyle name="Calculation 2 3 7 10 3" xfId="50311" xr:uid="{1BF7F19E-EB51-4872-AA3C-F92DF4A414AF}"/>
    <cellStyle name="Calculation 2 3 7 11" xfId="15622" xr:uid="{291A5481-A912-4C30-9ED3-1F456650B8DB}"/>
    <cellStyle name="Calculation 2 3 7 11 2" xfId="38038" xr:uid="{9DA2FF83-1775-4CAA-9BCE-E53C4DBF0245}"/>
    <cellStyle name="Calculation 2 3 7 11 3" xfId="53251" xr:uid="{FC76B2E6-AAAB-4B85-A0AD-774E592D722F}"/>
    <cellStyle name="Calculation 2 3 7 12" xfId="16228" xr:uid="{906F2859-D116-4FD6-A35B-010CF478DCE0}"/>
    <cellStyle name="Calculation 2 3 7 12 2" xfId="32806" xr:uid="{AABFF519-D5C8-44D2-A81B-ECA64729ABFC}"/>
    <cellStyle name="Calculation 2 3 7 13" xfId="47850" xr:uid="{4131FF7D-73AD-4A2F-BFA3-0D4F81F300AF}"/>
    <cellStyle name="Calculation 2 3 7 2" xfId="3734" xr:uid="{00000000-0005-0000-0000-000041000000}"/>
    <cellStyle name="Calculation 2 3 7 2 2" xfId="10638" xr:uid="{25554806-39B4-4BC0-8375-71E4968B1B7E}"/>
    <cellStyle name="Calculation 2 3 7 2 2 2" xfId="33124" xr:uid="{19903385-FC23-4963-A739-E14A09FF9897}"/>
    <cellStyle name="Calculation 2 3 7 2 2 3" xfId="42336" xr:uid="{873728F4-3CE9-4EA5-B634-A269606865AB}"/>
    <cellStyle name="Calculation 2 3 7 2 3" xfId="15815" xr:uid="{DB1537E4-B50F-4E6D-8064-5CD5829B57F4}"/>
    <cellStyle name="Calculation 2 3 7 2 3 2" xfId="38223" xr:uid="{0C35DA03-7D79-4C2B-BFAA-7326CE77963A}"/>
    <cellStyle name="Calculation 2 3 7 2 3 3" xfId="48799" xr:uid="{2EC8890F-7C7B-4CD0-93FA-3752982877A9}"/>
    <cellStyle name="Calculation 2 3 7 2 4" xfId="7290" xr:uid="{969CDB24-898E-4844-9525-E36CD0051407}"/>
    <cellStyle name="Calculation 2 3 7 2 4 2" xfId="27775" xr:uid="{4F045E22-3903-4EE4-B44B-B9EC3E193CD1}"/>
    <cellStyle name="Calculation 2 3 7 2 5" xfId="29646" xr:uid="{460D8FD9-F2DE-486C-B4EC-5EFD5C622CCD}"/>
    <cellStyle name="Calculation 2 3 7 3" xfId="5167" xr:uid="{00000000-0005-0000-0000-000041000000}"/>
    <cellStyle name="Calculation 2 3 7 3 2" xfId="12060" xr:uid="{1F3D3C55-F62D-443A-9C63-D934B244F5CF}"/>
    <cellStyle name="Calculation 2 3 7 3 2 2" xfId="34546" xr:uid="{69F15547-A025-4E8A-B700-72153B2FA9BB}"/>
    <cellStyle name="Calculation 2 3 7 3 2 3" xfId="26485" xr:uid="{C5BC684F-D005-4C10-ACE4-809CD0146E8C}"/>
    <cellStyle name="Calculation 2 3 7 3 3" xfId="17104" xr:uid="{E31ACB82-C1EF-4ED0-9C08-E18AA0808AA7}"/>
    <cellStyle name="Calculation 2 3 7 3 3 2" xfId="39494" xr:uid="{8C9CC161-EB06-4B41-AFED-A3FBBCCB0ADF}"/>
    <cellStyle name="Calculation 2 3 7 3 3 3" xfId="32238" xr:uid="{9156208A-BA19-4840-8B01-D941D9CD2A6E}"/>
    <cellStyle name="Calculation 2 3 7 3 4" xfId="21528" xr:uid="{13A4B7AB-FD30-4BF6-8FBE-DD32F9D7A16E}"/>
    <cellStyle name="Calculation 2 3 7 3 4 2" xfId="53163" xr:uid="{B3CF260F-37E1-475E-A0BD-824DF7CA9C4E}"/>
    <cellStyle name="Calculation 2 3 7 3 5" xfId="50027" xr:uid="{10E76ABC-F042-41CA-A1FA-89BCB6166E1F}"/>
    <cellStyle name="Calculation 2 3 7 4" xfId="3469" xr:uid="{00000000-0005-0000-0000-000041000000}"/>
    <cellStyle name="Calculation 2 3 7 4 2" xfId="10377" xr:uid="{50D205C4-D886-453C-A31D-B94FEDF1EB2B}"/>
    <cellStyle name="Calculation 2 3 7 4 2 2" xfId="32864" xr:uid="{3BF43DA1-3339-4091-BEEB-9583032F7B37}"/>
    <cellStyle name="Calculation 2 3 7 4 2 3" xfId="48733" xr:uid="{66508D55-4D97-4136-A9C2-8C0BE7F689EF}"/>
    <cellStyle name="Calculation 2 3 7 4 3" xfId="15647" xr:uid="{C51B1099-D38E-4702-B6A0-636B3847C4B8}"/>
    <cellStyle name="Calculation 2 3 7 4 3 2" xfId="38063" xr:uid="{954A6BB2-8BB3-4C10-8ED2-878416888308}"/>
    <cellStyle name="Calculation 2 3 7 4 3 3" xfId="49893" xr:uid="{93A1F0B7-DAF2-4F6A-931A-1D61FF6BC3AD}"/>
    <cellStyle name="Calculation 2 3 7 4 4" xfId="20454" xr:uid="{1009F315-7B1C-45A4-A351-51E05B0131AC}"/>
    <cellStyle name="Calculation 2 3 7 4 4 2" xfId="53715" xr:uid="{024A764C-3800-45E3-8C22-33E0D625EFFD}"/>
    <cellStyle name="Calculation 2 3 7 4 5" xfId="25933" xr:uid="{496FE732-15C0-431B-859C-927BEF1D9DCA}"/>
    <cellStyle name="Calculation 2 3 7 5" xfId="5110" xr:uid="{00000000-0005-0000-0000-000041000000}"/>
    <cellStyle name="Calculation 2 3 7 5 2" xfId="12003" xr:uid="{06DA852D-00CB-4070-860E-F722D1280437}"/>
    <cellStyle name="Calculation 2 3 7 5 2 2" xfId="34489" xr:uid="{91DB1397-0169-4ED0-9587-21967D12E858}"/>
    <cellStyle name="Calculation 2 3 7 5 2 3" xfId="44119" xr:uid="{BDED4E1D-733B-48BA-A598-248742BAF35C}"/>
    <cellStyle name="Calculation 2 3 7 5 3" xfId="17047" xr:uid="{1D089EAC-D9AB-4DF9-A314-68DDB8B8DE92}"/>
    <cellStyle name="Calculation 2 3 7 5 3 2" xfId="39437" xr:uid="{B1086DD9-55A7-47FA-8820-1A897BD18C7E}"/>
    <cellStyle name="Calculation 2 3 7 5 3 3" xfId="45270" xr:uid="{3B387E2B-313F-4232-8C2A-6FA8EA9A2F9B}"/>
    <cellStyle name="Calculation 2 3 7 5 4" xfId="21471" xr:uid="{15F58DE5-2290-4C13-A465-41BB3EAAC4B0}"/>
    <cellStyle name="Calculation 2 3 7 5 4 2" xfId="46923" xr:uid="{622703B3-B979-4AAB-A615-46263372C63F}"/>
    <cellStyle name="Calculation 2 3 7 5 5" xfId="50352" xr:uid="{AA855B33-76DA-4647-877A-5C6C73609AE2}"/>
    <cellStyle name="Calculation 2 3 7 6" xfId="4465" xr:uid="{00000000-0005-0000-0000-000041000000}"/>
    <cellStyle name="Calculation 2 3 7 6 2" xfId="11367" xr:uid="{89DC8DB4-5A27-456A-BCF1-7090442DA3DD}"/>
    <cellStyle name="Calculation 2 3 7 6 2 2" xfId="33853" xr:uid="{0A95CC56-F058-42FF-A957-9C47BE54D1A6}"/>
    <cellStyle name="Calculation 2 3 7 6 2 3" xfId="30496" xr:uid="{12B770AD-69AC-4B26-82D6-A4719BF3929B}"/>
    <cellStyle name="Calculation 2 3 7 6 3" xfId="16402" xr:uid="{4C6630EF-A00C-41E3-A81A-1B666E6EC129}"/>
    <cellStyle name="Calculation 2 3 7 6 3 2" xfId="38792" xr:uid="{0CA892AB-9595-4E47-B792-A96A41AB2C01}"/>
    <cellStyle name="Calculation 2 3 7 6 3 3" xfId="45379" xr:uid="{76FAC3EB-21FD-428D-8E91-61C922A78C80}"/>
    <cellStyle name="Calculation 2 3 7 6 4" xfId="21107" xr:uid="{39DC4C26-6B56-49E6-9786-5AB86326083D}"/>
    <cellStyle name="Calculation 2 3 7 6 4 2" xfId="53704" xr:uid="{5B9459A0-4EC4-417D-821D-2188E27D7DD4}"/>
    <cellStyle name="Calculation 2 3 7 6 5" xfId="52843" xr:uid="{C77672DB-74EF-4109-8E5F-F4B60A5ECCE3}"/>
    <cellStyle name="Calculation 2 3 7 7" xfId="6249" xr:uid="{00000000-0005-0000-0000-000041000000}"/>
    <cellStyle name="Calculation 2 3 7 7 2" xfId="13122" xr:uid="{03330F59-3E69-43A2-9810-7F8E9FC842BA}"/>
    <cellStyle name="Calculation 2 3 7 7 2 2" xfId="35606" xr:uid="{69F225D8-10D8-4676-A8C6-32EED9265856}"/>
    <cellStyle name="Calculation 2 3 7 7 2 3" xfId="48024" xr:uid="{ABC51275-B400-4FE5-8056-26F17F1B7EFA}"/>
    <cellStyle name="Calculation 2 3 7 7 3" xfId="18186" xr:uid="{AA91A33A-4637-4D46-A938-873036DCCAA2}"/>
    <cellStyle name="Calculation 2 3 7 7 3 2" xfId="40576" xr:uid="{78BDFC33-4051-40B4-8BCB-A35502D1D9F8}"/>
    <cellStyle name="Calculation 2 3 7 7 3 3" xfId="29415" xr:uid="{AB270BDB-33AB-4183-B815-BFE6DD06491F}"/>
    <cellStyle name="Calculation 2 3 7 7 4" xfId="22610" xr:uid="{4B09499E-8C75-4A5C-AFD0-6231A79F4651}"/>
    <cellStyle name="Calculation 2 3 7 7 4 2" xfId="53803" xr:uid="{1D28DA08-F73F-49AE-97F0-945B6C645BEE}"/>
    <cellStyle name="Calculation 2 3 7 7 5" xfId="24999" xr:uid="{4D6770E4-F523-417B-A177-D1433B829185}"/>
    <cellStyle name="Calculation 2 3 7 8" xfId="6825" xr:uid="{00000000-0005-0000-0000-000041000000}"/>
    <cellStyle name="Calculation 2 3 7 8 2" xfId="13671" xr:uid="{C9402D5C-3B21-4B44-8B89-1AA37B1B077D}"/>
    <cellStyle name="Calculation 2 3 7 8 2 2" xfId="36155" xr:uid="{B9503029-FA6B-40DA-92CB-30FB3D28B14A}"/>
    <cellStyle name="Calculation 2 3 7 8 2 3" xfId="51510" xr:uid="{1B3880F3-3D2F-4919-B8AC-AFF613CD2DA6}"/>
    <cellStyle name="Calculation 2 3 7 8 3" xfId="18762" xr:uid="{B7ABFB3D-1FAC-49E5-9EB6-39C4E18A9CD4}"/>
    <cellStyle name="Calculation 2 3 7 8 3 2" xfId="41152" xr:uid="{2DFE3690-41DA-46D2-90DF-5310C3FC365C}"/>
    <cellStyle name="Calculation 2 3 7 8 3 3" xfId="30226" xr:uid="{CE7D8F3A-E1DE-4A5F-9027-BB8DDD6213B4}"/>
    <cellStyle name="Calculation 2 3 7 8 4" xfId="23186" xr:uid="{A7C88720-21E0-4C34-A570-0337E5324488}"/>
    <cellStyle name="Calculation 2 3 7 8 4 2" xfId="42970" xr:uid="{C1AB72D8-7ADF-492C-A8D4-3A0B3609DACA}"/>
    <cellStyle name="Calculation 2 3 7 8 5" xfId="36484" xr:uid="{77AB449A-0B1F-4017-8A79-1F8BCDE79AF5}"/>
    <cellStyle name="Calculation 2 3 7 9" xfId="6748" xr:uid="{00000000-0005-0000-0000-000041000000}"/>
    <cellStyle name="Calculation 2 3 7 9 2" xfId="18685" xr:uid="{2B779FEB-A3E4-4388-9A0C-6F8E62EF2395}"/>
    <cellStyle name="Calculation 2 3 7 9 2 2" xfId="41075" xr:uid="{7B7A3D59-5D03-4F4B-B5D1-75A65F0FC664}"/>
    <cellStyle name="Calculation 2 3 7 9 2 3" xfId="45583" xr:uid="{42E3FAAC-96C0-4B4F-99C4-8C425CEB1651}"/>
    <cellStyle name="Calculation 2 3 7 9 3" xfId="23109" xr:uid="{406C6B12-95F8-41E3-848B-7C88D46F8876}"/>
    <cellStyle name="Calculation 2 3 7 9 3 2" xfId="25242" xr:uid="{B8CEF0A5-DB54-4D34-85DF-900017F77566}"/>
    <cellStyle name="Calculation 2 3 7 9 4" xfId="50422" xr:uid="{D9C90D2B-9B65-44F0-8350-9AB61F473140}"/>
    <cellStyle name="Calculation 2 3 8" xfId="2585" xr:uid="{00000000-0005-0000-0000-000036000000}"/>
    <cellStyle name="Calculation 2 3 8 2" xfId="9494" xr:uid="{3ACD0C37-9C10-4B77-BE71-04E1AC0924BE}"/>
    <cellStyle name="Calculation 2 3 8 2 2" xfId="32046" xr:uid="{486AFBFD-D1BA-4C18-987F-EB3DBC8906C2}"/>
    <cellStyle name="Calculation 2 3 8 2 3" xfId="50825" xr:uid="{7BBD3907-A993-484C-98E2-77AD378BDC63}"/>
    <cellStyle name="Calculation 2 3 8 3" xfId="15063" xr:uid="{09AC681E-7FD0-429A-B685-8238D1F19FE5}"/>
    <cellStyle name="Calculation 2 3 8 3 2" xfId="37508" xr:uid="{FC2AC7CA-17D1-4F0B-8717-6CE7D9D33665}"/>
    <cellStyle name="Calculation 2 3 8 3 3" xfId="48726" xr:uid="{D68DEA4B-6323-4FBD-ADEF-147663878A64}"/>
    <cellStyle name="Calculation 2 3 8 4" xfId="19983" xr:uid="{FAFDF917-ED42-409A-BA6A-862D90B020FD}"/>
    <cellStyle name="Calculation 2 3 8 4 2" xfId="37022" xr:uid="{E3A4BF8A-1724-43EB-A64A-D2E5AB8AA4F9}"/>
    <cellStyle name="Calculation 2 3 8 5" xfId="24601" xr:uid="{3FA0E908-F918-4A96-A4CB-42D4960C056B}"/>
    <cellStyle name="Calculation 2 3 9" xfId="4412" xr:uid="{00000000-0005-0000-0000-000036000000}"/>
    <cellStyle name="Calculation 2 3 9 2" xfId="11314" xr:uid="{C3A5A9B2-FF0D-4D9F-A3EE-474B404A55B7}"/>
    <cellStyle name="Calculation 2 3 9 2 2" xfId="33800" xr:uid="{CE24B48F-C8E0-402F-A594-E06C4683986F}"/>
    <cellStyle name="Calculation 2 3 9 2 3" xfId="25332" xr:uid="{ED287312-84D3-4396-971A-74232CB1BDF6}"/>
    <cellStyle name="Calculation 2 3 9 3" xfId="16349" xr:uid="{81F2B77D-6780-46AC-B1C5-CD48267AE0A0}"/>
    <cellStyle name="Calculation 2 3 9 3 2" xfId="38739" xr:uid="{81133F80-EA47-4F9D-8CD9-8F723D2D692B}"/>
    <cellStyle name="Calculation 2 3 9 3 3" xfId="30770" xr:uid="{121A004C-EDFA-45B7-B996-19A18B18181C}"/>
    <cellStyle name="Calculation 2 3 9 4" xfId="8888" xr:uid="{7BD088BD-C5E7-4775-BEFE-458808A80BF6}"/>
    <cellStyle name="Calculation 2 3 9 4 2" xfId="53694" xr:uid="{138FDDB2-74ED-4328-9A63-FA16BB290D34}"/>
    <cellStyle name="Calculation 2 3 9 5" xfId="48406" xr:uid="{CE932B7E-8B3F-4400-84FA-0B9EC9D010B0}"/>
    <cellStyle name="Calculation 2 4" xfId="434" xr:uid="{00000000-0005-0000-0000-000042000000}"/>
    <cellStyle name="Calculation 2 4 10" xfId="4778" xr:uid="{00000000-0005-0000-0000-000042000000}"/>
    <cellStyle name="Calculation 2 4 10 2" xfId="11675" xr:uid="{310D848C-A753-4DCA-96FC-D877D8F84C2A}"/>
    <cellStyle name="Calculation 2 4 10 2 2" xfId="34161" xr:uid="{8EB2EEC1-D711-4FC7-828E-88107F9498BC}"/>
    <cellStyle name="Calculation 2 4 10 2 3" xfId="29320" xr:uid="{8F983473-AC06-450B-89E9-A6F3BC07A4E7}"/>
    <cellStyle name="Calculation 2 4 10 3" xfId="16715" xr:uid="{22C1E2F4-B443-423B-9838-38E066EBFFF8}"/>
    <cellStyle name="Calculation 2 4 10 3 2" xfId="39105" xr:uid="{E912341E-C0EE-4702-9785-CA0911B64C38}"/>
    <cellStyle name="Calculation 2 4 10 3 3" xfId="31332" xr:uid="{F443265E-E16D-4D87-98DF-5ECDE044DA25}"/>
    <cellStyle name="Calculation 2 4 10 4" xfId="20010" xr:uid="{64DE117D-D1A5-44EC-84C8-9ECB866C1BA4}"/>
    <cellStyle name="Calculation 2 4 10 4 2" xfId="43783" xr:uid="{9A734BAD-198A-4510-AE71-420F4373D246}"/>
    <cellStyle name="Calculation 2 4 10 5" xfId="50381" xr:uid="{F3EB79A6-A8CA-4978-9C73-DCACEC09022B}"/>
    <cellStyle name="Calculation 2 4 11" xfId="5912" xr:uid="{00000000-0005-0000-0000-000042000000}"/>
    <cellStyle name="Calculation 2 4 11 2" xfId="12793" xr:uid="{182C0BF0-CBA8-4068-B7F5-164E10E87D69}"/>
    <cellStyle name="Calculation 2 4 11 2 2" xfId="35277" xr:uid="{EDCF1FDA-8560-441A-B000-C24A0F4A0162}"/>
    <cellStyle name="Calculation 2 4 11 2 3" xfId="48443" xr:uid="{E2E00199-91DA-4682-9377-16F3AD74CE4F}"/>
    <cellStyle name="Calculation 2 4 11 3" xfId="17849" xr:uid="{6F111B7B-BAE5-4554-9AD2-CF32CCF230DC}"/>
    <cellStyle name="Calculation 2 4 11 3 2" xfId="40239" xr:uid="{2CA3D330-8D9F-403E-A5CC-ADE0EA9D7720}"/>
    <cellStyle name="Calculation 2 4 11 3 3" xfId="29652" xr:uid="{DA2C8B27-3F59-430C-9301-20D0B9A0F670}"/>
    <cellStyle name="Calculation 2 4 11 4" xfId="22273" xr:uid="{014E67AB-D3A6-4FC3-B4B4-4755F04D6F0D}"/>
    <cellStyle name="Calculation 2 4 11 4 2" xfId="48617" xr:uid="{53E72C30-36D5-424E-ACFC-ECD2BE2CEA5D}"/>
    <cellStyle name="Calculation 2 4 11 5" xfId="51568" xr:uid="{A59FF952-1222-4C94-950C-9739D11E3340}"/>
    <cellStyle name="Calculation 2 4 12" xfId="4883" xr:uid="{00000000-0005-0000-0000-000042000000}"/>
    <cellStyle name="Calculation 2 4 12 2" xfId="11778" xr:uid="{70E838B3-1BAD-4032-B497-69EA5A493FA1}"/>
    <cellStyle name="Calculation 2 4 12 2 2" xfId="34264" xr:uid="{BF5A572C-4AB7-44F1-98BE-23CB95E660F2}"/>
    <cellStyle name="Calculation 2 4 12 2 3" xfId="26940" xr:uid="{98ED64DC-ED0D-49C2-B2FF-064932F8D719}"/>
    <cellStyle name="Calculation 2 4 12 3" xfId="16820" xr:uid="{29A27AB7-548F-4351-B2E7-7CB595B18DCE}"/>
    <cellStyle name="Calculation 2 4 12 3 2" xfId="39210" xr:uid="{7ED1CEC5-64E0-4E67-B8C4-C318A3B32E45}"/>
    <cellStyle name="Calculation 2 4 12 3 3" xfId="26966" xr:uid="{7D362B95-7E3F-4AB4-812E-C01F7E705C5C}"/>
    <cellStyle name="Calculation 2 4 12 4" xfId="9106" xr:uid="{357BCF88-7DF9-4112-9634-3B7D99076387}"/>
    <cellStyle name="Calculation 2 4 12 4 2" xfId="50835" xr:uid="{2550E98E-F51A-4748-A71A-030C06C1CC8D}"/>
    <cellStyle name="Calculation 2 4 12 5" xfId="48402" xr:uid="{C48907EC-0C5C-44B1-8710-CBD799ED96DF}"/>
    <cellStyle name="Calculation 2 4 13" xfId="13704" xr:uid="{8619712E-67C9-4C5F-A05D-D26B9796523F}"/>
    <cellStyle name="Calculation 2 4 13 2" xfId="36188" xr:uid="{CF34EC08-4162-4010-A84F-A384C9E6EAAD}"/>
    <cellStyle name="Calculation 2 4 13 3" xfId="46604" xr:uid="{B6327BA4-D5BC-4C11-A32A-5FEC4A08162E}"/>
    <cellStyle name="Calculation 2 4 14" xfId="15202" xr:uid="{D6840B40-2155-4F56-81B5-BB31F3802088}"/>
    <cellStyle name="Calculation 2 4 14 2" xfId="37642" xr:uid="{19E5435C-2EA3-400D-8DCB-8446FA39D284}"/>
    <cellStyle name="Calculation 2 4 14 3" xfId="48779" xr:uid="{107162DD-DC6C-4056-BFA8-FD3F8EA8E51E}"/>
    <cellStyle name="Calculation 2 4 15" xfId="16150" xr:uid="{9D1DA0C7-6328-4D82-B365-654CAE57144A}"/>
    <cellStyle name="Calculation 2 4 15 2" xfId="37483" xr:uid="{C0225C75-6E9D-4CD2-9715-D9833EE1A159}"/>
    <cellStyle name="Calculation 2 4 16" xfId="51859" xr:uid="{30A7B241-F3FC-4BE9-B64B-C184FF1377A0}"/>
    <cellStyle name="Calculation 2 4 2" xfId="587" xr:uid="{00000000-0005-0000-0000-000043000000}"/>
    <cellStyle name="Calculation 2 4 2 10" xfId="14993" xr:uid="{6ACBDFF5-1208-476B-BF67-C96E2A6EC984}"/>
    <cellStyle name="Calculation 2 4 2 10 2" xfId="50574" xr:uid="{8B87EF99-69FF-4DA8-9746-3A85EC302046}"/>
    <cellStyle name="Calculation 2 4 2 11" xfId="51107" xr:uid="{52BB4476-383D-4FAC-8299-5CFADD0EEB37}"/>
    <cellStyle name="Calculation 2 4 2 2" xfId="1721" xr:uid="{00000000-0005-0000-0000-000044000000}"/>
    <cellStyle name="Calculation 2 4 2 2 10" xfId="14422" xr:uid="{E996E516-5E0A-473C-8026-A2F5099BA238}"/>
    <cellStyle name="Calculation 2 4 2 2 10 2" xfId="36888" xr:uid="{4491AC8D-ED53-45CB-94D6-A566882CBDB1}"/>
    <cellStyle name="Calculation 2 4 2 2 10 3" xfId="52246" xr:uid="{11C2C3C8-6036-4C31-ABD1-D24BE65D3218}"/>
    <cellStyle name="Calculation 2 4 2 2 11" xfId="19942" xr:uid="{44D8D5F3-B477-4B71-8794-39E3BAC124C7}"/>
    <cellStyle name="Calculation 2 4 2 2 11 2" xfId="42272" xr:uid="{894223D0-8026-495E-B91C-B4CB48B2A5DB}"/>
    <cellStyle name="Calculation 2 4 2 2 11 3" xfId="30706" xr:uid="{A616383A-99E8-4CE2-BA85-69D278321093}"/>
    <cellStyle name="Calculation 2 4 2 2 12" xfId="13993" xr:uid="{B0DDD172-F2B7-4619-A4E6-4CD21739015D}"/>
    <cellStyle name="Calculation 2 4 2 2 12 2" xfId="53236" xr:uid="{CAA42962-D4E7-43D9-BDF8-0381CF50825A}"/>
    <cellStyle name="Calculation 2 4 2 2 13" xfId="50114" xr:uid="{719CEDAE-7089-42AE-891C-1823D23E5B36}"/>
    <cellStyle name="Calculation 2 4 2 2 2" xfId="3819" xr:uid="{00000000-0005-0000-0000-000044000000}"/>
    <cellStyle name="Calculation 2 4 2 2 2 2" xfId="10723" xr:uid="{4A57CC5B-3A7A-450A-9563-E9224FD901A9}"/>
    <cellStyle name="Calculation 2 4 2 2 2 2 2" xfId="33209" xr:uid="{550C3BA1-7E06-40C7-AE86-15CEB5F082E7}"/>
    <cellStyle name="Calculation 2 4 2 2 2 2 3" xfId="50130" xr:uid="{4231DA34-D5A5-488C-9282-3A5824B13D5C}"/>
    <cellStyle name="Calculation 2 4 2 2 2 3" xfId="15879" xr:uid="{3B5AAD2D-3A00-40E6-8591-9958C175950B}"/>
    <cellStyle name="Calculation 2 4 2 2 2 3 2" xfId="38285" xr:uid="{032EB3DD-D77D-4D71-B1EC-698605A1D327}"/>
    <cellStyle name="Calculation 2 4 2 2 2 3 3" xfId="32837" xr:uid="{F188E007-6E65-4778-8D32-43075BEC2316}"/>
    <cellStyle name="Calculation 2 4 2 2 2 4" xfId="19966" xr:uid="{CCCBA55F-18BE-4AEB-95CB-DC8D9459D4FA}"/>
    <cellStyle name="Calculation 2 4 2 2 2 4 2" xfId="29802" xr:uid="{17B0BA32-4336-48B9-9443-B15C6F75E516}"/>
    <cellStyle name="Calculation 2 4 2 2 2 5" xfId="52659" xr:uid="{AE80BBA8-3230-4F19-B1CD-D562A299416C}"/>
    <cellStyle name="Calculation 2 4 2 2 3" xfId="5235" xr:uid="{00000000-0005-0000-0000-000044000000}"/>
    <cellStyle name="Calculation 2 4 2 2 3 2" xfId="12127" xr:uid="{449A0CE0-3CE8-49E5-9E2A-B0EE1265C004}"/>
    <cellStyle name="Calculation 2 4 2 2 3 2 2" xfId="34612" xr:uid="{4ED5418E-90D8-42D2-AD2B-621D3FD527C0}"/>
    <cellStyle name="Calculation 2 4 2 2 3 2 3" xfId="32461" xr:uid="{12A4874F-D808-440E-A649-E884AE08AA54}"/>
    <cellStyle name="Calculation 2 4 2 2 3 3" xfId="17172" xr:uid="{026ED90A-52AE-41FD-A496-90A867FD18C3}"/>
    <cellStyle name="Calculation 2 4 2 2 3 3 2" xfId="39562" xr:uid="{9DAAF4CB-AD11-4CE2-B0CF-596657F64C4E}"/>
    <cellStyle name="Calculation 2 4 2 2 3 3 3" xfId="44392" xr:uid="{7F07C91C-6CEF-4E20-8EAA-D5E3D6491AEA}"/>
    <cellStyle name="Calculation 2 4 2 2 3 4" xfId="21596" xr:uid="{C5422762-94B7-4BE0-91F0-0EACA946BFD3}"/>
    <cellStyle name="Calculation 2 4 2 2 3 4 2" xfId="49042" xr:uid="{0B1292AD-AF02-4762-BB10-46BAAA66275D}"/>
    <cellStyle name="Calculation 2 4 2 2 3 5" xfId="47659" xr:uid="{A568F2FF-7E7C-4695-AAFC-8F2E86AF7AF4}"/>
    <cellStyle name="Calculation 2 4 2 2 4" xfId="5647" xr:uid="{00000000-0005-0000-0000-000044000000}"/>
    <cellStyle name="Calculation 2 4 2 2 4 2" xfId="12531" xr:uid="{68A2BE7B-32C0-42FB-93A6-20A76970777C}"/>
    <cellStyle name="Calculation 2 4 2 2 4 2 2" xfId="35016" xr:uid="{44AA7B48-AE89-462F-8541-D2D970145121}"/>
    <cellStyle name="Calculation 2 4 2 2 4 2 3" xfId="43656" xr:uid="{6ACE33F4-EB78-4BC8-837B-134F47C2ABAE}"/>
    <cellStyle name="Calculation 2 4 2 2 4 3" xfId="17584" xr:uid="{6916D87A-084C-48A9-9C63-D8474E3163BB}"/>
    <cellStyle name="Calculation 2 4 2 2 4 3 2" xfId="39974" xr:uid="{5F41882A-364A-4B52-9174-59D56BB3996E}"/>
    <cellStyle name="Calculation 2 4 2 2 4 3 3" xfId="44225" xr:uid="{CBC7E318-5B54-48CD-BD7E-F647F1FA6ABC}"/>
    <cellStyle name="Calculation 2 4 2 2 4 4" xfId="22008" xr:uid="{C6569A72-87B8-4AD7-A4E1-325FCFE1F587}"/>
    <cellStyle name="Calculation 2 4 2 2 4 4 2" xfId="49167" xr:uid="{3AF0AE54-5F9B-40DC-A203-06AF44BE2FC2}"/>
    <cellStyle name="Calculation 2 4 2 2 4 5" xfId="48352" xr:uid="{39FC3C39-C1B8-4F12-96AF-A94AA88BF646}"/>
    <cellStyle name="Calculation 2 4 2 2 5" xfId="4944" xr:uid="{00000000-0005-0000-0000-000044000000}"/>
    <cellStyle name="Calculation 2 4 2 2 5 2" xfId="11839" xr:uid="{9EA5E08D-FDCE-4C83-AAAD-BBAE934F51B3}"/>
    <cellStyle name="Calculation 2 4 2 2 5 2 2" xfId="34325" xr:uid="{8CF5BAF6-9A12-4E54-9E22-39F461E8A72A}"/>
    <cellStyle name="Calculation 2 4 2 2 5 2 3" xfId="29354" xr:uid="{4A4D3D22-6293-4B06-B995-B32ED5857E2E}"/>
    <cellStyle name="Calculation 2 4 2 2 5 3" xfId="16881" xr:uid="{70F62496-C40E-42F4-928C-DA07F452B206}"/>
    <cellStyle name="Calculation 2 4 2 2 5 3 2" xfId="39271" xr:uid="{1EB3FCD0-DC0E-4333-A48A-D23CF586B4FF}"/>
    <cellStyle name="Calculation 2 4 2 2 5 3 3" xfId="45531" xr:uid="{5377D42F-0DA9-4237-9D83-8DFB9F5210F5}"/>
    <cellStyle name="Calculation 2 4 2 2 5 4" xfId="21305" xr:uid="{943E7AC8-DE66-40A8-BE13-A14D1C7EAB94}"/>
    <cellStyle name="Calculation 2 4 2 2 5 4 2" xfId="51476" xr:uid="{FC3C91A0-27EA-4486-A04E-3CE939494267}"/>
    <cellStyle name="Calculation 2 4 2 2 5 5" xfId="53916" xr:uid="{F75E3FB5-D7CA-4E79-A997-0C4091DA92B0}"/>
    <cellStyle name="Calculation 2 4 2 2 6" xfId="6386" xr:uid="{00000000-0005-0000-0000-000044000000}"/>
    <cellStyle name="Calculation 2 4 2 2 6 2" xfId="13258" xr:uid="{C3A26752-38C4-4709-8087-7EFAE827A4A1}"/>
    <cellStyle name="Calculation 2 4 2 2 6 2 2" xfId="35742" xr:uid="{1D66222D-94A7-47F7-9FE5-3B47A32BAFAE}"/>
    <cellStyle name="Calculation 2 4 2 2 6 2 3" xfId="47462" xr:uid="{3A16CBA7-A4FB-49C4-8A37-2F27267448BB}"/>
    <cellStyle name="Calculation 2 4 2 2 6 3" xfId="18323" xr:uid="{6335649E-19F8-4862-8F7C-915A355AD734}"/>
    <cellStyle name="Calculation 2 4 2 2 6 3 2" xfId="40713" xr:uid="{3B403D28-9580-4297-ABA1-8E039281DABB}"/>
    <cellStyle name="Calculation 2 4 2 2 6 3 3" xfId="24761" xr:uid="{D395ECF7-92A8-4422-BCF0-166E616EA4B5}"/>
    <cellStyle name="Calculation 2 4 2 2 6 4" xfId="22747" xr:uid="{1BE13EA1-B266-4B4F-9404-B51DFDC6FEBB}"/>
    <cellStyle name="Calculation 2 4 2 2 6 4 2" xfId="46907" xr:uid="{B6A069D7-58D5-4B2D-9095-5D7AC1B6ADC4}"/>
    <cellStyle name="Calculation 2 4 2 2 6 5" xfId="51141" xr:uid="{D2C2C806-7286-4F49-BEFA-AFCD67F59897}"/>
    <cellStyle name="Calculation 2 4 2 2 7" xfId="4086" xr:uid="{00000000-0005-0000-0000-000044000000}"/>
    <cellStyle name="Calculation 2 4 2 2 7 2" xfId="10990" xr:uid="{35CA8BA4-1FB0-4C63-B0D2-80448936DED8}"/>
    <cellStyle name="Calculation 2 4 2 2 7 2 2" xfId="33476" xr:uid="{742BE42D-74F7-4B69-8DB7-205C43895732}"/>
    <cellStyle name="Calculation 2 4 2 2 7 2 3" xfId="50749" xr:uid="{B0AF06F5-A53B-485F-9756-521FF6933955}"/>
    <cellStyle name="Calculation 2 4 2 2 7 3" xfId="16090" xr:uid="{5482D9EE-8BFD-4976-B44C-AAD7F675B466}"/>
    <cellStyle name="Calculation 2 4 2 2 7 3 2" xfId="38490" xr:uid="{ABBFE1F6-5E08-479C-A46D-668EEE437342}"/>
    <cellStyle name="Calculation 2 4 2 2 7 3 3" xfId="24500" xr:uid="{05DAA9A1-8571-420B-9B8A-149277362A37}"/>
    <cellStyle name="Calculation 2 4 2 2 7 4" xfId="14330" xr:uid="{AD5A9E9F-F717-4B6C-BDF5-85FEE78BD727}"/>
    <cellStyle name="Calculation 2 4 2 2 7 4 2" xfId="24442" xr:uid="{427E4441-BC24-4FCC-9561-E63815500612}"/>
    <cellStyle name="Calculation 2 4 2 2 7 5" xfId="28837" xr:uid="{0B95860F-C7FB-4A60-A688-1499FD7784EA}"/>
    <cellStyle name="Calculation 2 4 2 2 8" xfId="6903" xr:uid="{00000000-0005-0000-0000-000044000000}"/>
    <cellStyle name="Calculation 2 4 2 2 8 2" xfId="13741" xr:uid="{5E52694B-DAA8-4E53-8AB0-888DE6954B66}"/>
    <cellStyle name="Calculation 2 4 2 2 8 2 2" xfId="36225" xr:uid="{B193D2CF-B6EB-47A4-BA71-703249576FF0}"/>
    <cellStyle name="Calculation 2 4 2 2 8 2 3" xfId="53947" xr:uid="{257D9D8A-8C4D-4C2B-93E2-864A3F712325}"/>
    <cellStyle name="Calculation 2 4 2 2 8 3" xfId="18840" xr:uid="{A87838FC-D6F7-45D8-81D6-BEE25BD92557}"/>
    <cellStyle name="Calculation 2 4 2 2 8 3 2" xfId="41230" xr:uid="{A0D7DB9C-C676-49C5-A1D8-2A9EBB4F2746}"/>
    <cellStyle name="Calculation 2 4 2 2 8 3 3" xfId="28048" xr:uid="{D133910F-7AD0-4F41-983F-654ADFDB8C51}"/>
    <cellStyle name="Calculation 2 4 2 2 8 4" xfId="23264" xr:uid="{244CD8B7-6B84-44B9-B622-94CFB1D3865E}"/>
    <cellStyle name="Calculation 2 4 2 2 8 4 2" xfId="45850" xr:uid="{BB8490C0-DA5A-4BBD-A015-88F7A6B6073D}"/>
    <cellStyle name="Calculation 2 4 2 2 8 5" xfId="53442" xr:uid="{248247E0-2DBD-4BCD-80E4-88B60D669326}"/>
    <cellStyle name="Calculation 2 4 2 2 9" xfId="2330" xr:uid="{00000000-0005-0000-0000-000044000000}"/>
    <cellStyle name="Calculation 2 4 2 2 9 2" xfId="14890" xr:uid="{C67A34D4-19B3-401C-8A1F-39C8E86EB3AB}"/>
    <cellStyle name="Calculation 2 4 2 2 9 2 2" xfId="37344" xr:uid="{B4E1014B-A26F-4511-A41D-3134E5A1BFB8}"/>
    <cellStyle name="Calculation 2 4 2 2 9 2 3" xfId="51547" xr:uid="{5FB76C9D-E670-4A30-BC12-D7C725DAAD38}"/>
    <cellStyle name="Calculation 2 4 2 2 9 3" xfId="15383" xr:uid="{8457A99F-2B1C-444D-85C6-C1631C040CEE}"/>
    <cellStyle name="Calculation 2 4 2 2 9 3 2" xfId="51914" xr:uid="{922EAD15-5AEB-41B3-86AC-02969F15BEA1}"/>
    <cellStyle name="Calculation 2 4 2 2 9 4" xfId="50306" xr:uid="{10C3D0BC-857E-45FD-8BF1-500698765DAC}"/>
    <cellStyle name="Calculation 2 4 2 3" xfId="2735" xr:uid="{00000000-0005-0000-0000-000043000000}"/>
    <cellStyle name="Calculation 2 4 2 3 2" xfId="9644" xr:uid="{09B6430B-E165-4C49-BF10-B971647ED443}"/>
    <cellStyle name="Calculation 2 4 2 3 2 2" xfId="32192" xr:uid="{B8995161-3F97-473E-AF84-D7E07353D834}"/>
    <cellStyle name="Calculation 2 4 2 3 2 3" xfId="49497" xr:uid="{D6F5826A-10E5-42E9-8D70-1E0B4DAD447F}"/>
    <cellStyle name="Calculation 2 4 2 3 3" xfId="15162" xr:uid="{A7100CEE-60A1-459A-9DFA-2591746DFBF1}"/>
    <cellStyle name="Calculation 2 4 2 3 3 2" xfId="37602" xr:uid="{826BA4AB-13E4-4BF5-8AAA-A14C05FCC0F4}"/>
    <cellStyle name="Calculation 2 4 2 3 3 3" xfId="50888" xr:uid="{28C040A4-9321-4136-BFFF-9D61B6C483FC}"/>
    <cellStyle name="Calculation 2 4 2 3 4" xfId="21132" xr:uid="{97530716-2257-46C5-8DFA-1BDE09880531}"/>
    <cellStyle name="Calculation 2 4 2 3 4 2" xfId="27662" xr:uid="{80B82379-0DDA-4C88-9639-0E9F15E6850C}"/>
    <cellStyle name="Calculation 2 4 2 3 5" xfId="25166" xr:uid="{160B5AE9-4949-45A1-AAA4-73A888E3E540}"/>
    <cellStyle name="Calculation 2 4 2 4" xfId="4526" xr:uid="{00000000-0005-0000-0000-000043000000}"/>
    <cellStyle name="Calculation 2 4 2 4 2" xfId="11428" xr:uid="{9D05E04C-D232-4B2C-8CC7-89914CAA1A16}"/>
    <cellStyle name="Calculation 2 4 2 4 2 2" xfId="33914" xr:uid="{BC5FAC68-37EB-4171-B7CA-D2E393CAC0D0}"/>
    <cellStyle name="Calculation 2 4 2 4 2 3" xfId="45170" xr:uid="{464A31AC-A5E2-45A9-AEF8-B02DAE17C55D}"/>
    <cellStyle name="Calculation 2 4 2 4 3" xfId="16463" xr:uid="{659FABCF-2405-4410-9526-59483D61D816}"/>
    <cellStyle name="Calculation 2 4 2 4 3 2" xfId="38853" xr:uid="{E530A46A-2B00-455A-930A-835FB6F3A114}"/>
    <cellStyle name="Calculation 2 4 2 4 3 3" xfId="37001" xr:uid="{E92AF914-1FFB-4043-A86A-FF0982BEFAA0}"/>
    <cellStyle name="Calculation 2 4 2 4 4" xfId="15996" xr:uid="{4C982ECD-001E-42BD-805B-2BCD45D934F3}"/>
    <cellStyle name="Calculation 2 4 2 4 4 2" xfId="50105" xr:uid="{E12A23CD-5074-436A-8CB3-BD6DC02349ED}"/>
    <cellStyle name="Calculation 2 4 2 4 5" xfId="44534" xr:uid="{E4AE9BA9-EC56-4A8D-AC9C-B7A9618BCBF5}"/>
    <cellStyle name="Calculation 2 4 2 5" xfId="2355" xr:uid="{00000000-0005-0000-0000-000043000000}"/>
    <cellStyle name="Calculation 2 4 2 5 2" xfId="9264" xr:uid="{AA476987-9F27-4B8D-A17B-765329508C75}"/>
    <cellStyle name="Calculation 2 4 2 5 2 2" xfId="31839" xr:uid="{37AC5B9C-E3AF-4AED-A383-2E73A913013E}"/>
    <cellStyle name="Calculation 2 4 2 5 2 3" xfId="23810" xr:uid="{C1694249-9484-45B2-8B27-51F149E06A74}"/>
    <cellStyle name="Calculation 2 4 2 5 3" xfId="14910" xr:uid="{F1F84FDC-1FED-4C07-83A8-76554B3F3195}"/>
    <cellStyle name="Calculation 2 4 2 5 3 2" xfId="37364" xr:uid="{1DE1FDEE-3156-4C4A-BDC8-98B5DFAC1AAC}"/>
    <cellStyle name="Calculation 2 4 2 5 3 3" xfId="43069" xr:uid="{B9179A5B-24F9-4369-A539-D21E0120723C}"/>
    <cellStyle name="Calculation 2 4 2 5 4" xfId="14472" xr:uid="{E52560FA-2EC5-41DF-A47E-47EFDF48629D}"/>
    <cellStyle name="Calculation 2 4 2 5 4 2" xfId="29826" xr:uid="{83F3EDB9-A669-4917-BC07-4099EFE38D82}"/>
    <cellStyle name="Calculation 2 4 2 5 5" xfId="24887" xr:uid="{669EB0D7-8524-4BD9-AD24-6BEE4A5015F8}"/>
    <cellStyle name="Calculation 2 4 2 6" xfId="4477" xr:uid="{00000000-0005-0000-0000-000043000000}"/>
    <cellStyle name="Calculation 2 4 2 6 2" xfId="11379" xr:uid="{580ABDE2-4910-4860-A63E-2759B84AB424}"/>
    <cellStyle name="Calculation 2 4 2 6 2 2" xfId="33865" xr:uid="{F21D504E-E556-4716-8653-829C0FB9D02A}"/>
    <cellStyle name="Calculation 2 4 2 6 2 3" xfId="28383" xr:uid="{3B0D0348-A21E-4BC6-BFFF-BB37B96F81B9}"/>
    <cellStyle name="Calculation 2 4 2 6 3" xfId="16414" xr:uid="{ED62EB89-9FB6-4B29-B838-4F2D7100C5B8}"/>
    <cellStyle name="Calculation 2 4 2 6 3 2" xfId="38804" xr:uid="{BAE221FC-E016-4AAE-BD32-5F8A9CD3C0D1}"/>
    <cellStyle name="Calculation 2 4 2 6 3 3" xfId="43461" xr:uid="{1263E81A-2316-416B-8464-1D259C014DAD}"/>
    <cellStyle name="Calculation 2 4 2 6 4" xfId="20782" xr:uid="{54DE9B2E-9F53-4860-9EA4-D3DD1BA39C54}"/>
    <cellStyle name="Calculation 2 4 2 6 4 2" xfId="48538" xr:uid="{771CA60F-AA03-494D-812A-AE8A90F8E444}"/>
    <cellStyle name="Calculation 2 4 2 6 5" xfId="48090" xr:uid="{741949ED-7F96-47BE-90F3-2381C3E0FDB0}"/>
    <cellStyle name="Calculation 2 4 2 7" xfId="5542" xr:uid="{00000000-0005-0000-0000-000043000000}"/>
    <cellStyle name="Calculation 2 4 2 7 2" xfId="12431" xr:uid="{388F6552-251A-4333-B0EB-B949F6D64E74}"/>
    <cellStyle name="Calculation 2 4 2 7 2 2" xfId="34916" xr:uid="{4ECD07D5-C0FF-48D9-A53F-31B6DB283AA3}"/>
    <cellStyle name="Calculation 2 4 2 7 2 3" xfId="28850" xr:uid="{67830195-91AE-4603-A3E0-9F0308B7EC3F}"/>
    <cellStyle name="Calculation 2 4 2 7 3" xfId="17479" xr:uid="{AB2663A6-F8E9-457C-9491-7CC286910C34}"/>
    <cellStyle name="Calculation 2 4 2 7 3 2" xfId="39869" xr:uid="{8062CB14-57DE-457D-ADAE-B582B1A6FAE6}"/>
    <cellStyle name="Calculation 2 4 2 7 3 3" xfId="25829" xr:uid="{AFE0148B-36AD-42E5-98A3-B2E68E6D4D57}"/>
    <cellStyle name="Calculation 2 4 2 7 4" xfId="21903" xr:uid="{3066F3B4-8DA1-4641-B8D9-2AA7A9172394}"/>
    <cellStyle name="Calculation 2 4 2 7 4 2" xfId="50953" xr:uid="{20B64E1B-2508-4544-88A3-886FABA05C17}"/>
    <cellStyle name="Calculation 2 4 2 7 5" xfId="50341" xr:uid="{38642243-760B-4717-A9F7-3BF477062E8A}"/>
    <cellStyle name="Calculation 2 4 2 8" xfId="7371" xr:uid="{D242A7D8-5856-40A9-9574-AFBABADC0A22}"/>
    <cellStyle name="Calculation 2 4 2 8 2" xfId="30056" xr:uid="{F88918EE-8705-4929-B542-88579C82D591}"/>
    <cellStyle name="Calculation 2 4 2 8 3" xfId="44253" xr:uid="{5125A09D-33BB-4792-BB3D-FD3B13E8731E}"/>
    <cellStyle name="Calculation 2 4 2 9" xfId="20727" xr:uid="{05958AAB-E0CF-48C8-8865-05E5A2A1FA5D}"/>
    <cellStyle name="Calculation 2 4 2 9 2" xfId="42998" xr:uid="{32BF789E-B00B-44FF-BA64-AEFC750049AC}"/>
    <cellStyle name="Calculation 2 4 2 9 3" xfId="50510" xr:uid="{589F7E5D-0C35-4E9A-9C45-85FAF6CC2158}"/>
    <cellStyle name="Calculation 2 4 3" xfId="834" xr:uid="{00000000-0005-0000-0000-000045000000}"/>
    <cellStyle name="Calculation 2 4 3 10" xfId="19763" xr:uid="{697DB37D-9889-4F6B-894B-51CFB6ADDE46}"/>
    <cellStyle name="Calculation 2 4 3 10 2" xfId="29184" xr:uid="{2FD91A6B-28B7-4DA9-BE2A-843EB19BD5F4}"/>
    <cellStyle name="Calculation 2 4 3 11" xfId="23640" xr:uid="{EB609059-012F-47CD-B119-868623F113BA}"/>
    <cellStyle name="Calculation 2 4 3 2" xfId="1819" xr:uid="{00000000-0005-0000-0000-000046000000}"/>
    <cellStyle name="Calculation 2 4 3 2 10" xfId="14503" xr:uid="{A5C3DDB2-07E0-4871-9C74-53CD0405E5F8}"/>
    <cellStyle name="Calculation 2 4 3 2 10 2" xfId="36964" xr:uid="{28B0BD0E-16E9-4B71-96B4-300733CD4BEA}"/>
    <cellStyle name="Calculation 2 4 3 2 10 3" xfId="28561" xr:uid="{FC18D6E3-4EDE-4081-8121-60EBBD861F89}"/>
    <cellStyle name="Calculation 2 4 3 2 11" xfId="19894" xr:uid="{17074ED6-0188-4E87-BD0F-454C9FDFC52D}"/>
    <cellStyle name="Calculation 2 4 3 2 11 2" xfId="42227" xr:uid="{1AF2844A-C693-4401-9C9D-8C5D519F25E4}"/>
    <cellStyle name="Calculation 2 4 3 2 11 3" xfId="29030" xr:uid="{821CE988-FB93-4DDA-BDA9-758ED02A205F}"/>
    <cellStyle name="Calculation 2 4 3 2 12" xfId="14694" xr:uid="{25708DBB-4CE8-4F2F-8B8E-DA78CA002F8C}"/>
    <cellStyle name="Calculation 2 4 3 2 12 2" xfId="50777" xr:uid="{040FD749-A54A-477F-9575-50A1578E8E53}"/>
    <cellStyle name="Calculation 2 4 3 2 13" xfId="53735" xr:uid="{B3BE575C-377F-4461-8F1B-CB67C9B4E7F9}"/>
    <cellStyle name="Calculation 2 4 3 2 2" xfId="3917" xr:uid="{00000000-0005-0000-0000-000046000000}"/>
    <cellStyle name="Calculation 2 4 3 2 2 2" xfId="10821" xr:uid="{1E8213F2-65C9-43AF-9339-B814E0D5287B}"/>
    <cellStyle name="Calculation 2 4 3 2 2 2 2" xfId="33307" xr:uid="{6CB8BE98-CBBB-41D0-AC64-147D0D991014}"/>
    <cellStyle name="Calculation 2 4 3 2 2 2 3" xfId="50084" xr:uid="{9F8625BF-8D05-422C-8ED8-2244B444D7CB}"/>
    <cellStyle name="Calculation 2 4 3 2 2 3" xfId="15959" xr:uid="{542D046B-5958-4945-8012-1F454402EABC}"/>
    <cellStyle name="Calculation 2 4 3 2 2 3 2" xfId="38362" xr:uid="{514BCB9D-A1B3-431A-AC96-D6ECCF902791}"/>
    <cellStyle name="Calculation 2 4 3 2 2 3 3" xfId="52854" xr:uid="{9B3CC60E-7826-4F42-9155-161A68AC5C2C}"/>
    <cellStyle name="Calculation 2 4 3 2 2 4" xfId="16282" xr:uid="{A016A718-A2E7-423B-B0C2-2D743DE43B80}"/>
    <cellStyle name="Calculation 2 4 3 2 2 4 2" xfId="24811" xr:uid="{F23FF2BF-8197-4471-A571-0A78EC1CA1CF}"/>
    <cellStyle name="Calculation 2 4 3 2 2 5" xfId="50270" xr:uid="{C776B064-1592-4022-908B-B7704FDC51C7}"/>
    <cellStyle name="Calculation 2 4 3 2 3" xfId="5312" xr:uid="{00000000-0005-0000-0000-000046000000}"/>
    <cellStyle name="Calculation 2 4 3 2 3 2" xfId="12204" xr:uid="{3E03E4F7-1B0B-42B7-971D-566922C4AF63}"/>
    <cellStyle name="Calculation 2 4 3 2 3 2 2" xfId="34689" xr:uid="{B64864EE-BD32-44AE-8F70-186CA7CF8766}"/>
    <cellStyle name="Calculation 2 4 3 2 3 2 3" xfId="32004" xr:uid="{6E89E48A-207C-4717-8CFE-3AC3EE007A0B}"/>
    <cellStyle name="Calculation 2 4 3 2 3 3" xfId="17249" xr:uid="{F28FAA6D-5272-4353-B6FA-83E2A4A249BE}"/>
    <cellStyle name="Calculation 2 4 3 2 3 3 2" xfId="39639" xr:uid="{2724898C-2FA7-45D5-AD0D-3CA5B19F7E86}"/>
    <cellStyle name="Calculation 2 4 3 2 3 3 3" xfId="29317" xr:uid="{594498C1-C4D0-4A6A-BE3E-56E2909AB770}"/>
    <cellStyle name="Calculation 2 4 3 2 3 4" xfId="21673" xr:uid="{55158E08-F3B4-493E-B6F5-14E763D574CA}"/>
    <cellStyle name="Calculation 2 4 3 2 3 4 2" xfId="45992" xr:uid="{43494702-83F1-40CE-9C71-FBCA6BE8538E}"/>
    <cellStyle name="Calculation 2 4 3 2 3 5" xfId="46392" xr:uid="{15FAC919-C8CA-49E8-96B9-9354637003D9}"/>
    <cellStyle name="Calculation 2 4 3 2 4" xfId="5722" xr:uid="{00000000-0005-0000-0000-000046000000}"/>
    <cellStyle name="Calculation 2 4 3 2 4 2" xfId="12606" xr:uid="{A5E4C5C1-1FE4-4653-A68B-82CF6EDFB19B}"/>
    <cellStyle name="Calculation 2 4 3 2 4 2 2" xfId="35091" xr:uid="{E3B022E2-93F0-4958-B2EE-0C288992D8DF}"/>
    <cellStyle name="Calculation 2 4 3 2 4 2 3" xfId="28655" xr:uid="{653D477B-6974-48C4-B0E1-CF2B93802FCE}"/>
    <cellStyle name="Calculation 2 4 3 2 4 3" xfId="17659" xr:uid="{B43A5F7C-6C2E-41BB-B7CD-B87413A205ED}"/>
    <cellStyle name="Calculation 2 4 3 2 4 3 2" xfId="40049" xr:uid="{D1DFE735-062F-4904-98F2-A1DF66939C94}"/>
    <cellStyle name="Calculation 2 4 3 2 4 3 3" xfId="29483" xr:uid="{006F8AC5-7E32-4872-AFCB-93997140BA4C}"/>
    <cellStyle name="Calculation 2 4 3 2 4 4" xfId="22083" xr:uid="{CD97DF1D-AB87-45BB-A000-A84CAAEED2A8}"/>
    <cellStyle name="Calculation 2 4 3 2 4 4 2" xfId="52152" xr:uid="{FC99BEA3-69CB-48AB-8C9D-16E07E777A5E}"/>
    <cellStyle name="Calculation 2 4 3 2 4 5" xfId="52141" xr:uid="{CDBAEFDE-5BF0-4630-8E21-55F5F44D49B5}"/>
    <cellStyle name="Calculation 2 4 3 2 5" xfId="6076" xr:uid="{00000000-0005-0000-0000-000046000000}"/>
    <cellStyle name="Calculation 2 4 3 2 5 2" xfId="12954" xr:uid="{F033AB7E-BDCE-4A40-ADE3-8CC1B7280751}"/>
    <cellStyle name="Calculation 2 4 3 2 5 2 2" xfId="35438" xr:uid="{567A3190-7CA6-4D46-9A53-9CC512434FFA}"/>
    <cellStyle name="Calculation 2 4 3 2 5 2 3" xfId="27676" xr:uid="{9B9539B6-C0F5-4B1C-B13F-6A823BA4C13B}"/>
    <cellStyle name="Calculation 2 4 3 2 5 3" xfId="18013" xr:uid="{3A4F373B-FDD0-4075-92E2-5970B7C3EDEC}"/>
    <cellStyle name="Calculation 2 4 3 2 5 3 2" xfId="40403" xr:uid="{A0963A38-AB20-4481-AAB3-1107FF6F0F7A}"/>
    <cellStyle name="Calculation 2 4 3 2 5 3 3" xfId="31021" xr:uid="{32306A0E-99FF-4A88-BA87-66BEDF1EB78E}"/>
    <cellStyle name="Calculation 2 4 3 2 5 4" xfId="22437" xr:uid="{F7A39368-56EF-4C1F-B329-27AD0706E5D6}"/>
    <cellStyle name="Calculation 2 4 3 2 5 4 2" xfId="53539" xr:uid="{CA3A3F26-1774-4D4B-AFBA-912D76F02681}"/>
    <cellStyle name="Calculation 2 4 3 2 5 5" xfId="41670" xr:uid="{1D5FF175-7C76-46E0-8650-ECF6F7948C7A}"/>
    <cellStyle name="Calculation 2 4 3 2 6" xfId="6451" xr:uid="{00000000-0005-0000-0000-000046000000}"/>
    <cellStyle name="Calculation 2 4 3 2 6 2" xfId="13321" xr:uid="{C6D09558-91C1-46A5-ACFE-4E95CAD2D4BF}"/>
    <cellStyle name="Calculation 2 4 3 2 6 2 2" xfId="35805" xr:uid="{34695615-6731-4F7D-9B9A-5E11C6FE7F91}"/>
    <cellStyle name="Calculation 2 4 3 2 6 2 3" xfId="52413" xr:uid="{469BC839-CDD7-4795-8528-A4FB751B7AD6}"/>
    <cellStyle name="Calculation 2 4 3 2 6 3" xfId="18388" xr:uid="{F26763DD-784D-402F-8A11-93D2A61E4FE7}"/>
    <cellStyle name="Calculation 2 4 3 2 6 3 2" xfId="40778" xr:uid="{101D577C-4A8E-4174-9AA7-79F5EFABEB11}"/>
    <cellStyle name="Calculation 2 4 3 2 6 3 3" xfId="29536" xr:uid="{21793307-0B72-44F6-91C7-C70DE8C667B1}"/>
    <cellStyle name="Calculation 2 4 3 2 6 4" xfId="22812" xr:uid="{10031759-B37F-4E78-8C66-E2265AE8D342}"/>
    <cellStyle name="Calculation 2 4 3 2 6 4 2" xfId="46113" xr:uid="{FA48AA3F-D6FF-407E-9A19-52413430D2AD}"/>
    <cellStyle name="Calculation 2 4 3 2 6 5" xfId="44795" xr:uid="{992F3DF5-A94C-45A6-B855-5CEE4F3EBBC0}"/>
    <cellStyle name="Calculation 2 4 3 2 7" xfId="5090" xr:uid="{00000000-0005-0000-0000-000046000000}"/>
    <cellStyle name="Calculation 2 4 3 2 7 2" xfId="11983" xr:uid="{7F8D5F0B-3B61-4C3A-A1EB-49B7B51D9B2F}"/>
    <cellStyle name="Calculation 2 4 3 2 7 2 2" xfId="34469" xr:uid="{85DB05FC-FC2C-48C3-8848-B36E4BBA4F97}"/>
    <cellStyle name="Calculation 2 4 3 2 7 2 3" xfId="26312" xr:uid="{5CFD9763-592D-4F97-AE62-DC1346037F35}"/>
    <cellStyle name="Calculation 2 4 3 2 7 3" xfId="17027" xr:uid="{2342BFCC-FE8A-497C-853E-EB9C444DAB69}"/>
    <cellStyle name="Calculation 2 4 3 2 7 3 2" xfId="39417" xr:uid="{CC689AA8-A80B-44D8-99B7-2AC0E201A58C}"/>
    <cellStyle name="Calculation 2 4 3 2 7 3 3" xfId="29367" xr:uid="{9A42F1D1-B0B8-4A3A-9EE8-042254E13582}"/>
    <cellStyle name="Calculation 2 4 3 2 7 4" xfId="21451" xr:uid="{C26216A1-926A-4088-AB7E-FF6B3300D937}"/>
    <cellStyle name="Calculation 2 4 3 2 7 4 2" xfId="51175" xr:uid="{ED999296-0253-4CCF-BE5D-52EC50AA85BC}"/>
    <cellStyle name="Calculation 2 4 3 2 7 5" xfId="51134" xr:uid="{0DB1E5C1-3A12-4841-8A79-17E6B8520BC8}"/>
    <cellStyle name="Calculation 2 4 3 2 8" xfId="6951" xr:uid="{00000000-0005-0000-0000-000046000000}"/>
    <cellStyle name="Calculation 2 4 3 2 8 2" xfId="13788" xr:uid="{7B89E3DD-11C2-4E00-98EE-B89D52947F89}"/>
    <cellStyle name="Calculation 2 4 3 2 8 2 2" xfId="36272" xr:uid="{66CDFDC9-F58B-4136-818F-57FFE9735386}"/>
    <cellStyle name="Calculation 2 4 3 2 8 2 3" xfId="25467" xr:uid="{09C1D11A-03A2-4CA1-9DD4-8547EBF01504}"/>
    <cellStyle name="Calculation 2 4 3 2 8 3" xfId="18888" xr:uid="{EBEC8592-D65D-4319-8DCE-34744A20ACC5}"/>
    <cellStyle name="Calculation 2 4 3 2 8 3 2" xfId="41278" xr:uid="{7592952E-75CF-4EA3-8AE6-5CCE3B925EBD}"/>
    <cellStyle name="Calculation 2 4 3 2 8 3 3" xfId="29588" xr:uid="{83497363-313D-4FA5-89C7-78DF476CEA3F}"/>
    <cellStyle name="Calculation 2 4 3 2 8 4" xfId="23312" xr:uid="{30E2F1B6-7CB2-42D3-A5D2-291D1DFCB143}"/>
    <cellStyle name="Calculation 2 4 3 2 8 4 2" xfId="45157" xr:uid="{F3184378-A54E-485B-B3BA-B221C780EC29}"/>
    <cellStyle name="Calculation 2 4 3 2 8 5" xfId="52558" xr:uid="{F1C52A64-3286-4986-A4AB-65C0DF89BE4F}"/>
    <cellStyle name="Calculation 2 4 3 2 9" xfId="6790" xr:uid="{00000000-0005-0000-0000-000046000000}"/>
    <cellStyle name="Calculation 2 4 3 2 9 2" xfId="18727" xr:uid="{953BC56C-9EB5-4022-AB28-8F21BBE35ABC}"/>
    <cellStyle name="Calculation 2 4 3 2 9 2 2" xfId="41117" xr:uid="{5F891EA5-EA61-460A-BCCC-3F11872A234A}"/>
    <cellStyle name="Calculation 2 4 3 2 9 2 3" xfId="28330" xr:uid="{495EAAB1-76FA-4A41-90F1-3254C4E6C9D6}"/>
    <cellStyle name="Calculation 2 4 3 2 9 3" xfId="23151" xr:uid="{4D63D5A2-E129-45CC-86DE-5C0F8C4370A8}"/>
    <cellStyle name="Calculation 2 4 3 2 9 3 2" xfId="51534" xr:uid="{68ACF713-D654-446D-B697-6AB1F62B3317}"/>
    <cellStyle name="Calculation 2 4 3 2 9 4" xfId="47454" xr:uid="{816481E8-1BF3-45DC-8869-1E9EDFADB7AA}"/>
    <cellStyle name="Calculation 2 4 3 3" xfId="2968" xr:uid="{00000000-0005-0000-0000-000045000000}"/>
    <cellStyle name="Calculation 2 4 3 3 2" xfId="9877" xr:uid="{86EE1997-BE09-4BF9-A9FA-0950C852460B}"/>
    <cellStyle name="Calculation 2 4 3 3 2 2" xfId="32400" xr:uid="{4495BBE1-2737-4F75-A841-AF959841C97E}"/>
    <cellStyle name="Calculation 2 4 3 3 2 3" xfId="24943" xr:uid="{F1F00970-F170-4704-9011-929835627171}"/>
    <cellStyle name="Calculation 2 4 3 3 3" xfId="15315" xr:uid="{96E5A62A-BFD6-4AEC-B4E7-06F20C1844B8}"/>
    <cellStyle name="Calculation 2 4 3 3 3 2" xfId="37747" xr:uid="{9555F638-3ADB-4503-900D-BA5BE79045B7}"/>
    <cellStyle name="Calculation 2 4 3 3 3 3" xfId="28959" xr:uid="{E82AB8B9-CA5E-4F10-980C-E1C0B0930635}"/>
    <cellStyle name="Calculation 2 4 3 3 4" xfId="14460" xr:uid="{880F9A34-FD43-4BA3-AEDD-0EB971924ECA}"/>
    <cellStyle name="Calculation 2 4 3 3 4 2" xfId="43823" xr:uid="{CB05EDD7-98F6-407A-884A-151E65379275}"/>
    <cellStyle name="Calculation 2 4 3 3 5" xfId="50650" xr:uid="{F4C36E07-47A4-4C12-AC1C-4ABF0D45A542}"/>
    <cellStyle name="Calculation 2 4 3 4" xfId="4678" xr:uid="{00000000-0005-0000-0000-000045000000}"/>
    <cellStyle name="Calculation 2 4 3 4 2" xfId="11576" xr:uid="{E445A750-A7F7-4CF6-B1E3-02AA5C1A0EDF}"/>
    <cellStyle name="Calculation 2 4 3 4 2 2" xfId="34062" xr:uid="{73FC79F6-2561-4C07-9676-643734647DFC}"/>
    <cellStyle name="Calculation 2 4 3 4 2 3" xfId="24242" xr:uid="{8FC204E2-5D72-4CE6-B620-3F3308FA7EE9}"/>
    <cellStyle name="Calculation 2 4 3 4 3" xfId="16615" xr:uid="{93132662-18D8-461C-99BD-09CDF4A4E19E}"/>
    <cellStyle name="Calculation 2 4 3 4 3 2" xfId="39005" xr:uid="{BFE9F091-66E9-4A74-B5B8-12A0E0390ABE}"/>
    <cellStyle name="Calculation 2 4 3 4 3 3" xfId="27375" xr:uid="{C68DB6FB-695F-48C0-B472-BE29DC6A63E7}"/>
    <cellStyle name="Calculation 2 4 3 4 4" xfId="20560" xr:uid="{FE0F1C18-B4A5-452B-9D69-4F43E8CBC061}"/>
    <cellStyle name="Calculation 2 4 3 4 4 2" xfId="43787" xr:uid="{16FC052C-7FC9-4540-AC44-E0B219063696}"/>
    <cellStyle name="Calculation 2 4 3 4 5" xfId="50351" xr:uid="{0477CB7D-7591-4714-A959-3CCC57C0D626}"/>
    <cellStyle name="Calculation 2 4 3 5" xfId="2374" xr:uid="{00000000-0005-0000-0000-000045000000}"/>
    <cellStyle name="Calculation 2 4 3 5 2" xfId="9283" xr:uid="{492F9366-06E9-4F23-809B-BC8DF8207E4B}"/>
    <cellStyle name="Calculation 2 4 3 5 2 2" xfId="31858" xr:uid="{2D2EF743-DA3A-458B-AF81-5B072DE87C77}"/>
    <cellStyle name="Calculation 2 4 3 5 2 3" xfId="46868" xr:uid="{18A7A85C-9FB8-4E5C-A0F6-A70820D99F2D}"/>
    <cellStyle name="Calculation 2 4 3 5 3" xfId="14927" xr:uid="{554A6FD1-CAEA-41E8-AF66-F7972B80D3B4}"/>
    <cellStyle name="Calculation 2 4 3 5 3 2" xfId="37381" xr:uid="{018C5EBF-4850-419C-B3E3-72621675D412}"/>
    <cellStyle name="Calculation 2 4 3 5 3 3" xfId="53902" xr:uid="{EDEA0227-523D-4575-8EB4-FBA06C4DBAE5}"/>
    <cellStyle name="Calculation 2 4 3 5 4" xfId="19951" xr:uid="{C852F50A-E9FF-476D-8343-922B20D2074A}"/>
    <cellStyle name="Calculation 2 4 3 5 4 2" xfId="27635" xr:uid="{7DF11546-AFEE-4412-97BC-BB59695FDE78}"/>
    <cellStyle name="Calculation 2 4 3 5 5" xfId="25221" xr:uid="{C61EDF27-B44B-4D36-84E7-8E2988613543}"/>
    <cellStyle name="Calculation 2 4 3 6" xfId="5914" xr:uid="{00000000-0005-0000-0000-000045000000}"/>
    <cellStyle name="Calculation 2 4 3 6 2" xfId="12795" xr:uid="{699026A2-074C-44A4-9524-F19530C4377F}"/>
    <cellStyle name="Calculation 2 4 3 6 2 2" xfId="35279" xr:uid="{1D736F16-0740-4C2E-A142-AF1C29054094}"/>
    <cellStyle name="Calculation 2 4 3 6 2 3" xfId="29470" xr:uid="{930B8C9D-2F86-437B-A8D0-EBFED0A99AE3}"/>
    <cellStyle name="Calculation 2 4 3 6 3" xfId="17851" xr:uid="{663A23F4-4017-4C82-A77A-BAB39F9F0B75}"/>
    <cellStyle name="Calculation 2 4 3 6 3 2" xfId="40241" xr:uid="{B086C98A-8CC2-4DBB-B62A-B8D3153F1482}"/>
    <cellStyle name="Calculation 2 4 3 6 3 3" xfId="29579" xr:uid="{47455814-C28D-4527-9CE0-B2A550911709}"/>
    <cellStyle name="Calculation 2 4 3 6 4" xfId="22275" xr:uid="{79493F40-6482-4D2A-932B-61AE68DBE574}"/>
    <cellStyle name="Calculation 2 4 3 6 4 2" xfId="27921" xr:uid="{D349CBD6-DD6C-4853-93C2-3982FBB31378}"/>
    <cellStyle name="Calculation 2 4 3 6 5" xfId="48961" xr:uid="{D107BC72-33D7-42DC-A16F-BBF746E9F037}"/>
    <cellStyle name="Calculation 2 4 3 7" xfId="4570" xr:uid="{00000000-0005-0000-0000-000045000000}"/>
    <cellStyle name="Calculation 2 4 3 7 2" xfId="11472" xr:uid="{5C04E211-0A91-4E56-A5BA-FE9DC9E92679}"/>
    <cellStyle name="Calculation 2 4 3 7 2 2" xfId="33958" xr:uid="{E25BFC4B-4973-45C7-AAEF-131C57C1A5C5}"/>
    <cellStyle name="Calculation 2 4 3 7 2 3" xfId="29499" xr:uid="{EAF6FE0D-0A41-4AC9-80AC-652304EC591E}"/>
    <cellStyle name="Calculation 2 4 3 7 3" xfId="16507" xr:uid="{A06087E2-6F54-4F08-AA46-C1FE943B291E}"/>
    <cellStyle name="Calculation 2 4 3 7 3 2" xfId="38897" xr:uid="{26FD8BA2-AC84-4766-ABC7-EF5350EC0FB5}"/>
    <cellStyle name="Calculation 2 4 3 7 3 3" xfId="43302" xr:uid="{7082998A-6AA9-4CCC-882B-06AC74D07B95}"/>
    <cellStyle name="Calculation 2 4 3 7 4" xfId="19381" xr:uid="{C19F426C-51B2-4439-B99B-9D8CC3590BF7}"/>
    <cellStyle name="Calculation 2 4 3 7 4 2" xfId="44425" xr:uid="{10AAEE77-08BF-4A39-B4AD-788FCF53BF4D}"/>
    <cellStyle name="Calculation 2 4 3 7 5" xfId="31025" xr:uid="{3311A175-0C84-4565-A4C9-08B791E2C51F}"/>
    <cellStyle name="Calculation 2 4 3 8" xfId="9018" xr:uid="{E3E02E30-41E7-4C49-BBCF-03948E52E906}"/>
    <cellStyle name="Calculation 2 4 3 8 2" xfId="31596" xr:uid="{972F8B3E-91C8-4658-8055-85595022AD26}"/>
    <cellStyle name="Calculation 2 4 3 8 3" xfId="47800" xr:uid="{B62FE6BC-9ABE-436C-AEEF-ACF45B283969}"/>
    <cellStyle name="Calculation 2 4 3 9" xfId="20273" xr:uid="{B5FE15B3-1212-499A-A2A3-723A76000AC6}"/>
    <cellStyle name="Calculation 2 4 3 9 2" xfId="42575" xr:uid="{FDAC6C91-F1C3-4F14-B4A8-230FF4485A11}"/>
    <cellStyle name="Calculation 2 4 3 9 3" xfId="50898" xr:uid="{CC550293-FA27-4F53-A7AE-F4AF11E54118}"/>
    <cellStyle name="Calculation 2 4 4" xfId="1021" xr:uid="{00000000-0005-0000-0000-000047000000}"/>
    <cellStyle name="Calculation 2 4 4 10" xfId="19206" xr:uid="{121043AB-B0CA-4775-A346-D17DEF7C4F01}"/>
    <cellStyle name="Calculation 2 4 4 10 2" xfId="26393" xr:uid="{E6D56F24-A89F-4BBA-8D90-F2AD5F4ABCFE}"/>
    <cellStyle name="Calculation 2 4 4 11" xfId="30483" xr:uid="{66FC0A14-5859-4C37-AD43-389099FD8754}"/>
    <cellStyle name="Calculation 2 4 4 2" xfId="1911" xr:uid="{00000000-0005-0000-0000-000048000000}"/>
    <cellStyle name="Calculation 2 4 4 2 10" xfId="14581" xr:uid="{12A1793D-98FE-4748-B930-635E5FE93660}"/>
    <cellStyle name="Calculation 2 4 4 2 10 2" xfId="37042" xr:uid="{A2327F6B-3A8F-4C48-80EF-B714A1B01F57}"/>
    <cellStyle name="Calculation 2 4 4 2 10 3" xfId="48067" xr:uid="{45425D49-B19B-411A-895C-E4A98CEE5C96}"/>
    <cellStyle name="Calculation 2 4 4 2 11" xfId="20181" xr:uid="{FFE129CE-18B9-4118-926E-D79843F54EFF}"/>
    <cellStyle name="Calculation 2 4 4 2 11 2" xfId="42491" xr:uid="{BA5962D6-9ED6-4497-AB41-032E07710295}"/>
    <cellStyle name="Calculation 2 4 4 2 11 3" xfId="43679" xr:uid="{917E8BCB-30D4-490E-9B14-C53A7B8991F6}"/>
    <cellStyle name="Calculation 2 4 4 2 12" xfId="16065" xr:uid="{A3C4FD7F-117D-4186-8C62-14B013AD249B}"/>
    <cellStyle name="Calculation 2 4 4 2 12 2" xfId="53217" xr:uid="{0BBCF11D-1C77-4481-8BA2-C56EAD6E38D8}"/>
    <cellStyle name="Calculation 2 4 4 2 13" xfId="35421" xr:uid="{BA139606-84B5-47AF-9C72-4711955EEAD6}"/>
    <cellStyle name="Calculation 2 4 4 2 2" xfId="4008" xr:uid="{00000000-0005-0000-0000-000048000000}"/>
    <cellStyle name="Calculation 2 4 4 2 2 2" xfId="10912" xr:uid="{A1483FB5-D4D0-4FE0-8B11-2C9EC12D280B}"/>
    <cellStyle name="Calculation 2 4 4 2 2 2 2" xfId="33398" xr:uid="{905CFAF4-0617-434D-8439-F956C17AC1B6}"/>
    <cellStyle name="Calculation 2 4 4 2 2 2 3" xfId="49692" xr:uid="{FF68A58E-A980-4DF8-891C-67D5924E7C42}"/>
    <cellStyle name="Calculation 2 4 4 2 2 3" xfId="16032" xr:uid="{F1232A61-1B29-4774-856D-46E7B13A1770}"/>
    <cellStyle name="Calculation 2 4 4 2 2 3 2" xfId="38433" xr:uid="{B8026E75-E30E-4154-A8C8-DEC428EB3D1D}"/>
    <cellStyle name="Calculation 2 4 4 2 2 3 3" xfId="51620" xr:uid="{F8EB3E7D-5922-4EEA-8F46-0E4F75E1A6B0}"/>
    <cellStyle name="Calculation 2 4 4 2 2 4" xfId="20490" xr:uid="{C9BF42F0-72B7-48A5-A0F4-BA71AB5D33C8}"/>
    <cellStyle name="Calculation 2 4 4 2 2 4 2" xfId="52680" xr:uid="{70ABF828-5F2E-4CAD-8374-1D49EAD4E9A2}"/>
    <cellStyle name="Calculation 2 4 4 2 2 5" xfId="51342" xr:uid="{1E3E8E47-6880-4CEC-BF94-B047462B7C45}"/>
    <cellStyle name="Calculation 2 4 4 2 3" xfId="5383" xr:uid="{00000000-0005-0000-0000-000048000000}"/>
    <cellStyle name="Calculation 2 4 4 2 3 2" xfId="12274" xr:uid="{17F400E1-2892-4188-AADD-C33C5CADC9E8}"/>
    <cellStyle name="Calculation 2 4 4 2 3 2 2" xfId="34759" xr:uid="{D2A71B9A-D833-41A5-8B15-D3588D363BA5}"/>
    <cellStyle name="Calculation 2 4 4 2 3 2 3" xfId="45444" xr:uid="{F6795B53-707E-41D5-AA69-4A37A9109F25}"/>
    <cellStyle name="Calculation 2 4 4 2 3 3" xfId="17320" xr:uid="{EB80BDAC-869D-47A4-B1B5-588D89F585B8}"/>
    <cellStyle name="Calculation 2 4 4 2 3 3 2" xfId="39710" xr:uid="{EAA32540-8652-4E62-9115-F8E2A0A6BCC7}"/>
    <cellStyle name="Calculation 2 4 4 2 3 3 3" xfId="44418" xr:uid="{FD4A0349-8085-40FC-8596-040CF0FA25C3}"/>
    <cellStyle name="Calculation 2 4 4 2 3 4" xfId="21744" xr:uid="{25BC18B6-F8B8-41F1-8241-112585EA0979}"/>
    <cellStyle name="Calculation 2 4 4 2 3 4 2" xfId="44410" xr:uid="{64498864-CE57-4DD0-99AF-CEEBCA305C30}"/>
    <cellStyle name="Calculation 2 4 4 2 3 5" xfId="48310" xr:uid="{BF088BB4-3276-4A99-B317-9A9E10D93642}"/>
    <cellStyle name="Calculation 2 4 4 2 4" xfId="5796" xr:uid="{00000000-0005-0000-0000-000048000000}"/>
    <cellStyle name="Calculation 2 4 4 2 4 2" xfId="12679" xr:uid="{4C6D9F56-6328-492C-8EB8-31B9DF745AFC}"/>
    <cellStyle name="Calculation 2 4 4 2 4 2 2" xfId="35164" xr:uid="{195227CB-12AC-43A2-BE7E-89A931B66945}"/>
    <cellStyle name="Calculation 2 4 4 2 4 2 3" xfId="28903" xr:uid="{7E7CBC6E-47A3-4154-964D-47CE00A9ABB4}"/>
    <cellStyle name="Calculation 2 4 4 2 4 3" xfId="17733" xr:uid="{86847FAF-7823-41A4-894F-1195CCB819B4}"/>
    <cellStyle name="Calculation 2 4 4 2 4 3 2" xfId="40123" xr:uid="{1D06DF91-16DC-4109-A62B-4C5F886975D1}"/>
    <cellStyle name="Calculation 2 4 4 2 4 3 3" xfId="44884" xr:uid="{227F7DB3-C83D-4597-9924-6F50BAFA5460}"/>
    <cellStyle name="Calculation 2 4 4 2 4 4" xfId="22157" xr:uid="{9E3B623F-B90B-4ACA-9F32-CEF89326A860}"/>
    <cellStyle name="Calculation 2 4 4 2 4 4 2" xfId="38155" xr:uid="{338D7249-7B2B-4122-810A-8FDCE9DB2B62}"/>
    <cellStyle name="Calculation 2 4 4 2 4 5" xfId="49372" xr:uid="{44EF72C0-BCF0-4EAD-BAB2-3475B07FC1F4}"/>
    <cellStyle name="Calculation 2 4 4 2 5" xfId="6140" xr:uid="{00000000-0005-0000-0000-000048000000}"/>
    <cellStyle name="Calculation 2 4 4 2 5 2" xfId="13017" xr:uid="{335C6736-A2B4-4A68-88A0-5C8E357610A9}"/>
    <cellStyle name="Calculation 2 4 4 2 5 2 2" xfId="35501" xr:uid="{0F8D8072-97E7-4492-9347-7149D57816D0}"/>
    <cellStyle name="Calculation 2 4 4 2 5 2 3" xfId="42229" xr:uid="{A7A3BAE1-D8C0-4C74-A207-E12254301A59}"/>
    <cellStyle name="Calculation 2 4 4 2 5 3" xfId="18077" xr:uid="{515C50B6-D9E7-4B0A-A123-B6F8E4AE4AC2}"/>
    <cellStyle name="Calculation 2 4 4 2 5 3 2" xfId="40467" xr:uid="{2701ED43-C2B3-4AFF-B4C1-283C70B597AC}"/>
    <cellStyle name="Calculation 2 4 4 2 5 3 3" xfId="28997" xr:uid="{8181045E-E5B5-4D21-862F-FE85A32E7C0D}"/>
    <cellStyle name="Calculation 2 4 4 2 5 4" xfId="22501" xr:uid="{854E7215-B3BF-4418-B526-1C49278A91F5}"/>
    <cellStyle name="Calculation 2 4 4 2 5 4 2" xfId="48293" xr:uid="{4AEEDE47-F31F-4E9E-9296-47FD472431D3}"/>
    <cellStyle name="Calculation 2 4 4 2 5 5" xfId="51564" xr:uid="{3899C88F-4949-436E-AE44-48D065525C59}"/>
    <cellStyle name="Calculation 2 4 4 2 6" xfId="6513" xr:uid="{00000000-0005-0000-0000-000048000000}"/>
    <cellStyle name="Calculation 2 4 4 2 6 2" xfId="13382" xr:uid="{E794E15E-2268-4890-BD62-3BD9F813492B}"/>
    <cellStyle name="Calculation 2 4 4 2 6 2 2" xfId="35866" xr:uid="{8C1C72FA-F01A-4D08-86A2-C767E58996EA}"/>
    <cellStyle name="Calculation 2 4 4 2 6 2 3" xfId="38638" xr:uid="{0533BABF-9482-47B1-AAEF-90FFF693C34F}"/>
    <cellStyle name="Calculation 2 4 4 2 6 3" xfId="18450" xr:uid="{6F887494-B962-4355-BD60-120261736100}"/>
    <cellStyle name="Calculation 2 4 4 2 6 3 2" xfId="40840" xr:uid="{21454889-A5D9-4681-BF3B-854099D10034}"/>
    <cellStyle name="Calculation 2 4 4 2 6 3 3" xfId="27898" xr:uid="{70796026-7409-4D2E-A1EE-EB6E01061FAB}"/>
    <cellStyle name="Calculation 2 4 4 2 6 4" xfId="22874" xr:uid="{CE1A2A43-1D4E-47AF-9B09-61009365340A}"/>
    <cellStyle name="Calculation 2 4 4 2 6 4 2" xfId="49629" xr:uid="{07E53445-5F6F-434A-AADE-E30FEDE1FEE1}"/>
    <cellStyle name="Calculation 2 4 4 2 6 5" xfId="43831" xr:uid="{C49B4C12-7DC4-4E02-B955-CF5DC64E30CC}"/>
    <cellStyle name="Calculation 2 4 4 2 7" xfId="6325" xr:uid="{00000000-0005-0000-0000-000048000000}"/>
    <cellStyle name="Calculation 2 4 4 2 7 2" xfId="13197" xr:uid="{266B6AB2-3C61-44F1-962F-C8F711B5B5B4}"/>
    <cellStyle name="Calculation 2 4 4 2 7 2 2" xfId="35681" xr:uid="{E0F9FA79-A00C-45B2-A767-33A408CC10B6}"/>
    <cellStyle name="Calculation 2 4 4 2 7 2 3" xfId="46901" xr:uid="{F201BE2F-D1D5-4078-81F3-744CAF18AFFC}"/>
    <cellStyle name="Calculation 2 4 4 2 7 3" xfId="18262" xr:uid="{3C9A8F8C-022C-41D3-AC99-BE915BE5B992}"/>
    <cellStyle name="Calculation 2 4 4 2 7 3 2" xfId="40652" xr:uid="{901E3583-F05E-40DD-8CFB-00771DC29C36}"/>
    <cellStyle name="Calculation 2 4 4 2 7 3 3" xfId="24614" xr:uid="{803E0951-4161-4325-85EA-A71937889CD7}"/>
    <cellStyle name="Calculation 2 4 4 2 7 4" xfId="22686" xr:uid="{C2A24D88-7C32-4A53-9C59-DD18B2EB0D5A}"/>
    <cellStyle name="Calculation 2 4 4 2 7 4 2" xfId="48506" xr:uid="{ECA0022E-3944-4A8C-AFE4-C98995106104}"/>
    <cellStyle name="Calculation 2 4 4 2 7 5" xfId="51281" xr:uid="{4E900A79-81AA-4AEE-99AC-371EE006FC72}"/>
    <cellStyle name="Calculation 2 4 4 2 8" xfId="6997" xr:uid="{00000000-0005-0000-0000-000048000000}"/>
    <cellStyle name="Calculation 2 4 4 2 8 2" xfId="13834" xr:uid="{68FE959F-0EA3-419A-9772-CF2A28E0070E}"/>
    <cellStyle name="Calculation 2 4 4 2 8 2 2" xfId="36318" xr:uid="{467D0EF7-ABA2-4E5A-B3C2-14DA981C03B2}"/>
    <cellStyle name="Calculation 2 4 4 2 8 2 3" xfId="51303" xr:uid="{D64AF896-2612-41DC-A444-1C5A86D8B4FF}"/>
    <cellStyle name="Calculation 2 4 4 2 8 3" xfId="18934" xr:uid="{FAA8FD57-B718-48AA-9351-0EBA267CE2D8}"/>
    <cellStyle name="Calculation 2 4 4 2 8 3 2" xfId="41324" xr:uid="{FAD50279-F912-4A1D-9BF9-94D4F77E9F1C}"/>
    <cellStyle name="Calculation 2 4 4 2 8 3 3" xfId="30423" xr:uid="{CDCF65D8-A326-4148-A4B6-F7918DFD6EA5}"/>
    <cellStyle name="Calculation 2 4 4 2 8 4" xfId="23358" xr:uid="{B11A5317-E7A3-4EE7-8936-C8B624B0DE09}"/>
    <cellStyle name="Calculation 2 4 4 2 8 4 2" xfId="47674" xr:uid="{DE8F89CB-1F06-4076-A4F9-A485C9E01924}"/>
    <cellStyle name="Calculation 2 4 4 2 8 5" xfId="48134" xr:uid="{13AA62EF-7BD9-45C3-B358-BF5E42D36557}"/>
    <cellStyle name="Calculation 2 4 4 2 9" xfId="6414" xr:uid="{00000000-0005-0000-0000-000048000000}"/>
    <cellStyle name="Calculation 2 4 4 2 9 2" xfId="18351" xr:uid="{0D072CCF-DB67-4862-BA92-DA4896FC2EF7}"/>
    <cellStyle name="Calculation 2 4 4 2 9 2 2" xfId="40741" xr:uid="{E9D5336F-287D-4FED-9E6E-CB57B5EF6EA8}"/>
    <cellStyle name="Calculation 2 4 4 2 9 2 3" xfId="25065" xr:uid="{29AE7782-8935-4046-B586-25953FD9F5AA}"/>
    <cellStyle name="Calculation 2 4 4 2 9 3" xfId="22775" xr:uid="{245F7574-1821-4740-B438-5CDDD77653DB}"/>
    <cellStyle name="Calculation 2 4 4 2 9 3 2" xfId="29268" xr:uid="{308CABC1-3E74-4533-98A1-53C56ECE24F7}"/>
    <cellStyle name="Calculation 2 4 4 2 9 4" xfId="51352" xr:uid="{45AE4509-4E37-4575-99EC-161FCE635A13}"/>
    <cellStyle name="Calculation 2 4 4 3" xfId="3146" xr:uid="{00000000-0005-0000-0000-000047000000}"/>
    <cellStyle name="Calculation 2 4 4 3 2" xfId="10055" xr:uid="{625D75C0-6C66-4B9E-B36E-E90A3F18BEBC}"/>
    <cellStyle name="Calculation 2 4 4 3 2 2" xfId="32562" xr:uid="{3111A80B-F5B5-4AE5-BCD7-3A30A1990711}"/>
    <cellStyle name="Calculation 2 4 4 3 2 3" xfId="52798" xr:uid="{3E751E54-AFBB-4048-A0E8-7633C8CA85BF}"/>
    <cellStyle name="Calculation 2 4 4 3 3" xfId="15433" xr:uid="{F5090BB8-66EA-4B8B-95E2-EBAA79A6532A}"/>
    <cellStyle name="Calculation 2 4 4 3 3 2" xfId="37859" xr:uid="{36EB9A1E-2D0C-4AA6-A820-42DFDAED4DF7}"/>
    <cellStyle name="Calculation 2 4 4 3 3 3" xfId="49126" xr:uid="{DC357CAA-528D-41D9-BAA8-32F45C03B5C3}"/>
    <cellStyle name="Calculation 2 4 4 3 4" xfId="7248" xr:uid="{2241EC6B-8A9D-400B-BBB6-CD65B0D236FD}"/>
    <cellStyle name="Calculation 2 4 4 3 4 2" xfId="30854" xr:uid="{4B11141A-9E39-4F1B-94DE-578076EF5E69}"/>
    <cellStyle name="Calculation 2 4 4 3 5" xfId="46683" xr:uid="{7B8C9859-6EB2-41B4-ADD0-4E854F6BFB1C}"/>
    <cellStyle name="Calculation 2 4 4 4" xfId="4795" xr:uid="{00000000-0005-0000-0000-000047000000}"/>
    <cellStyle name="Calculation 2 4 4 4 2" xfId="11692" xr:uid="{49BCFD68-261A-4DB6-B538-90A41FA0D8DE}"/>
    <cellStyle name="Calculation 2 4 4 4 2 2" xfId="34178" xr:uid="{C5CDAEBF-BCF3-4F8E-893F-CE9C027B8CD8}"/>
    <cellStyle name="Calculation 2 4 4 4 2 3" xfId="24795" xr:uid="{F9F71C1B-CAB4-4DC3-9D77-1B4EC531B880}"/>
    <cellStyle name="Calculation 2 4 4 4 3" xfId="16732" xr:uid="{6044C131-9A03-4483-8CB0-63D722251805}"/>
    <cellStyle name="Calculation 2 4 4 4 3 2" xfId="39122" xr:uid="{28C11705-BB5D-4E07-A8F8-AFB54F0F654A}"/>
    <cellStyle name="Calculation 2 4 4 4 3 3" xfId="23747" xr:uid="{1880D315-DDC9-4A20-9320-CBD9C5788624}"/>
    <cellStyle name="Calculation 2 4 4 4 4" xfId="7244" xr:uid="{99228CF9-113E-4334-8200-DAEFC80662F3}"/>
    <cellStyle name="Calculation 2 4 4 4 4 2" xfId="49983" xr:uid="{78EED15D-BA90-44D2-99D8-4649D6737A1A}"/>
    <cellStyle name="Calculation 2 4 4 4 5" xfId="23961" xr:uid="{8176E2DF-3FA6-45D1-9CB5-0CCA9CC4100C}"/>
    <cellStyle name="Calculation 2 4 4 5" xfId="4510" xr:uid="{00000000-0005-0000-0000-000047000000}"/>
    <cellStyle name="Calculation 2 4 4 5 2" xfId="11412" xr:uid="{CEB1A820-71C2-4EA4-9A78-71CA5FD9EE7E}"/>
    <cellStyle name="Calculation 2 4 4 5 2 2" xfId="33898" xr:uid="{6CF43025-863F-46DC-9BEA-6B635D08C8A2}"/>
    <cellStyle name="Calculation 2 4 4 5 2 3" xfId="28738" xr:uid="{6D806B41-28EB-4F3B-BF14-2DBDCA0C05AA}"/>
    <cellStyle name="Calculation 2 4 4 5 3" xfId="16447" xr:uid="{BE790027-5966-4380-9F6F-D7A4495AD69B}"/>
    <cellStyle name="Calculation 2 4 4 5 3 2" xfId="38837" xr:uid="{F646D839-D6F8-4323-A914-3A30EDAB0C72}"/>
    <cellStyle name="Calculation 2 4 4 5 3 3" xfId="28798" xr:uid="{8BEA53D8-81DB-4DA4-A289-8086BE03E491}"/>
    <cellStyle name="Calculation 2 4 4 5 4" xfId="20351" xr:uid="{DFBB3BA5-8B2B-4D54-9D8F-B0E6EE6746DB}"/>
    <cellStyle name="Calculation 2 4 4 5 4 2" xfId="27579" xr:uid="{E2CB1CFB-C087-44CD-8A4F-566E6FC70C85}"/>
    <cellStyle name="Calculation 2 4 4 5 5" xfId="50865" xr:uid="{10BDC653-F53F-4226-8D5C-2781A31262BE}"/>
    <cellStyle name="Calculation 2 4 4 6" xfId="2457" xr:uid="{00000000-0005-0000-0000-000047000000}"/>
    <cellStyle name="Calculation 2 4 4 6 2" xfId="9366" xr:uid="{9CF4EABB-6AC2-45B7-893F-C8666CCCEDFF}"/>
    <cellStyle name="Calculation 2 4 4 6 2 2" xfId="31931" xr:uid="{68E08799-D0B1-42B4-BFCD-457C7EA67650}"/>
    <cellStyle name="Calculation 2 4 4 6 2 3" xfId="46373" xr:uid="{8C231CB2-8D43-4248-81DD-5D7E85C356DF}"/>
    <cellStyle name="Calculation 2 4 4 6 3" xfId="14982" xr:uid="{3D47FC55-F396-4F21-9413-5EC6E8361E37}"/>
    <cellStyle name="Calculation 2 4 4 6 3 2" xfId="37433" xr:uid="{2EF846F7-6491-45F8-B895-91ABE3C058A7}"/>
    <cellStyle name="Calculation 2 4 4 6 3 3" xfId="47718" xr:uid="{CDE406C3-F82F-4F2D-9310-C8546262C344}"/>
    <cellStyle name="Calculation 2 4 4 6 4" xfId="21087" xr:uid="{95705455-0D7B-4FEC-99F9-A9688E21EA88}"/>
    <cellStyle name="Calculation 2 4 4 6 4 2" xfId="36493" xr:uid="{6E340170-A76B-431A-9F57-2C1CC3948EE9}"/>
    <cellStyle name="Calculation 2 4 4 6 5" xfId="53637" xr:uid="{72AF415D-FCD4-420E-87DD-18DDB8BB0BCE}"/>
    <cellStyle name="Calculation 2 4 4 7" xfId="2370" xr:uid="{00000000-0005-0000-0000-000047000000}"/>
    <cellStyle name="Calculation 2 4 4 7 2" xfId="9279" xr:uid="{C9881848-1079-4F04-B7DF-5944413451F4}"/>
    <cellStyle name="Calculation 2 4 4 7 2 2" xfId="31854" xr:uid="{BA5B949A-545A-431A-8B59-C59B443BACCE}"/>
    <cellStyle name="Calculation 2 4 4 7 2 3" xfId="47101" xr:uid="{569B005A-42DC-401A-94A5-A6E7F6D4C1F1}"/>
    <cellStyle name="Calculation 2 4 4 7 3" xfId="14923" xr:uid="{B6598A36-0C55-443E-8953-87701CCD2BBB}"/>
    <cellStyle name="Calculation 2 4 4 7 3 2" xfId="37377" xr:uid="{A4CDA662-30A8-45A3-9433-48791F1C4D3B}"/>
    <cellStyle name="Calculation 2 4 4 7 3 3" xfId="52722" xr:uid="{8FF1DDAA-D1F2-42B5-A376-0CB90BA4139D}"/>
    <cellStyle name="Calculation 2 4 4 7 4" xfId="19309" xr:uid="{486256B3-7FF1-4E51-A26D-1D627FDAF8C4}"/>
    <cellStyle name="Calculation 2 4 4 7 4 2" xfId="32797" xr:uid="{F95A3550-BC7B-4824-909A-FCB90F480F41}"/>
    <cellStyle name="Calculation 2 4 4 7 5" xfId="27307" xr:uid="{810FD1B7-FF92-4AAA-961B-4E365645ED78}"/>
    <cellStyle name="Calculation 2 4 4 8" xfId="8438" xr:uid="{F8ACC6D8-6164-41F9-9066-69891828E862}"/>
    <cellStyle name="Calculation 2 4 4 8 2" xfId="31026" xr:uid="{6B6C8177-70F7-4B94-A20D-99ABFEAAC7E6}"/>
    <cellStyle name="Calculation 2 4 4 8 3" xfId="47916" xr:uid="{4DD60D05-9650-416E-A702-01D50C9B129B}"/>
    <cellStyle name="Calculation 2 4 4 9" xfId="21015" xr:uid="{40EF1702-FF23-478F-A817-949CEB4F6276}"/>
    <cellStyle name="Calculation 2 4 4 9 2" xfId="43266" xr:uid="{0E6944E0-92FF-474A-BBEA-8EFAE5B47127}"/>
    <cellStyle name="Calculation 2 4 4 9 3" xfId="51324" xr:uid="{866AF37B-CE5C-48C2-938C-11005AD3BC9F}"/>
    <cellStyle name="Calculation 2 4 5" xfId="1205" xr:uid="{00000000-0005-0000-0000-000049000000}"/>
    <cellStyle name="Calculation 2 4 5 10" xfId="20749" xr:uid="{5010FFD7-1090-4425-B7ED-A3E919516245}"/>
    <cellStyle name="Calculation 2 4 5 10 2" xfId="52804" xr:uid="{C2E7A7EF-2D08-4654-94A3-FA793878843F}"/>
    <cellStyle name="Calculation 2 4 5 11" xfId="51328" xr:uid="{7D6E524B-7B61-4DDD-AF63-5B1BC208BD9F}"/>
    <cellStyle name="Calculation 2 4 5 2" xfId="2005" xr:uid="{00000000-0005-0000-0000-00004A000000}"/>
    <cellStyle name="Calculation 2 4 5 2 10" xfId="14653" xr:uid="{67B33D79-E099-4433-AD0C-4561C9C94A84}"/>
    <cellStyle name="Calculation 2 4 5 2 10 2" xfId="37113" xr:uid="{FB96B34E-B23A-43BD-B34D-60E1AB4294B1}"/>
    <cellStyle name="Calculation 2 4 5 2 10 3" xfId="23988" xr:uid="{2178D5B6-2581-4396-A0A8-F601EB1DB93F}"/>
    <cellStyle name="Calculation 2 4 5 2 11" xfId="21206" xr:uid="{60937B20-8A16-4CD3-9169-9EDF9F4501F6}"/>
    <cellStyle name="Calculation 2 4 5 2 11 2" xfId="43446" xr:uid="{3129E040-1E71-4D91-B03A-7F0ED47CACBB}"/>
    <cellStyle name="Calculation 2 4 5 2 11 3" xfId="48057" xr:uid="{00768CA3-9963-437B-B005-F9C02BADF160}"/>
    <cellStyle name="Calculation 2 4 5 2 12" xfId="21248" xr:uid="{DB8ADED2-2592-44E1-952C-D635DD38C929}"/>
    <cellStyle name="Calculation 2 4 5 2 12 2" xfId="28668" xr:uid="{9C75B937-F1F2-462D-B869-97A98A0B04D9}"/>
    <cellStyle name="Calculation 2 4 5 2 13" xfId="25400" xr:uid="{84D52FA4-D2DD-4926-9297-4DDF33B6CBF4}"/>
    <cellStyle name="Calculation 2 4 5 2 2" xfId="4100" xr:uid="{00000000-0005-0000-0000-00004A000000}"/>
    <cellStyle name="Calculation 2 4 5 2 2 2" xfId="11004" xr:uid="{A5784C49-C7D4-4699-9402-F035ACF3194C}"/>
    <cellStyle name="Calculation 2 4 5 2 2 2 2" xfId="33490" xr:uid="{07A242D2-72EE-4B48-9F65-C0BBEDF4D581}"/>
    <cellStyle name="Calculation 2 4 5 2 2 2 3" xfId="44287" xr:uid="{7CAEBF59-E930-4B06-8173-FE86E2F9E9F4}"/>
    <cellStyle name="Calculation 2 4 5 2 2 3" xfId="16104" xr:uid="{46AA3857-DA86-49F1-9D68-3959199D6028}"/>
    <cellStyle name="Calculation 2 4 5 2 2 3 2" xfId="38504" xr:uid="{C02F695F-5489-49AC-9EA9-D05C970EBC63}"/>
    <cellStyle name="Calculation 2 4 5 2 2 3 3" xfId="24503" xr:uid="{FD5541F5-58EA-470D-9730-3791EFC46019}"/>
    <cellStyle name="Calculation 2 4 5 2 2 4" xfId="19998" xr:uid="{1F2894A3-A8EE-47E9-9805-E953D7830E89}"/>
    <cellStyle name="Calculation 2 4 5 2 2 4 2" xfId="27282" xr:uid="{6E239D33-A763-4CF4-BE1D-DD4D821E3A4C}"/>
    <cellStyle name="Calculation 2 4 5 2 2 5" xfId="24152" xr:uid="{E0E49836-260C-475E-92C3-4FE9B0D97DAF}"/>
    <cellStyle name="Calculation 2 4 5 2 3" xfId="5446" xr:uid="{00000000-0005-0000-0000-00004A000000}"/>
    <cellStyle name="Calculation 2 4 5 2 3 2" xfId="12335" xr:uid="{3E60D036-3CEB-42EA-A843-5C8F4BAB862E}"/>
    <cellStyle name="Calculation 2 4 5 2 3 2 2" xfId="34820" xr:uid="{C0CA86ED-9142-4C08-A895-DF41CE354FB4}"/>
    <cellStyle name="Calculation 2 4 5 2 3 2 3" xfId="30407" xr:uid="{9989F952-DF24-4936-A3A9-C47E9F2A2415}"/>
    <cellStyle name="Calculation 2 4 5 2 3 3" xfId="17383" xr:uid="{21F013F6-0324-43B2-B737-2011D2A62BE0}"/>
    <cellStyle name="Calculation 2 4 5 2 3 3 2" xfId="39773" xr:uid="{B489BE2D-B930-414D-9E68-C282811572EA}"/>
    <cellStyle name="Calculation 2 4 5 2 3 3 3" xfId="43743" xr:uid="{6CD7692F-05F1-414F-93DE-41D2840419D3}"/>
    <cellStyle name="Calculation 2 4 5 2 3 4" xfId="21807" xr:uid="{EE59CDBF-AF14-418A-AA3D-273BE64B54A3}"/>
    <cellStyle name="Calculation 2 4 5 2 3 4 2" xfId="54027" xr:uid="{5A32E9D1-D319-4767-B771-E504F57E042A}"/>
    <cellStyle name="Calculation 2 4 5 2 3 5" xfId="53319" xr:uid="{EFA7D16B-AACE-48B2-A5B6-F8F4A73260C0}"/>
    <cellStyle name="Calculation 2 4 5 2 4" xfId="5869" xr:uid="{00000000-0005-0000-0000-00004A000000}"/>
    <cellStyle name="Calculation 2 4 5 2 4 2" xfId="12751" xr:uid="{D5D24604-49EF-4057-8AE4-442072FF97D8}"/>
    <cellStyle name="Calculation 2 4 5 2 4 2 2" xfId="35235" xr:uid="{C90D6CDF-02EB-45BA-993E-0898917F00A7}"/>
    <cellStyle name="Calculation 2 4 5 2 4 2 3" xfId="27667" xr:uid="{77FAB272-8547-4BB1-A307-0C197B514C37}"/>
    <cellStyle name="Calculation 2 4 5 2 4 3" xfId="17806" xr:uid="{7B179C69-F26B-4891-AE32-13C1FDD79C32}"/>
    <cellStyle name="Calculation 2 4 5 2 4 3 2" xfId="40196" xr:uid="{026C7B1A-AFC6-4AC9-8CD0-5891DC2FC683}"/>
    <cellStyle name="Calculation 2 4 5 2 4 3 3" xfId="26677" xr:uid="{28336E3F-A99E-43F4-9696-9A9559FABD23}"/>
    <cellStyle name="Calculation 2 4 5 2 4 4" xfId="22230" xr:uid="{880967DD-D248-4B88-BCD1-49DC7381D737}"/>
    <cellStyle name="Calculation 2 4 5 2 4 4 2" xfId="47343" xr:uid="{B20183E2-1C26-4353-89AC-3FB36D8C28B2}"/>
    <cellStyle name="Calculation 2 4 5 2 4 5" xfId="47784" xr:uid="{A45B6254-8163-486C-A04E-C0DA2679D81C}"/>
    <cellStyle name="Calculation 2 4 5 2 5" xfId="6207" xr:uid="{00000000-0005-0000-0000-00004A000000}"/>
    <cellStyle name="Calculation 2 4 5 2 5 2" xfId="13082" xr:uid="{255F1D46-4406-44C3-91D1-FF2C6BB67094}"/>
    <cellStyle name="Calculation 2 4 5 2 5 2 2" xfId="35566" xr:uid="{EEA8C678-4B40-4E26-8189-769E7D1C9A28}"/>
    <cellStyle name="Calculation 2 4 5 2 5 2 3" xfId="49373" xr:uid="{FD27BD98-D439-4417-B862-7559B287C309}"/>
    <cellStyle name="Calculation 2 4 5 2 5 3" xfId="18144" xr:uid="{A45C766D-E5C7-407A-B266-1791B4CB3F32}"/>
    <cellStyle name="Calculation 2 4 5 2 5 3 2" xfId="40534" xr:uid="{86DBA96E-7C1A-4986-B969-6B1F24A68A22}"/>
    <cellStyle name="Calculation 2 4 5 2 5 3 3" xfId="31008" xr:uid="{85BC4E42-65DD-4627-8FBB-3AA7AD12C90D}"/>
    <cellStyle name="Calculation 2 4 5 2 5 4" xfId="22568" xr:uid="{5C223924-F5DE-42D0-AA87-A79A2F39F89A}"/>
    <cellStyle name="Calculation 2 4 5 2 5 4 2" xfId="48697" xr:uid="{15AC9943-9B32-4623-AF6C-086EFEDEE01C}"/>
    <cellStyle name="Calculation 2 4 5 2 5 5" xfId="51642" xr:uid="{4F469F71-546F-469D-8424-3013FEF10356}"/>
    <cellStyle name="Calculation 2 4 5 2 6" xfId="6573" xr:uid="{00000000-0005-0000-0000-00004A000000}"/>
    <cellStyle name="Calculation 2 4 5 2 6 2" xfId="13439" xr:uid="{C39C5522-6E37-45B9-9EEF-EBF0494F9A8F}"/>
    <cellStyle name="Calculation 2 4 5 2 6 2 2" xfId="35923" xr:uid="{69A38207-3F2C-4A86-BAB1-8C44252911EB}"/>
    <cellStyle name="Calculation 2 4 5 2 6 2 3" xfId="51971" xr:uid="{BC8132D3-98F2-4761-ADE3-9761C71762B7}"/>
    <cellStyle name="Calculation 2 4 5 2 6 3" xfId="18510" xr:uid="{9271A76A-2B4A-45E5-B22D-ED464EEE553A}"/>
    <cellStyle name="Calculation 2 4 5 2 6 3 2" xfId="40900" xr:uid="{BD32A241-6972-44DA-B617-D57EAA530CB2}"/>
    <cellStyle name="Calculation 2 4 5 2 6 3 3" xfId="36932" xr:uid="{8CC81CD6-970F-449B-BDCD-DD724D702252}"/>
    <cellStyle name="Calculation 2 4 5 2 6 4" xfId="22934" xr:uid="{BAA8AA28-ADB4-4544-A739-E408228E7D70}"/>
    <cellStyle name="Calculation 2 4 5 2 6 4 2" xfId="46207" xr:uid="{C927C52F-1324-44C2-BE05-26F0CE2F11CC}"/>
    <cellStyle name="Calculation 2 4 5 2 6 5" xfId="50418" xr:uid="{5A9C9067-F60E-4006-97A1-B5190E16D87E}"/>
    <cellStyle name="Calculation 2 4 5 2 7" xfId="6183" xr:uid="{00000000-0005-0000-0000-00004A000000}"/>
    <cellStyle name="Calculation 2 4 5 2 7 2" xfId="13058" xr:uid="{929C3B47-E7C4-4EFA-8686-0B7A8260DFC8}"/>
    <cellStyle name="Calculation 2 4 5 2 7 2 2" xfId="35542" xr:uid="{6ECC7C7A-4E79-47CC-9BDF-C8544D2BC0E7}"/>
    <cellStyle name="Calculation 2 4 5 2 7 2 3" xfId="49041" xr:uid="{EBDF0FCA-5194-4A54-BB33-C8EBB24E7FE3}"/>
    <cellStyle name="Calculation 2 4 5 2 7 3" xfId="18120" xr:uid="{FF16400B-83AF-4C56-9777-DE83471B55E4}"/>
    <cellStyle name="Calculation 2 4 5 2 7 3 2" xfId="40510" xr:uid="{C371807D-0D13-40CA-B7B5-F5634294C490}"/>
    <cellStyle name="Calculation 2 4 5 2 7 3 3" xfId="28737" xr:uid="{3A670EBC-997B-493A-A191-A76857C5C926}"/>
    <cellStyle name="Calculation 2 4 5 2 7 4" xfId="22544" xr:uid="{DE8FCD71-F4F8-4C44-A6E8-3876AC0218FC}"/>
    <cellStyle name="Calculation 2 4 5 2 7 4 2" xfId="52419" xr:uid="{B9805CC3-A7D2-4574-A616-760F56CEBFD3}"/>
    <cellStyle name="Calculation 2 4 5 2 7 5" xfId="53367" xr:uid="{1FD1753D-9D4D-439A-A819-7D667CD0A6AD}"/>
    <cellStyle name="Calculation 2 4 5 2 8" xfId="7043" xr:uid="{00000000-0005-0000-0000-00004A000000}"/>
    <cellStyle name="Calculation 2 4 5 2 8 2" xfId="13879" xr:uid="{5131B22D-B9F5-4621-B442-DCF3204FF492}"/>
    <cellStyle name="Calculation 2 4 5 2 8 2 2" xfId="36363" xr:uid="{524699D1-C2C1-4AB4-8831-960228B19C9A}"/>
    <cellStyle name="Calculation 2 4 5 2 8 2 3" xfId="46711" xr:uid="{06DE53F2-C4AD-4E0E-BCCB-B2C90F850C82}"/>
    <cellStyle name="Calculation 2 4 5 2 8 3" xfId="18980" xr:uid="{B6AAC66A-1DCD-4724-8E69-EE5ED72D297F}"/>
    <cellStyle name="Calculation 2 4 5 2 8 3 2" xfId="41370" xr:uid="{A02EEA03-E494-4A1D-AD48-5DEA72845A01}"/>
    <cellStyle name="Calculation 2 4 5 2 8 3 3" xfId="31388" xr:uid="{DF3955E7-E5E4-4E00-B6D2-72B32F205E73}"/>
    <cellStyle name="Calculation 2 4 5 2 8 4" xfId="23404" xr:uid="{7DC619AE-1D13-46E4-9B9A-A9917A5BCFB9}"/>
    <cellStyle name="Calculation 2 4 5 2 8 4 2" xfId="51413" xr:uid="{42D6D9DA-933A-4286-980F-7416CFDEE1B6}"/>
    <cellStyle name="Calculation 2 4 5 2 8 5" xfId="51933" xr:uid="{EDF5214A-7666-467C-AFF1-5CCFC4C349A8}"/>
    <cellStyle name="Calculation 2 4 5 2 9" xfId="7158" xr:uid="{00000000-0005-0000-0000-00004A000000}"/>
    <cellStyle name="Calculation 2 4 5 2 9 2" xfId="19095" xr:uid="{7AA1D5BA-6C14-4775-9E85-D446250BC6A8}"/>
    <cellStyle name="Calculation 2 4 5 2 9 2 2" xfId="41485" xr:uid="{77AA4E08-FAB6-4731-B3D1-E01EC39B533D}"/>
    <cellStyle name="Calculation 2 4 5 2 9 2 3" xfId="45595" xr:uid="{A4879BE0-9D2F-459A-A13E-63D08C4D0335}"/>
    <cellStyle name="Calculation 2 4 5 2 9 3" xfId="23519" xr:uid="{72E43C6D-DB6C-4F29-A1A6-CEE243D942BC}"/>
    <cellStyle name="Calculation 2 4 5 2 9 3 2" xfId="50326" xr:uid="{33B4363A-0688-45EC-ADE4-180DC8610A4A}"/>
    <cellStyle name="Calculation 2 4 5 2 9 4" xfId="52592" xr:uid="{2E03E462-E2F3-4372-A055-54E45D5576C3}"/>
    <cellStyle name="Calculation 2 4 5 3" xfId="3319" xr:uid="{00000000-0005-0000-0000-000049000000}"/>
    <cellStyle name="Calculation 2 4 5 3 2" xfId="10227" xr:uid="{FC5D5C8C-9582-4F3C-A9BD-CF16A126C142}"/>
    <cellStyle name="Calculation 2 4 5 3 2 2" xfId="32721" xr:uid="{7E2206DC-86DC-4234-90C4-12B84BB2DDBF}"/>
    <cellStyle name="Calculation 2 4 5 3 2 3" xfId="31200" xr:uid="{88F68141-337C-47B1-88D1-F3E7F5F9F391}"/>
    <cellStyle name="Calculation 2 4 5 3 3" xfId="15545" xr:uid="{C9A6F0C9-35B2-4F5D-96D7-E85BA393D243}"/>
    <cellStyle name="Calculation 2 4 5 3 3 2" xfId="37964" xr:uid="{4CBA4498-84EB-4DE1-A30F-6A8537B95673}"/>
    <cellStyle name="Calculation 2 4 5 3 3 3" xfId="27843" xr:uid="{440F10B4-2A0A-43DB-A4CF-1B473175F8D7}"/>
    <cellStyle name="Calculation 2 4 5 3 4" xfId="20248" xr:uid="{3657888D-F066-40E9-AF35-2CCDEB628E2B}"/>
    <cellStyle name="Calculation 2 4 5 3 4 2" xfId="43821" xr:uid="{FBF6C54A-4799-4748-B75A-ABE29C39D4A8}"/>
    <cellStyle name="Calculation 2 4 5 3 5" xfId="27217" xr:uid="{118802DA-BFB8-48F5-8B31-0173FA9F4527}"/>
    <cellStyle name="Calculation 2 4 5 4" xfId="4905" xr:uid="{00000000-0005-0000-0000-000049000000}"/>
    <cellStyle name="Calculation 2 4 5 4 2" xfId="11800" xr:uid="{6C3D5915-5298-476B-8EE6-477CA1938D94}"/>
    <cellStyle name="Calculation 2 4 5 4 2 2" xfId="34286" xr:uid="{8B027AFC-1CAA-4B1D-A946-ACA9D491855F}"/>
    <cellStyle name="Calculation 2 4 5 4 2 3" xfId="26599" xr:uid="{C3DEE6FB-AABD-4E24-AF6D-7BBF4F909372}"/>
    <cellStyle name="Calculation 2 4 5 4 3" xfId="16842" xr:uid="{86BA98B6-0865-417C-BD76-597F04263EDE}"/>
    <cellStyle name="Calculation 2 4 5 4 3 2" xfId="39232" xr:uid="{64FD603B-424F-4ECD-8501-48157DBDADAC}"/>
    <cellStyle name="Calculation 2 4 5 4 3 3" xfId="29698" xr:uid="{96CC9BD4-6E22-4C45-9EA4-A6109B85064D}"/>
    <cellStyle name="Calculation 2 4 5 4 4" xfId="19672" xr:uid="{BD334ACC-0D70-4548-A4F9-CBF0C2D22721}"/>
    <cellStyle name="Calculation 2 4 5 4 4 2" xfId="28316" xr:uid="{FA4B4C84-EBDF-413C-ADCC-CECB3FCFA942}"/>
    <cellStyle name="Calculation 2 4 5 4 5" xfId="45557" xr:uid="{EBC49488-48F8-489F-A803-CB9616D97C5C}"/>
    <cellStyle name="Calculation 2 4 5 5" xfId="5853" xr:uid="{00000000-0005-0000-0000-000049000000}"/>
    <cellStyle name="Calculation 2 4 5 5 2" xfId="12735" xr:uid="{D3B7B248-4060-4943-B188-CC527ABAD831}"/>
    <cellStyle name="Calculation 2 4 5 5 2 2" xfId="35219" xr:uid="{54338735-4957-412B-85A8-6E72DE590C29}"/>
    <cellStyle name="Calculation 2 4 5 5 2 3" xfId="45197" xr:uid="{C385FE81-56BC-4C52-85B8-91E36352F32E}"/>
    <cellStyle name="Calculation 2 4 5 5 3" xfId="17790" xr:uid="{666D4DE3-CF72-4E81-A0A3-BA73D6097E14}"/>
    <cellStyle name="Calculation 2 4 5 5 3 2" xfId="40180" xr:uid="{6DCD15AA-18D8-48BB-B119-189B4CF3E7C2}"/>
    <cellStyle name="Calculation 2 4 5 5 3 3" xfId="44181" xr:uid="{1D50B740-0122-45D5-B8DD-8C974D3E4425}"/>
    <cellStyle name="Calculation 2 4 5 5 4" xfId="22214" xr:uid="{4ADCDF2E-AB85-4B2A-96E7-7C85F7246491}"/>
    <cellStyle name="Calculation 2 4 5 5 4 2" xfId="48700" xr:uid="{F53AD23D-E34C-4244-BA0E-92CEEE997A2F}"/>
    <cellStyle name="Calculation 2 4 5 5 5" xfId="52458" xr:uid="{9AE9F5A0-668F-44C5-AB35-E58DE5067946}"/>
    <cellStyle name="Calculation 2 4 5 6" xfId="4744" xr:uid="{00000000-0005-0000-0000-000049000000}"/>
    <cellStyle name="Calculation 2 4 5 6 2" xfId="11642" xr:uid="{589077A3-C09A-4609-9CA5-B706C4801038}"/>
    <cellStyle name="Calculation 2 4 5 6 2 2" xfId="34128" xr:uid="{763EE971-AF04-41E1-996C-17C7D5AE192C}"/>
    <cellStyle name="Calculation 2 4 5 6 2 3" xfId="28380" xr:uid="{FF30B790-93B7-46BA-B626-CC88EB31DEDA}"/>
    <cellStyle name="Calculation 2 4 5 6 3" xfId="16681" xr:uid="{79CDADD2-8117-406F-8B40-FEB47684F11E}"/>
    <cellStyle name="Calculation 2 4 5 6 3 2" xfId="39071" xr:uid="{2BB5EDDB-806C-4E6D-8B62-4B84C47B9008}"/>
    <cellStyle name="Calculation 2 4 5 6 3 3" xfId="43641" xr:uid="{5FD02816-5C45-4C21-A077-FAE69729A057}"/>
    <cellStyle name="Calculation 2 4 5 6 4" xfId="8433" xr:uid="{34C87120-5B0B-402E-9F83-2E41E59372D2}"/>
    <cellStyle name="Calculation 2 4 5 6 4 2" xfId="44770" xr:uid="{B7CA739E-84F8-46E2-BB90-11F0CCB7F3B4}"/>
    <cellStyle name="Calculation 2 4 5 6 5" xfId="51346" xr:uid="{0574F98D-AD7A-41E3-996E-E3E37259BD2C}"/>
    <cellStyle name="Calculation 2 4 5 7" xfId="6316" xr:uid="{00000000-0005-0000-0000-000049000000}"/>
    <cellStyle name="Calculation 2 4 5 7 2" xfId="13188" xr:uid="{445468C6-A516-4BC5-8ECE-0EAC2333824A}"/>
    <cellStyle name="Calculation 2 4 5 7 2 2" xfId="35672" xr:uid="{08021ACB-9E22-42F4-988A-D0C30697D75C}"/>
    <cellStyle name="Calculation 2 4 5 7 2 3" xfId="50022" xr:uid="{A3BAB7DC-BF27-4719-BA1F-A1AA689282CE}"/>
    <cellStyle name="Calculation 2 4 5 7 3" xfId="18253" xr:uid="{42B77354-9CAF-46F2-80B9-0DA39D0C16A3}"/>
    <cellStyle name="Calculation 2 4 5 7 3 2" xfId="40643" xr:uid="{C1FA0B97-569F-43DA-BACF-B6C017F952DC}"/>
    <cellStyle name="Calculation 2 4 5 7 3 3" xfId="42140" xr:uid="{E63EC1B9-3157-43D5-8A3B-4D3B926525BC}"/>
    <cellStyle name="Calculation 2 4 5 7 4" xfId="22677" xr:uid="{994DC4C5-94E0-4351-B5D0-42DE69E704FC}"/>
    <cellStyle name="Calculation 2 4 5 7 4 2" xfId="51419" xr:uid="{662F1ABF-67CA-4DA4-9202-7F28538DFD13}"/>
    <cellStyle name="Calculation 2 4 5 7 5" xfId="49607" xr:uid="{0BE9348E-3AB5-4221-9107-1D5D9C3387AA}"/>
    <cellStyle name="Calculation 2 4 5 8" xfId="14080" xr:uid="{2E0FFDB4-ABA4-4C63-AFFC-892847082B0D}"/>
    <cellStyle name="Calculation 2 4 5 8 2" xfId="36558" xr:uid="{EC52F434-7EB1-4021-84D6-407F05BC071B}"/>
    <cellStyle name="Calculation 2 4 5 8 3" xfId="48746" xr:uid="{E8237D77-C2D0-43FF-A8AE-8B258B80C501}"/>
    <cellStyle name="Calculation 2 4 5 9" xfId="19792" xr:uid="{7FDC9C87-AEB2-4265-85B7-C5E153CB574D}"/>
    <cellStyle name="Calculation 2 4 5 9 2" xfId="42130" xr:uid="{51B6156D-6B1D-4E1B-AA6A-FAA38D7270E1}"/>
    <cellStyle name="Calculation 2 4 5 9 3" xfId="27626" xr:uid="{80698997-6D95-4D0C-A16B-BD38E1F7E25D}"/>
    <cellStyle name="Calculation 2 4 6" xfId="1367" xr:uid="{00000000-0005-0000-0000-00004B000000}"/>
    <cellStyle name="Calculation 2 4 6 10" xfId="14685" xr:uid="{A4AC77F7-B8ED-4A63-9049-BFDD6BAE1EBA}"/>
    <cellStyle name="Calculation 2 4 6 10 2" xfId="54015" xr:uid="{BCC56054-F3CF-4B06-BF55-4F3C8E1830C9}"/>
    <cellStyle name="Calculation 2 4 6 11" xfId="23668" xr:uid="{D24474D7-0428-4F5F-A207-34058E8D40C9}"/>
    <cellStyle name="Calculation 2 4 6 2" xfId="2096" xr:uid="{00000000-0005-0000-0000-00004C000000}"/>
    <cellStyle name="Calculation 2 4 6 2 10" xfId="14725" xr:uid="{671BEA8A-1AC1-43C2-9900-589FCED9AAD5}"/>
    <cellStyle name="Calculation 2 4 6 2 10 2" xfId="37183" xr:uid="{603F33B9-C45E-4DE3-8311-F101652441D1}"/>
    <cellStyle name="Calculation 2 4 6 2 10 3" xfId="52587" xr:uid="{5C7279F3-97D1-43BF-9B73-3A37D457E0CA}"/>
    <cellStyle name="Calculation 2 4 6 2 11" xfId="14996" xr:uid="{1360E68B-19F5-4CA8-ADA2-E0974AF9224F}"/>
    <cellStyle name="Calculation 2 4 6 2 11 2" xfId="37446" xr:uid="{53FE576F-2C8B-4470-8C60-1C4338635C96}"/>
    <cellStyle name="Calculation 2 4 6 2 11 3" xfId="53267" xr:uid="{C6551C42-73F6-4914-ADD5-4D363AFA4F07}"/>
    <cellStyle name="Calculation 2 4 6 2 12" xfId="19193" xr:uid="{9A7455F9-B38A-4038-B024-A95D9A2DF46B}"/>
    <cellStyle name="Calculation 2 4 6 2 12 2" xfId="27818" xr:uid="{221A3305-0CD6-4B74-AF09-C5AF4B5F69C3}"/>
    <cellStyle name="Calculation 2 4 6 2 13" xfId="29800" xr:uid="{3EB01CE0-3B7D-4404-A24E-FFA84ABD5449}"/>
    <cellStyle name="Calculation 2 4 6 2 2" xfId="4189" xr:uid="{00000000-0005-0000-0000-00004C000000}"/>
    <cellStyle name="Calculation 2 4 6 2 2 2" xfId="11093" xr:uid="{46F08DC4-ED01-4045-9BC2-FED39DC09D1B}"/>
    <cellStyle name="Calculation 2 4 6 2 2 2 2" xfId="33579" xr:uid="{85E1888D-EA03-4FE4-B6A4-09A680CB8E73}"/>
    <cellStyle name="Calculation 2 4 6 2 2 2 3" xfId="47611" xr:uid="{D88F3E84-3304-4572-86A2-34E7F2C49B6F}"/>
    <cellStyle name="Calculation 2 4 6 2 2 3" xfId="16182" xr:uid="{DE5D166D-37E2-436B-A22C-B721DD876594}"/>
    <cellStyle name="Calculation 2 4 6 2 2 3 2" xfId="38581" xr:uid="{33B06534-B247-45A9-B51F-D03966A56FF0}"/>
    <cellStyle name="Calculation 2 4 6 2 2 3 3" xfId="27366" xr:uid="{4C03902F-BFBF-46F4-9AAC-D01E1DE98778}"/>
    <cellStyle name="Calculation 2 4 6 2 2 4" xfId="21105" xr:uid="{668C42CC-E0C5-4AC1-A780-903B406A77FA}"/>
    <cellStyle name="Calculation 2 4 6 2 2 4 2" xfId="46430" xr:uid="{D4B8CD21-904A-4A1A-8011-D847E0DC8B89}"/>
    <cellStyle name="Calculation 2 4 6 2 2 5" xfId="48431" xr:uid="{9648C0E0-8383-484E-B9E4-49BB33888C86}"/>
    <cellStyle name="Calculation 2 4 6 2 3" xfId="5515" xr:uid="{00000000-0005-0000-0000-00004C000000}"/>
    <cellStyle name="Calculation 2 4 6 2 3 2" xfId="12404" xr:uid="{B950A76E-32C3-4E9A-9F81-CE885F2196FD}"/>
    <cellStyle name="Calculation 2 4 6 2 3 2 2" xfId="34889" xr:uid="{5F1E9B0E-4664-41DC-8FBC-D54975E3B496}"/>
    <cellStyle name="Calculation 2 4 6 2 3 2 3" xfId="28957" xr:uid="{C1A598DA-9FD8-4875-B75C-25FB275EF111}"/>
    <cellStyle name="Calculation 2 4 6 2 3 3" xfId="17452" xr:uid="{4AEC579E-CF83-4489-8B1B-8BDFBD026A3E}"/>
    <cellStyle name="Calculation 2 4 6 2 3 3 2" xfId="39842" xr:uid="{6ECD9B0B-4289-4D79-8B49-C7786435261E}"/>
    <cellStyle name="Calculation 2 4 6 2 3 3 3" xfId="27378" xr:uid="{6CBC0686-67CB-4E1B-91ED-EA642F725FAB}"/>
    <cellStyle name="Calculation 2 4 6 2 3 4" xfId="21876" xr:uid="{E7AC9721-93A9-4513-8C59-6CF837E7A73C}"/>
    <cellStyle name="Calculation 2 4 6 2 3 4 2" xfId="47361" xr:uid="{8CD3C7C1-0A46-410F-B25D-17F733278D2E}"/>
    <cellStyle name="Calculation 2 4 6 2 3 5" xfId="28747" xr:uid="{F76D4B4B-FBB0-44C6-ABF9-4DBB91282C00}"/>
    <cellStyle name="Calculation 2 4 6 2 4" xfId="5937" xr:uid="{00000000-0005-0000-0000-00004C000000}"/>
    <cellStyle name="Calculation 2 4 6 2 4 2" xfId="12818" xr:uid="{E3A57810-C681-49DE-909E-388B2952DC72}"/>
    <cellStyle name="Calculation 2 4 6 2 4 2 2" xfId="35302" xr:uid="{9B465FF9-D926-49C2-866C-B97859A0C2F4}"/>
    <cellStyle name="Calculation 2 4 6 2 4 2 3" xfId="38027" xr:uid="{36B35CA5-6EFD-491F-A007-8EA93A6D6552}"/>
    <cellStyle name="Calculation 2 4 6 2 4 3" xfId="17874" xr:uid="{6E71B358-7D0B-4305-ACB3-7097BC8EF88C}"/>
    <cellStyle name="Calculation 2 4 6 2 4 3 2" xfId="40264" xr:uid="{5CBD5764-C68E-4B3B-8439-A1492A8D894E}"/>
    <cellStyle name="Calculation 2 4 6 2 4 3 3" xfId="42507" xr:uid="{34B41FFB-6627-4C4A-B4EE-F83962A70AAE}"/>
    <cellStyle name="Calculation 2 4 6 2 4 4" xfId="22298" xr:uid="{D1BDB895-10D9-4B8B-9384-D23C4752E7D0}"/>
    <cellStyle name="Calculation 2 4 6 2 4 4 2" xfId="29665" xr:uid="{EF9CC651-F71D-4777-A2F4-F05EF2D03835}"/>
    <cellStyle name="Calculation 2 4 6 2 4 5" xfId="44801" xr:uid="{93BD1B82-87B9-4211-B706-8B14F0C9BCD3}"/>
    <cellStyle name="Calculation 2 4 6 2 5" xfId="6277" xr:uid="{00000000-0005-0000-0000-00004C000000}"/>
    <cellStyle name="Calculation 2 4 6 2 5 2" xfId="13149" xr:uid="{30C4E6E0-3EE7-4A73-AFCB-F4F209CE335D}"/>
    <cellStyle name="Calculation 2 4 6 2 5 2 2" xfId="35633" xr:uid="{C3586A3F-EABF-48C6-A85A-2107BB3577C7}"/>
    <cellStyle name="Calculation 2 4 6 2 5 2 3" xfId="43944" xr:uid="{257429F8-1148-48A5-81AB-BF299B645BD1}"/>
    <cellStyle name="Calculation 2 4 6 2 5 3" xfId="18214" xr:uid="{1673BF97-8E01-48E2-BC5E-B121CAAB3858}"/>
    <cellStyle name="Calculation 2 4 6 2 5 3 2" xfId="40604" xr:uid="{E219AB9B-746E-41C7-932A-05CE3D57FBDB}"/>
    <cellStyle name="Calculation 2 4 6 2 5 3 3" xfId="42100" xr:uid="{FB43809B-B937-4F4F-B032-5DA13EF37E45}"/>
    <cellStyle name="Calculation 2 4 6 2 5 4" xfId="22638" xr:uid="{9FBE5E83-11E2-4371-9293-1E0476F17710}"/>
    <cellStyle name="Calculation 2 4 6 2 5 4 2" xfId="50905" xr:uid="{30260F44-22BA-4EA6-A019-C2F0E49E5631}"/>
    <cellStyle name="Calculation 2 4 6 2 5 5" xfId="48041" xr:uid="{4FFE915C-7E9A-4BDD-B623-71E66F565720}"/>
    <cellStyle name="Calculation 2 4 6 2 6" xfId="6632" xr:uid="{00000000-0005-0000-0000-00004C000000}"/>
    <cellStyle name="Calculation 2 4 6 2 6 2" xfId="13498" xr:uid="{EDE013BF-5BE7-476A-992F-F0E30A9703B7}"/>
    <cellStyle name="Calculation 2 4 6 2 6 2 2" xfId="35982" xr:uid="{71F70C00-ED7F-4E95-A3D2-2EC4A857F50C}"/>
    <cellStyle name="Calculation 2 4 6 2 6 2 3" xfId="45949" xr:uid="{85996E39-F1D4-46F6-88D0-96F82689C5B4}"/>
    <cellStyle name="Calculation 2 4 6 2 6 3" xfId="18569" xr:uid="{81C61EA0-31AE-447B-9C45-1B74863B3154}"/>
    <cellStyle name="Calculation 2 4 6 2 6 3 2" xfId="40959" xr:uid="{3D39B398-D9FF-4ED3-8E02-DB4220883F1A}"/>
    <cellStyle name="Calculation 2 4 6 2 6 3 3" xfId="32680" xr:uid="{8FEC10D6-1B95-4CBF-A6BF-7D31A62656D7}"/>
    <cellStyle name="Calculation 2 4 6 2 6 4" xfId="22993" xr:uid="{0758C2FC-45EA-4CE3-AC43-41A943E220FE}"/>
    <cellStyle name="Calculation 2 4 6 2 6 4 2" xfId="46125" xr:uid="{360E2203-B096-4CB3-8DFE-E7CE48AB7A9B}"/>
    <cellStyle name="Calculation 2 4 6 2 6 5" xfId="49055" xr:uid="{2D276E0D-B8EA-4A97-A6AB-5D716A87AD77}"/>
    <cellStyle name="Calculation 2 4 6 2 7" xfId="4767" xr:uid="{00000000-0005-0000-0000-00004C000000}"/>
    <cellStyle name="Calculation 2 4 6 2 7 2" xfId="11665" xr:uid="{63F8F6F9-342C-4D79-860D-F5D88B4D2EAB}"/>
    <cellStyle name="Calculation 2 4 6 2 7 2 2" xfId="34151" xr:uid="{0CABB2E3-1735-4D5E-B57B-604EAA118046}"/>
    <cellStyle name="Calculation 2 4 6 2 7 2 3" xfId="45876" xr:uid="{C2BA9CC9-79BC-42E6-8DA1-F7FDD54103DC}"/>
    <cellStyle name="Calculation 2 4 6 2 7 3" xfId="16704" xr:uid="{E7F7965F-8930-4C4D-A8B5-B2045C64EB34}"/>
    <cellStyle name="Calculation 2 4 6 2 7 3 2" xfId="39094" xr:uid="{08C293F0-3153-4D65-B59A-087E2279B537}"/>
    <cellStyle name="Calculation 2 4 6 2 7 3 3" xfId="45818" xr:uid="{6E810DD1-D51E-4DA7-858C-7CF1216DCD75}"/>
    <cellStyle name="Calculation 2 4 6 2 7 4" xfId="15511" xr:uid="{D9A8AFB8-890C-46DF-A0C0-80D4C13BFB6C}"/>
    <cellStyle name="Calculation 2 4 6 2 7 4 2" xfId="49241" xr:uid="{3537047D-C8BF-4024-96BF-6C488D36241E}"/>
    <cellStyle name="Calculation 2 4 6 2 7 5" xfId="51262" xr:uid="{17820E16-930F-4664-BB12-6BDADAF6A228}"/>
    <cellStyle name="Calculation 2 4 6 2 8" xfId="7087" xr:uid="{00000000-0005-0000-0000-00004C000000}"/>
    <cellStyle name="Calculation 2 4 6 2 8 2" xfId="13923" xr:uid="{45DCC94D-6E87-4897-8947-FD04E2483724}"/>
    <cellStyle name="Calculation 2 4 6 2 8 2 2" xfId="36407" xr:uid="{83099C6A-3ACC-446C-8959-853A481E6CD5}"/>
    <cellStyle name="Calculation 2 4 6 2 8 2 3" xfId="49264" xr:uid="{5A545BB4-BCB8-40CB-A790-968FEF6A57FF}"/>
    <cellStyle name="Calculation 2 4 6 2 8 3" xfId="19024" xr:uid="{4F683DEB-E31C-42CA-BCCA-49AE23351C63}"/>
    <cellStyle name="Calculation 2 4 6 2 8 3 2" xfId="41414" xr:uid="{5F1B049A-B53E-4260-86BF-C5573650A9D6}"/>
    <cellStyle name="Calculation 2 4 6 2 8 3 3" xfId="29534" xr:uid="{6EE74A55-B60C-4FEB-8D8C-D82D19492412}"/>
    <cellStyle name="Calculation 2 4 6 2 8 4" xfId="23448" xr:uid="{9E2315F6-7B76-4773-8537-BFE057D74A88}"/>
    <cellStyle name="Calculation 2 4 6 2 8 4 2" xfId="24339" xr:uid="{0CAFB19F-A3FE-4E26-BA61-8E29EE59332C}"/>
    <cellStyle name="Calculation 2 4 6 2 8 5" xfId="49783" xr:uid="{2531AA6E-48D5-4A75-80AA-138C21F9A47C}"/>
    <cellStyle name="Calculation 2 4 6 2 9" xfId="7202" xr:uid="{00000000-0005-0000-0000-00004C000000}"/>
    <cellStyle name="Calculation 2 4 6 2 9 2" xfId="19139" xr:uid="{F1EE6C30-24F0-4E21-BC2A-065D08359F8F}"/>
    <cellStyle name="Calculation 2 4 6 2 9 2 2" xfId="41529" xr:uid="{767F03D1-9F23-428D-9E59-D46BADF03765}"/>
    <cellStyle name="Calculation 2 4 6 2 9 2 3" xfId="30119" xr:uid="{65008EC4-2674-4AAD-AF58-205708471BA7}"/>
    <cellStyle name="Calculation 2 4 6 2 9 3" xfId="23563" xr:uid="{E6291A1B-1AFA-4553-AE12-292A8543550E}"/>
    <cellStyle name="Calculation 2 4 6 2 9 3 2" xfId="47957" xr:uid="{4F1B0ED2-2066-4A0E-8C6A-534FD6671AFD}"/>
    <cellStyle name="Calculation 2 4 6 2 9 4" xfId="51336" xr:uid="{2FBD1DFE-BFF1-41ED-BAC0-E13B8F1DF3B4}"/>
    <cellStyle name="Calculation 2 4 6 3" xfId="3471" xr:uid="{00000000-0005-0000-0000-00004B000000}"/>
    <cellStyle name="Calculation 2 4 6 3 2" xfId="10379" xr:uid="{0CB897B4-C0B8-488B-9D3A-8334D1C322E0}"/>
    <cellStyle name="Calculation 2 4 6 3 2 2" xfId="32866" xr:uid="{DD4CAEB9-AABC-46E7-92EE-DFC818BDF610}"/>
    <cellStyle name="Calculation 2 4 6 3 2 3" xfId="45916" xr:uid="{783920A7-A551-438B-B723-7EBDB974F5DC}"/>
    <cellStyle name="Calculation 2 4 6 3 3" xfId="15649" xr:uid="{7890289C-9AD7-47FB-BE68-C33DFA2D7AA2}"/>
    <cellStyle name="Calculation 2 4 6 3 3 2" xfId="38065" xr:uid="{A3767B9E-3744-4911-BDAE-4E9D9AEBAD18}"/>
    <cellStyle name="Calculation 2 4 6 3 3 3" xfId="28795" xr:uid="{F430896D-3E6C-4E33-B899-DFFEF807CF4E}"/>
    <cellStyle name="Calculation 2 4 6 3 4" xfId="7282" xr:uid="{81BFEF98-87DC-4703-99D4-1809C475D292}"/>
    <cellStyle name="Calculation 2 4 6 3 4 2" xfId="46911" xr:uid="{8C9623B0-6A9C-4FDC-99F2-4BA7BE5441A2}"/>
    <cellStyle name="Calculation 2 4 6 3 5" xfId="51370" xr:uid="{FC3CEAF7-9FC4-44CA-995B-0473D7E6015F}"/>
    <cellStyle name="Calculation 2 4 6 4" xfId="5004" xr:uid="{00000000-0005-0000-0000-00004B000000}"/>
    <cellStyle name="Calculation 2 4 6 4 2" xfId="11898" xr:uid="{7C10D323-166E-4215-85AE-4C9E0473E7D6}"/>
    <cellStyle name="Calculation 2 4 6 4 2 2" xfId="34384" xr:uid="{3AD77555-62EB-4902-AC60-D2F94C3900A7}"/>
    <cellStyle name="Calculation 2 4 6 4 2 3" xfId="24509" xr:uid="{F6370A5B-0DEA-48F6-BAD6-31DFAA27CC4B}"/>
    <cellStyle name="Calculation 2 4 6 4 3" xfId="16941" xr:uid="{1F620562-B791-4EE0-8329-08C60F3A2E48}"/>
    <cellStyle name="Calculation 2 4 6 4 3 2" xfId="39331" xr:uid="{DC652675-ADA8-4559-8086-0A166F4E6EE3}"/>
    <cellStyle name="Calculation 2 4 6 4 3 3" xfId="30598" xr:uid="{49309916-14CA-4D48-9242-4CF4BB1BBAB2}"/>
    <cellStyle name="Calculation 2 4 6 4 4" xfId="21365" xr:uid="{2AF7273B-22A4-4D15-ACC7-43F59AFBFB1F}"/>
    <cellStyle name="Calculation 2 4 6 4 4 2" xfId="51287" xr:uid="{DFCD3A3C-DEA8-4E19-9C46-227347131C68}"/>
    <cellStyle name="Calculation 2 4 6 4 5" xfId="48819" xr:uid="{3626A739-7AC0-48A4-A312-778377C95106}"/>
    <cellStyle name="Calculation 2 4 6 5" xfId="5693" xr:uid="{00000000-0005-0000-0000-00004B000000}"/>
    <cellStyle name="Calculation 2 4 6 5 2" xfId="12577" xr:uid="{85921C1A-895F-4CFB-BDD8-455466B55003}"/>
    <cellStyle name="Calculation 2 4 6 5 2 2" xfId="35062" xr:uid="{2A22D2B6-6409-4851-86C1-11B6AB2F03E1}"/>
    <cellStyle name="Calculation 2 4 6 5 2 3" xfId="32345" xr:uid="{E503C1E3-8B3E-4773-B7FC-525192F34B64}"/>
    <cellStyle name="Calculation 2 4 6 5 3" xfId="17630" xr:uid="{2E8A1CDC-01F7-4CF1-BFC2-AEF35467A208}"/>
    <cellStyle name="Calculation 2 4 6 5 3 2" xfId="40020" xr:uid="{6D8EB9E2-C2B4-4F27-AA70-ABFEF3D114BC}"/>
    <cellStyle name="Calculation 2 4 6 5 3 3" xfId="25401" xr:uid="{F9176F21-6C92-42FE-B206-E466B8869D45}"/>
    <cellStyle name="Calculation 2 4 6 5 4" xfId="22054" xr:uid="{59E94D36-6A3B-4756-B61E-822B6B37ADFE}"/>
    <cellStyle name="Calculation 2 4 6 5 4 2" xfId="50411" xr:uid="{49739C08-5EB5-4364-8590-CE24145EA2C5}"/>
    <cellStyle name="Calculation 2 4 6 5 5" xfId="43405" xr:uid="{47CEB45C-2BF2-487F-9EF8-41882AF3B496}"/>
    <cellStyle name="Calculation 2 4 6 6" xfId="2349" xr:uid="{00000000-0005-0000-0000-00004B000000}"/>
    <cellStyle name="Calculation 2 4 6 6 2" xfId="9258" xr:uid="{93B7D512-3F22-4570-A73D-8FC76270AC8E}"/>
    <cellStyle name="Calculation 2 4 6 6 2 2" xfId="31833" xr:uid="{AE3A12B5-027D-497C-ABC2-948F3EF9A028}"/>
    <cellStyle name="Calculation 2 4 6 6 2 3" xfId="51399" xr:uid="{1AD3F319-6695-46CA-A604-01C0FBB3B87F}"/>
    <cellStyle name="Calculation 2 4 6 6 3" xfId="14906" xr:uid="{95BBC6D6-E2FC-4591-9A6C-571F9C738E91}"/>
    <cellStyle name="Calculation 2 4 6 6 3 2" xfId="37360" xr:uid="{8697D157-CDAC-4069-91AD-44CD1C2A7501}"/>
    <cellStyle name="Calculation 2 4 6 6 3 3" xfId="41828" xr:uid="{AA3C5D21-EFAF-40ED-A146-E5930341F11C}"/>
    <cellStyle name="Calculation 2 4 6 6 4" xfId="20644" xr:uid="{316281E5-ADA0-4D00-8A16-02F7B8E90B38}"/>
    <cellStyle name="Calculation 2 4 6 6 4 2" xfId="29126" xr:uid="{17DAB7B5-0000-427A-BC00-0D67C1D35C07}"/>
    <cellStyle name="Calculation 2 4 6 6 5" xfId="52548" xr:uid="{87D7523E-7FA7-4E4D-AEAD-E2689965CF06}"/>
    <cellStyle name="Calculation 2 4 6 7" xfId="5761" xr:uid="{00000000-0005-0000-0000-00004B000000}"/>
    <cellStyle name="Calculation 2 4 6 7 2" xfId="12645" xr:uid="{88577BD0-E50C-470E-8C6B-98C4EACCE1D3}"/>
    <cellStyle name="Calculation 2 4 6 7 2 2" xfId="35130" xr:uid="{05E01C57-F985-4401-BC7A-F33932060C98}"/>
    <cellStyle name="Calculation 2 4 6 7 2 3" xfId="45888" xr:uid="{8079D349-D5A0-43D9-8A2B-2FC066A5327A}"/>
    <cellStyle name="Calculation 2 4 6 7 3" xfId="17698" xr:uid="{58B17F58-71FD-4EA5-935B-C2DD34912740}"/>
    <cellStyle name="Calculation 2 4 6 7 3 2" xfId="40088" xr:uid="{AD00EE31-B01E-4912-8EC6-1539945AB7C7}"/>
    <cellStyle name="Calculation 2 4 6 7 3 3" xfId="27709" xr:uid="{212CF920-9DD7-4B70-A0D6-7D30109AA695}"/>
    <cellStyle name="Calculation 2 4 6 7 4" xfId="22122" xr:uid="{0B0918B2-D6AC-4E05-B7CB-56351801ACBB}"/>
    <cellStyle name="Calculation 2 4 6 7 4 2" xfId="52971" xr:uid="{F9B474DC-738A-4A5E-AC07-481579E4CDA2}"/>
    <cellStyle name="Calculation 2 4 6 7 5" xfId="52832" xr:uid="{D0DA469D-042B-4B3A-9DEE-1C508714E43E}"/>
    <cellStyle name="Calculation 2 4 6 8" xfId="14186" xr:uid="{ACD64F0E-65CA-45A2-A872-11B01C8A848F}"/>
    <cellStyle name="Calculation 2 4 6 8 2" xfId="36661" xr:uid="{E3FFC83E-D370-41B9-8216-68C01B60D965}"/>
    <cellStyle name="Calculation 2 4 6 8 3" xfId="52561" xr:uid="{658A6C1E-532E-4F5F-BEA0-B001DB8AD4F7}"/>
    <cellStyle name="Calculation 2 4 6 9" xfId="20060" xr:uid="{701CC20A-20F9-4889-8584-317BA89B9A2A}"/>
    <cellStyle name="Calculation 2 4 6 9 2" xfId="42381" xr:uid="{3F458C9E-C0A3-4A51-9607-95D9456E7A70}"/>
    <cellStyle name="Calculation 2 4 6 9 3" xfId="44293" xr:uid="{3B43CED5-D0DA-4163-90F4-C088FFECB525}"/>
    <cellStyle name="Calculation 2 4 7" xfId="1639" xr:uid="{00000000-0005-0000-0000-00004D000000}"/>
    <cellStyle name="Calculation 2 4 7 10" xfId="14353" xr:uid="{D4CDA2CC-88A3-4EA8-BC2B-312C282B909E}"/>
    <cellStyle name="Calculation 2 4 7 10 2" xfId="36821" xr:uid="{E9F9F226-2373-46E2-9093-93CB60C91DD9}"/>
    <cellStyle name="Calculation 2 4 7 10 3" xfId="46658" xr:uid="{2C82FED2-980A-4F36-AD9F-18E284F3AC10}"/>
    <cellStyle name="Calculation 2 4 7 11" xfId="20491" xr:uid="{873DD072-A60B-44C8-B5F5-4DB302665BA5}"/>
    <cellStyle name="Calculation 2 4 7 11 2" xfId="42779" xr:uid="{8308A4C3-1447-4B92-B285-219EF45822FF}"/>
    <cellStyle name="Calculation 2 4 7 11 3" xfId="49757" xr:uid="{FC19C5A0-2459-4081-B402-2696D315145D}"/>
    <cellStyle name="Calculation 2 4 7 12" xfId="8949" xr:uid="{21742E9C-74D3-47E7-AFDF-E4029E8B1CC5}"/>
    <cellStyle name="Calculation 2 4 7 12 2" xfId="47115" xr:uid="{1439E037-C23B-46C4-B885-FD678B7B2448}"/>
    <cellStyle name="Calculation 2 4 7 13" xfId="47560" xr:uid="{1807AE0F-BCDA-4DBC-A608-1255A7139572}"/>
    <cellStyle name="Calculation 2 4 7 2" xfId="3737" xr:uid="{00000000-0005-0000-0000-00004D000000}"/>
    <cellStyle name="Calculation 2 4 7 2 2" xfId="10641" xr:uid="{0F636680-787C-420A-AB87-706692C966D2}"/>
    <cellStyle name="Calculation 2 4 7 2 2 2" xfId="33127" xr:uid="{0AB482BE-B4BF-46DF-9EAE-16C8B11B5805}"/>
    <cellStyle name="Calculation 2 4 7 2 2 3" xfId="50161" xr:uid="{4E8672CB-FF8D-441A-AED2-4AB72825A0B5}"/>
    <cellStyle name="Calculation 2 4 7 2 3" xfId="15818" xr:uid="{EEC9B655-E788-4E79-9D5B-C695036E1148}"/>
    <cellStyle name="Calculation 2 4 7 2 3 2" xfId="38226" xr:uid="{1E8D6D7E-4B1C-4BAB-AD7C-1DF4154F8C6C}"/>
    <cellStyle name="Calculation 2 4 7 2 3 3" xfId="54108" xr:uid="{6ED81DD7-0853-449A-82D1-99DCAFBF1F16}"/>
    <cellStyle name="Calculation 2 4 7 2 4" xfId="15801" xr:uid="{28DD9474-AC30-4905-B3E6-4597B8CD1FDE}"/>
    <cellStyle name="Calculation 2 4 7 2 4 2" xfId="26640" xr:uid="{18AAA72B-9256-45AF-9B1B-E431C46CE0A6}"/>
    <cellStyle name="Calculation 2 4 7 2 5" xfId="53802" xr:uid="{6E61654F-D604-4C3F-9AF8-10EBB32525E6}"/>
    <cellStyle name="Calculation 2 4 7 3" xfId="5172" xr:uid="{00000000-0005-0000-0000-00004D000000}"/>
    <cellStyle name="Calculation 2 4 7 3 2" xfId="12065" xr:uid="{3687680D-FAA4-4EE0-A0B7-01519DD047E9}"/>
    <cellStyle name="Calculation 2 4 7 3 2 2" xfId="34551" xr:uid="{35532659-47D3-4423-8B9B-2C0FA15E63D1}"/>
    <cellStyle name="Calculation 2 4 7 3 2 3" xfId="29823" xr:uid="{2A89193A-DB9C-4211-819F-0CD2D4E7221E}"/>
    <cellStyle name="Calculation 2 4 7 3 3" xfId="17109" xr:uid="{2206B238-6CDB-4182-BA66-3D933ABEC3A5}"/>
    <cellStyle name="Calculation 2 4 7 3 3 2" xfId="39499" xr:uid="{89F97483-5D50-4765-AEBA-681B11BE7021}"/>
    <cellStyle name="Calculation 2 4 7 3 3 3" xfId="26444" xr:uid="{50537CDB-EA5C-42A8-A96F-D4D5391C0D1A}"/>
    <cellStyle name="Calculation 2 4 7 3 4" xfId="21533" xr:uid="{F51F4897-9FF6-441C-8A61-E1932597B107}"/>
    <cellStyle name="Calculation 2 4 7 3 4 2" xfId="49958" xr:uid="{A2B5491A-5806-4322-8E00-D99A283A187E}"/>
    <cellStyle name="Calculation 2 4 7 3 5" xfId="50776" xr:uid="{262DE944-1C4A-4069-99BF-B4C44B0CCF67}"/>
    <cellStyle name="Calculation 2 4 7 4" xfId="4482" xr:uid="{00000000-0005-0000-0000-00004D000000}"/>
    <cellStyle name="Calculation 2 4 7 4 2" xfId="11384" xr:uid="{9E565394-9213-44F9-9680-207E66C35D4E}"/>
    <cellStyle name="Calculation 2 4 7 4 2 2" xfId="33870" xr:uid="{E6572581-724A-4874-851B-DDB8B2030B2A}"/>
    <cellStyle name="Calculation 2 4 7 4 2 3" xfId="27937" xr:uid="{F17C896C-3A59-40EE-87F9-FD279FC50FCE}"/>
    <cellStyle name="Calculation 2 4 7 4 3" xfId="16419" xr:uid="{F874CC59-9D49-44EE-88D2-E09E70532024}"/>
    <cellStyle name="Calculation 2 4 7 4 3 2" xfId="38809" xr:uid="{DE3B90E2-9BFC-459A-A2D1-9F9AB64D3433}"/>
    <cellStyle name="Calculation 2 4 7 4 3 3" xfId="30280" xr:uid="{9F5AABE2-6E84-46AD-B5D3-8236FE13068C}"/>
    <cellStyle name="Calculation 2 4 7 4 4" xfId="20107" xr:uid="{31EAFC24-05B9-4E37-B199-5F98FC0B6E62}"/>
    <cellStyle name="Calculation 2 4 7 4 4 2" xfId="26955" xr:uid="{3AC3B6DD-27C9-4607-B88D-979BC09D0F3A}"/>
    <cellStyle name="Calculation 2 4 7 4 5" xfId="32947" xr:uid="{9262E6F9-C2A2-4A93-9E05-10211EA3B6E8}"/>
    <cellStyle name="Calculation 2 4 7 5" xfId="4581" xr:uid="{00000000-0005-0000-0000-00004D000000}"/>
    <cellStyle name="Calculation 2 4 7 5 2" xfId="11483" xr:uid="{7406D719-AE93-4A50-8846-9A763ADBD23E}"/>
    <cellStyle name="Calculation 2 4 7 5 2 2" xfId="33969" xr:uid="{2EA975FE-CE2D-4331-BD58-3C26277EB10C}"/>
    <cellStyle name="Calculation 2 4 7 5 2 3" xfId="29124" xr:uid="{29869D72-1A04-4A6A-AAF6-7DCC013F2C08}"/>
    <cellStyle name="Calculation 2 4 7 5 3" xfId="16518" xr:uid="{986E6E40-DD54-4347-8391-AB7B67277BB2}"/>
    <cellStyle name="Calculation 2 4 7 5 3 2" xfId="38908" xr:uid="{A1B43A88-1085-4A28-9A17-2F8200C1A5A9}"/>
    <cellStyle name="Calculation 2 4 7 5 3 3" xfId="45071" xr:uid="{A833D194-B58C-475C-AC08-874BE1711475}"/>
    <cellStyle name="Calculation 2 4 7 5 4" xfId="15621" xr:uid="{70223F03-A52B-4876-AB7F-E29B525D8FEE}"/>
    <cellStyle name="Calculation 2 4 7 5 4 2" xfId="26826" xr:uid="{9A0E050B-646C-47A0-AF62-AB046801C192}"/>
    <cellStyle name="Calculation 2 4 7 5 5" xfId="27036" xr:uid="{9BFF278E-5497-451E-9757-E870B1075EA1}"/>
    <cellStyle name="Calculation 2 4 7 6" xfId="6036" xr:uid="{00000000-0005-0000-0000-00004D000000}"/>
    <cellStyle name="Calculation 2 4 7 6 2" xfId="12915" xr:uid="{A1C63610-18E1-4963-857D-69159FAA4C5D}"/>
    <cellStyle name="Calculation 2 4 7 6 2 2" xfId="35399" xr:uid="{BB8DE2F9-AA94-4F01-B9DB-B39689CF5439}"/>
    <cellStyle name="Calculation 2 4 7 6 2 3" xfId="54005" xr:uid="{6446AE2E-0FE7-4C4A-AC4B-F1391D347E01}"/>
    <cellStyle name="Calculation 2 4 7 6 3" xfId="17973" xr:uid="{18E32107-8C96-4FAB-B185-12E1345BE654}"/>
    <cellStyle name="Calculation 2 4 7 6 3 2" xfId="40363" xr:uid="{AD97154C-46EC-4B38-AA88-21210D5FBF5A}"/>
    <cellStyle name="Calculation 2 4 7 6 3 3" xfId="26695" xr:uid="{4AB12657-3D3F-41A1-9373-4565EF37473D}"/>
    <cellStyle name="Calculation 2 4 7 6 4" xfId="22397" xr:uid="{E06DB321-BBDA-4747-B24A-89C4B58B9AFA}"/>
    <cellStyle name="Calculation 2 4 7 6 4 2" xfId="50891" xr:uid="{C4261ECD-E7EF-4A99-A52A-503A08A438BC}"/>
    <cellStyle name="Calculation 2 4 7 6 5" xfId="50783" xr:uid="{CBF9BB7D-5DAD-4C98-B5F4-1B8AD2F3C75F}"/>
    <cellStyle name="Calculation 2 4 7 7" xfId="6885" xr:uid="{00000000-0005-0000-0000-00004D000000}"/>
    <cellStyle name="Calculation 2 4 7 7 2" xfId="13724" xr:uid="{F2A180A2-795A-469D-9E36-C62404498982}"/>
    <cellStyle name="Calculation 2 4 7 7 2 2" xfId="36208" xr:uid="{E8BBA2B5-1644-4B0C-BBDF-B4006186FB60}"/>
    <cellStyle name="Calculation 2 4 7 7 2 3" xfId="46815" xr:uid="{57E7CABE-8637-41A6-A954-1590E06918D9}"/>
    <cellStyle name="Calculation 2 4 7 7 3" xfId="18822" xr:uid="{39F2574D-492C-4889-8262-33FA651050BC}"/>
    <cellStyle name="Calculation 2 4 7 7 3 2" xfId="41212" xr:uid="{86A15488-6780-43FB-832D-1B65A12098F4}"/>
    <cellStyle name="Calculation 2 4 7 7 3 3" xfId="45653" xr:uid="{C47BB327-A221-42D3-8B7F-6C62D54A1279}"/>
    <cellStyle name="Calculation 2 4 7 7 4" xfId="23246" xr:uid="{3A338D44-40A6-48B5-A6A3-54C66D9EE41B}"/>
    <cellStyle name="Calculation 2 4 7 7 4 2" xfId="53758" xr:uid="{0F66EA90-108B-4B41-97E4-FAA78E086789}"/>
    <cellStyle name="Calculation 2 4 7 7 5" xfId="52126" xr:uid="{6C3740AF-3CCE-4557-9D89-7AAD4BB9B3CC}"/>
    <cellStyle name="Calculation 2 4 7 8" xfId="5357" xr:uid="{00000000-0005-0000-0000-00004D000000}"/>
    <cellStyle name="Calculation 2 4 7 8 2" xfId="12249" xr:uid="{24D2EE77-C110-4208-B847-03BB2C4B3B0C}"/>
    <cellStyle name="Calculation 2 4 7 8 2 2" xfId="34734" xr:uid="{68AD5651-8770-4946-A706-0E9F4DF10897}"/>
    <cellStyle name="Calculation 2 4 7 8 2 3" xfId="43726" xr:uid="{74B3A5D4-6FFD-4051-BB6E-53B34711879E}"/>
    <cellStyle name="Calculation 2 4 7 8 3" xfId="17294" xr:uid="{85A57EC4-42DD-4AE0-B418-3AC4DBFCFCD2}"/>
    <cellStyle name="Calculation 2 4 7 8 3 2" xfId="39684" xr:uid="{A220DC57-C7AA-44A1-AB3C-A33DB5633E19}"/>
    <cellStyle name="Calculation 2 4 7 8 3 3" xfId="45177" xr:uid="{10C97E90-948D-4955-84BB-7A82A189E9D1}"/>
    <cellStyle name="Calculation 2 4 7 8 4" xfId="21718" xr:uid="{DF75516E-479B-4F2D-8F06-BBCF881E3958}"/>
    <cellStyle name="Calculation 2 4 7 8 4 2" xfId="43968" xr:uid="{0644CF02-BCED-491D-AC4F-7EEA9D477DEC}"/>
    <cellStyle name="Calculation 2 4 7 8 5" xfId="52611" xr:uid="{9E8DE776-480D-48B4-BC62-14680A0B78F7}"/>
    <cellStyle name="Calculation 2 4 7 9" xfId="6779" xr:uid="{00000000-0005-0000-0000-00004D000000}"/>
    <cellStyle name="Calculation 2 4 7 9 2" xfId="18716" xr:uid="{7AB98C62-9C03-4996-B226-BE4C4A9AB3AC}"/>
    <cellStyle name="Calculation 2 4 7 9 2 2" xfId="41106" xr:uid="{263A4ECD-8EDC-40E9-8209-4E36A80257E0}"/>
    <cellStyle name="Calculation 2 4 7 9 2 3" xfId="25970" xr:uid="{2457DB93-394D-44FF-82EB-227453F3DEC1}"/>
    <cellStyle name="Calculation 2 4 7 9 3" xfId="23140" xr:uid="{0B54A263-B6C0-42A1-97D7-55E17F65979C}"/>
    <cellStyle name="Calculation 2 4 7 9 3 2" xfId="46010" xr:uid="{F09BD455-F222-4EE7-8C83-CC42B7572962}"/>
    <cellStyle name="Calculation 2 4 7 9 4" xfId="25244" xr:uid="{EA5B5A30-19E6-4159-A2C3-3E5BFCD08DC0}"/>
    <cellStyle name="Calculation 2 4 8" xfId="2589" xr:uid="{00000000-0005-0000-0000-000042000000}"/>
    <cellStyle name="Calculation 2 4 8 2" xfId="9498" xr:uid="{8B6082FD-0B66-4844-8CA5-D7F38FC86DAC}"/>
    <cellStyle name="Calculation 2 4 8 2 2" xfId="32050" xr:uid="{3BF985D1-9C6D-402C-AE2A-32384DE6936E}"/>
    <cellStyle name="Calculation 2 4 8 2 3" xfId="50586" xr:uid="{5042BDD2-AD92-4502-96E2-10055D21D046}"/>
    <cellStyle name="Calculation 2 4 8 3" xfId="15067" xr:uid="{D183CFC0-9D33-48D4-9B8A-29C08DE9A8E1}"/>
    <cellStyle name="Calculation 2 4 8 3 2" xfId="37512" xr:uid="{97208463-998C-4ED9-B6F9-319C141176E9}"/>
    <cellStyle name="Calculation 2 4 8 3 3" xfId="49227" xr:uid="{D8A18556-5C5F-4A2B-8964-86A63D843A30}"/>
    <cellStyle name="Calculation 2 4 8 4" xfId="20922" xr:uid="{64804B97-18D1-4A9A-BD01-FCE3A5D1ACC5}"/>
    <cellStyle name="Calculation 2 4 8 4 2" xfId="53927" xr:uid="{0B1C7B87-B6B2-4D2E-9A4C-76FB950DDBC0}"/>
    <cellStyle name="Calculation 2 4 8 5" xfId="48876" xr:uid="{C884E862-7551-42E4-BE29-F4779DF9007E}"/>
    <cellStyle name="Calculation 2 4 9" xfId="4417" xr:uid="{00000000-0005-0000-0000-000042000000}"/>
    <cellStyle name="Calculation 2 4 9 2" xfId="11319" xr:uid="{C8452F35-65E7-4BC7-B671-BC00DDF02B97}"/>
    <cellStyle name="Calculation 2 4 9 2 2" xfId="33805" xr:uid="{E8A452A5-BDDB-4004-B199-470B05CDFD70}"/>
    <cellStyle name="Calculation 2 4 9 2 3" xfId="24238" xr:uid="{D51E944E-0BC9-4185-8CCA-18C05B198945}"/>
    <cellStyle name="Calculation 2 4 9 3" xfId="16354" xr:uid="{0E402663-EB4F-4B93-A51D-D0F22CF668DB}"/>
    <cellStyle name="Calculation 2 4 9 3 2" xfId="38744" xr:uid="{FD63D28D-03AB-4BE2-A6DF-1D426C9341D4}"/>
    <cellStyle name="Calculation 2 4 9 3 3" xfId="28505" xr:uid="{6FD0484E-D70D-4EC3-8F2C-8852F05FB03F}"/>
    <cellStyle name="Calculation 2 4 9 4" xfId="20493" xr:uid="{01F30DD1-2BC0-48B5-B8C9-8F388CD2B2C0}"/>
    <cellStyle name="Calculation 2 4 9 4 2" xfId="27974" xr:uid="{B61FEBA4-9994-48F5-A006-2E448A04AD2B}"/>
    <cellStyle name="Calculation 2 4 9 5" xfId="23930" xr:uid="{4BFC9138-0D4B-4A83-92E0-3D985D6BAE60}"/>
    <cellStyle name="Calculation 2 5" xfId="460" xr:uid="{00000000-0005-0000-0000-00004E000000}"/>
    <cellStyle name="Calculation 2 5 10" xfId="4447" xr:uid="{00000000-0005-0000-0000-00004E000000}"/>
    <cellStyle name="Calculation 2 5 10 2" xfId="11349" xr:uid="{08CF569E-1D73-4D38-852E-9DA14567B40B}"/>
    <cellStyle name="Calculation 2 5 10 2 2" xfId="33835" xr:uid="{FE20165D-CB9B-49FF-82A2-4799530FB1BF}"/>
    <cellStyle name="Calculation 2 5 10 2 3" xfId="42292" xr:uid="{5CC1C0B6-BEE5-4FC5-9D40-970C9903095C}"/>
    <cellStyle name="Calculation 2 5 10 3" xfId="16384" xr:uid="{F5C8FB9A-C7BA-468B-AA38-2E945A2E9AC6}"/>
    <cellStyle name="Calculation 2 5 10 3 2" xfId="38774" xr:uid="{7E89E794-C3BB-4396-8A88-31C3D883F07F}"/>
    <cellStyle name="Calculation 2 5 10 3 3" xfId="24360" xr:uid="{E037780F-B8F1-4301-B26B-ECF3BABC14AE}"/>
    <cellStyle name="Calculation 2 5 10 4" xfId="16210" xr:uid="{08EF262F-4B3B-43C7-8098-8C6BF8D65A45}"/>
    <cellStyle name="Calculation 2 5 10 4 2" xfId="24884" xr:uid="{675C3BC4-03D2-4A29-A849-D36F14D3D468}"/>
    <cellStyle name="Calculation 2 5 10 5" xfId="49254" xr:uid="{7F728DB4-161C-45FA-9082-9D8A42544041}"/>
    <cellStyle name="Calculation 2 5 11" xfId="4652" xr:uid="{00000000-0005-0000-0000-00004E000000}"/>
    <cellStyle name="Calculation 2 5 11 2" xfId="11552" xr:uid="{A2895DEA-CA03-47FE-A02E-F549018A49F2}"/>
    <cellStyle name="Calculation 2 5 11 2 2" xfId="34038" xr:uid="{5E6961B6-1141-4694-989B-5CF556F456E5}"/>
    <cellStyle name="Calculation 2 5 11 2 3" xfId="26092" xr:uid="{4402E2F4-2FD1-493F-B4FE-F7A780DBB6E0}"/>
    <cellStyle name="Calculation 2 5 11 3" xfId="16589" xr:uid="{1D18A51C-6800-4374-A453-4EDAF18990D3}"/>
    <cellStyle name="Calculation 2 5 11 3 2" xfId="38979" xr:uid="{B8E4A86A-9A95-499C-8412-B587416E4574}"/>
    <cellStyle name="Calculation 2 5 11 3 3" xfId="26616" xr:uid="{788FF1D8-0D27-4F4F-9A5B-DC34B288BA65}"/>
    <cellStyle name="Calculation 2 5 11 4" xfId="15366" xr:uid="{CE1FDE6D-BAFC-48CC-A967-3B0438B34F0B}"/>
    <cellStyle name="Calculation 2 5 11 4 2" xfId="50336" xr:uid="{D8719835-2AED-4312-A5E5-5D9505C62537}"/>
    <cellStyle name="Calculation 2 5 11 5" xfId="54122" xr:uid="{6581ADF1-EBEE-40B1-BD75-079B8A8F3594}"/>
    <cellStyle name="Calculation 2 5 12" xfId="6665" xr:uid="{00000000-0005-0000-0000-00004E000000}"/>
    <cellStyle name="Calculation 2 5 12 2" xfId="13531" xr:uid="{215278EE-6E46-4045-BDE9-743400C275DA}"/>
    <cellStyle name="Calculation 2 5 12 2 2" xfId="36015" xr:uid="{1B2AFE33-028B-4F25-8440-731E10B43C53}"/>
    <cellStyle name="Calculation 2 5 12 2 3" xfId="51599" xr:uid="{5DD40F2F-574E-449D-9767-26577228C724}"/>
    <cellStyle name="Calculation 2 5 12 3" xfId="18602" xr:uid="{ED3AA680-88F3-41EB-8AFB-0F841E49BC33}"/>
    <cellStyle name="Calculation 2 5 12 3 2" xfId="40992" xr:uid="{4C827365-F959-4350-9D00-DD5701C0C5A9}"/>
    <cellStyle name="Calculation 2 5 12 3 3" xfId="44862" xr:uid="{A990006A-999B-4049-AC73-D8DCB74D0307}"/>
    <cellStyle name="Calculation 2 5 12 4" xfId="23026" xr:uid="{D598138E-B401-4473-9FA4-3AE61EE83934}"/>
    <cellStyle name="Calculation 2 5 12 4 2" xfId="51404" xr:uid="{11691149-4C53-4DD2-89BD-2E1FAF01E1FC}"/>
    <cellStyle name="Calculation 2 5 12 5" xfId="48520" xr:uid="{2F063F57-53D8-4EAE-8234-1813D5BA08B0}"/>
    <cellStyle name="Calculation 2 5 13" xfId="13969" xr:uid="{8D163068-8C13-4339-A642-615FFBBDAC05}"/>
    <cellStyle name="Calculation 2 5 13 2" xfId="36453" xr:uid="{40DC8B44-4E56-4828-9F23-F29F9A8033B5}"/>
    <cellStyle name="Calculation 2 5 13 3" xfId="24374" xr:uid="{7A56B24E-B656-4244-9B20-5D03F188799B}"/>
    <cellStyle name="Calculation 2 5 14" xfId="20191" xr:uid="{33FBBE2B-1AFF-4E67-8688-678893CB3A58}"/>
    <cellStyle name="Calculation 2 5 14 2" xfId="42501" xr:uid="{136AE3A9-5E02-4EFC-B6CB-8AFCF8FAAE17}"/>
    <cellStyle name="Calculation 2 5 14 3" xfId="30176" xr:uid="{6B0612D9-3001-42EE-801C-F14F92016551}"/>
    <cellStyle name="Calculation 2 5 15" xfId="7821" xr:uid="{5C41744B-FDF3-4C01-8AFD-9DFFA7B7AD94}"/>
    <cellStyle name="Calculation 2 5 15 2" xfId="46849" xr:uid="{CB7E2AF8-09FB-4467-BF3C-5F46E34BE51F}"/>
    <cellStyle name="Calculation 2 5 16" xfId="50107" xr:uid="{4D65462E-29FB-49EF-A65E-3586BAD81CC9}"/>
    <cellStyle name="Calculation 2 5 2" xfId="613" xr:uid="{00000000-0005-0000-0000-00004F000000}"/>
    <cellStyle name="Calculation 2 5 2 10" xfId="19766" xr:uid="{825EC62B-15DD-4ADB-A217-9B0834F0FADC}"/>
    <cellStyle name="Calculation 2 5 2 10 2" xfId="24223" xr:uid="{A816AD30-336C-402C-8A69-833412AA7436}"/>
    <cellStyle name="Calculation 2 5 2 11" xfId="46652" xr:uid="{50F97D6B-F2B7-4D34-97D1-E683AB4BEEE1}"/>
    <cellStyle name="Calculation 2 5 2 2" xfId="1747" xr:uid="{00000000-0005-0000-0000-000050000000}"/>
    <cellStyle name="Calculation 2 5 2 2 10" xfId="14448" xr:uid="{AC7EC993-5F6F-4DC4-89BC-8867BDB986DE}"/>
    <cellStyle name="Calculation 2 5 2 2 10 2" xfId="36914" xr:uid="{2C12FC02-2CB8-4CE9-A60D-1615B1CCC2AE}"/>
    <cellStyle name="Calculation 2 5 2 2 10 3" xfId="24218" xr:uid="{C011BFED-6B2F-4875-AD49-82064A64F0D8}"/>
    <cellStyle name="Calculation 2 5 2 2 11" xfId="14964" xr:uid="{8F1CD6AB-A733-47E4-950F-83DFEF3E0F4D}"/>
    <cellStyle name="Calculation 2 5 2 2 11 2" xfId="37415" xr:uid="{6AB5E8B0-46EC-40E3-AC65-79A0CE7BC150}"/>
    <cellStyle name="Calculation 2 5 2 2 11 3" xfId="41745" xr:uid="{84B69B35-0826-4497-A85F-317CF3CF0DA9}"/>
    <cellStyle name="Calculation 2 5 2 2 12" xfId="14470" xr:uid="{3498643B-A971-41E7-870F-2C780858D9FE}"/>
    <cellStyle name="Calculation 2 5 2 2 12 2" xfId="49928" xr:uid="{8DFBB6AF-E172-4BDA-8719-72B3E72FB5E3}"/>
    <cellStyle name="Calculation 2 5 2 2 13" xfId="47465" xr:uid="{F27D759F-3E46-4E1E-916D-6349048BA62E}"/>
    <cellStyle name="Calculation 2 5 2 2 2" xfId="3845" xr:uid="{00000000-0005-0000-0000-000050000000}"/>
    <cellStyle name="Calculation 2 5 2 2 2 2" xfId="10749" xr:uid="{5D2EC4B4-B449-4BFA-B456-CBFBC86A5C2A}"/>
    <cellStyle name="Calculation 2 5 2 2 2 2 2" xfId="33235" xr:uid="{3DF724EA-9169-4C26-9A46-CEC8ACD54AFB}"/>
    <cellStyle name="Calculation 2 5 2 2 2 2 3" xfId="44115" xr:uid="{FF835F31-B9EC-4728-A91F-8FF84325000B}"/>
    <cellStyle name="Calculation 2 5 2 2 2 3" xfId="15905" xr:uid="{8C665AC4-4174-45AA-9B5E-FFBA9E5E2B85}"/>
    <cellStyle name="Calculation 2 5 2 2 2 3 2" xfId="38311" xr:uid="{5F463BFD-478D-4593-A426-58462380C20F}"/>
    <cellStyle name="Calculation 2 5 2 2 2 3 3" xfId="49108" xr:uid="{E1ABD5F1-221C-46A3-90CE-C7685618DC82}"/>
    <cellStyle name="Calculation 2 5 2 2 2 4" xfId="16154" xr:uid="{FE28CAF7-CD91-4333-A79E-E95A2689271A}"/>
    <cellStyle name="Calculation 2 5 2 2 2 4 2" xfId="44549" xr:uid="{C65384A3-46A5-4697-B40D-E1B75A7B93D2}"/>
    <cellStyle name="Calculation 2 5 2 2 2 5" xfId="50881" xr:uid="{0F766460-80A7-4D2B-8C26-0DCAD4E179D2}"/>
    <cellStyle name="Calculation 2 5 2 2 3" xfId="5261" xr:uid="{00000000-0005-0000-0000-000050000000}"/>
    <cellStyle name="Calculation 2 5 2 2 3 2" xfId="12153" xr:uid="{CD410F5C-4339-4FE8-8FB9-9CFFEEA2F585}"/>
    <cellStyle name="Calculation 2 5 2 2 3 2 2" xfId="34638" xr:uid="{3A3701D0-49CA-45A0-A5D4-FA707E58CBAB}"/>
    <cellStyle name="Calculation 2 5 2 2 3 2 3" xfId="28976" xr:uid="{3BF80D07-1B1B-4E70-99E5-EDB74F981A2E}"/>
    <cellStyle name="Calculation 2 5 2 2 3 3" xfId="17198" xr:uid="{98803BC2-CA24-40AE-AA78-8462724D19F0}"/>
    <cellStyle name="Calculation 2 5 2 2 3 3 2" xfId="39588" xr:uid="{9602E7CB-6E60-4C3B-AEAA-DA0C049A1428}"/>
    <cellStyle name="Calculation 2 5 2 2 3 3 3" xfId="43822" xr:uid="{5CFCC43D-9B9A-407B-929E-F1C425D0C87F}"/>
    <cellStyle name="Calculation 2 5 2 2 3 4" xfId="21622" xr:uid="{041D56A8-1736-485F-B2A4-8F15C330F29C}"/>
    <cellStyle name="Calculation 2 5 2 2 3 4 2" xfId="27023" xr:uid="{1DF424A7-B460-4666-9190-3341A1EED7F4}"/>
    <cellStyle name="Calculation 2 5 2 2 3 5" xfId="27570" xr:uid="{581E4997-0A90-4C96-A5E0-ACFBF97F174C}"/>
    <cellStyle name="Calculation 2 5 2 2 4" xfId="5673" xr:uid="{00000000-0005-0000-0000-000050000000}"/>
    <cellStyle name="Calculation 2 5 2 2 4 2" xfId="12557" xr:uid="{F2CBA3D9-5DC8-477F-B945-AD66A47A5D09}"/>
    <cellStyle name="Calculation 2 5 2 2 4 2 2" xfId="35042" xr:uid="{ABB6B006-7D05-412A-893F-5D0CDEE16ED0}"/>
    <cellStyle name="Calculation 2 5 2 2 4 2 3" xfId="25075" xr:uid="{441D6E32-EBAF-49F7-95D7-CF5A7F12ED80}"/>
    <cellStyle name="Calculation 2 5 2 2 4 3" xfId="17610" xr:uid="{32690EB1-F145-4731-914A-4B86BC57B6BF}"/>
    <cellStyle name="Calculation 2 5 2 2 4 3 2" xfId="40000" xr:uid="{A0DAEDF9-F653-4AAB-9327-3FF80831C996}"/>
    <cellStyle name="Calculation 2 5 2 2 4 3 3" xfId="45029" xr:uid="{DA6DB9AD-3BCD-4135-B8A2-D0913907A064}"/>
    <cellStyle name="Calculation 2 5 2 2 4 4" xfId="22034" xr:uid="{2D4B210D-E9E3-4117-9945-B94BAA18D392}"/>
    <cellStyle name="Calculation 2 5 2 2 4 4 2" xfId="52050" xr:uid="{DB07C343-7811-42B1-A7AB-64483B4699C6}"/>
    <cellStyle name="Calculation 2 5 2 2 4 5" xfId="45084" xr:uid="{8CD98973-CD83-4E05-86C1-B0B6067602B8}"/>
    <cellStyle name="Calculation 2 5 2 2 5" xfId="5623" xr:uid="{00000000-0005-0000-0000-000050000000}"/>
    <cellStyle name="Calculation 2 5 2 2 5 2" xfId="12507" xr:uid="{BE251328-651A-4251-BF87-103DE13FAEEA}"/>
    <cellStyle name="Calculation 2 5 2 2 5 2 2" xfId="34992" xr:uid="{F48B4993-135B-4418-AF6F-9E8FC35BBC07}"/>
    <cellStyle name="Calculation 2 5 2 2 5 2 3" xfId="29561" xr:uid="{917F10C2-86B5-4F83-B39B-A07657F98569}"/>
    <cellStyle name="Calculation 2 5 2 2 5 3" xfId="17560" xr:uid="{4B1091E4-F47A-4AAF-ABBA-5D28C95AC2BB}"/>
    <cellStyle name="Calculation 2 5 2 2 5 3 2" xfId="39950" xr:uid="{6530A58E-2D57-4563-8DF8-B90B302A1E6A}"/>
    <cellStyle name="Calculation 2 5 2 2 5 3 3" xfId="44322" xr:uid="{A0CCCC9C-0DBD-4B85-81F9-D5B208459CFD}"/>
    <cellStyle name="Calculation 2 5 2 2 5 4" xfId="21984" xr:uid="{1928BA6C-A7BA-4229-8B3F-0E60C2B86891}"/>
    <cellStyle name="Calculation 2 5 2 2 5 4 2" xfId="53930" xr:uid="{FACA8D9C-A65B-416A-9E88-5639722BC9F7}"/>
    <cellStyle name="Calculation 2 5 2 2 5 5" xfId="48011" xr:uid="{8F830E79-D73E-43EF-9BC1-750899083110}"/>
    <cellStyle name="Calculation 2 5 2 2 6" xfId="6412" xr:uid="{00000000-0005-0000-0000-000050000000}"/>
    <cellStyle name="Calculation 2 5 2 2 6 2" xfId="13284" xr:uid="{A9B5665B-1236-4EA8-BC54-C458BBC5A058}"/>
    <cellStyle name="Calculation 2 5 2 2 6 2 2" xfId="35768" xr:uid="{23E6649F-9040-4009-BBFF-F429D3A4E07B}"/>
    <cellStyle name="Calculation 2 5 2 2 6 2 3" xfId="44228" xr:uid="{A8DAC157-59FF-4CF9-A41E-CB6313FAFB87}"/>
    <cellStyle name="Calculation 2 5 2 2 6 3" xfId="18349" xr:uid="{66DB95CB-EAB4-4584-8AB9-CBE7A6B945CF}"/>
    <cellStyle name="Calculation 2 5 2 2 6 3 2" xfId="40739" xr:uid="{E5731FF8-705E-46A4-9669-B4ACD1DB9DB2}"/>
    <cellStyle name="Calculation 2 5 2 2 6 3 3" xfId="29883" xr:uid="{81B43B3B-815A-4211-A42B-88B50E138415}"/>
    <cellStyle name="Calculation 2 5 2 2 6 4" xfId="22773" xr:uid="{A2E2F8BB-DC53-4EAB-9579-CC097B674B8C}"/>
    <cellStyle name="Calculation 2 5 2 2 6 4 2" xfId="49346" xr:uid="{F5520031-CD60-4B75-BFA4-9B7916390216}"/>
    <cellStyle name="Calculation 2 5 2 2 6 5" xfId="46701" xr:uid="{ACF6FE77-82D3-4EBE-944F-4075FE607467}"/>
    <cellStyle name="Calculation 2 5 2 2 7" xfId="6313" xr:uid="{00000000-0005-0000-0000-000050000000}"/>
    <cellStyle name="Calculation 2 5 2 2 7 2" xfId="13185" xr:uid="{94604D59-AF19-41CD-92EA-CE899252F46A}"/>
    <cellStyle name="Calculation 2 5 2 2 7 2 2" xfId="35669" xr:uid="{69221D3F-F7BD-4251-BCE0-67FD6280A526}"/>
    <cellStyle name="Calculation 2 5 2 2 7 2 3" xfId="52410" xr:uid="{8B0D0292-2B32-472B-8518-0679BA470415}"/>
    <cellStyle name="Calculation 2 5 2 2 7 3" xfId="18250" xr:uid="{E678B88B-4946-4881-A2AC-11CF3A26FEC1}"/>
    <cellStyle name="Calculation 2 5 2 2 7 3 2" xfId="40640" xr:uid="{CCA9CC9E-10EB-4536-9770-F6DAB847515B}"/>
    <cellStyle name="Calculation 2 5 2 2 7 3 3" xfId="27595" xr:uid="{A6E0D468-B821-463F-B4C8-1BA4CBBCCF85}"/>
    <cellStyle name="Calculation 2 5 2 2 7 4" xfId="22674" xr:uid="{F63909DD-72B3-443D-9697-E411DFD7FB70}"/>
    <cellStyle name="Calculation 2 5 2 2 7 4 2" xfId="50116" xr:uid="{37D15248-EA93-45DF-901F-184F58F1E7C2}"/>
    <cellStyle name="Calculation 2 5 2 2 7 5" xfId="30791" xr:uid="{84908AB1-AA21-4202-B99E-DC344BB67A08}"/>
    <cellStyle name="Calculation 2 5 2 2 8" xfId="6929" xr:uid="{00000000-0005-0000-0000-000050000000}"/>
    <cellStyle name="Calculation 2 5 2 2 8 2" xfId="13767" xr:uid="{9EE04125-137B-43BF-9B8D-D6931A82712E}"/>
    <cellStyle name="Calculation 2 5 2 2 8 2 2" xfId="36251" xr:uid="{8F7FF9D0-AC1A-470D-93DB-0A752367E09C}"/>
    <cellStyle name="Calculation 2 5 2 2 8 2 3" xfId="45553" xr:uid="{9A9DF8C7-0BA5-4E18-92B9-AD26094D2874}"/>
    <cellStyle name="Calculation 2 5 2 2 8 3" xfId="18866" xr:uid="{59075C29-CE8A-424D-9B54-FB9933B67544}"/>
    <cellStyle name="Calculation 2 5 2 2 8 3 2" xfId="41256" xr:uid="{63B401E9-86CB-4CB8-8570-DDFD4831B074}"/>
    <cellStyle name="Calculation 2 5 2 2 8 3 3" xfId="30842" xr:uid="{D065F146-3A80-442B-8982-D986844B50C0}"/>
    <cellStyle name="Calculation 2 5 2 2 8 4" xfId="23290" xr:uid="{C335AE06-D485-441D-A6F3-2A303C14DDAB}"/>
    <cellStyle name="Calculation 2 5 2 2 8 4 2" xfId="48535" xr:uid="{AB3AC04F-61D5-48DE-84E6-0210E6E3AFA3}"/>
    <cellStyle name="Calculation 2 5 2 2 8 5" xfId="52169" xr:uid="{9A30A544-B498-4FEF-95CF-12036AF25879}"/>
    <cellStyle name="Calculation 2 5 2 2 9" xfId="5832" xr:uid="{00000000-0005-0000-0000-000050000000}"/>
    <cellStyle name="Calculation 2 5 2 2 9 2" xfId="17769" xr:uid="{17C428EE-CED8-4390-895B-B935AC7D29C3}"/>
    <cellStyle name="Calculation 2 5 2 2 9 2 2" xfId="40159" xr:uid="{F452B9FA-AFB8-42AD-B869-DA5B1205CAC0}"/>
    <cellStyle name="Calculation 2 5 2 2 9 2 3" xfId="44807" xr:uid="{F9DDAF24-4D28-4AB9-A363-E1C7606CA04D}"/>
    <cellStyle name="Calculation 2 5 2 2 9 3" xfId="22193" xr:uid="{8A5E9516-CB70-4C1E-82CC-386F2C999F8F}"/>
    <cellStyle name="Calculation 2 5 2 2 9 3 2" xfId="52224" xr:uid="{965E38F2-EF9D-4621-AD30-BCDBAEB5CEBF}"/>
    <cellStyle name="Calculation 2 5 2 2 9 4" xfId="43984" xr:uid="{4D840B80-7310-41D1-B9EE-1792025CCE2F}"/>
    <cellStyle name="Calculation 2 5 2 3" xfId="2758" xr:uid="{00000000-0005-0000-0000-00004F000000}"/>
    <cellStyle name="Calculation 2 5 2 3 2" xfId="9667" xr:uid="{023D96F7-319F-4054-9C3B-CB28589D43F2}"/>
    <cellStyle name="Calculation 2 5 2 3 2 2" xfId="32215" xr:uid="{430166D5-60FB-4EE4-9B09-7242D46F8257}"/>
    <cellStyle name="Calculation 2 5 2 3 2 3" xfId="50205" xr:uid="{2C49E34D-1624-4AE6-AB6F-FD395888CA67}"/>
    <cellStyle name="Calculation 2 5 2 3 3" xfId="15185" xr:uid="{CBD90ABB-F32E-48E2-9CA0-B1D66237BBB3}"/>
    <cellStyle name="Calculation 2 5 2 3 3 2" xfId="37625" xr:uid="{6C04D967-2EA1-450F-BA78-3F129F3851BF}"/>
    <cellStyle name="Calculation 2 5 2 3 3 3" xfId="51356" xr:uid="{19FBB566-C7B2-4594-A01F-FF1D989C2722}"/>
    <cellStyle name="Calculation 2 5 2 3 4" xfId="20709" xr:uid="{9F861CB2-2A15-4C65-950F-E3361CC8EF28}"/>
    <cellStyle name="Calculation 2 5 2 3 4 2" xfId="26041" xr:uid="{A93EFB92-AB32-4E15-8E2F-B26BC47FB3E6}"/>
    <cellStyle name="Calculation 2 5 2 3 5" xfId="47152" xr:uid="{5597BD86-4ACD-44E9-ADDE-BC1EDD0D088D}"/>
    <cellStyle name="Calculation 2 5 2 4" xfId="4552" xr:uid="{00000000-0005-0000-0000-00004F000000}"/>
    <cellStyle name="Calculation 2 5 2 4 2" xfId="11454" xr:uid="{326BF6EE-4CFE-463A-B356-3D5D9FF90C1F}"/>
    <cellStyle name="Calculation 2 5 2 4 2 2" xfId="33940" xr:uid="{B24A869F-C80C-4595-A9D3-F817355FF3CF}"/>
    <cellStyle name="Calculation 2 5 2 4 2 3" xfId="45333" xr:uid="{3A3F0F70-53BA-4623-8D91-B5FACB53E7F3}"/>
    <cellStyle name="Calculation 2 5 2 4 3" xfId="16489" xr:uid="{4135490B-7ED1-48C2-9B09-168C67038EF6}"/>
    <cellStyle name="Calculation 2 5 2 4 3 2" xfId="38879" xr:uid="{2CD137F1-B44D-4495-AE26-4168270D6454}"/>
    <cellStyle name="Calculation 2 5 2 4 3 3" xfId="45737" xr:uid="{D0016959-9720-48F5-AF96-478E7DEA0282}"/>
    <cellStyle name="Calculation 2 5 2 4 4" xfId="19734" xr:uid="{A49C73C0-669F-4C75-A5BC-57F38587D803}"/>
    <cellStyle name="Calculation 2 5 2 4 4 2" xfId="26935" xr:uid="{2238A628-6B06-49CE-A002-F3E46E3AAD47}"/>
    <cellStyle name="Calculation 2 5 2 4 5" xfId="44647" xr:uid="{62D5C726-ED34-4437-9896-6C89ED168621}"/>
    <cellStyle name="Calculation 2 5 2 5" xfId="4752" xr:uid="{00000000-0005-0000-0000-00004F000000}"/>
    <cellStyle name="Calculation 2 5 2 5 2" xfId="11650" xr:uid="{F6336DDC-B34E-438C-A56E-6479989FC3BF}"/>
    <cellStyle name="Calculation 2 5 2 5 2 2" xfId="34136" xr:uid="{3589AC57-A3B5-4959-8249-389CB54BE19F}"/>
    <cellStyle name="Calculation 2 5 2 5 2 3" xfId="37563" xr:uid="{DB10C149-31E7-4303-845A-9383DBE6FCC9}"/>
    <cellStyle name="Calculation 2 5 2 5 3" xfId="16689" xr:uid="{532C3E03-DE70-4548-A644-FEABC03C1646}"/>
    <cellStyle name="Calculation 2 5 2 5 3 2" xfId="39079" xr:uid="{9C05FC4D-625A-4FAA-8D14-B84AAA652867}"/>
    <cellStyle name="Calculation 2 5 2 5 3 3" xfId="42797" xr:uid="{AB661E7B-87B1-4072-8AE0-2F3A5EDEA856}"/>
    <cellStyle name="Calculation 2 5 2 5 4" xfId="20970" xr:uid="{4FB5E5A5-B12A-4DFE-96A9-EDFD6F6F1429}"/>
    <cellStyle name="Calculation 2 5 2 5 4 2" xfId="44429" xr:uid="{568DCB39-DF4D-4E37-BAB6-0E201FF45EC2}"/>
    <cellStyle name="Calculation 2 5 2 5 5" xfId="44781" xr:uid="{5314F7CB-888B-4E5A-8E0F-CD102EDAAE10}"/>
    <cellStyle name="Calculation 2 5 2 6" xfId="5096" xr:uid="{00000000-0005-0000-0000-00004F000000}"/>
    <cellStyle name="Calculation 2 5 2 6 2" xfId="11989" xr:uid="{53B128D4-D184-4F15-BF12-E9E00F2E6BB6}"/>
    <cellStyle name="Calculation 2 5 2 6 2 2" xfId="34475" xr:uid="{2AB33AB6-7612-4AA9-8A56-5B3611C78E05}"/>
    <cellStyle name="Calculation 2 5 2 6 2 3" xfId="28119" xr:uid="{BD7396EF-7F22-4EF2-9B25-5DE29B3DD3BB}"/>
    <cellStyle name="Calculation 2 5 2 6 3" xfId="17033" xr:uid="{85119D94-9E04-4E8D-BFF6-B63574D2E528}"/>
    <cellStyle name="Calculation 2 5 2 6 3 2" xfId="39423" xr:uid="{89FF167C-8B70-4B3E-A890-E70C9CAAAF1B}"/>
    <cellStyle name="Calculation 2 5 2 6 3 3" xfId="25791" xr:uid="{A4D6AE96-FC02-4910-8327-7DD106F8ECAF}"/>
    <cellStyle name="Calculation 2 5 2 6 4" xfId="21457" xr:uid="{3194E94D-231C-4B18-95ED-1CC48F74C59D}"/>
    <cellStyle name="Calculation 2 5 2 6 4 2" xfId="52664" xr:uid="{0EACD0D9-16D7-40F5-BB00-7D964897D8C7}"/>
    <cellStyle name="Calculation 2 5 2 6 5" xfId="46001" xr:uid="{EEF30EF5-69A2-48C9-8CC2-9CC7767B8C68}"/>
    <cellStyle name="Calculation 2 5 2 7" xfId="3022" xr:uid="{00000000-0005-0000-0000-00004F000000}"/>
    <cellStyle name="Calculation 2 5 2 7 2" xfId="9931" xr:uid="{9355DD75-FCE5-4932-914E-94095BEA73AC}"/>
    <cellStyle name="Calculation 2 5 2 7 2 2" xfId="32451" xr:uid="{0A3245ED-D7EC-4A7D-A38A-559AC0F42257}"/>
    <cellStyle name="Calculation 2 5 2 7 2 3" xfId="47217" xr:uid="{04DE4370-383C-4CB3-A11A-99107428A8B8}"/>
    <cellStyle name="Calculation 2 5 2 7 3" xfId="15361" xr:uid="{87FA5069-9DFC-47FD-A8A9-DE5631095CBE}"/>
    <cellStyle name="Calculation 2 5 2 7 3 2" xfId="37792" xr:uid="{6F139B4B-683F-48BC-B929-FCA11F930E9D}"/>
    <cellStyle name="Calculation 2 5 2 7 3 3" xfId="53480" xr:uid="{BE841047-7AA4-4E6F-8552-0E9B7316D9C6}"/>
    <cellStyle name="Calculation 2 5 2 7 4" xfId="16245" xr:uid="{32FC9353-969A-496A-BC1B-8479D81AB20B}"/>
    <cellStyle name="Calculation 2 5 2 7 4 2" xfId="30951" xr:uid="{1A8420DD-3A2C-436E-933E-D32D2C89AD02}"/>
    <cellStyle name="Calculation 2 5 2 7 5" xfId="29433" xr:uid="{20BA93AB-D918-4415-8D27-BE3245E7315B}"/>
    <cellStyle name="Calculation 2 5 2 8" xfId="7408" xr:uid="{0D147755-C21A-430D-B02E-C78D5AA9F326}"/>
    <cellStyle name="Calculation 2 5 2 8 2" xfId="30089" xr:uid="{533A4087-3013-4DE0-9E29-BF969723EE61}"/>
    <cellStyle name="Calculation 2 5 2 8 3" xfId="47647" xr:uid="{2185F5D1-3094-429B-8DE6-5747EED02F8F}"/>
    <cellStyle name="Calculation 2 5 2 9" xfId="19979" xr:uid="{B63399FF-29F5-47ED-8A57-48141FA980B3}"/>
    <cellStyle name="Calculation 2 5 2 9 2" xfId="42305" xr:uid="{CC3D8864-1FA2-46EF-95EE-589116751C0C}"/>
    <cellStyle name="Calculation 2 5 2 9 3" xfId="30592" xr:uid="{BDB80ACE-7784-4F32-A38F-CA4E33BDA54D}"/>
    <cellStyle name="Calculation 2 5 3" xfId="860" xr:uid="{00000000-0005-0000-0000-000051000000}"/>
    <cellStyle name="Calculation 2 5 3 10" xfId="8806" xr:uid="{EF54D3DC-5ABF-4C95-9BA4-A7C3286CF683}"/>
    <cellStyle name="Calculation 2 5 3 10 2" xfId="47872" xr:uid="{4DF0AAE2-B964-493A-B50F-0CF7961F056C}"/>
    <cellStyle name="Calculation 2 5 3 11" xfId="44638" xr:uid="{EA97CC8B-0141-4DF0-96D5-71DAD6DD6E21}"/>
    <cellStyle name="Calculation 2 5 3 2" xfId="1845" xr:uid="{00000000-0005-0000-0000-000052000000}"/>
    <cellStyle name="Calculation 2 5 3 2 10" xfId="14529" xr:uid="{D55B2313-59D2-4FE4-9086-421976ACF505}"/>
    <cellStyle name="Calculation 2 5 3 2 10 2" xfId="36990" xr:uid="{17D48946-A4EB-4F5B-B49D-DAF2A1CBC3D1}"/>
    <cellStyle name="Calculation 2 5 3 2 10 3" xfId="49875" xr:uid="{7029CC3A-A84F-4302-AF1C-4A88686EFADA}"/>
    <cellStyle name="Calculation 2 5 3 2 11" xfId="14693" xr:uid="{11BE1D7F-B16B-43A3-8942-F94789AD02EB}"/>
    <cellStyle name="Calculation 2 5 3 2 11 2" xfId="37152" xr:uid="{9724683B-B0ED-4A59-8CA5-ED59F2727C11}"/>
    <cellStyle name="Calculation 2 5 3 2 11 3" xfId="53693" xr:uid="{CBAE9AF2-0284-4C8B-BAA5-0FF982247B89}"/>
    <cellStyle name="Calculation 2 5 3 2 12" xfId="14269" xr:uid="{AAD37899-BB11-4088-8796-D548CED7A543}"/>
    <cellStyle name="Calculation 2 5 3 2 12 2" xfId="54130" xr:uid="{43654732-0F5B-4779-B2FA-57B87FDFB461}"/>
    <cellStyle name="Calculation 2 5 3 2 13" xfId="48639" xr:uid="{E9EF3487-A079-43C2-9CCD-92F8E2E12F6E}"/>
    <cellStyle name="Calculation 2 5 3 2 2" xfId="3943" xr:uid="{00000000-0005-0000-0000-000052000000}"/>
    <cellStyle name="Calculation 2 5 3 2 2 2" xfId="10847" xr:uid="{23F62AC9-B038-4E03-B7D1-D79029EB4F22}"/>
    <cellStyle name="Calculation 2 5 3 2 2 2 2" xfId="33333" xr:uid="{A8027152-2CAA-4AFE-AD57-7874941FD442}"/>
    <cellStyle name="Calculation 2 5 3 2 2 2 3" xfId="26250" xr:uid="{EDC53ADE-B454-4AEC-9223-4CA092BB392D}"/>
    <cellStyle name="Calculation 2 5 3 2 2 3" xfId="15985" xr:uid="{6BE3E461-FF1F-4EFD-9A4D-33F648DF32D0}"/>
    <cellStyle name="Calculation 2 5 3 2 2 3 2" xfId="38388" xr:uid="{8E707982-8E2F-4C7A-BB2C-6F32739604DE}"/>
    <cellStyle name="Calculation 2 5 3 2 2 3 3" xfId="46809" xr:uid="{565A7936-6F60-4D71-B0DA-649A2A0428F2}"/>
    <cellStyle name="Calculation 2 5 3 2 2 4" xfId="20469" xr:uid="{60A966CE-FB06-4ABC-AB5E-C42E4C95011A}"/>
    <cellStyle name="Calculation 2 5 3 2 2 4 2" xfId="29138" xr:uid="{41B3C196-A946-4A76-8919-0404D4B0741F}"/>
    <cellStyle name="Calculation 2 5 3 2 2 5" xfId="45503" xr:uid="{5401606A-8FA8-4274-A88B-4BDC6BC6FBA9}"/>
    <cellStyle name="Calculation 2 5 3 2 3" xfId="5338" xr:uid="{00000000-0005-0000-0000-000052000000}"/>
    <cellStyle name="Calculation 2 5 3 2 3 2" xfId="12230" xr:uid="{CA8F5B68-067F-4A1F-B02A-F8889130F894}"/>
    <cellStyle name="Calculation 2 5 3 2 3 2 2" xfId="34715" xr:uid="{CCA5DD83-E1CF-4BCE-BC20-C7470BD066C0}"/>
    <cellStyle name="Calculation 2 5 3 2 3 2 3" xfId="41655" xr:uid="{99F6F207-1B2A-4500-9060-DA8E7C9CC6E1}"/>
    <cellStyle name="Calculation 2 5 3 2 3 3" xfId="17275" xr:uid="{CE766262-7A76-493B-8082-3872BB49E120}"/>
    <cellStyle name="Calculation 2 5 3 2 3 3 2" xfId="39665" xr:uid="{87BCD8C5-C9AE-4FED-8A05-35114569512F}"/>
    <cellStyle name="Calculation 2 5 3 2 3 3 3" xfId="44985" xr:uid="{F5CFC494-EDAB-49DA-8800-3D8BFBC147AE}"/>
    <cellStyle name="Calculation 2 5 3 2 3 4" xfId="21699" xr:uid="{8FFCB89F-A57E-4EC8-88B5-8E2AB13AEBA2}"/>
    <cellStyle name="Calculation 2 5 3 2 3 4 2" xfId="53510" xr:uid="{4277227C-458D-4202-AC58-8AE6A574B84C}"/>
    <cellStyle name="Calculation 2 5 3 2 3 5" xfId="29753" xr:uid="{3270F9B9-AD6B-4E15-BE6C-CE084CA846F4}"/>
    <cellStyle name="Calculation 2 5 3 2 4" xfId="5748" xr:uid="{00000000-0005-0000-0000-000052000000}"/>
    <cellStyle name="Calculation 2 5 3 2 4 2" xfId="12632" xr:uid="{D0843171-6C80-4718-B1A4-B31F66257521}"/>
    <cellStyle name="Calculation 2 5 3 2 4 2 2" xfId="35117" xr:uid="{3F15612F-30F3-4F3F-B054-EC84A945AB78}"/>
    <cellStyle name="Calculation 2 5 3 2 4 2 3" xfId="36866" xr:uid="{8AB67FCC-8077-404C-8C3E-29A448A4970D}"/>
    <cellStyle name="Calculation 2 5 3 2 4 3" xfId="17685" xr:uid="{1D87D66B-482E-4A35-99AC-0E318F89E87B}"/>
    <cellStyle name="Calculation 2 5 3 2 4 3 2" xfId="40075" xr:uid="{0BC9AF2C-945A-4734-AF2C-217484A86D75}"/>
    <cellStyle name="Calculation 2 5 3 2 4 3 3" xfId="32159" xr:uid="{466E9B09-3B3A-4C8B-9680-0CBE12E47798}"/>
    <cellStyle name="Calculation 2 5 3 2 4 4" xfId="22109" xr:uid="{01D45560-2FF8-4A1C-9E7E-DF56D5B6586E}"/>
    <cellStyle name="Calculation 2 5 3 2 4 4 2" xfId="29828" xr:uid="{95A47EF0-DC75-49FA-81AC-10A43E034E9D}"/>
    <cellStyle name="Calculation 2 5 3 2 4 5" xfId="50687" xr:uid="{3DEE8650-6A53-4BE6-9C87-175D64C1B176}"/>
    <cellStyle name="Calculation 2 5 3 2 5" xfId="6102" xr:uid="{00000000-0005-0000-0000-000052000000}"/>
    <cellStyle name="Calculation 2 5 3 2 5 2" xfId="12980" xr:uid="{1096BBEA-CB00-4D76-8F10-D4769DAFE910}"/>
    <cellStyle name="Calculation 2 5 3 2 5 2 2" xfId="35464" xr:uid="{38603B2F-9E61-43C9-9A25-26F0D4CC1E1D}"/>
    <cellStyle name="Calculation 2 5 3 2 5 2 3" xfId="47411" xr:uid="{A8173A0F-CF9D-47D3-9D60-8B0D99C06F51}"/>
    <cellStyle name="Calculation 2 5 3 2 5 3" xfId="18039" xr:uid="{C824807B-1E95-4577-9808-86F2F514771C}"/>
    <cellStyle name="Calculation 2 5 3 2 5 3 2" xfId="40429" xr:uid="{849C8E57-98C0-4973-BB95-6D3B66168531}"/>
    <cellStyle name="Calculation 2 5 3 2 5 3 3" xfId="45088" xr:uid="{4F81F34D-93A9-40FB-8B10-C6571C6C4238}"/>
    <cellStyle name="Calculation 2 5 3 2 5 4" xfId="22463" xr:uid="{FE8DE342-D067-4351-B109-6F8175A0A79F}"/>
    <cellStyle name="Calculation 2 5 3 2 5 4 2" xfId="43314" xr:uid="{8870A13D-4143-4024-89B0-1F76446E0DA0}"/>
    <cellStyle name="Calculation 2 5 3 2 5 5" xfId="52294" xr:uid="{1C227CBE-D371-4E7E-8816-193FF1521736}"/>
    <cellStyle name="Calculation 2 5 3 2 6" xfId="6477" xr:uid="{00000000-0005-0000-0000-000052000000}"/>
    <cellStyle name="Calculation 2 5 3 2 6 2" xfId="13347" xr:uid="{EDE9B834-7ABB-4400-BB45-874835523E15}"/>
    <cellStyle name="Calculation 2 5 3 2 6 2 2" xfId="35831" xr:uid="{931DE9C6-7B5A-4B51-8E34-CB3C990B74D4}"/>
    <cellStyle name="Calculation 2 5 3 2 6 2 3" xfId="29877" xr:uid="{8B7F471A-E511-44D3-9865-E2E3C4E63516}"/>
    <cellStyle name="Calculation 2 5 3 2 6 3" xfId="18414" xr:uid="{22F3C3C3-6587-4A1F-AA6B-48013ED1F157}"/>
    <cellStyle name="Calculation 2 5 3 2 6 3 2" xfId="40804" xr:uid="{9F65224A-0AA3-4E9F-A0C6-E94CDA778113}"/>
    <cellStyle name="Calculation 2 5 3 2 6 3 3" xfId="28473" xr:uid="{3014CE8A-A91A-4C09-A0B0-A7948C5394CE}"/>
    <cellStyle name="Calculation 2 5 3 2 6 4" xfId="22838" xr:uid="{26E80077-0780-4886-9723-76EC33DE4A72}"/>
    <cellStyle name="Calculation 2 5 3 2 6 4 2" xfId="50563" xr:uid="{9736BC28-8630-4D26-B63B-D07860FD1DDD}"/>
    <cellStyle name="Calculation 2 5 3 2 6 5" xfId="48764" xr:uid="{5A8EDEC2-7D64-4687-8191-B77C164BEBAC}"/>
    <cellStyle name="Calculation 2 5 3 2 7" xfId="6853" xr:uid="{00000000-0005-0000-0000-000052000000}"/>
    <cellStyle name="Calculation 2 5 3 2 7 2" xfId="13695" xr:uid="{16D8EFF4-7C8B-4C74-B500-D7E1E0FF3EB3}"/>
    <cellStyle name="Calculation 2 5 3 2 7 2 2" xfId="36179" xr:uid="{78CC1766-1874-4C74-ACC2-8751AD479234}"/>
    <cellStyle name="Calculation 2 5 3 2 7 2 3" xfId="50477" xr:uid="{D9EBF167-DDEF-45D8-BF6E-B9BDCEEDF5B5}"/>
    <cellStyle name="Calculation 2 5 3 2 7 3" xfId="18790" xr:uid="{ED625891-D909-4D64-8B42-797A163DAA13}"/>
    <cellStyle name="Calculation 2 5 3 2 7 3 2" xfId="41180" xr:uid="{02B01BC5-6721-4DE0-8CE8-A3A3A5547C8E}"/>
    <cellStyle name="Calculation 2 5 3 2 7 3 3" xfId="29041" xr:uid="{8ACE7798-F6F2-4F96-B5C2-014F7AFC92D2}"/>
    <cellStyle name="Calculation 2 5 3 2 7 4" xfId="23214" xr:uid="{0D470A96-9633-4EC4-9FE8-2BCEF1BDA051}"/>
    <cellStyle name="Calculation 2 5 3 2 7 4 2" xfId="47928" xr:uid="{04E66B3F-E3FB-4206-95F1-B708779F7972}"/>
    <cellStyle name="Calculation 2 5 3 2 7 5" xfId="48232" xr:uid="{5B9AD65C-31AA-464F-839C-14535A80C8B2}"/>
    <cellStyle name="Calculation 2 5 3 2 8" xfId="6977" xr:uid="{00000000-0005-0000-0000-000052000000}"/>
    <cellStyle name="Calculation 2 5 3 2 8 2" xfId="13814" xr:uid="{DAA0CB6E-DB90-4F64-89FA-FE555164F260}"/>
    <cellStyle name="Calculation 2 5 3 2 8 2 2" xfId="36298" xr:uid="{9A089D33-70EC-436A-BD18-1003080F5F5C}"/>
    <cellStyle name="Calculation 2 5 3 2 8 2 3" xfId="45993" xr:uid="{9AFC2903-4A9F-40BD-AF11-FFDFA9BB1907}"/>
    <cellStyle name="Calculation 2 5 3 2 8 3" xfId="18914" xr:uid="{4C9D9FBA-6E11-41BC-B08C-2BCDFA47BFF3}"/>
    <cellStyle name="Calculation 2 5 3 2 8 3 2" xfId="41304" xr:uid="{6DC7D351-2B7F-4045-B147-977EE41E8708}"/>
    <cellStyle name="Calculation 2 5 3 2 8 3 3" xfId="41652" xr:uid="{28BA18D4-2BCD-45BC-AC94-B6BB62BA3DB5}"/>
    <cellStyle name="Calculation 2 5 3 2 8 4" xfId="23338" xr:uid="{7C5A3656-A17A-4963-8C9F-355E0194820F}"/>
    <cellStyle name="Calculation 2 5 3 2 8 4 2" xfId="49609" xr:uid="{6BBAC3B2-825C-48DD-BAD0-1001B43B06E3}"/>
    <cellStyle name="Calculation 2 5 3 2 8 5" xfId="50481" xr:uid="{09433992-5EC7-4EA0-9C08-FADCFB5C27A9}"/>
    <cellStyle name="Calculation 2 5 3 2 9" xfId="2577" xr:uid="{00000000-0005-0000-0000-000052000000}"/>
    <cellStyle name="Calculation 2 5 3 2 9 2" xfId="15055" xr:uid="{98C8C3B8-C94C-436A-8CA1-15350414A083}"/>
    <cellStyle name="Calculation 2 5 3 2 9 2 2" xfId="37500" xr:uid="{9C5A3D4E-E11D-466C-A080-142AF97BFE70}"/>
    <cellStyle name="Calculation 2 5 3 2 9 2 3" xfId="53218" xr:uid="{F87A2362-D038-4905-A4D1-049D3C2F6172}"/>
    <cellStyle name="Calculation 2 5 3 2 9 3" xfId="20280" xr:uid="{34A30B00-18BD-4B7A-ABF4-111F2B0867D4}"/>
    <cellStyle name="Calculation 2 5 3 2 9 3 2" xfId="49754" xr:uid="{02F35E95-4597-4F1E-86B2-1053E481CE15}"/>
    <cellStyle name="Calculation 2 5 3 2 9 4" xfId="28708" xr:uid="{058517FC-2B73-4BA1-8B98-CAD035689587}"/>
    <cellStyle name="Calculation 2 5 3 3" xfId="2991" xr:uid="{00000000-0005-0000-0000-000051000000}"/>
    <cellStyle name="Calculation 2 5 3 3 2" xfId="9900" xr:uid="{FF812EC5-392C-472F-A19E-0131E088C0CD}"/>
    <cellStyle name="Calculation 2 5 3 3 2 2" xfId="32423" xr:uid="{DC461275-E5FD-4C70-ABDF-C873012B9170}"/>
    <cellStyle name="Calculation 2 5 3 3 2 3" xfId="48195" xr:uid="{75F9187E-7F5A-42D5-B558-438FF38EB07D}"/>
    <cellStyle name="Calculation 2 5 3 3 3" xfId="15338" xr:uid="{2BC30B92-2F23-4619-9F88-E667DC4BC1F0}"/>
    <cellStyle name="Calculation 2 5 3 3 3 2" xfId="37770" xr:uid="{DBF557AD-B925-4389-9614-374225272021}"/>
    <cellStyle name="Calculation 2 5 3 3 3 3" xfId="52617" xr:uid="{B1657FE7-87B1-4A12-A88D-36D2DD1FAEAD}"/>
    <cellStyle name="Calculation 2 5 3 3 4" xfId="15252" xr:uid="{BA749B82-7051-42B9-8A5D-72C52B1E841F}"/>
    <cellStyle name="Calculation 2 5 3 3 4 2" xfId="25883" xr:uid="{DED77FA7-48EE-4FB9-9198-4E02770E225C}"/>
    <cellStyle name="Calculation 2 5 3 3 5" xfId="23729" xr:uid="{8B34D515-7ABC-4E79-A528-797CD9DA11EF}"/>
    <cellStyle name="Calculation 2 5 3 4" xfId="4704" xr:uid="{00000000-0005-0000-0000-000051000000}"/>
    <cellStyle name="Calculation 2 5 3 4 2" xfId="11602" xr:uid="{68B9C10C-5B66-41FA-8DD2-1D64A331210E}"/>
    <cellStyle name="Calculation 2 5 3 4 2 2" xfId="34088" xr:uid="{8C6D2A04-AC43-451B-8019-DD4942E14386}"/>
    <cellStyle name="Calculation 2 5 3 4 2 3" xfId="29378" xr:uid="{FB144287-731B-405F-81FC-B04F3B3C09A6}"/>
    <cellStyle name="Calculation 2 5 3 4 3" xfId="16641" xr:uid="{5B390D7E-E923-4584-B6BD-6ECD1165D6C4}"/>
    <cellStyle name="Calculation 2 5 3 4 3 2" xfId="39031" xr:uid="{3270183E-A408-4970-848D-B410C26594D3}"/>
    <cellStyle name="Calculation 2 5 3 4 3 3" xfId="45650" xr:uid="{F3FD8E66-3528-43A7-9484-B9D58CC1FA66}"/>
    <cellStyle name="Calculation 2 5 3 4 4" xfId="8959" xr:uid="{81D6B1CA-1CE0-4AEE-BE6C-41256BECE967}"/>
    <cellStyle name="Calculation 2 5 3 4 4 2" xfId="52529" xr:uid="{F8D6C1CB-F21D-4427-BD63-C69B227E0ABF}"/>
    <cellStyle name="Calculation 2 5 3 4 5" xfId="51384" xr:uid="{5E973888-5C8D-4F4A-8C93-F3E7EE8A2912}"/>
    <cellStyle name="Calculation 2 5 3 5" xfId="5134" xr:uid="{00000000-0005-0000-0000-000051000000}"/>
    <cellStyle name="Calculation 2 5 3 5 2" xfId="12027" xr:uid="{B60AE94B-ED82-4A5F-837C-64A68B924DCE}"/>
    <cellStyle name="Calculation 2 5 3 5 2 2" xfId="34513" xr:uid="{5A2A7D83-EA0C-47E4-88B7-A4FC57EEB9A7}"/>
    <cellStyle name="Calculation 2 5 3 5 2 3" xfId="28441" xr:uid="{51689D95-D744-4B0C-86D5-D733CD41F242}"/>
    <cellStyle name="Calculation 2 5 3 5 3" xfId="17071" xr:uid="{D3E5D2AE-123D-47DF-B54B-BEF910726212}"/>
    <cellStyle name="Calculation 2 5 3 5 3 2" xfId="39461" xr:uid="{282240EE-11F7-46B1-9900-2062762189FA}"/>
    <cellStyle name="Calculation 2 5 3 5 3 3" xfId="38403" xr:uid="{B5003466-8887-4DF2-807A-B4BF4D44B606}"/>
    <cellStyle name="Calculation 2 5 3 5 4" xfId="21495" xr:uid="{85C38B45-9C2C-4830-90B5-14BCCE47E006}"/>
    <cellStyle name="Calculation 2 5 3 5 4 2" xfId="44521" xr:uid="{D1D0617C-2415-4BFD-A0C6-E9C868EAFB6D}"/>
    <cellStyle name="Calculation 2 5 3 5 5" xfId="47412" xr:uid="{680B35CC-B83E-4F18-8DF4-450E098F13C4}"/>
    <cellStyle name="Calculation 2 5 3 6" xfId="4444" xr:uid="{00000000-0005-0000-0000-000051000000}"/>
    <cellStyle name="Calculation 2 5 3 6 2" xfId="11346" xr:uid="{D0ABF147-C605-4976-89E4-F8D3A310A4D1}"/>
    <cellStyle name="Calculation 2 5 3 6 2 2" xfId="33832" xr:uid="{51A7446D-86CA-4580-A8C0-8934DC1582BD}"/>
    <cellStyle name="Calculation 2 5 3 6 2 3" xfId="27663" xr:uid="{8D55C15F-71C2-41ED-A99D-7F31C9DBDFEE}"/>
    <cellStyle name="Calculation 2 5 3 6 3" xfId="16381" xr:uid="{9F725410-20B1-4B72-9C02-16BEDB8B9580}"/>
    <cellStyle name="Calculation 2 5 3 6 3 2" xfId="38771" xr:uid="{2D05760F-9B0F-4935-A9A2-DCEA5AE96D84}"/>
    <cellStyle name="Calculation 2 5 3 6 3 3" xfId="24165" xr:uid="{67007897-E121-4CFC-8FE6-290D32EBAA0D}"/>
    <cellStyle name="Calculation 2 5 3 6 4" xfId="20852" xr:uid="{63B1695A-3FAA-41AA-A10E-F6D5F93FC620}"/>
    <cellStyle name="Calculation 2 5 3 6 4 2" xfId="48073" xr:uid="{404AA9F5-C3C6-4CBD-8A45-C80D4DF6E4D2}"/>
    <cellStyle name="Calculation 2 5 3 6 5" xfId="31918" xr:uid="{107CC336-42B1-4558-A2CD-ECEE272DA130}"/>
    <cellStyle name="Calculation 2 5 3 7" xfId="6832" xr:uid="{00000000-0005-0000-0000-000051000000}"/>
    <cellStyle name="Calculation 2 5 3 7 2" xfId="13677" xr:uid="{EEFDADD5-8600-46D7-902F-C8E844580462}"/>
    <cellStyle name="Calculation 2 5 3 7 2 2" xfId="36161" xr:uid="{8564F158-C267-4B39-8CAF-23CA092FD47E}"/>
    <cellStyle name="Calculation 2 5 3 7 2 3" xfId="43663" xr:uid="{473C4B8B-D211-41BA-A007-48A54263A2B8}"/>
    <cellStyle name="Calculation 2 5 3 7 3" xfId="18769" xr:uid="{849A6951-64DC-4BC4-A35E-EE56865C2742}"/>
    <cellStyle name="Calculation 2 5 3 7 3 2" xfId="41159" xr:uid="{3A0EFD74-3A7D-4BCC-A6A8-1792E79FA5AF}"/>
    <cellStyle name="Calculation 2 5 3 7 3 3" xfId="28113" xr:uid="{6A13DE84-F016-464B-B386-C00248FACC02}"/>
    <cellStyle name="Calculation 2 5 3 7 4" xfId="23193" xr:uid="{A5D4A52C-CCE0-4A59-8112-22599F23C18D}"/>
    <cellStyle name="Calculation 2 5 3 7 4 2" xfId="47233" xr:uid="{1DB12F32-C22F-45C5-B817-9774561F485A}"/>
    <cellStyle name="Calculation 2 5 3 7 5" xfId="51245" xr:uid="{8E543D4A-75F5-4EF5-8721-C74A83958336}"/>
    <cellStyle name="Calculation 2 5 3 8" xfId="7359" xr:uid="{20E75D5B-5ACE-4CB8-943F-52F82BFB32EF}"/>
    <cellStyle name="Calculation 2 5 3 8 2" xfId="30044" xr:uid="{AF95BCF9-7923-4121-8D00-C1D8DA7730D2}"/>
    <cellStyle name="Calculation 2 5 3 8 3" xfId="24140" xr:uid="{E23D3FF2-D0E2-435D-B3B3-59A5506FD572}"/>
    <cellStyle name="Calculation 2 5 3 9" xfId="7372" xr:uid="{A8539E59-E468-423C-B0FE-85AEAD5968E0}"/>
    <cellStyle name="Calculation 2 5 3 9 2" xfId="30057" xr:uid="{63964178-8459-432E-B288-BC4060F4D6A7}"/>
    <cellStyle name="Calculation 2 5 3 9 3" xfId="48973" xr:uid="{F72DA8F7-3D52-4267-A89D-03A72C94329E}"/>
    <cellStyle name="Calculation 2 5 4" xfId="1047" xr:uid="{00000000-0005-0000-0000-000053000000}"/>
    <cellStyle name="Calculation 2 5 4 10" xfId="21063" xr:uid="{DB31DC73-33E7-480E-BD58-FA56E1464245}"/>
    <cellStyle name="Calculation 2 5 4 10 2" xfId="29562" xr:uid="{8B5BFAC8-BE5E-4F13-BC67-EDD144F859C2}"/>
    <cellStyle name="Calculation 2 5 4 11" xfId="47757" xr:uid="{C96AB4E4-9169-4F39-AC0F-CC372E832CBB}"/>
    <cellStyle name="Calculation 2 5 4 2" xfId="1937" xr:uid="{00000000-0005-0000-0000-000054000000}"/>
    <cellStyle name="Calculation 2 5 4 2 10" xfId="14607" xr:uid="{59163513-EB1E-4106-876E-6FC9D1C5CBA6}"/>
    <cellStyle name="Calculation 2 5 4 2 10 2" xfId="37068" xr:uid="{D867D0A6-2C74-4683-A5A2-041BB3808D4F}"/>
    <cellStyle name="Calculation 2 5 4 2 10 3" xfId="47950" xr:uid="{E10105E3-0B60-4BAB-9FB4-01F02CE2ABF2}"/>
    <cellStyle name="Calculation 2 5 4 2 11" xfId="20983" xr:uid="{A9DDCF9D-AEAB-45B2-AEA2-5A9CA792B5C4}"/>
    <cellStyle name="Calculation 2 5 4 2 11 2" xfId="43237" xr:uid="{81C2D633-B46C-48C0-95BC-312ED15A7889}"/>
    <cellStyle name="Calculation 2 5 4 2 11 3" xfId="51949" xr:uid="{EA13D32A-6B07-4EE5-BF06-2943F057636A}"/>
    <cellStyle name="Calculation 2 5 4 2 12" xfId="7600" xr:uid="{8738A9C8-2AA5-48FB-A2FF-4EB6C7CBE58B}"/>
    <cellStyle name="Calculation 2 5 4 2 12 2" xfId="50000" xr:uid="{530C27E6-D1B0-4747-8D9B-40C87D401B43}"/>
    <cellStyle name="Calculation 2 5 4 2 13" xfId="46391" xr:uid="{DD78D522-2D7F-434A-96F7-003B44F52BEE}"/>
    <cellStyle name="Calculation 2 5 4 2 2" xfId="4034" xr:uid="{00000000-0005-0000-0000-000054000000}"/>
    <cellStyle name="Calculation 2 5 4 2 2 2" xfId="10938" xr:uid="{B5AC4EE2-D2EF-4129-9E7F-1167529C3401}"/>
    <cellStyle name="Calculation 2 5 4 2 2 2 2" xfId="33424" xr:uid="{06017AB4-A581-4F1A-B303-87531A61BBE8}"/>
    <cellStyle name="Calculation 2 5 4 2 2 2 3" xfId="53464" xr:uid="{C72C08D4-C4DE-4D35-B2F9-9688DC27B7B7}"/>
    <cellStyle name="Calculation 2 5 4 2 2 3" xfId="16058" xr:uid="{2A131846-D354-47FB-A005-4F70F96D4643}"/>
    <cellStyle name="Calculation 2 5 4 2 2 3 2" xfId="38459" xr:uid="{DB088C99-F232-47C7-B013-5C5AAC9C0E4C}"/>
    <cellStyle name="Calculation 2 5 4 2 2 3 3" xfId="50797" xr:uid="{D4A72F87-92ED-41FA-AFE2-55E01B09F29E}"/>
    <cellStyle name="Calculation 2 5 4 2 2 4" xfId="14935" xr:uid="{C336322D-F9AC-4971-A1D3-B5DB6360A004}"/>
    <cellStyle name="Calculation 2 5 4 2 2 4 2" xfId="52604" xr:uid="{A2FA0647-2538-463E-97F0-8FD9A7CF9166}"/>
    <cellStyle name="Calculation 2 5 4 2 2 5" xfId="44771" xr:uid="{855344FA-E144-43E1-B1F3-834C814A9BDD}"/>
    <cellStyle name="Calculation 2 5 4 2 3" xfId="5409" xr:uid="{00000000-0005-0000-0000-000054000000}"/>
    <cellStyle name="Calculation 2 5 4 2 3 2" xfId="12300" xr:uid="{79A68AD5-D840-4FD7-8CB9-E62383B72B2F}"/>
    <cellStyle name="Calculation 2 5 4 2 3 2 2" xfId="34785" xr:uid="{AF378F67-AAF3-4574-A67F-9C2DD888F0B1}"/>
    <cellStyle name="Calculation 2 5 4 2 3 2 3" xfId="32506" xr:uid="{B3B645FF-3551-4400-BB38-3EF6B8C5C96F}"/>
    <cellStyle name="Calculation 2 5 4 2 3 3" xfId="17346" xr:uid="{36F2106B-F9B4-43A2-85AF-E4AF8F86FD48}"/>
    <cellStyle name="Calculation 2 5 4 2 3 3 2" xfId="39736" xr:uid="{B65C5261-264D-4170-8AE9-6FFF51EB4977}"/>
    <cellStyle name="Calculation 2 5 4 2 3 3 3" xfId="42364" xr:uid="{4FFB2E89-1ACB-4CDB-9B5E-522CFFB3AE9C}"/>
    <cellStyle name="Calculation 2 5 4 2 3 4" xfId="21770" xr:uid="{C328B495-F6DC-4AB0-83A2-11C840AEB8F0}"/>
    <cellStyle name="Calculation 2 5 4 2 3 4 2" xfId="46707" xr:uid="{5681C816-1E6E-4030-8E8A-5DE7C6E79B2D}"/>
    <cellStyle name="Calculation 2 5 4 2 3 5" xfId="23643" xr:uid="{0E28E82F-17BC-4698-A040-FC9177AFA85A}"/>
    <cellStyle name="Calculation 2 5 4 2 4" xfId="5822" xr:uid="{00000000-0005-0000-0000-000054000000}"/>
    <cellStyle name="Calculation 2 5 4 2 4 2" xfId="12705" xr:uid="{CD1FEAC4-9826-4940-8026-8C3C881E35DF}"/>
    <cellStyle name="Calculation 2 5 4 2 4 2 2" xfId="35190" xr:uid="{336694E2-8E78-4B06-85A5-AE45AF9D8203}"/>
    <cellStyle name="Calculation 2 5 4 2 4 2 3" xfId="30980" xr:uid="{AC4587A1-B634-448A-80D6-C952B2D7DE16}"/>
    <cellStyle name="Calculation 2 5 4 2 4 3" xfId="17759" xr:uid="{C82978CB-9D39-4409-AD94-7A7AED4518AA}"/>
    <cellStyle name="Calculation 2 5 4 2 4 3 2" xfId="40149" xr:uid="{819B7174-2368-41B5-8D77-2410718F9CF2}"/>
    <cellStyle name="Calculation 2 5 4 2 4 3 3" xfId="45311" xr:uid="{A19FA565-B0C0-4DA5-8C69-A8D86815308F}"/>
    <cellStyle name="Calculation 2 5 4 2 4 4" xfId="22183" xr:uid="{7DF6FBCD-3E15-4102-9978-41ACF5CE2F5C}"/>
    <cellStyle name="Calculation 2 5 4 2 4 4 2" xfId="46646" xr:uid="{F6C599B8-8716-4CE5-9E0C-260B4B773268}"/>
    <cellStyle name="Calculation 2 5 4 2 4 5" xfId="43658" xr:uid="{7734F114-1F8C-4999-8C35-1C94B2EE3850}"/>
    <cellStyle name="Calculation 2 5 4 2 5" xfId="6166" xr:uid="{00000000-0005-0000-0000-000054000000}"/>
    <cellStyle name="Calculation 2 5 4 2 5 2" xfId="13043" xr:uid="{23EE27E0-7333-49AD-BD39-C0BCB532B71B}"/>
    <cellStyle name="Calculation 2 5 4 2 5 2 2" xfId="35527" xr:uid="{2E2F0F3D-B922-43B8-A6C0-AB4AACF62B78}"/>
    <cellStyle name="Calculation 2 5 4 2 5 2 3" xfId="47303" xr:uid="{43AA8166-CD17-42F4-B8C3-23A54C190F64}"/>
    <cellStyle name="Calculation 2 5 4 2 5 3" xfId="18103" xr:uid="{000CBAE5-CC75-4CDE-9830-109AD53F80F0}"/>
    <cellStyle name="Calculation 2 5 4 2 5 3 2" xfId="40493" xr:uid="{FB098626-0832-4F62-82A9-F3CBB50CBDBB}"/>
    <cellStyle name="Calculation 2 5 4 2 5 3 3" xfId="29645" xr:uid="{3937EF4E-8F8C-4E12-9303-A3B59A156F7D}"/>
    <cellStyle name="Calculation 2 5 4 2 5 4" xfId="22527" xr:uid="{A96E3DF5-9F2B-4D19-BF24-B1F173FDDB9A}"/>
    <cellStyle name="Calculation 2 5 4 2 5 4 2" xfId="53436" xr:uid="{459C3DC9-3F08-40AE-B260-FC75BFD0412C}"/>
    <cellStyle name="Calculation 2 5 4 2 5 5" xfId="50088" xr:uid="{65D91E88-DA39-4710-B3FC-D820E55FCD24}"/>
    <cellStyle name="Calculation 2 5 4 2 6" xfId="6539" xr:uid="{00000000-0005-0000-0000-000054000000}"/>
    <cellStyle name="Calculation 2 5 4 2 6 2" xfId="13408" xr:uid="{A3396BEA-C147-41FC-88B2-0398E2A5F8F1}"/>
    <cellStyle name="Calculation 2 5 4 2 6 2 2" xfId="35892" xr:uid="{FE90E9D5-2DB8-4DC9-86E6-4AD3328C896D}"/>
    <cellStyle name="Calculation 2 5 4 2 6 2 3" xfId="49925" xr:uid="{33B2E21E-11B8-4608-8306-32B8573A9092}"/>
    <cellStyle name="Calculation 2 5 4 2 6 3" xfId="18476" xr:uid="{BE634615-BA93-4AEA-8D4B-02978AF28D2C}"/>
    <cellStyle name="Calculation 2 5 4 2 6 3 2" xfId="40866" xr:uid="{DE8FE922-8312-4297-AED8-426EEB1470E0}"/>
    <cellStyle name="Calculation 2 5 4 2 6 3 3" xfId="24113" xr:uid="{F331EC54-1EF4-4CCB-9D09-18CA1A795E09}"/>
    <cellStyle name="Calculation 2 5 4 2 6 4" xfId="22900" xr:uid="{FE5493F2-975A-43C0-BF24-9B6482C5A8F7}"/>
    <cellStyle name="Calculation 2 5 4 2 6 4 2" xfId="53207" xr:uid="{DC0F4301-01BE-4B22-A651-BC6BADD3BCFF}"/>
    <cellStyle name="Calculation 2 5 4 2 6 5" xfId="48474" xr:uid="{9CB38818-23F8-4889-948D-FD6D9F819A7F}"/>
    <cellStyle name="Calculation 2 5 4 2 7" xfId="4599" xr:uid="{00000000-0005-0000-0000-000054000000}"/>
    <cellStyle name="Calculation 2 5 4 2 7 2" xfId="11500" xr:uid="{9C872CD8-96CD-4FE8-A403-9711F4EEBAF9}"/>
    <cellStyle name="Calculation 2 5 4 2 7 2 2" xfId="33986" xr:uid="{94DECA49-FE59-4171-9958-A63648D08365}"/>
    <cellStyle name="Calculation 2 5 4 2 7 2 3" xfId="23614" xr:uid="{781C3554-D4B6-4919-B6BA-C88C8282BC11}"/>
    <cellStyle name="Calculation 2 5 4 2 7 3" xfId="16536" xr:uid="{419A4F59-750A-420B-ADC4-E4D522F2E5AC}"/>
    <cellStyle name="Calculation 2 5 4 2 7 3 2" xfId="38926" xr:uid="{BAA0F57D-AA29-4094-B567-D739044BD468}"/>
    <cellStyle name="Calculation 2 5 4 2 7 3 3" xfId="24699" xr:uid="{CBB19EC2-E119-4871-83A6-C421182C76F6}"/>
    <cellStyle name="Calculation 2 5 4 2 7 4" xfId="15525" xr:uid="{86F49409-CB16-4200-BEEF-032E4434403B}"/>
    <cellStyle name="Calculation 2 5 4 2 7 4 2" xfId="24396" xr:uid="{A76F177E-0331-41E2-B048-C299DCD0A783}"/>
    <cellStyle name="Calculation 2 5 4 2 7 5" xfId="28254" xr:uid="{56AFAE67-7892-4712-97AD-9A1FF916A61F}"/>
    <cellStyle name="Calculation 2 5 4 2 8" xfId="7023" xr:uid="{00000000-0005-0000-0000-000054000000}"/>
    <cellStyle name="Calculation 2 5 4 2 8 2" xfId="13860" xr:uid="{EA09C779-E398-4F54-A3C1-021B85605F0E}"/>
    <cellStyle name="Calculation 2 5 4 2 8 2 2" xfId="36344" xr:uid="{A67333C7-16EE-4D15-81E9-7584167C7CC6}"/>
    <cellStyle name="Calculation 2 5 4 2 8 2 3" xfId="29230" xr:uid="{2C6256DB-0F03-41A3-B866-C57E41528CEE}"/>
    <cellStyle name="Calculation 2 5 4 2 8 3" xfId="18960" xr:uid="{B832F95C-681A-426B-A01C-EDA27CE22F7D}"/>
    <cellStyle name="Calculation 2 5 4 2 8 3 2" xfId="41350" xr:uid="{DAC64993-A206-4000-B151-B8FA800A83AC}"/>
    <cellStyle name="Calculation 2 5 4 2 8 3 3" xfId="29890" xr:uid="{46FF8DAB-4B63-4D90-A0CC-CF93C87532E2}"/>
    <cellStyle name="Calculation 2 5 4 2 8 4" xfId="23384" xr:uid="{63BD932E-AAD8-49AB-8AE5-34F9C58C9717}"/>
    <cellStyle name="Calculation 2 5 4 2 8 4 2" xfId="32633" xr:uid="{94014E5B-5CDB-42BB-B2F5-DAA8CF6779E4}"/>
    <cellStyle name="Calculation 2 5 4 2 8 5" xfId="51414" xr:uid="{DD013DA5-4775-4FB5-80CB-5630F9A0E1E9}"/>
    <cellStyle name="Calculation 2 5 4 2 9" xfId="7139" xr:uid="{00000000-0005-0000-0000-000054000000}"/>
    <cellStyle name="Calculation 2 5 4 2 9 2" xfId="19076" xr:uid="{1F4CC379-1FD0-4373-9E56-08E4CE460DD9}"/>
    <cellStyle name="Calculation 2 5 4 2 9 2 2" xfId="41466" xr:uid="{5A858A6A-AF7D-46ED-98D2-8918910A6108}"/>
    <cellStyle name="Calculation 2 5 4 2 9 2 3" xfId="28694" xr:uid="{5C1EC4DE-8AF8-49A2-A91B-BFB94444F014}"/>
    <cellStyle name="Calculation 2 5 4 2 9 3" xfId="23500" xr:uid="{42B12201-CF99-432C-808F-52149EDD2D5B}"/>
    <cellStyle name="Calculation 2 5 4 2 9 3 2" xfId="45500" xr:uid="{DA054A98-F65A-45AA-94BD-3D935FCEE076}"/>
    <cellStyle name="Calculation 2 5 4 2 9 4" xfId="51773" xr:uid="{CFC32B52-9115-4B7A-AD8D-8375B8FB0D02}"/>
    <cellStyle name="Calculation 2 5 4 3" xfId="3168" xr:uid="{00000000-0005-0000-0000-000053000000}"/>
    <cellStyle name="Calculation 2 5 4 3 2" xfId="10077" xr:uid="{B2A4A386-E476-4AD8-8D79-DFD1F5623A6F}"/>
    <cellStyle name="Calculation 2 5 4 3 2 2" xfId="32584" xr:uid="{F955C1DC-D514-46F6-ACF4-BE224236D914}"/>
    <cellStyle name="Calculation 2 5 4 3 2 3" xfId="46330" xr:uid="{41310FCE-9E1D-4D53-B3B9-87FD3B2D8A51}"/>
    <cellStyle name="Calculation 2 5 4 3 3" xfId="15455" xr:uid="{84A9033B-F09D-481A-AB96-06FF8B0C238E}"/>
    <cellStyle name="Calculation 2 5 4 3 3 2" xfId="37881" xr:uid="{D0FD856F-FC6F-48D5-BBAE-4203CE71B133}"/>
    <cellStyle name="Calculation 2 5 4 3 3 3" xfId="42197" xr:uid="{7F0DB67F-9944-4495-BDA1-77F5A86245A8}"/>
    <cellStyle name="Calculation 2 5 4 3 4" xfId="20480" xr:uid="{3C8B81E0-5E76-4E7F-837B-720966D00270}"/>
    <cellStyle name="Calculation 2 5 4 3 4 2" xfId="48124" xr:uid="{A4EE7030-0148-4329-9574-2FB1BF26E52E}"/>
    <cellStyle name="Calculation 2 5 4 3 5" xfId="50630" xr:uid="{BE5FB1E4-9F0B-44E7-88D9-F373A84D961E}"/>
    <cellStyle name="Calculation 2 5 4 4" xfId="4821" xr:uid="{00000000-0005-0000-0000-000053000000}"/>
    <cellStyle name="Calculation 2 5 4 4 2" xfId="11718" xr:uid="{78EE19A6-62FF-4A6A-BEFB-5AEC98D2F385}"/>
    <cellStyle name="Calculation 2 5 4 4 2 2" xfId="34204" xr:uid="{012D02A1-8383-4D20-B169-2B92146F3223}"/>
    <cellStyle name="Calculation 2 5 4 4 2 3" xfId="29953" xr:uid="{A4E444AF-BFD5-4868-B63B-CDE7287204E1}"/>
    <cellStyle name="Calculation 2 5 4 4 3" xfId="16758" xr:uid="{3224947D-07C2-4BB5-BB5E-F420B5BC0099}"/>
    <cellStyle name="Calculation 2 5 4 4 3 2" xfId="39148" xr:uid="{302CB48E-2839-4C27-A256-3CF1D204C2B1}"/>
    <cellStyle name="Calculation 2 5 4 4 3 3" xfId="44207" xr:uid="{38BA0C41-8677-4B8D-BEB0-CBA769618C7A}"/>
    <cellStyle name="Calculation 2 5 4 4 4" xfId="14394" xr:uid="{20DBBAF7-18FB-4124-9863-DC14459C404F}"/>
    <cellStyle name="Calculation 2 5 4 4 4 2" xfId="53534" xr:uid="{9EF6C43E-F7F8-4DFC-8022-2CB14D000CDC}"/>
    <cellStyle name="Calculation 2 5 4 4 5" xfId="48920" xr:uid="{8809D4CF-21B9-41B8-9F26-B76139DA448C}"/>
    <cellStyle name="Calculation 2 5 4 5" xfId="5283" xr:uid="{00000000-0005-0000-0000-000053000000}"/>
    <cellStyle name="Calculation 2 5 4 5 2" xfId="12175" xr:uid="{CDC66E01-5704-43D0-86CB-5B8FB86A8BA6}"/>
    <cellStyle name="Calculation 2 5 4 5 2 2" xfId="34660" xr:uid="{34C009B7-82D2-41BA-B4E3-137FF38967F1}"/>
    <cellStyle name="Calculation 2 5 4 5 2 3" xfId="30789" xr:uid="{6C36A258-E2C1-46C9-8CEC-D45ED6E11864}"/>
    <cellStyle name="Calculation 2 5 4 5 3" xfId="17220" xr:uid="{BBD809CB-ED25-4835-8DE6-60AB748278CD}"/>
    <cellStyle name="Calculation 2 5 4 5 3 2" xfId="39610" xr:uid="{B1EC5ACA-92C2-45B1-85F5-9F6C3D9C1EAF}"/>
    <cellStyle name="Calculation 2 5 4 5 3 3" xfId="45142" xr:uid="{B99418C6-4A96-42CE-9FE6-E371B9F7DE36}"/>
    <cellStyle name="Calculation 2 5 4 5 4" xfId="21644" xr:uid="{7B883EFE-37DC-4CC1-BDFD-38BA5EA8A511}"/>
    <cellStyle name="Calculation 2 5 4 5 4 2" xfId="46198" xr:uid="{5E7062B6-C20B-4DE6-9E54-E2162AD4307E}"/>
    <cellStyle name="Calculation 2 5 4 5 5" xfId="46591" xr:uid="{08D31F4C-4541-4ADA-954A-B66FD096DC60}"/>
    <cellStyle name="Calculation 2 5 4 6" xfId="5089" xr:uid="{00000000-0005-0000-0000-000053000000}"/>
    <cellStyle name="Calculation 2 5 4 6 2" xfId="11982" xr:uid="{8E9C6F60-F814-4F0B-A2D0-EA108300022E}"/>
    <cellStyle name="Calculation 2 5 4 6 2 2" xfId="34468" xr:uid="{EF775FF5-3BC5-48E9-83C3-30FB9256C106}"/>
    <cellStyle name="Calculation 2 5 4 6 2 3" xfId="29543" xr:uid="{8B4DA0FF-8D66-4A3B-BE06-A7A23A2E020B}"/>
    <cellStyle name="Calculation 2 5 4 6 3" xfId="17026" xr:uid="{29DE8F85-7D0B-4D1C-86B9-3B54109AFAA9}"/>
    <cellStyle name="Calculation 2 5 4 6 3 2" xfId="39416" xr:uid="{6C068394-1AD2-430B-85E5-B26EE27A8D15}"/>
    <cellStyle name="Calculation 2 5 4 6 3 3" xfId="43304" xr:uid="{A5B36230-0157-48C8-95BD-81D7BE210EB9}"/>
    <cellStyle name="Calculation 2 5 4 6 4" xfId="21450" xr:uid="{ECD3A332-EC75-4804-AC66-23DA0470C2C9}"/>
    <cellStyle name="Calculation 2 5 4 6 4 2" xfId="54084" xr:uid="{ED96C27B-EC51-4327-BDD7-4FF678EEFDFA}"/>
    <cellStyle name="Calculation 2 5 4 6 5" xfId="52085" xr:uid="{AE6B0E15-3FBD-4A5A-A41F-B5C1CC57A789}"/>
    <cellStyle name="Calculation 2 5 4 7" xfId="6879" xr:uid="{00000000-0005-0000-0000-000053000000}"/>
    <cellStyle name="Calculation 2 5 4 7 2" xfId="13718" xr:uid="{91B48922-BB5C-4095-8384-80695CB2EAE9}"/>
    <cellStyle name="Calculation 2 5 4 7 2 2" xfId="36202" xr:uid="{4BB7CE84-2558-4601-B81C-DA531BD5E70F}"/>
    <cellStyle name="Calculation 2 5 4 7 2 3" xfId="49156" xr:uid="{5808C9AA-7F3D-43A3-8E64-3AA4E481D647}"/>
    <cellStyle name="Calculation 2 5 4 7 3" xfId="18816" xr:uid="{BC387087-1408-4AF9-8DC1-5C689420D72E}"/>
    <cellStyle name="Calculation 2 5 4 7 3 2" xfId="41206" xr:uid="{7079B359-3969-4EF9-A2D4-7C157411480F}"/>
    <cellStyle name="Calculation 2 5 4 7 3 3" xfId="26046" xr:uid="{A6435496-2A83-407F-9140-46DA1FFD94EF}"/>
    <cellStyle name="Calculation 2 5 4 7 4" xfId="23240" xr:uid="{B9C6596D-4654-44F1-858B-A39B1C1E490C}"/>
    <cellStyle name="Calculation 2 5 4 7 4 2" xfId="47738" xr:uid="{E5861111-BDA6-48F1-B51F-32FA435BEFD8}"/>
    <cellStyle name="Calculation 2 5 4 7 5" xfId="48601" xr:uid="{25E10469-E2D0-4874-984C-256C0676DB81}"/>
    <cellStyle name="Calculation 2 5 4 8" xfId="8814" xr:uid="{FCE7728E-FE4D-4B1F-9458-2A3528074A60}"/>
    <cellStyle name="Calculation 2 5 4 8 2" xfId="31395" xr:uid="{35B93254-1676-4181-8C8D-CF0D4E542EA6}"/>
    <cellStyle name="Calculation 2 5 4 8 3" xfId="52669" xr:uid="{107DE773-FBA2-4D89-9B47-1BABC73559B9}"/>
    <cellStyle name="Calculation 2 5 4 9" xfId="19217" xr:uid="{636F2B1B-67B2-4B4F-8117-25337968AE45}"/>
    <cellStyle name="Calculation 2 5 4 9 2" xfId="41605" xr:uid="{B1A2A1A5-7AA9-424B-B1E8-6DE5BA5F6B69}"/>
    <cellStyle name="Calculation 2 5 4 9 3" xfId="25309" xr:uid="{9D6C69CC-9A83-4355-9F10-9F9F2E94C488}"/>
    <cellStyle name="Calculation 2 5 5" xfId="1231" xr:uid="{00000000-0005-0000-0000-000055000000}"/>
    <cellStyle name="Calculation 2 5 5 10" xfId="15524" xr:uid="{C325D1E7-2F6D-4108-9D88-924A1E2E5517}"/>
    <cellStyle name="Calculation 2 5 5 10 2" xfId="50986" xr:uid="{AAE4BF6C-2F18-4A7E-835A-51801E795AE8}"/>
    <cellStyle name="Calculation 2 5 5 11" xfId="50458" xr:uid="{DD18099F-E14B-46D8-82AF-5A40B0191739}"/>
    <cellStyle name="Calculation 2 5 5 2" xfId="2031" xr:uid="{00000000-0005-0000-0000-000056000000}"/>
    <cellStyle name="Calculation 2 5 5 2 10" xfId="14679" xr:uid="{CC90691D-33BA-4A2B-A870-5D80434A448C}"/>
    <cellStyle name="Calculation 2 5 5 2 10 2" xfId="37139" xr:uid="{DA3F8D33-DA40-4EC7-B931-8DED247C3F9B}"/>
    <cellStyle name="Calculation 2 5 5 2 10 3" xfId="48786" xr:uid="{BBC25C72-71D3-4C10-9E84-CBC7C7254516}"/>
    <cellStyle name="Calculation 2 5 5 2 11" xfId="20084" xr:uid="{46A9A5BB-BD6B-4722-935C-636A99AD6257}"/>
    <cellStyle name="Calculation 2 5 5 2 11 2" xfId="42403" xr:uid="{4187CC3A-1DF4-4234-983B-292417884D9F}"/>
    <cellStyle name="Calculation 2 5 5 2 11 3" xfId="44905" xr:uid="{F96B0114-ECCC-4421-B27F-D22B940A10E1}"/>
    <cellStyle name="Calculation 2 5 5 2 12" xfId="13712" xr:uid="{0DEFF8D1-8417-4A97-A2D8-E3DB2C56A6D9}"/>
    <cellStyle name="Calculation 2 5 5 2 12 2" xfId="48129" xr:uid="{30EB69AC-B3B9-4A0D-B217-179A306495AB}"/>
    <cellStyle name="Calculation 2 5 5 2 13" xfId="51307" xr:uid="{E5208EB2-FEB7-4520-838A-C15D978CC9F2}"/>
    <cellStyle name="Calculation 2 5 5 2 2" xfId="4126" xr:uid="{00000000-0005-0000-0000-000056000000}"/>
    <cellStyle name="Calculation 2 5 5 2 2 2" xfId="11030" xr:uid="{102CA87A-E004-4394-8873-F1BDE279B40E}"/>
    <cellStyle name="Calculation 2 5 5 2 2 2 2" xfId="33516" xr:uid="{A1C6E0C0-C92C-4060-95C6-8E6BFE33F5BE}"/>
    <cellStyle name="Calculation 2 5 5 2 2 2 3" xfId="49508" xr:uid="{81471B6B-2E60-425A-9D82-135786DC0A8B}"/>
    <cellStyle name="Calculation 2 5 5 2 2 3" xfId="16130" xr:uid="{0212A29A-C289-4A88-ADE3-701A54FC4213}"/>
    <cellStyle name="Calculation 2 5 5 2 2 3 2" xfId="38530" xr:uid="{71357B6D-9608-41FE-B270-EF73D40AC71C}"/>
    <cellStyle name="Calculation 2 5 5 2 2 3 3" xfId="43916" xr:uid="{9B40671F-4CAC-4402-8DE5-4C405209BEE1}"/>
    <cellStyle name="Calculation 2 5 5 2 2 4" xfId="13721" xr:uid="{9ACBD8E1-7D8D-4DCE-9A75-F507D3AB0DB6}"/>
    <cellStyle name="Calculation 2 5 5 2 2 4 2" xfId="45225" xr:uid="{8473F83A-30B6-444E-AE05-937879E658DC}"/>
    <cellStyle name="Calculation 2 5 5 2 2 5" xfId="28332" xr:uid="{2A866B0F-ED2B-40E0-B3EA-F03849C465B8}"/>
    <cellStyle name="Calculation 2 5 5 2 3" xfId="5472" xr:uid="{00000000-0005-0000-0000-000056000000}"/>
    <cellStyle name="Calculation 2 5 5 2 3 2" xfId="12361" xr:uid="{DA52F5FE-5828-494A-9416-B18767A2AD35}"/>
    <cellStyle name="Calculation 2 5 5 2 3 2 2" xfId="34846" xr:uid="{3F3541C0-367F-4C61-A603-70CABA75835D}"/>
    <cellStyle name="Calculation 2 5 5 2 3 2 3" xfId="28292" xr:uid="{67EA0593-26D0-486E-92B1-BE1A45065441}"/>
    <cellStyle name="Calculation 2 5 5 2 3 3" xfId="17409" xr:uid="{A3F7421D-3EA1-4450-853D-BE41EA718818}"/>
    <cellStyle name="Calculation 2 5 5 2 3 3 2" xfId="39799" xr:uid="{4FDB7BDD-1EB6-40CD-901B-695C37FABDEB}"/>
    <cellStyle name="Calculation 2 5 5 2 3 3 3" xfId="24577" xr:uid="{8DFB0D69-DD2C-4A3B-B111-85B79F42EF4B}"/>
    <cellStyle name="Calculation 2 5 5 2 3 4" xfId="21833" xr:uid="{FCDFCD25-4E4C-48EC-9444-942423027B09}"/>
    <cellStyle name="Calculation 2 5 5 2 3 4 2" xfId="45714" xr:uid="{BCFC67DC-D4BC-475B-B2A1-B1073B442487}"/>
    <cellStyle name="Calculation 2 5 5 2 3 5" xfId="49457" xr:uid="{99F50204-81F8-452A-B9A3-87C5D98B3A01}"/>
    <cellStyle name="Calculation 2 5 5 2 4" xfId="5895" xr:uid="{00000000-0005-0000-0000-000056000000}"/>
    <cellStyle name="Calculation 2 5 5 2 4 2" xfId="12777" xr:uid="{7C585254-5985-4DE6-9275-827B7B1867DB}"/>
    <cellStyle name="Calculation 2 5 5 2 4 2 2" xfId="35261" xr:uid="{62F49468-B0B2-4A95-8E1A-A1E94B735823}"/>
    <cellStyle name="Calculation 2 5 5 2 4 2 3" xfId="23803" xr:uid="{5DEBC021-7E68-417E-B346-CB8C6D864399}"/>
    <cellStyle name="Calculation 2 5 5 2 4 3" xfId="17832" xr:uid="{BD9F282B-62C5-44F4-8924-78FF14001610}"/>
    <cellStyle name="Calculation 2 5 5 2 4 3 2" xfId="40222" xr:uid="{97FDA866-D345-4FB9-A317-3AC689C5E782}"/>
    <cellStyle name="Calculation 2 5 5 2 4 3 3" xfId="28497" xr:uid="{5C38F5FB-6470-4326-BC23-A91A9CC53FE1}"/>
    <cellStyle name="Calculation 2 5 5 2 4 4" xfId="22256" xr:uid="{BF64F7F7-91C6-4B36-B8D1-ADC45C8F5F62}"/>
    <cellStyle name="Calculation 2 5 5 2 4 4 2" xfId="51360" xr:uid="{93818BC8-BD03-4E62-BFE0-4C11ED153179}"/>
    <cellStyle name="Calculation 2 5 5 2 4 5" xfId="46264" xr:uid="{BD5CAD8F-0EDE-4E3F-B91D-E05695C6DBA2}"/>
    <cellStyle name="Calculation 2 5 5 2 5" xfId="6233" xr:uid="{00000000-0005-0000-0000-000056000000}"/>
    <cellStyle name="Calculation 2 5 5 2 5 2" xfId="13108" xr:uid="{EF453E26-9615-46ED-966E-0BA42D00C6D9}"/>
    <cellStyle name="Calculation 2 5 5 2 5 2 2" xfId="35592" xr:uid="{5FEDF6CC-7E93-4895-83F1-4CF0333FDE19}"/>
    <cellStyle name="Calculation 2 5 5 2 5 2 3" xfId="53058" xr:uid="{812E44A9-18AC-4B2A-8202-6C49429187D3}"/>
    <cellStyle name="Calculation 2 5 5 2 5 3" xfId="18170" xr:uid="{D8E77C15-7C25-4632-95A4-155145FAC866}"/>
    <cellStyle name="Calculation 2 5 5 2 5 3 2" xfId="40560" xr:uid="{D2307F39-752C-4F9A-8688-0EA582DB185F}"/>
    <cellStyle name="Calculation 2 5 5 2 5 3 3" xfId="32098" xr:uid="{77C8A4F6-A5A4-400A-8F17-D7FC605059A6}"/>
    <cellStyle name="Calculation 2 5 5 2 5 4" xfId="22594" xr:uid="{D929CD19-2123-48E8-9BAA-EC093F605BFF}"/>
    <cellStyle name="Calculation 2 5 5 2 5 4 2" xfId="52877" xr:uid="{104F3509-F765-4525-B47B-1AC3627AC58E}"/>
    <cellStyle name="Calculation 2 5 5 2 5 5" xfId="48518" xr:uid="{EC6778AB-FD4E-4DA1-830D-2C43CB1C71FD}"/>
    <cellStyle name="Calculation 2 5 5 2 6" xfId="6599" xr:uid="{00000000-0005-0000-0000-000056000000}"/>
    <cellStyle name="Calculation 2 5 5 2 6 2" xfId="13465" xr:uid="{FB62C693-B9B4-4A4D-970C-685A3D859467}"/>
    <cellStyle name="Calculation 2 5 5 2 6 2 2" xfId="35949" xr:uid="{0C47A870-C1F3-4D8F-9B6E-63C9B4F909BE}"/>
    <cellStyle name="Calculation 2 5 5 2 6 2 3" xfId="45296" xr:uid="{921461D9-10C5-4483-8726-77AF7A2C874C}"/>
    <cellStyle name="Calculation 2 5 5 2 6 3" xfId="18536" xr:uid="{9B4DBE57-4EF6-400E-AE9B-72395071D054}"/>
    <cellStyle name="Calculation 2 5 5 2 6 3 2" xfId="40926" xr:uid="{31F88BF7-39F3-4B18-8606-2927DD50E085}"/>
    <cellStyle name="Calculation 2 5 5 2 6 3 3" xfId="44547" xr:uid="{06E4C6E4-E192-4C53-96A5-31D30041826C}"/>
    <cellStyle name="Calculation 2 5 5 2 6 4" xfId="22960" xr:uid="{FD153EDA-05B9-4B73-90DB-D5F8F154BBB9}"/>
    <cellStyle name="Calculation 2 5 5 2 6 4 2" xfId="50233" xr:uid="{306611A8-8C29-4BA0-948D-6AA14FDA0303}"/>
    <cellStyle name="Calculation 2 5 5 2 6 5" xfId="25245" xr:uid="{823D6B94-CEBD-4968-89E2-6E26630BB78F}"/>
    <cellStyle name="Calculation 2 5 5 2 7" xfId="5755" xr:uid="{00000000-0005-0000-0000-000056000000}"/>
    <cellStyle name="Calculation 2 5 5 2 7 2" xfId="12639" xr:uid="{DDF19FA5-A888-434B-93A4-DB01F9DFA601}"/>
    <cellStyle name="Calculation 2 5 5 2 7 2 2" xfId="35124" xr:uid="{B30B83D9-8EA0-4B9F-9469-4B09D6ABCD1E}"/>
    <cellStyle name="Calculation 2 5 5 2 7 2 3" xfId="29512" xr:uid="{F7C97D5C-DF4F-4871-8366-875FFCEF4D68}"/>
    <cellStyle name="Calculation 2 5 5 2 7 3" xfId="17692" xr:uid="{571BB0DF-92EC-4233-A381-EE881763C9A6}"/>
    <cellStyle name="Calculation 2 5 5 2 7 3 2" xfId="40082" xr:uid="{F5986C86-E66F-4872-948F-77277348FC9D}"/>
    <cellStyle name="Calculation 2 5 5 2 7 3 3" xfId="28141" xr:uid="{B2C2D5FE-AA57-415E-8F41-5FA89D05482F}"/>
    <cellStyle name="Calculation 2 5 5 2 7 4" xfId="22116" xr:uid="{C59EDCF8-8832-436E-AE34-73405A3A8DA6}"/>
    <cellStyle name="Calculation 2 5 5 2 7 4 2" xfId="47196" xr:uid="{7B0159E2-0439-4EB5-98C1-88DD38CA5F77}"/>
    <cellStyle name="Calculation 2 5 5 2 7 5" xfId="29564" xr:uid="{22FBB1B2-2DB6-4887-915A-C80D424B7638}"/>
    <cellStyle name="Calculation 2 5 5 2 8" xfId="7069" xr:uid="{00000000-0005-0000-0000-000056000000}"/>
    <cellStyle name="Calculation 2 5 5 2 8 2" xfId="13905" xr:uid="{E20EFB23-CE95-4B5F-89A6-530FE26347B7}"/>
    <cellStyle name="Calculation 2 5 5 2 8 2 2" xfId="36389" xr:uid="{2AE47AFA-2677-4249-93E9-6ACB6E8A8DE3}"/>
    <cellStyle name="Calculation 2 5 5 2 8 2 3" xfId="29351" xr:uid="{6BA3F3F8-0EED-478B-ABEB-50D41853809E}"/>
    <cellStyle name="Calculation 2 5 5 2 8 3" xfId="19006" xr:uid="{297ECD64-79AF-4E1A-96B2-D080DEA69E3F}"/>
    <cellStyle name="Calculation 2 5 5 2 8 3 2" xfId="41396" xr:uid="{52A3DDD2-BC75-42CD-B0CB-452463DF7880}"/>
    <cellStyle name="Calculation 2 5 5 2 8 3 3" xfId="23695" xr:uid="{C7572B5C-6BB5-4D6F-A05A-1E1CF65E5823}"/>
    <cellStyle name="Calculation 2 5 5 2 8 4" xfId="23430" xr:uid="{0B5FC333-F240-4129-9022-1FBBDC8620A0}"/>
    <cellStyle name="Calculation 2 5 5 2 8 4 2" xfId="25745" xr:uid="{3D3A7D42-D206-4843-9A30-791E147B6E82}"/>
    <cellStyle name="Calculation 2 5 5 2 8 5" xfId="48085" xr:uid="{ED1F16F2-EDFD-47BE-808D-B5EA6E1EFF8D}"/>
    <cellStyle name="Calculation 2 5 5 2 9" xfId="7184" xr:uid="{00000000-0005-0000-0000-000056000000}"/>
    <cellStyle name="Calculation 2 5 5 2 9 2" xfId="19121" xr:uid="{DE1D8A30-0299-4A0C-89B9-55F7FCFBEBFE}"/>
    <cellStyle name="Calculation 2 5 5 2 9 2 2" xfId="41511" xr:uid="{25BD3A8D-A224-42B5-9814-A6922190EC71}"/>
    <cellStyle name="Calculation 2 5 5 2 9 2 3" xfId="45263" xr:uid="{94F5D95A-49E6-485A-BC61-ADA0C93B8B27}"/>
    <cellStyle name="Calculation 2 5 5 2 9 3" xfId="23545" xr:uid="{857AD08F-6D81-407F-AA43-C700576DCE46}"/>
    <cellStyle name="Calculation 2 5 5 2 9 3 2" xfId="49222" xr:uid="{A3E57B18-DB2B-4B3F-A6E5-AF09819C28C0}"/>
    <cellStyle name="Calculation 2 5 5 2 9 4" xfId="48439" xr:uid="{FA366DE5-C79A-49FE-9FA2-56DE756987CA}"/>
    <cellStyle name="Calculation 2 5 5 3" xfId="3343" xr:uid="{00000000-0005-0000-0000-000055000000}"/>
    <cellStyle name="Calculation 2 5 5 3 2" xfId="10251" xr:uid="{A7CE35A0-B918-45FC-877A-54DA8A7BBA92}"/>
    <cellStyle name="Calculation 2 5 5 3 2 2" xfId="32745" xr:uid="{EE4FC4CA-88B1-4C47-A435-88C1E8D15124}"/>
    <cellStyle name="Calculation 2 5 5 3 2 3" xfId="37785" xr:uid="{16CD866F-F7BA-4AB6-9DA3-BD8180885A7D}"/>
    <cellStyle name="Calculation 2 5 5 3 3" xfId="15569" xr:uid="{CEA7257D-94C2-40BD-A289-C3E359AC5C51}"/>
    <cellStyle name="Calculation 2 5 5 3 3 2" xfId="37988" xr:uid="{6B918A02-6638-4157-A339-2349542C1893}"/>
    <cellStyle name="Calculation 2 5 5 3 3 3" xfId="25305" xr:uid="{F0705DA1-9592-4DFB-9B94-6FCD097A1AC9}"/>
    <cellStyle name="Calculation 2 5 5 3 4" xfId="21028" xr:uid="{4BD86F25-910A-4FD7-BC11-E9FC2E466333}"/>
    <cellStyle name="Calculation 2 5 5 3 4 2" xfId="43675" xr:uid="{D2843A04-80FF-4457-989A-50E244BCA899}"/>
    <cellStyle name="Calculation 2 5 5 3 5" xfId="44208" xr:uid="{8FD338EF-ECAD-4983-ACFF-2D9C0C507631}"/>
    <cellStyle name="Calculation 2 5 5 4" xfId="4931" xr:uid="{00000000-0005-0000-0000-000055000000}"/>
    <cellStyle name="Calculation 2 5 5 4 2" xfId="11826" xr:uid="{A6C6EE29-3C26-4E21-AE4C-B6B36BD7CE09}"/>
    <cellStyle name="Calculation 2 5 5 4 2 2" xfId="34312" xr:uid="{4C07AC25-4F12-4C06-983B-56BE2CCB27BC}"/>
    <cellStyle name="Calculation 2 5 5 4 2 3" xfId="45251" xr:uid="{62EDA7C3-5B7F-46FA-8017-6D7708E6E640}"/>
    <cellStyle name="Calculation 2 5 5 4 3" xfId="16868" xr:uid="{8B8EE5CD-7270-4616-892D-D7743E2E98F6}"/>
    <cellStyle name="Calculation 2 5 5 4 3 2" xfId="39258" xr:uid="{705BB920-76B1-4086-ACB2-69108648C938}"/>
    <cellStyle name="Calculation 2 5 5 4 3 3" xfId="29364" xr:uid="{AF8A2ACA-6F0F-4B80-9619-BC0BE07D488B}"/>
    <cellStyle name="Calculation 2 5 5 4 4" xfId="21292" xr:uid="{E41F6477-563A-4610-8DBB-75D239E92852}"/>
    <cellStyle name="Calculation 2 5 5 4 4 2" xfId="53081" xr:uid="{0C537646-91B2-48E3-A9D7-D57780AD46F6}"/>
    <cellStyle name="Calculation 2 5 5 4 5" xfId="51430" xr:uid="{A164A3F7-5BBD-4D75-9371-88224EA1517F}"/>
    <cellStyle name="Calculation 2 5 5 5" xfId="2267" xr:uid="{00000000-0005-0000-0000-000055000000}"/>
    <cellStyle name="Calculation 2 5 5 5 2" xfId="9179" xr:uid="{C1215246-99D2-4217-84B2-02CBF4C38D8E}"/>
    <cellStyle name="Calculation 2 5 5 5 2 2" xfId="31754" xr:uid="{402D6BF8-76E4-4739-95D0-BB0401860795}"/>
    <cellStyle name="Calculation 2 5 5 5 2 3" xfId="48978" xr:uid="{99F5025D-B7F4-42B0-936C-F7945A100F50}"/>
    <cellStyle name="Calculation 2 5 5 5 3" xfId="14837" xr:uid="{33617A1F-F236-46D6-A425-0D0C5260F020}"/>
    <cellStyle name="Calculation 2 5 5 5 3 2" xfId="37291" xr:uid="{8ECC575F-3AB2-4774-9752-0FE820E959B8}"/>
    <cellStyle name="Calculation 2 5 5 5 3 3" xfId="32643" xr:uid="{32A37CAA-4BA7-4295-90CB-3D9F1C5368C8}"/>
    <cellStyle name="Calculation 2 5 5 5 4" xfId="20150" xr:uid="{78ABFBDC-5D1E-4519-9A88-3EA769BE6682}"/>
    <cellStyle name="Calculation 2 5 5 5 4 2" xfId="28469" xr:uid="{E9191443-D56C-42D3-9208-DE68CF5F1FA5}"/>
    <cellStyle name="Calculation 2 5 5 5 5" xfId="48724" xr:uid="{60617AC2-4DE1-44F1-9846-608DF64EBB45}"/>
    <cellStyle name="Calculation 2 5 5 6" xfId="2325" xr:uid="{00000000-0005-0000-0000-000055000000}"/>
    <cellStyle name="Calculation 2 5 5 6 2" xfId="9235" xr:uid="{D1085429-4E71-4527-BF1E-DCB5C3C46B2A}"/>
    <cellStyle name="Calculation 2 5 5 6 2 2" xfId="31810" xr:uid="{87CFBEFA-000F-4D2E-8204-F6E79B06C8BF}"/>
    <cellStyle name="Calculation 2 5 5 6 2 3" xfId="49127" xr:uid="{A87ED603-EA55-4F8C-A1C7-BF9E6C3EF5B2}"/>
    <cellStyle name="Calculation 2 5 5 6 3" xfId="14887" xr:uid="{2D0ED5E4-9758-4B44-BA68-B209B2BB2469}"/>
    <cellStyle name="Calculation 2 5 5 6 3 2" xfId="37341" xr:uid="{ACC056AD-72CA-4DC6-96A6-EC89A655AFFE}"/>
    <cellStyle name="Calculation 2 5 5 6 3 3" xfId="48998" xr:uid="{E3CBF0AD-0ED2-40A5-83F0-3546590949E4}"/>
    <cellStyle name="Calculation 2 5 5 6 4" xfId="21254" xr:uid="{1A2E8AF4-2234-4EAE-9E05-948DF0B75947}"/>
    <cellStyle name="Calculation 2 5 5 6 4 2" xfId="49987" xr:uid="{6764EC53-9CA2-435D-BADD-7586D0E594C9}"/>
    <cellStyle name="Calculation 2 5 5 6 5" xfId="50535" xr:uid="{93BF8DE2-F9BE-4908-8A09-E5EC03DA267B}"/>
    <cellStyle name="Calculation 2 5 5 7" xfId="6844" xr:uid="{00000000-0005-0000-0000-000055000000}"/>
    <cellStyle name="Calculation 2 5 5 7 2" xfId="13687" xr:uid="{5171160E-34E5-4D8F-B28F-3AE8A60A5E3B}"/>
    <cellStyle name="Calculation 2 5 5 7 2 2" xfId="36171" xr:uid="{F21FF9B6-A861-4929-8581-8EF65C2F5A36}"/>
    <cellStyle name="Calculation 2 5 5 7 2 3" xfId="50075" xr:uid="{CA93D3AA-57CA-49EF-ABFE-C48077A0CE3E}"/>
    <cellStyle name="Calculation 2 5 5 7 3" xfId="18781" xr:uid="{8442862E-88BC-4159-9FC6-DFAE2CBDF914}"/>
    <cellStyle name="Calculation 2 5 5 7 3 2" xfId="41171" xr:uid="{EAE16C40-8A45-4E09-9350-C4EDDC242106}"/>
    <cellStyle name="Calculation 2 5 5 7 3 3" xfId="24275" xr:uid="{DF02E27B-5F1E-4D58-BC2D-D7F8A2F63F6C}"/>
    <cellStyle name="Calculation 2 5 5 7 4" xfId="23205" xr:uid="{CD7AFB45-1A70-4C79-B7E0-BBA259E9542D}"/>
    <cellStyle name="Calculation 2 5 5 7 4 2" xfId="45851" xr:uid="{46981448-9FF2-4802-A8E8-B2CC9017DA0E}"/>
    <cellStyle name="Calculation 2 5 5 7 5" xfId="46693" xr:uid="{DB1FB49C-20AC-4111-AEBF-63FDA9E77452}"/>
    <cellStyle name="Calculation 2 5 5 8" xfId="14106" xr:uid="{DAB15AAF-15BB-4901-BA08-77CD4051110A}"/>
    <cellStyle name="Calculation 2 5 5 8 2" xfId="36584" xr:uid="{9F6CA9E8-B961-4186-9B72-3BB946439581}"/>
    <cellStyle name="Calculation 2 5 5 8 3" xfId="25944" xr:uid="{E0513785-0875-4795-BD03-68CDE265B5D7}"/>
    <cellStyle name="Calculation 2 5 5 9" xfId="20947" xr:uid="{9B10E94C-B52B-451C-8541-69A6D5D3CDBD}"/>
    <cellStyle name="Calculation 2 5 5 9 2" xfId="43205" xr:uid="{FD083A7B-E0CA-4BAC-8FBF-B4B4441D0961}"/>
    <cellStyle name="Calculation 2 5 5 9 3" xfId="49008" xr:uid="{1316FC32-2530-4BC5-B4F1-917DFAA3E07D}"/>
    <cellStyle name="Calculation 2 5 6" xfId="1393" xr:uid="{00000000-0005-0000-0000-000057000000}"/>
    <cellStyle name="Calculation 2 5 6 10" xfId="8316" xr:uid="{C7D5657D-B1DE-4E2B-AE50-3E6F04E633B2}"/>
    <cellStyle name="Calculation 2 5 6 10 2" xfId="49351" xr:uid="{F1FAE45E-1F4F-463D-8339-67B83CC5D347}"/>
    <cellStyle name="Calculation 2 5 6 11" xfId="48937" xr:uid="{276A0D9F-3A02-438B-9959-ED2209F99B62}"/>
    <cellStyle name="Calculation 2 5 6 2" xfId="2122" xr:uid="{00000000-0005-0000-0000-000058000000}"/>
    <cellStyle name="Calculation 2 5 6 2 10" xfId="14751" xr:uid="{95039346-F525-483E-B448-489B61E223F7}"/>
    <cellStyle name="Calculation 2 5 6 2 10 2" xfId="37209" xr:uid="{E4060B7B-66E7-4DAD-A5BA-B2E39DA91E4D}"/>
    <cellStyle name="Calculation 2 5 6 2 10 3" xfId="28189" xr:uid="{3E586F3B-9891-4EE0-8337-89C60FEE7C84}"/>
    <cellStyle name="Calculation 2 5 6 2 11" xfId="20398" xr:uid="{AF3AAD83-5757-4F84-85D4-5474F9AE0786}"/>
    <cellStyle name="Calculation 2 5 6 2 11 2" xfId="42693" xr:uid="{A31CDB24-24D9-4E0E-BE38-B4B7C6ADAB50}"/>
    <cellStyle name="Calculation 2 5 6 2 11 3" xfId="28875" xr:uid="{9B934BA6-A5FA-4D96-BD68-E9CC7EDF1440}"/>
    <cellStyle name="Calculation 2 5 6 2 12" xfId="19424" xr:uid="{014E093C-CEA2-4E4F-813F-15CC4279619E}"/>
    <cellStyle name="Calculation 2 5 6 2 12 2" xfId="43110" xr:uid="{93117060-E835-4557-8BAE-B4255FFF4C54}"/>
    <cellStyle name="Calculation 2 5 6 2 13" xfId="52795" xr:uid="{364113D6-79AC-4A5C-BDE4-AA1FDCAB4DD6}"/>
    <cellStyle name="Calculation 2 5 6 2 2" xfId="4215" xr:uid="{00000000-0005-0000-0000-000058000000}"/>
    <cellStyle name="Calculation 2 5 6 2 2 2" xfId="11119" xr:uid="{DC79C75E-9D56-4B22-87CA-D7941A9F8FFE}"/>
    <cellStyle name="Calculation 2 5 6 2 2 2 2" xfId="33605" xr:uid="{06ECC0D4-2EBF-44AA-B21B-9C5BBEC35436}"/>
    <cellStyle name="Calculation 2 5 6 2 2 2 3" xfId="47787" xr:uid="{2C1ADA3A-BD77-482B-B0D7-506F3DC14A32}"/>
    <cellStyle name="Calculation 2 5 6 2 2 3" xfId="16208" xr:uid="{90A16175-F304-4C8F-8448-61F8085731AF}"/>
    <cellStyle name="Calculation 2 5 6 2 2 3 2" xfId="38607" xr:uid="{7D92A8BF-0CD0-430C-8490-20B50B128486}"/>
    <cellStyle name="Calculation 2 5 6 2 2 3 3" xfId="42469" xr:uid="{BEA233CE-0B1C-45D8-A495-BE884681E7A8}"/>
    <cellStyle name="Calculation 2 5 6 2 2 4" xfId="20622" xr:uid="{1430E6CD-B59C-4968-9A1F-2267C9CD9AF4}"/>
    <cellStyle name="Calculation 2 5 6 2 2 4 2" xfId="51570" xr:uid="{6489F601-7942-4922-9243-F65594980BC7}"/>
    <cellStyle name="Calculation 2 5 6 2 2 5" xfId="52148" xr:uid="{A230F64B-2711-4A2C-B86B-6487FFB66820}"/>
    <cellStyle name="Calculation 2 5 6 2 3" xfId="5541" xr:uid="{00000000-0005-0000-0000-000058000000}"/>
    <cellStyle name="Calculation 2 5 6 2 3 2" xfId="12430" xr:uid="{2FB97358-5E2C-4D18-A987-4CF96055032C}"/>
    <cellStyle name="Calculation 2 5 6 2 3 2 2" xfId="34915" xr:uid="{F381000E-C213-4F57-914D-D6D166609E90}"/>
    <cellStyle name="Calculation 2 5 6 2 3 2 3" xfId="29572" xr:uid="{C2C4D20B-1E05-41EF-A5C5-0E39E770D86E}"/>
    <cellStyle name="Calculation 2 5 6 2 3 3" xfId="17478" xr:uid="{78114862-C2CC-447D-8DA3-82BC4C7A3338}"/>
    <cellStyle name="Calculation 2 5 6 2 3 3 2" xfId="39868" xr:uid="{75EDE758-89F0-4C48-8F5A-04B563973905}"/>
    <cellStyle name="Calculation 2 5 6 2 3 3 3" xfId="45244" xr:uid="{272329E3-D283-4CC2-ADA4-90BA0440A78D}"/>
    <cellStyle name="Calculation 2 5 6 2 3 4" xfId="21902" xr:uid="{E3F839F9-8E27-4909-BC55-F53DEF3A02B3}"/>
    <cellStyle name="Calculation 2 5 6 2 3 4 2" xfId="53860" xr:uid="{3BB81505-CF46-4525-A8B9-BBF9222EDCBA}"/>
    <cellStyle name="Calculation 2 5 6 2 3 5" xfId="49073" xr:uid="{EF9F924D-D5C8-4B88-9F3D-CD3520586348}"/>
    <cellStyle name="Calculation 2 5 6 2 4" xfId="5963" xr:uid="{00000000-0005-0000-0000-000058000000}"/>
    <cellStyle name="Calculation 2 5 6 2 4 2" xfId="12844" xr:uid="{BCC51E9E-08C0-4B80-82E7-6389FCC1BA2F}"/>
    <cellStyle name="Calculation 2 5 6 2 4 2 2" xfId="35328" xr:uid="{231F750D-474B-485B-8562-07308A773231}"/>
    <cellStyle name="Calculation 2 5 6 2 4 2 3" xfId="24006" xr:uid="{CC05E4E2-16B7-4C0A-A4E5-95FC97FA21A4}"/>
    <cellStyle name="Calculation 2 5 6 2 4 3" xfId="17900" xr:uid="{022F3567-D168-4DE0-A1A1-80E26736DCD4}"/>
    <cellStyle name="Calculation 2 5 6 2 4 3 2" xfId="40290" xr:uid="{36A7B271-6D16-4388-A2B6-40A6597BD727}"/>
    <cellStyle name="Calculation 2 5 6 2 4 3 3" xfId="24031" xr:uid="{DCE6BBE6-CE43-48D9-8D4F-EA85293A65A1}"/>
    <cellStyle name="Calculation 2 5 6 2 4 4" xfId="22324" xr:uid="{BD178E3D-0BBC-4060-9D37-F47C52803891}"/>
    <cellStyle name="Calculation 2 5 6 2 4 4 2" xfId="48349" xr:uid="{DCB02DD7-F8D0-4C95-BC93-92D95CD6FF5E}"/>
    <cellStyle name="Calculation 2 5 6 2 4 5" xfId="52012" xr:uid="{4493D72B-CB56-4FC8-AEC4-0EF98AD353AD}"/>
    <cellStyle name="Calculation 2 5 6 2 5" xfId="6303" xr:uid="{00000000-0005-0000-0000-000058000000}"/>
    <cellStyle name="Calculation 2 5 6 2 5 2" xfId="13175" xr:uid="{D5962B25-5166-4CBA-91B7-90D8A478B00F}"/>
    <cellStyle name="Calculation 2 5 6 2 5 2 2" xfId="35659" xr:uid="{D482C894-0897-4A41-A425-32A743EF86CC}"/>
    <cellStyle name="Calculation 2 5 6 2 5 2 3" xfId="46475" xr:uid="{255F3FDE-D20D-45E6-9987-C4062F156119}"/>
    <cellStyle name="Calculation 2 5 6 2 5 3" xfId="18240" xr:uid="{BEA075CF-FDD4-4172-8964-D0FE8E00D952}"/>
    <cellStyle name="Calculation 2 5 6 2 5 3 2" xfId="40630" xr:uid="{6340AAAB-2FF1-45B7-B82D-DD7908186A51}"/>
    <cellStyle name="Calculation 2 5 6 2 5 3 3" xfId="26267" xr:uid="{29600176-6BAF-4292-B9B3-2972DBA67AD4}"/>
    <cellStyle name="Calculation 2 5 6 2 5 4" xfId="22664" xr:uid="{C6634154-044F-4687-BA97-5DABE8C1BEFB}"/>
    <cellStyle name="Calculation 2 5 6 2 5 4 2" xfId="28381" xr:uid="{6257E670-3D1D-4FC9-9311-A37F3D126E3C}"/>
    <cellStyle name="Calculation 2 5 6 2 5 5" xfId="45964" xr:uid="{95119D78-C3C6-4E5B-BFB6-66A7833CB529}"/>
    <cellStyle name="Calculation 2 5 6 2 6" xfId="6658" xr:uid="{00000000-0005-0000-0000-000058000000}"/>
    <cellStyle name="Calculation 2 5 6 2 6 2" xfId="13524" xr:uid="{083A7518-6397-487B-BD7C-5353BBA7B035}"/>
    <cellStyle name="Calculation 2 5 6 2 6 2 2" xfId="36008" xr:uid="{CAC212EF-E517-43FC-98F1-9EDEAFD503D4}"/>
    <cellStyle name="Calculation 2 5 6 2 6 2 3" xfId="49676" xr:uid="{8A4C63F8-6486-4C2D-A040-F97DC1E6A51A}"/>
    <cellStyle name="Calculation 2 5 6 2 6 3" xfId="18595" xr:uid="{6A869B3D-DF63-4B6E-BE27-6C7AE0A58181}"/>
    <cellStyle name="Calculation 2 5 6 2 6 3 2" xfId="40985" xr:uid="{45D3A6CD-E92D-45E6-A7A0-CD38F7D48FC9}"/>
    <cellStyle name="Calculation 2 5 6 2 6 3 3" xfId="29325" xr:uid="{C7C928DF-FC5E-4CD6-8B08-134E53468762}"/>
    <cellStyle name="Calculation 2 5 6 2 6 4" xfId="23019" xr:uid="{4C36AAFD-B94D-442C-8E6A-9306CE9EAD64}"/>
    <cellStyle name="Calculation 2 5 6 2 6 4 2" xfId="50185" xr:uid="{9B218950-24BD-42FE-8C56-A9166C2A944D}"/>
    <cellStyle name="Calculation 2 5 6 2 6 5" xfId="52571" xr:uid="{A31E2A98-6D7E-4EA3-A057-3853BC7F09CA}"/>
    <cellStyle name="Calculation 2 5 6 2 7" xfId="6372" xr:uid="{00000000-0005-0000-0000-000058000000}"/>
    <cellStyle name="Calculation 2 5 6 2 7 2" xfId="13244" xr:uid="{116A1765-DF99-4F84-AB3F-E2A15BD3DDCF}"/>
    <cellStyle name="Calculation 2 5 6 2 7 2 2" xfId="35728" xr:uid="{8741F1B9-1F4F-4AE5-8FAA-696B9C56994A}"/>
    <cellStyle name="Calculation 2 5 6 2 7 2 3" xfId="51996" xr:uid="{49504946-6F62-419B-9147-06EF42143BDD}"/>
    <cellStyle name="Calculation 2 5 6 2 7 3" xfId="18309" xr:uid="{4BAA5AB5-1EFA-4F07-B3D2-2264C869954B}"/>
    <cellStyle name="Calculation 2 5 6 2 7 3 2" xfId="40699" xr:uid="{CD7D8AAB-178D-4A95-8410-51751AC560AB}"/>
    <cellStyle name="Calculation 2 5 6 2 7 3 3" xfId="44518" xr:uid="{16AD7472-C047-4B9B-A4A7-07563FFED3D1}"/>
    <cellStyle name="Calculation 2 5 6 2 7 4" xfId="22733" xr:uid="{35AE2056-A991-4C83-BD02-6EE56D2E3FE1}"/>
    <cellStyle name="Calculation 2 5 6 2 7 4 2" xfId="53542" xr:uid="{BC47891A-D318-4C4F-A58E-39CB178D0947}"/>
    <cellStyle name="Calculation 2 5 6 2 7 5" xfId="49716" xr:uid="{84C6A54C-7436-4E46-9833-B72C561ACFBD}"/>
    <cellStyle name="Calculation 2 5 6 2 8" xfId="7113" xr:uid="{00000000-0005-0000-0000-000058000000}"/>
    <cellStyle name="Calculation 2 5 6 2 8 2" xfId="13949" xr:uid="{20E54BA5-E132-444E-A33E-87EA929072C2}"/>
    <cellStyle name="Calculation 2 5 6 2 8 2 2" xfId="36433" xr:uid="{90EBABF1-78FD-4696-BCF8-6DFE9512FFA1}"/>
    <cellStyle name="Calculation 2 5 6 2 8 2 3" xfId="25477" xr:uid="{EADCC725-C4C8-4634-9E25-3E5A00794378}"/>
    <cellStyle name="Calculation 2 5 6 2 8 3" xfId="19050" xr:uid="{522E4E1A-675E-4B9A-BE47-5B280B4E973F}"/>
    <cellStyle name="Calculation 2 5 6 2 8 3 2" xfId="41440" xr:uid="{E58A9A1E-B24D-45DA-9478-F03DCDA377B7}"/>
    <cellStyle name="Calculation 2 5 6 2 8 3 3" xfId="43142" xr:uid="{0CB3DE2D-37DF-4D67-B264-844D974A1A24}"/>
    <cellStyle name="Calculation 2 5 6 2 8 4" xfId="23474" xr:uid="{E8C536AF-781D-4B41-9C21-59A667551D84}"/>
    <cellStyle name="Calculation 2 5 6 2 8 4 2" xfId="53932" xr:uid="{A46C3842-45D9-447D-8A47-571BE219040E}"/>
    <cellStyle name="Calculation 2 5 6 2 8 5" xfId="30936" xr:uid="{FC06DDFA-9929-455F-86CB-9F6D656A75C1}"/>
    <cellStyle name="Calculation 2 5 6 2 9" xfId="7228" xr:uid="{00000000-0005-0000-0000-000058000000}"/>
    <cellStyle name="Calculation 2 5 6 2 9 2" xfId="19165" xr:uid="{47B6E1CA-1AAD-4CAE-92E3-82951337BFB0}"/>
    <cellStyle name="Calculation 2 5 6 2 9 2 2" xfId="41555" xr:uid="{014F9600-6968-48DA-92C4-B43FDBD91BD7}"/>
    <cellStyle name="Calculation 2 5 6 2 9 2 3" xfId="43706" xr:uid="{FB5D7256-4B4E-41F1-ACD0-E022FFBB78B0}"/>
    <cellStyle name="Calculation 2 5 6 2 9 3" xfId="23589" xr:uid="{85A0D383-299D-4D12-95C1-5CE2DCF099C3}"/>
    <cellStyle name="Calculation 2 5 6 2 9 3 2" xfId="38326" xr:uid="{49947AFA-6ADC-499E-AE88-E95B225034F0}"/>
    <cellStyle name="Calculation 2 5 6 2 9 4" xfId="47974" xr:uid="{10C7AEF5-EFBC-4544-86A2-6EFD835E12BC}"/>
    <cellStyle name="Calculation 2 5 6 3" xfId="3495" xr:uid="{00000000-0005-0000-0000-000057000000}"/>
    <cellStyle name="Calculation 2 5 6 3 2" xfId="10402" xr:uid="{E8A0AC18-309D-46B9-BC3A-A29517B6E27B}"/>
    <cellStyle name="Calculation 2 5 6 3 2 2" xfId="32889" xr:uid="{4BF9A139-A147-4BBF-B1A0-B777389E7153}"/>
    <cellStyle name="Calculation 2 5 6 3 2 3" xfId="50523" xr:uid="{E64FF5A4-4446-404E-882B-9FE18D3CEFFB}"/>
    <cellStyle name="Calculation 2 5 6 3 3" xfId="15673" xr:uid="{DA477E1B-355B-4EC1-81CB-1905E6FBEED4}"/>
    <cellStyle name="Calculation 2 5 6 3 3 2" xfId="38089" xr:uid="{119B5B28-5FF6-472B-BF45-C60C66E3AFBD}"/>
    <cellStyle name="Calculation 2 5 6 3 3 3" xfId="28730" xr:uid="{16B9EFE4-1ABC-429C-8FDE-5985D0204032}"/>
    <cellStyle name="Calculation 2 5 6 3 4" xfId="21139" xr:uid="{2B9CFC81-6ABF-4424-B715-652981F72245}"/>
    <cellStyle name="Calculation 2 5 6 3 4 2" xfId="30326" xr:uid="{CBB4F4DD-5024-4FC4-BD98-E24CCFA470B4}"/>
    <cellStyle name="Calculation 2 5 6 3 5" xfId="51260" xr:uid="{A545FF33-5B5C-4F7B-94CA-FED14555E6A4}"/>
    <cellStyle name="Calculation 2 5 6 4" xfId="5030" xr:uid="{00000000-0005-0000-0000-000057000000}"/>
    <cellStyle name="Calculation 2 5 6 4 2" xfId="11924" xr:uid="{8724DB0E-BC6C-4E25-AF44-1CF1339CB6DC}"/>
    <cellStyle name="Calculation 2 5 6 4 2 2" xfId="34410" xr:uid="{2147CF16-8BAA-4EDA-B9FE-C524666A425D}"/>
    <cellStyle name="Calculation 2 5 6 4 2 3" xfId="27913" xr:uid="{656CDE3C-D211-4702-9179-9F9127FEDFA5}"/>
    <cellStyle name="Calculation 2 5 6 4 3" xfId="16967" xr:uid="{A58642F4-A1AF-4529-99F7-D0DAFBF350D7}"/>
    <cellStyle name="Calculation 2 5 6 4 3 2" xfId="39357" xr:uid="{8ED9AD5B-DD20-48CA-A793-F348A9846729}"/>
    <cellStyle name="Calculation 2 5 6 4 3 3" xfId="29024" xr:uid="{EA8821B5-C9EC-47D1-B4C9-454388ACD825}"/>
    <cellStyle name="Calculation 2 5 6 4 4" xfId="21391" xr:uid="{19F10DF6-ED7D-4EBF-866F-B1CF65C5F755}"/>
    <cellStyle name="Calculation 2 5 6 4 4 2" xfId="54116" xr:uid="{94BA0022-5205-4B77-B0A5-4754B559686A}"/>
    <cellStyle name="Calculation 2 5 6 4 5" xfId="49779" xr:uid="{D070693D-D128-4FFC-91D8-BDE872C1DDFC}"/>
    <cellStyle name="Calculation 2 5 6 5" xfId="4973" xr:uid="{00000000-0005-0000-0000-000057000000}"/>
    <cellStyle name="Calculation 2 5 6 5 2" xfId="11868" xr:uid="{53A30C42-A4D4-43EB-B61C-908DA2B37508}"/>
    <cellStyle name="Calculation 2 5 6 5 2 2" xfId="34354" xr:uid="{9D45055B-7F4D-4953-AEC6-8D02CE188F2B}"/>
    <cellStyle name="Calculation 2 5 6 5 2 3" xfId="27668" xr:uid="{6C33FF94-B76A-4FBD-8295-FA6E46459A81}"/>
    <cellStyle name="Calculation 2 5 6 5 3" xfId="16910" xr:uid="{D845C43E-1752-4125-B0B7-0447EE2B65CE}"/>
    <cellStyle name="Calculation 2 5 6 5 3 2" xfId="39300" xr:uid="{48BC31A4-96A5-4CD5-9B1F-5CD99AC6C96B}"/>
    <cellStyle name="Calculation 2 5 6 5 3 3" xfId="24942" xr:uid="{0FBC1E6E-A7D6-45E3-80C3-76D315A7BD92}"/>
    <cellStyle name="Calculation 2 5 6 5 4" xfId="21334" xr:uid="{027B0317-F156-404C-840D-ABCF8FC5BF32}"/>
    <cellStyle name="Calculation 2 5 6 5 4 2" xfId="53809" xr:uid="{6654D5B8-327C-4326-B123-88D8E9428C88}"/>
    <cellStyle name="Calculation 2 5 6 5 5" xfId="45464" xr:uid="{C55244BE-02C2-4A81-B7C2-8C7C31F6B247}"/>
    <cellStyle name="Calculation 2 5 6 6" xfId="4479" xr:uid="{00000000-0005-0000-0000-000057000000}"/>
    <cellStyle name="Calculation 2 5 6 6 2" xfId="11381" xr:uid="{538858E3-964B-4775-8D4A-AC52BE61D4F9}"/>
    <cellStyle name="Calculation 2 5 6 6 2 2" xfId="33867" xr:uid="{7601AE12-F96F-46A1-86E0-FEB0FA30C1C1}"/>
    <cellStyle name="Calculation 2 5 6 6 2 3" xfId="27043" xr:uid="{0091200C-9FEA-43C5-BF06-95CB652C2391}"/>
    <cellStyle name="Calculation 2 5 6 6 3" xfId="16416" xr:uid="{081E2920-FFC5-40F7-9D30-BB46499FEB3F}"/>
    <cellStyle name="Calculation 2 5 6 6 3 2" xfId="38806" xr:uid="{A6870675-699C-4EA6-9032-693CD5343D9A}"/>
    <cellStyle name="Calculation 2 5 6 6 3 3" xfId="25817" xr:uid="{8E37968B-AD5A-4435-AF35-95BF65E45B43}"/>
    <cellStyle name="Calculation 2 5 6 6 4" xfId="7308" xr:uid="{18334868-6193-43BC-877A-D048251EF50D}"/>
    <cellStyle name="Calculation 2 5 6 6 4 2" xfId="27830" xr:uid="{2A906040-7005-4B45-AC57-68396D72D8F6}"/>
    <cellStyle name="Calculation 2 5 6 6 5" xfId="52337" xr:uid="{F5CC8011-D7A1-4E32-AD3A-C893BEF563F1}"/>
    <cellStyle name="Calculation 2 5 6 7" xfId="6494" xr:uid="{00000000-0005-0000-0000-000057000000}"/>
    <cellStyle name="Calculation 2 5 6 7 2" xfId="13363" xr:uid="{289CBD75-E495-4B68-8A54-381162BB49E2}"/>
    <cellStyle name="Calculation 2 5 6 7 2 2" xfId="35847" xr:uid="{9BDFED5E-6BE0-4FDC-86FE-C0542F6F2701}"/>
    <cellStyle name="Calculation 2 5 6 7 2 3" xfId="24776" xr:uid="{CD185BC7-E94D-4431-8091-9DA1418CCF79}"/>
    <cellStyle name="Calculation 2 5 6 7 3" xfId="18431" xr:uid="{2B740F92-9DA3-4838-BD3F-08CD09EB0642}"/>
    <cellStyle name="Calculation 2 5 6 7 3 2" xfId="40821" xr:uid="{ADA3FB5D-3BC2-4E42-94A8-85476F5A859E}"/>
    <cellStyle name="Calculation 2 5 6 7 3 3" xfId="28721" xr:uid="{98659EC1-830F-4102-B8E5-492E6B9CAE93}"/>
    <cellStyle name="Calculation 2 5 6 7 4" xfId="22855" xr:uid="{889CD5BD-7A76-42C1-901B-3924F7A3D7F3}"/>
    <cellStyle name="Calculation 2 5 6 7 4 2" xfId="48219" xr:uid="{AAB57159-77B0-4420-931F-C3284BB89BFB}"/>
    <cellStyle name="Calculation 2 5 6 7 5" xfId="28964" xr:uid="{C629C9B1-1D91-4651-A375-31B48F242021}"/>
    <cellStyle name="Calculation 2 5 6 8" xfId="14212" xr:uid="{C84D9613-FFEA-4741-BC97-FADB324760C4}"/>
    <cellStyle name="Calculation 2 5 6 8 2" xfId="36687" xr:uid="{C66D60CB-A813-443E-A075-53DF13B5D41C}"/>
    <cellStyle name="Calculation 2 5 6 8 3" xfId="53633" xr:uid="{BFC94687-9E0C-4113-8288-DD4C7CD40CEF}"/>
    <cellStyle name="Calculation 2 5 6 9" xfId="21253" xr:uid="{E0CA3858-8A92-47B5-ADC5-C96329803598}"/>
    <cellStyle name="Calculation 2 5 6 9 2" xfId="43488" xr:uid="{450BA6DA-979B-44EF-A2E6-DDE6F98F0158}"/>
    <cellStyle name="Calculation 2 5 6 9 3" xfId="52907" xr:uid="{EA707302-2020-4C2B-AE5D-605828C4BE5F}"/>
    <cellStyle name="Calculation 2 5 7" xfId="1665" xr:uid="{00000000-0005-0000-0000-000059000000}"/>
    <cellStyle name="Calculation 2 5 7 10" xfId="14379" xr:uid="{3BC1BF6F-C876-4B2A-8F8C-5D29988EDEB3}"/>
    <cellStyle name="Calculation 2 5 7 10 2" xfId="36847" xr:uid="{9605358A-523D-4C14-B02B-6DD49E363E85}"/>
    <cellStyle name="Calculation 2 5 7 10 3" xfId="52034" xr:uid="{05C42322-974F-41DA-8EC4-0CC53097B9FB}"/>
    <cellStyle name="Calculation 2 5 7 11" xfId="19330" xr:uid="{3EB2FAF6-D71B-49F6-88B5-7E2010A6EA61}"/>
    <cellStyle name="Calculation 2 5 7 11 2" xfId="41707" xr:uid="{F58BCC6A-CE8B-418C-846A-F409269079A3}"/>
    <cellStyle name="Calculation 2 5 7 11 3" xfId="44258" xr:uid="{A5F55E85-4F27-43D9-B7AE-626935616CFA}"/>
    <cellStyle name="Calculation 2 5 7 12" xfId="19502" xr:uid="{12CD5D6F-E147-44FB-AB39-71BDEC83EAE6}"/>
    <cellStyle name="Calculation 2 5 7 12 2" xfId="27693" xr:uid="{06784DDF-B766-4AA5-9E2E-F01D700C71C6}"/>
    <cellStyle name="Calculation 2 5 7 13" xfId="53926" xr:uid="{79CAFBFC-C957-4C1B-AA23-E9762D139B47}"/>
    <cellStyle name="Calculation 2 5 7 2" xfId="3763" xr:uid="{00000000-0005-0000-0000-000059000000}"/>
    <cellStyle name="Calculation 2 5 7 2 2" xfId="10667" xr:uid="{634CA478-2AE8-4475-93D1-F04C7369D22A}"/>
    <cellStyle name="Calculation 2 5 7 2 2 2" xfId="33153" xr:uid="{1D058A07-CAEA-470E-A7C7-1E1F74EBBFFC}"/>
    <cellStyle name="Calculation 2 5 7 2 2 3" xfId="53110" xr:uid="{203342A2-D285-4846-9867-CA669AF99E0A}"/>
    <cellStyle name="Calculation 2 5 7 2 3" xfId="15844" xr:uid="{0D90F09F-CB44-4D8A-975B-2EB4B02DE703}"/>
    <cellStyle name="Calculation 2 5 7 2 3 2" xfId="38252" xr:uid="{8167EB28-0345-4C2C-A376-55D583E5537C}"/>
    <cellStyle name="Calculation 2 5 7 2 3 3" xfId="43691" xr:uid="{D8C95B84-F391-454E-8CAF-AAFBA0E1CA4E}"/>
    <cellStyle name="Calculation 2 5 7 2 4" xfId="19604" xr:uid="{E346E911-9252-47FA-8DBC-2736661B22F5}"/>
    <cellStyle name="Calculation 2 5 7 2 4 2" xfId="24379" xr:uid="{35918FD2-5DAA-439C-817B-C16FA8179867}"/>
    <cellStyle name="Calculation 2 5 7 2 5" xfId="52203" xr:uid="{68A16755-BA49-4829-813D-7A6A5C987050}"/>
    <cellStyle name="Calculation 2 5 7 3" xfId="5198" xr:uid="{00000000-0005-0000-0000-000059000000}"/>
    <cellStyle name="Calculation 2 5 7 3 2" xfId="12091" xr:uid="{B6C761FE-3AD7-42D3-A5B8-4D93C96B49A2}"/>
    <cellStyle name="Calculation 2 5 7 3 2 2" xfId="34577" xr:uid="{21FAF46F-1E77-4DA5-AD76-0A9E61077849}"/>
    <cellStyle name="Calculation 2 5 7 3 2 3" xfId="27983" xr:uid="{9BD817D7-9B01-41EF-8CAB-8ABCE5769C5D}"/>
    <cellStyle name="Calculation 2 5 7 3 3" xfId="17135" xr:uid="{C740977B-BDE2-44B9-B364-5684EC973065}"/>
    <cellStyle name="Calculation 2 5 7 3 3 2" xfId="39525" xr:uid="{A56D808C-C1C3-484C-96F4-FD9881BF6DB6}"/>
    <cellStyle name="Calculation 2 5 7 3 3 3" xfId="45310" xr:uid="{850051D5-3A48-4D8A-A0BD-6579B6C79BFB}"/>
    <cellStyle name="Calculation 2 5 7 3 4" xfId="21559" xr:uid="{B7F270A0-3637-4076-B659-700F891CA492}"/>
    <cellStyle name="Calculation 2 5 7 3 4 2" xfId="43709" xr:uid="{FF33EE10-5501-4A71-A78F-A6398AFDD77B}"/>
    <cellStyle name="Calculation 2 5 7 3 5" xfId="27793" xr:uid="{2A788224-4D1B-4407-BC51-23D78B38F10E}"/>
    <cellStyle name="Calculation 2 5 7 4" xfId="5545" xr:uid="{00000000-0005-0000-0000-000059000000}"/>
    <cellStyle name="Calculation 2 5 7 4 2" xfId="12433" xr:uid="{BB37D2F5-D530-4F05-8605-CD8F737B893C}"/>
    <cellStyle name="Calculation 2 5 7 4 2 2" xfId="34918" xr:uid="{FDA7DC99-1D57-4AC1-91A3-C26DD291F33B}"/>
    <cellStyle name="Calculation 2 5 7 4 2 3" xfId="45000" xr:uid="{5C266F10-4843-44AA-8C02-DB2FF8266F47}"/>
    <cellStyle name="Calculation 2 5 7 4 3" xfId="17482" xr:uid="{52DCE016-5D42-4D41-B4B2-BD9FFAC6656C}"/>
    <cellStyle name="Calculation 2 5 7 4 3 2" xfId="39872" xr:uid="{A4D0D5DB-1628-47E8-AA89-8771A31DBE9F}"/>
    <cellStyle name="Calculation 2 5 7 4 3 3" xfId="25229" xr:uid="{1102D6F2-C209-4012-943B-879476779A30}"/>
    <cellStyle name="Calculation 2 5 7 4 4" xfId="21906" xr:uid="{72CB475A-CB5D-4F64-A2C0-536FA61F9609}"/>
    <cellStyle name="Calculation 2 5 7 4 4 2" xfId="52290" xr:uid="{A2E43848-946B-4660-8971-AD894C0A4EDA}"/>
    <cellStyle name="Calculation 2 5 7 4 5" xfId="52965" xr:uid="{7A3E82F1-DD19-411F-96E3-EBD27050B7F4}"/>
    <cellStyle name="Calculation 2 5 7 5" xfId="5111" xr:uid="{00000000-0005-0000-0000-000059000000}"/>
    <cellStyle name="Calculation 2 5 7 5 2" xfId="12004" xr:uid="{EBA4C9EF-5CF4-4AAF-BBF0-D06394DDBE77}"/>
    <cellStyle name="Calculation 2 5 7 5 2 2" xfId="34490" xr:uid="{CBCAC580-4DFA-4C79-8503-82D9EE8AFF90}"/>
    <cellStyle name="Calculation 2 5 7 5 2 3" xfId="24231" xr:uid="{219CC647-B466-4BF3-B020-BDA17F7310DB}"/>
    <cellStyle name="Calculation 2 5 7 5 3" xfId="17048" xr:uid="{59F6ADDD-FD01-4069-BFDE-0F5F3CF21081}"/>
    <cellStyle name="Calculation 2 5 7 5 3 2" xfId="39438" xr:uid="{CD8C8975-5486-47C9-823F-2CC1F6C0055E}"/>
    <cellStyle name="Calculation 2 5 7 5 3 3" xfId="32772" xr:uid="{35669A65-68CD-4DB9-B310-401557BBAA2D}"/>
    <cellStyle name="Calculation 2 5 7 5 4" xfId="21472" xr:uid="{4ECF6D3D-3AFC-4999-B08E-BDC4B80AC242}"/>
    <cellStyle name="Calculation 2 5 7 5 4 2" xfId="42016" xr:uid="{D3DFCF9D-FAD4-40CE-9FB0-532AF686786A}"/>
    <cellStyle name="Calculation 2 5 7 5 5" xfId="46982" xr:uid="{BF2837DA-C21D-46AF-97F7-0E26896150AA}"/>
    <cellStyle name="Calculation 2 5 7 6" xfId="6307" xr:uid="{00000000-0005-0000-0000-000059000000}"/>
    <cellStyle name="Calculation 2 5 7 6 2" xfId="13179" xr:uid="{8ADBAEAA-F425-47F4-82C7-8FBA9AA018ED}"/>
    <cellStyle name="Calculation 2 5 7 6 2 2" xfId="35663" xr:uid="{EFEEDB2C-A427-49CD-8CEA-CF675333F113}"/>
    <cellStyle name="Calculation 2 5 7 6 2 3" xfId="26111" xr:uid="{E30747EF-67B2-49F6-9532-3B8797497AF0}"/>
    <cellStyle name="Calculation 2 5 7 6 3" xfId="18244" xr:uid="{10737276-9559-4773-AEDF-56F990C804A4}"/>
    <cellStyle name="Calculation 2 5 7 6 3 2" xfId="40634" xr:uid="{10B0C5A1-62DB-4A10-9B0A-26DF4546C412}"/>
    <cellStyle name="Calculation 2 5 7 6 3 3" xfId="37647" xr:uid="{574F99E5-C029-45D7-AFDA-B8761A644A11}"/>
    <cellStyle name="Calculation 2 5 7 6 4" xfId="22668" xr:uid="{32184E1E-50E2-4396-A88C-E0C5539CF3D3}"/>
    <cellStyle name="Calculation 2 5 7 6 4 2" xfId="23889" xr:uid="{6977A344-11A6-43C3-A8F8-F135E42B073E}"/>
    <cellStyle name="Calculation 2 5 7 6 5" xfId="48460" xr:uid="{6D3F375E-29AB-4DC0-B030-71508F3007B9}"/>
    <cellStyle name="Calculation 2 5 7 7" xfId="6711" xr:uid="{00000000-0005-0000-0000-000059000000}"/>
    <cellStyle name="Calculation 2 5 7 7 2" xfId="13574" xr:uid="{EA17E7E3-FB42-4391-90FA-A932D31EDBB8}"/>
    <cellStyle name="Calculation 2 5 7 7 2 2" xfId="36058" xr:uid="{EBC44513-CADF-4FAE-9815-495D6CBE5271}"/>
    <cellStyle name="Calculation 2 5 7 7 2 3" xfId="47423" xr:uid="{F9BAA434-21F0-4B4F-BD47-087AC403C9AF}"/>
    <cellStyle name="Calculation 2 5 7 7 3" xfId="18648" xr:uid="{F8D66554-6C33-425B-8157-019C0C9D3FF4}"/>
    <cellStyle name="Calculation 2 5 7 7 3 2" xfId="41038" xr:uid="{FBFCB659-BAA9-48D9-8203-8498D2791EED}"/>
    <cellStyle name="Calculation 2 5 7 7 3 3" xfId="27752" xr:uid="{D61E9F7F-66AC-491F-ADC6-C3910B49C9D4}"/>
    <cellStyle name="Calculation 2 5 7 7 4" xfId="23072" xr:uid="{568F8412-7654-41DF-B080-CA854A317D1B}"/>
    <cellStyle name="Calculation 2 5 7 7 4 2" xfId="25376" xr:uid="{CA0E7147-B57C-48AA-807C-EE3A374F4826}"/>
    <cellStyle name="Calculation 2 5 7 7 5" xfId="48579" xr:uid="{471F4A1A-C213-490C-AB10-C95F2A29573B}"/>
    <cellStyle name="Calculation 2 5 7 8" xfId="6756" xr:uid="{00000000-0005-0000-0000-000059000000}"/>
    <cellStyle name="Calculation 2 5 7 8 2" xfId="13611" xr:uid="{A676F90D-6CB1-4AD1-9A54-A58F8754A5D8}"/>
    <cellStyle name="Calculation 2 5 7 8 2 2" xfId="36095" xr:uid="{302CF696-7B56-44DB-AACF-18B9F4282CB5}"/>
    <cellStyle name="Calculation 2 5 7 8 2 3" xfId="24798" xr:uid="{D4B04083-BE90-44F2-865A-C5F26C152420}"/>
    <cellStyle name="Calculation 2 5 7 8 3" xfId="18693" xr:uid="{EA9ECC0A-8C8E-4EF9-99E6-970E81E4ADEE}"/>
    <cellStyle name="Calculation 2 5 7 8 3 2" xfId="41083" xr:uid="{D445CFC0-DD23-4B69-ABA7-DB1CB308244A}"/>
    <cellStyle name="Calculation 2 5 7 8 3 3" xfId="45513" xr:uid="{DE5D0119-D5E2-43ED-9448-42D92EFFF734}"/>
    <cellStyle name="Calculation 2 5 7 8 4" xfId="23117" xr:uid="{6B628002-AD19-4AA2-8FE9-C0BF20A750B1}"/>
    <cellStyle name="Calculation 2 5 7 8 4 2" xfId="30735" xr:uid="{2B3FE1D8-EB38-4E94-A977-A948BDCBB08D}"/>
    <cellStyle name="Calculation 2 5 7 8 5" xfId="53315" xr:uid="{9B833ED9-8634-4375-8469-C117788A8C0C}"/>
    <cellStyle name="Calculation 2 5 7 9" xfId="6785" xr:uid="{00000000-0005-0000-0000-000059000000}"/>
    <cellStyle name="Calculation 2 5 7 9 2" xfId="18722" xr:uid="{7A3AA5EC-5DF8-4CC4-8194-A2F35B081017}"/>
    <cellStyle name="Calculation 2 5 7 9 2 2" xfId="41112" xr:uid="{994EEBAE-A7C4-4507-9971-A14B4B21EEC8}"/>
    <cellStyle name="Calculation 2 5 7 9 2 3" xfId="25984" xr:uid="{32219745-16BC-4580-A290-7968405245F5}"/>
    <cellStyle name="Calculation 2 5 7 9 3" xfId="23146" xr:uid="{55755B4E-F043-44CE-BAA6-CE0FC6BE25D3}"/>
    <cellStyle name="Calculation 2 5 7 9 3 2" xfId="51727" xr:uid="{70217839-9A85-4636-AFCC-6D87E1985451}"/>
    <cellStyle name="Calculation 2 5 7 9 4" xfId="51729" xr:uid="{9103585D-8FE2-4652-847E-7B9BDC509FB5}"/>
    <cellStyle name="Calculation 2 5 8" xfId="2612" xr:uid="{00000000-0005-0000-0000-00004E000000}"/>
    <cellStyle name="Calculation 2 5 8 2" xfId="9521" xr:uid="{D866B3C6-9979-41C6-8C0F-C07DEE90B8A7}"/>
    <cellStyle name="Calculation 2 5 8 2 2" xfId="32073" xr:uid="{94A5B9DE-B57F-4339-987A-ACBECB2AE358}"/>
    <cellStyle name="Calculation 2 5 8 2 3" xfId="53340" xr:uid="{03B5044E-D379-4429-BF1E-FB592B52D1CA}"/>
    <cellStyle name="Calculation 2 5 8 3" xfId="15090" xr:uid="{EB199C4A-36F7-4423-86D1-344A11EDE7CF}"/>
    <cellStyle name="Calculation 2 5 8 3 2" xfId="37535" xr:uid="{6F9C5042-F3F8-4EA3-A703-DCD50CC5D640}"/>
    <cellStyle name="Calculation 2 5 8 3 3" xfId="45341" xr:uid="{C840211E-278C-4DF3-8119-2D3C1E493171}"/>
    <cellStyle name="Calculation 2 5 8 4" xfId="15021" xr:uid="{541E17A2-730A-4BCB-BCB1-F214862BACC4}"/>
    <cellStyle name="Calculation 2 5 8 4 2" xfId="50625" xr:uid="{83B41D4D-85E6-4F45-B169-8230F465B8FB}"/>
    <cellStyle name="Calculation 2 5 8 5" xfId="44855" xr:uid="{3B272037-DB13-46CB-98AB-BFCDA2756F8A}"/>
    <cellStyle name="Calculation 2 5 9" xfId="4443" xr:uid="{00000000-0005-0000-0000-00004E000000}"/>
    <cellStyle name="Calculation 2 5 9 2" xfId="11345" xr:uid="{B7058ED6-B0A9-40E3-A7BF-86724131266F}"/>
    <cellStyle name="Calculation 2 5 9 2 2" xfId="33831" xr:uid="{AF3CDFDA-ABDE-4E5C-BC85-7908FE03C2FD}"/>
    <cellStyle name="Calculation 2 5 9 2 3" xfId="45013" xr:uid="{57A7D744-F5CF-4315-AD33-42AA606F4136}"/>
    <cellStyle name="Calculation 2 5 9 3" xfId="16380" xr:uid="{2E82FAA1-2FE9-43AB-AE06-E476A2406E08}"/>
    <cellStyle name="Calculation 2 5 9 3 2" xfId="38770" xr:uid="{236A7B3B-8DFA-4226-BE17-5B51E985F8AB}"/>
    <cellStyle name="Calculation 2 5 9 3 3" xfId="42618" xr:uid="{BE116737-1F63-4121-9C87-FACEA42EB547}"/>
    <cellStyle name="Calculation 2 5 9 4" xfId="20352" xr:uid="{B6BCB15E-A6F1-4E67-A83C-AF37C9DC2EAA}"/>
    <cellStyle name="Calculation 2 5 9 4 2" xfId="52963" xr:uid="{5CD3D709-DE5E-4F53-A486-BCAF009D3CB4}"/>
    <cellStyle name="Calculation 2 5 9 5" xfId="47630" xr:uid="{2738D640-6489-44D1-8827-A1BE6DB6AC94}"/>
    <cellStyle name="Calculation 2 6" xfId="428" xr:uid="{00000000-0005-0000-0000-00005A000000}"/>
    <cellStyle name="Calculation 2 6 10" xfId="2269" xr:uid="{00000000-0005-0000-0000-00005A000000}"/>
    <cellStyle name="Calculation 2 6 10 2" xfId="9181" xr:uid="{84145768-7B4F-4929-A041-ADBF3F212F48}"/>
    <cellStyle name="Calculation 2 6 10 2 2" xfId="31756" xr:uid="{575EABDB-B610-4EBE-BBBB-D1EFF6B4B288}"/>
    <cellStyle name="Calculation 2 6 10 2 3" xfId="45762" xr:uid="{B601430D-7D25-4CEC-9AE7-FC0F85E045E6}"/>
    <cellStyle name="Calculation 2 6 10 3" xfId="14839" xr:uid="{6391E940-8AA5-449E-BE7F-016B00EFB6A9}"/>
    <cellStyle name="Calculation 2 6 10 3 2" xfId="37293" xr:uid="{3228AA47-4CF7-4CEA-8A6E-3EF889A5FFDD}"/>
    <cellStyle name="Calculation 2 6 10 3 3" xfId="53841" xr:uid="{842CCE02-F6B3-4252-88DA-848DDDB7FD7B}"/>
    <cellStyle name="Calculation 2 6 10 4" xfId="14614" xr:uid="{01F225D3-B26A-4A58-B680-15C9425C871D}"/>
    <cellStyle name="Calculation 2 6 10 4 2" xfId="29012" xr:uid="{E0CD5C90-823C-49FE-B0D5-C83AA7DC3C34}"/>
    <cellStyle name="Calculation 2 6 10 5" xfId="45776" xr:uid="{1A8BDDA3-B79B-4795-BDB4-A085DE6544A3}"/>
    <cellStyle name="Calculation 2 6 11" xfId="4475" xr:uid="{00000000-0005-0000-0000-00005A000000}"/>
    <cellStyle name="Calculation 2 6 11 2" xfId="11377" xr:uid="{8DFAEE5B-76EA-4C42-AA6E-CBCC1677CB4F}"/>
    <cellStyle name="Calculation 2 6 11 2 2" xfId="33863" xr:uid="{3916909B-71D9-4BBF-86B8-EE0F2C309AC1}"/>
    <cellStyle name="Calculation 2 6 11 2 3" xfId="42440" xr:uid="{F8955987-0AC3-480E-9832-39738687C14D}"/>
    <cellStyle name="Calculation 2 6 11 3" xfId="16412" xr:uid="{55AA728D-5EE0-4458-BB1F-34D198A45330}"/>
    <cellStyle name="Calculation 2 6 11 3 2" xfId="38802" xr:uid="{D2FF62FA-CB4E-4AA1-AD46-A687892664E4}"/>
    <cellStyle name="Calculation 2 6 11 3 3" xfId="43778" xr:uid="{8CB17264-30D6-41A8-A2F2-1E940910523A}"/>
    <cellStyle name="Calculation 2 6 11 4" xfId="13967" xr:uid="{6341F646-121F-46BC-85F5-6E2A90E3C219}"/>
    <cellStyle name="Calculation 2 6 11 4 2" xfId="49656" xr:uid="{BC3541E2-9EBC-4F1D-9811-1D2BDFDF93C9}"/>
    <cellStyle name="Calculation 2 6 11 5" xfId="52062" xr:uid="{10F775BF-2C3B-42A1-9F04-8F98A644DD57}"/>
    <cellStyle name="Calculation 2 6 12" xfId="6762" xr:uid="{00000000-0005-0000-0000-00005A000000}"/>
    <cellStyle name="Calculation 2 6 12 2" xfId="13614" xr:uid="{56BF92F4-7D0D-4D3D-A20E-4FC723BB061F}"/>
    <cellStyle name="Calculation 2 6 12 2 2" xfId="36098" xr:uid="{49FC1243-B7A0-4471-B054-5B7BC319ACC5}"/>
    <cellStyle name="Calculation 2 6 12 2 3" xfId="46286" xr:uid="{92D73813-6726-4E14-8783-859CFCFC491C}"/>
    <cellStyle name="Calculation 2 6 12 3" xfId="18699" xr:uid="{E6445227-82DE-45C4-8EB3-F9B243EF5621}"/>
    <cellStyle name="Calculation 2 6 12 3 2" xfId="41089" xr:uid="{498AEE59-A113-4FD6-87E5-FF7BCDB8C9F1}"/>
    <cellStyle name="Calculation 2 6 12 3 3" xfId="25072" xr:uid="{0C074F70-F53A-4160-BAC1-2FE0F2173363}"/>
    <cellStyle name="Calculation 2 6 12 4" xfId="23123" xr:uid="{658115BF-9C59-496F-92C9-14307272D35C}"/>
    <cellStyle name="Calculation 2 6 12 4 2" xfId="49844" xr:uid="{5CB94DF3-C4D5-4A6A-AA30-ADC65540EDEF}"/>
    <cellStyle name="Calculation 2 6 12 5" xfId="24935" xr:uid="{89EA1981-8A9E-422B-B4EE-A9780B8F9766}"/>
    <cellStyle name="Calculation 2 6 13" xfId="8808" xr:uid="{3A1E9A7F-3F5B-448E-B715-C2F200DBAEF3}"/>
    <cellStyle name="Calculation 2 6 13 2" xfId="31389" xr:uid="{4572CB4B-43DA-4B72-97F0-65D68F76E8F2}"/>
    <cellStyle name="Calculation 2 6 13 3" xfId="46195" xr:uid="{92CF7A37-0FBD-4E75-8B56-A09E6837A212}"/>
    <cellStyle name="Calculation 2 6 14" xfId="14125" xr:uid="{6AD16A46-B192-43A3-8D74-407E5754AFBB}"/>
    <cellStyle name="Calculation 2 6 14 2" xfId="36602" xr:uid="{A8F1B4BC-9D15-482E-8733-DAF8C8EE24B3}"/>
    <cellStyle name="Calculation 2 6 14 3" xfId="48098" xr:uid="{88099FB6-912A-4DFF-AE23-FB579A8FC32D}"/>
    <cellStyle name="Calculation 2 6 15" xfId="20937" xr:uid="{1FEA06D9-C691-43F8-A6D8-D9382E8A5D16}"/>
    <cellStyle name="Calculation 2 6 15 2" xfId="42881" xr:uid="{515ABE13-3CD5-4E5F-9DDE-6B53FADF8CBB}"/>
    <cellStyle name="Calculation 2 6 16" xfId="29728" xr:uid="{638BB67B-2D7D-4891-BAFB-F6636A81F10B}"/>
    <cellStyle name="Calculation 2 6 2" xfId="583" xr:uid="{00000000-0005-0000-0000-00005B000000}"/>
    <cellStyle name="Calculation 2 6 2 10" xfId="20720" xr:uid="{EB1B8A83-1730-48F4-9F8E-522284E07605}"/>
    <cellStyle name="Calculation 2 6 2 10 2" xfId="52456" xr:uid="{051E16D4-3C41-4F03-8044-7B554573CCD5}"/>
    <cellStyle name="Calculation 2 6 2 11" xfId="51186" xr:uid="{26F849EA-FA3E-409D-B107-394439B5B052}"/>
    <cellStyle name="Calculation 2 6 2 2" xfId="1717" xr:uid="{00000000-0005-0000-0000-00005C000000}"/>
    <cellStyle name="Calculation 2 6 2 2 10" xfId="14418" xr:uid="{FCCC8529-5D1B-4F95-87B4-733928C968D7}"/>
    <cellStyle name="Calculation 2 6 2 2 10 2" xfId="36884" xr:uid="{577EDF2F-15D4-4C4E-93E5-D8D94E2845EF}"/>
    <cellStyle name="Calculation 2 6 2 2 10 3" xfId="47777" xr:uid="{C1FA9884-DC4C-497E-8330-86EE6382E1D8}"/>
    <cellStyle name="Calculation 2 6 2 2 11" xfId="20346" xr:uid="{E09C3438-5451-414A-9C6C-926239A99E62}"/>
    <cellStyle name="Calculation 2 6 2 2 11 2" xfId="42644" xr:uid="{B8C03C45-CD20-4B2D-B630-48A3E5C6CE9E}"/>
    <cellStyle name="Calculation 2 6 2 2 11 3" xfId="47188" xr:uid="{86D90241-77F6-48D3-B44B-8A974238B2B7}"/>
    <cellStyle name="Calculation 2 6 2 2 12" xfId="8109" xr:uid="{1BAB628B-BDB0-4D77-9EAB-05ECF9C5EB8E}"/>
    <cellStyle name="Calculation 2 6 2 2 12 2" xfId="50759" xr:uid="{B7DBFD27-830B-4DC9-BC4D-63EF989BF677}"/>
    <cellStyle name="Calculation 2 6 2 2 13" xfId="47216" xr:uid="{A67A3952-E15F-4E41-A9A5-D2F8BEB37648}"/>
    <cellStyle name="Calculation 2 6 2 2 2" xfId="3815" xr:uid="{00000000-0005-0000-0000-00005C000000}"/>
    <cellStyle name="Calculation 2 6 2 2 2 2" xfId="10719" xr:uid="{0BAB9300-1DD5-4F94-BD20-E981252D44B8}"/>
    <cellStyle name="Calculation 2 6 2 2 2 2 2" xfId="33205" xr:uid="{F108F48B-A0F6-4173-9186-93125717B0E8}"/>
    <cellStyle name="Calculation 2 6 2 2 2 2 3" xfId="50110" xr:uid="{B22608A3-364D-4380-9235-A547841B7832}"/>
    <cellStyle name="Calculation 2 6 2 2 2 3" xfId="15875" xr:uid="{F73E12E9-10B5-48B9-9BD2-FC9411F7C439}"/>
    <cellStyle name="Calculation 2 6 2 2 2 3 2" xfId="38281" xr:uid="{DC5B385C-0D1B-45D2-AB88-6E60739F556E}"/>
    <cellStyle name="Calculation 2 6 2 2 2 3 3" xfId="36799" xr:uid="{9E64B7FA-B569-4AB0-9E30-6FA30234FDBD}"/>
    <cellStyle name="Calculation 2 6 2 2 2 4" xfId="20747" xr:uid="{FC3B5785-AD98-47EE-BD7D-5AD259D95F5A}"/>
    <cellStyle name="Calculation 2 6 2 2 2 4 2" xfId="47702" xr:uid="{9C4168A6-6034-4001-9B84-3866453A0D4C}"/>
    <cellStyle name="Calculation 2 6 2 2 2 5" xfId="49118" xr:uid="{8C37FC5C-315D-4118-AB14-BA4C5AB2E64C}"/>
    <cellStyle name="Calculation 2 6 2 2 3" xfId="5231" xr:uid="{00000000-0005-0000-0000-00005C000000}"/>
    <cellStyle name="Calculation 2 6 2 2 3 2" xfId="12123" xr:uid="{9D57B9E7-80A3-4327-8E2A-3868F69F7D21}"/>
    <cellStyle name="Calculation 2 6 2 2 3 2 2" xfId="34608" xr:uid="{1287E499-88E2-44D5-874B-41EA49A99CC2}"/>
    <cellStyle name="Calculation 2 6 2 2 3 2 3" xfId="28014" xr:uid="{230ACC65-B7A2-4EC8-810E-0ADFBDD68929}"/>
    <cellStyle name="Calculation 2 6 2 2 3 3" xfId="17168" xr:uid="{5D4B7A8B-F9E5-4FC2-88B2-9CB4BF6D1A9E}"/>
    <cellStyle name="Calculation 2 6 2 2 3 3 2" xfId="39558" xr:uid="{21B519D3-1BF8-47B3-BEC9-442D19C0D84B}"/>
    <cellStyle name="Calculation 2 6 2 2 3 3 3" xfId="45491" xr:uid="{6529FDF6-14F9-44F9-B575-A0980F53F5A0}"/>
    <cellStyle name="Calculation 2 6 2 2 3 4" xfId="21592" xr:uid="{6600C6F1-638B-4A64-8291-3B5C2570C298}"/>
    <cellStyle name="Calculation 2 6 2 2 3 4 2" xfId="49914" xr:uid="{E3EEF2A5-E3C6-415A-86DD-C1868D43DD16}"/>
    <cellStyle name="Calculation 2 6 2 2 3 5" xfId="25845" xr:uid="{D175BE69-779D-45F9-A2C0-C826D031E592}"/>
    <cellStyle name="Calculation 2 6 2 2 4" xfId="5643" xr:uid="{00000000-0005-0000-0000-00005C000000}"/>
    <cellStyle name="Calculation 2 6 2 2 4 2" xfId="12527" xr:uid="{83FDB98A-4CC4-4AB5-84A3-A032A63FAFD7}"/>
    <cellStyle name="Calculation 2 6 2 2 4 2 2" xfId="35012" xr:uid="{759E08EC-E7F0-40B3-8F45-59D044424B53}"/>
    <cellStyle name="Calculation 2 6 2 2 4 2 3" xfId="28312" xr:uid="{FD0FCA30-FAE1-4E2A-9195-CE4C6A5F4D6B}"/>
    <cellStyle name="Calculation 2 6 2 2 4 3" xfId="17580" xr:uid="{54E0C25A-313A-4938-8E71-F63BC5676FB9}"/>
    <cellStyle name="Calculation 2 6 2 2 4 3 2" xfId="39970" xr:uid="{C98BBC17-C612-45DD-936D-86B34F11A12B}"/>
    <cellStyle name="Calculation 2 6 2 2 4 3 3" xfId="43874" xr:uid="{1B1B2C11-C651-4ACB-9D25-CE87948A9A5C}"/>
    <cellStyle name="Calculation 2 6 2 2 4 4" xfId="22004" xr:uid="{84149B1F-7523-46C1-B4FC-0A9379CE56F3}"/>
    <cellStyle name="Calculation 2 6 2 2 4 4 2" xfId="52802" xr:uid="{04572355-6DFF-4099-B56B-1B22EA245B90}"/>
    <cellStyle name="Calculation 2 6 2 2 4 5" xfId="46915" xr:uid="{E932652C-C624-4EE9-9C2C-C934600C879F}"/>
    <cellStyle name="Calculation 2 6 2 2 5" xfId="4763" xr:uid="{00000000-0005-0000-0000-00005C000000}"/>
    <cellStyle name="Calculation 2 6 2 2 5 2" xfId="11661" xr:uid="{3F5E27FF-A144-4ED4-9E71-1335FE8A812B}"/>
    <cellStyle name="Calculation 2 6 2 2 5 2 2" xfId="34147" xr:uid="{16810DA7-D4CD-4406-AB13-DEBBB7060D10}"/>
    <cellStyle name="Calculation 2 6 2 2 5 2 3" xfId="30816" xr:uid="{EB3E36C4-72B6-44CE-B936-325A8B80374F}"/>
    <cellStyle name="Calculation 2 6 2 2 5 3" xfId="16700" xr:uid="{C3519A1D-CB67-40DB-A4EA-008C725E601A}"/>
    <cellStyle name="Calculation 2 6 2 2 5 3 2" xfId="39090" xr:uid="{F8068276-1C88-46A0-A0A6-01C8A62CFA7A}"/>
    <cellStyle name="Calculation 2 6 2 2 5 3 3" xfId="31916" xr:uid="{8FD64655-F87D-4A58-AFF7-DC74F9A0053F}"/>
    <cellStyle name="Calculation 2 6 2 2 5 4" xfId="19445" xr:uid="{C07DE2C4-EAAC-4D93-A685-59AA44C872D9}"/>
    <cellStyle name="Calculation 2 6 2 2 5 4 2" xfId="36629" xr:uid="{A5660613-3A2F-4005-A868-81056AFA5E3E}"/>
    <cellStyle name="Calculation 2 6 2 2 5 5" xfId="51712" xr:uid="{77AF3D77-91CC-4C05-935E-D9EFE4FE79B0}"/>
    <cellStyle name="Calculation 2 6 2 2 6" xfId="6382" xr:uid="{00000000-0005-0000-0000-00005C000000}"/>
    <cellStyle name="Calculation 2 6 2 2 6 2" xfId="13254" xr:uid="{FAB038CA-C2CA-4C56-9194-1695287DCF73}"/>
    <cellStyle name="Calculation 2 6 2 2 6 2 2" xfId="35738" xr:uid="{64B6A989-DCA4-41C9-A8DC-48BA3F131CD8}"/>
    <cellStyle name="Calculation 2 6 2 2 6 2 3" xfId="53302" xr:uid="{8A1154F8-7681-4CF5-965B-9381BC389197}"/>
    <cellStyle name="Calculation 2 6 2 2 6 3" xfId="18319" xr:uid="{B48B91DF-DBB3-4A1E-BEFC-133F91784D5A}"/>
    <cellStyle name="Calculation 2 6 2 2 6 3 2" xfId="40709" xr:uid="{1F46048E-D776-4593-B24D-13D98332C87E}"/>
    <cellStyle name="Calculation 2 6 2 2 6 3 3" xfId="32424" xr:uid="{0E2004E0-D179-4121-983A-FEE645234EFC}"/>
    <cellStyle name="Calculation 2 6 2 2 6 4" xfId="22743" xr:uid="{6C1AC964-7D71-4D88-B98B-34C73938B181}"/>
    <cellStyle name="Calculation 2 6 2 2 6 4 2" xfId="52230" xr:uid="{2E85CA94-A52D-4952-B937-BBE4E07DFD77}"/>
    <cellStyle name="Calculation 2 6 2 2 6 5" xfId="51219" xr:uid="{57839610-48F4-403D-8BC7-DECA5D0FF23E}"/>
    <cellStyle name="Calculation 2 6 2 2 7" xfId="6717" xr:uid="{00000000-0005-0000-0000-00005C000000}"/>
    <cellStyle name="Calculation 2 6 2 2 7 2" xfId="13579" xr:uid="{8BB0ADD6-0220-4949-B2BE-785732BA31C9}"/>
    <cellStyle name="Calculation 2 6 2 2 7 2 2" xfId="36063" xr:uid="{AECF9B2B-67B9-48D9-906D-5247457267E1}"/>
    <cellStyle name="Calculation 2 6 2 2 7 2 3" xfId="43363" xr:uid="{7F5C7A52-31A2-4560-9C2A-9E4960A1D131}"/>
    <cellStyle name="Calculation 2 6 2 2 7 3" xfId="18654" xr:uid="{157E54CB-71F9-48EE-AC7B-D1F3640D668F}"/>
    <cellStyle name="Calculation 2 6 2 2 7 3 2" xfId="41044" xr:uid="{A7D46808-F762-4D15-B2D9-3EFE0EA38647}"/>
    <cellStyle name="Calculation 2 6 2 2 7 3 3" xfId="28392" xr:uid="{169CB6BA-C4D6-4489-8EA5-C94DA8ED4956}"/>
    <cellStyle name="Calculation 2 6 2 2 7 4" xfId="23078" xr:uid="{5D719E9A-CAC8-4F48-AA26-77BB25C0FFA7}"/>
    <cellStyle name="Calculation 2 6 2 2 7 4 2" xfId="50128" xr:uid="{50453B3B-D148-4A93-BCE4-23BFDD32F357}"/>
    <cellStyle name="Calculation 2 6 2 2 7 5" xfId="32820" xr:uid="{7BE3CB1F-5A61-4513-B43D-671B563020F1}"/>
    <cellStyle name="Calculation 2 6 2 2 8" xfId="6899" xr:uid="{00000000-0005-0000-0000-00005C000000}"/>
    <cellStyle name="Calculation 2 6 2 2 8 2" xfId="13737" xr:uid="{D52E8364-321D-43B3-B8D6-4677D6EE24E9}"/>
    <cellStyle name="Calculation 2 6 2 2 8 2 2" xfId="36221" xr:uid="{8D24B3CE-E97C-4A3E-ABC7-13F1B35510D1}"/>
    <cellStyle name="Calculation 2 6 2 2 8 2 3" xfId="23972" xr:uid="{686D8839-C269-480A-B6A6-3EB03EE88C14}"/>
    <cellStyle name="Calculation 2 6 2 2 8 3" xfId="18836" xr:uid="{0F8C117B-7F09-4DCF-A44C-A1CA224912AB}"/>
    <cellStyle name="Calculation 2 6 2 2 8 3 2" xfId="41226" xr:uid="{C440CA76-36A8-4328-9E71-5E24CA782047}"/>
    <cellStyle name="Calculation 2 6 2 2 8 3 3" xfId="43382" xr:uid="{B887C646-3564-4212-870D-C79126F813AC}"/>
    <cellStyle name="Calculation 2 6 2 2 8 4" xfId="23260" xr:uid="{39FFB02F-0E8F-4432-85A5-287A8403F20E}"/>
    <cellStyle name="Calculation 2 6 2 2 8 4 2" xfId="46732" xr:uid="{BFA74F81-75F4-4B06-945A-CA4280719B0D}"/>
    <cellStyle name="Calculation 2 6 2 2 8 5" xfId="30147" xr:uid="{55CBE5CD-D81E-4D9B-BB85-70198DA1DC7B}"/>
    <cellStyle name="Calculation 2 6 2 2 9" xfId="6169" xr:uid="{00000000-0005-0000-0000-00005C000000}"/>
    <cellStyle name="Calculation 2 6 2 2 9 2" xfId="18106" xr:uid="{B4507880-2974-4660-A236-2BF82CCE684D}"/>
    <cellStyle name="Calculation 2 6 2 2 9 2 2" xfId="40496" xr:uid="{7D7A5BD1-F296-4E9F-8284-B96180703EEC}"/>
    <cellStyle name="Calculation 2 6 2 2 9 2 3" xfId="25300" xr:uid="{35344A8C-5E4F-4A74-9F4C-02B67A568220}"/>
    <cellStyle name="Calculation 2 6 2 2 9 3" xfId="22530" xr:uid="{98E8C521-3809-4C3E-8AB4-7035B8F6E5DA}"/>
    <cellStyle name="Calculation 2 6 2 2 9 3 2" xfId="29719" xr:uid="{CC1AA051-F162-42C1-8029-2E75970837F4}"/>
    <cellStyle name="Calculation 2 6 2 2 9 4" xfId="48217" xr:uid="{47AC16C0-6970-4DA3-8CE1-E46A5DCC9D19}"/>
    <cellStyle name="Calculation 2 6 2 3" xfId="2731" xr:uid="{00000000-0005-0000-0000-00005B000000}"/>
    <cellStyle name="Calculation 2 6 2 3 2" xfId="9640" xr:uid="{BB359E91-F010-4FD2-A605-5E4447AEE18E}"/>
    <cellStyle name="Calculation 2 6 2 3 2 2" xfId="32188" xr:uid="{E05E77B4-1E72-4151-A920-7473C99C3A97}"/>
    <cellStyle name="Calculation 2 6 2 3 2 3" xfId="49785" xr:uid="{F2E67DFE-A0BB-48C6-A88C-00140FFEB35F}"/>
    <cellStyle name="Calculation 2 6 2 3 3" xfId="15158" xr:uid="{6447A1FC-A40E-4342-84B7-8BC60C8CF48D}"/>
    <cellStyle name="Calculation 2 6 2 3 3 2" xfId="37598" xr:uid="{5E611407-E1A7-41EF-93E3-6351983FEB38}"/>
    <cellStyle name="Calculation 2 6 2 3 3 3" xfId="51040" xr:uid="{1C1F4A70-4613-49CF-A369-51FEBDDD2DED}"/>
    <cellStyle name="Calculation 2 6 2 3 4" xfId="20521" xr:uid="{7FAF4FFC-1C1A-44D5-9EEF-D63D0C7A4C1E}"/>
    <cellStyle name="Calculation 2 6 2 3 4 2" xfId="53352" xr:uid="{14EFEBA4-6FF6-4031-9C18-72EFFD5E31F6}"/>
    <cellStyle name="Calculation 2 6 2 3 5" xfId="51449" xr:uid="{078FC21D-B17D-42DD-A43F-B92CAF3D47F7}"/>
    <cellStyle name="Calculation 2 6 2 4" xfId="4522" xr:uid="{00000000-0005-0000-0000-00005B000000}"/>
    <cellStyle name="Calculation 2 6 2 4 2" xfId="11424" xr:uid="{AA0EEADC-D8E4-4583-B69E-6B9C4EC44D7D}"/>
    <cellStyle name="Calculation 2 6 2 4 2 2" xfId="33910" xr:uid="{0F0087F0-06A8-46FC-A832-5D9ADF295330}"/>
    <cellStyle name="Calculation 2 6 2 4 2 3" xfId="42533" xr:uid="{ED7C7D95-4A1E-4531-B37A-E1F9991D7928}"/>
    <cellStyle name="Calculation 2 6 2 4 3" xfId="16459" xr:uid="{44941028-B0B2-4148-BF1A-3066C31CF645}"/>
    <cellStyle name="Calculation 2 6 2 4 3 2" xfId="38849" xr:uid="{FCF7E668-33EF-4677-AEC8-AB879AFF28E2}"/>
    <cellStyle name="Calculation 2 6 2 4 3 3" xfId="29494" xr:uid="{4D52ACD5-910C-4B29-A853-2F486BD54F2A}"/>
    <cellStyle name="Calculation 2 6 2 4 4" xfId="16162" xr:uid="{07A7EA56-6B90-4E19-8BE3-56F9905634E5}"/>
    <cellStyle name="Calculation 2 6 2 4 4 2" xfId="43170" xr:uid="{96E20DD1-FF90-4141-B850-DCC7615E6EA5}"/>
    <cellStyle name="Calculation 2 6 2 4 5" xfId="53571" xr:uid="{4655FA76-1ECC-4133-92B1-A529F642345C}"/>
    <cellStyle name="Calculation 2 6 2 5" xfId="3945" xr:uid="{00000000-0005-0000-0000-00005B000000}"/>
    <cellStyle name="Calculation 2 6 2 5 2" xfId="10849" xr:uid="{5E3BF678-D2FC-4BD5-841D-169887515C17}"/>
    <cellStyle name="Calculation 2 6 2 5 2 2" xfId="33335" xr:uid="{7882089B-8F92-4CE4-A0C5-C110921F314D}"/>
    <cellStyle name="Calculation 2 6 2 5 2 3" xfId="51555" xr:uid="{E9D72B45-B9F8-4C23-A33A-D8E301EB754D}"/>
    <cellStyle name="Calculation 2 6 2 5 3" xfId="15987" xr:uid="{40C8763B-0069-445A-ADE2-FABF51B6B57A}"/>
    <cellStyle name="Calculation 2 6 2 5 3 2" xfId="38390" xr:uid="{C38D0278-7507-4736-9D33-1104CE0EAA06}"/>
    <cellStyle name="Calculation 2 6 2 5 3 3" xfId="52051" xr:uid="{506485FB-8BB5-4FB4-B626-AD9970927784}"/>
    <cellStyle name="Calculation 2 6 2 5 4" xfId="20734" xr:uid="{6B209AF6-D7EB-458F-BD01-D515EB449BB6}"/>
    <cellStyle name="Calculation 2 6 2 5 4 2" xfId="52575" xr:uid="{502A7B65-84ED-4F31-A880-BAF794D52BFB}"/>
    <cellStyle name="Calculation 2 6 2 5 5" xfId="48884" xr:uid="{4031F7E1-F403-400F-ABB1-8CA3F0D21E2C}"/>
    <cellStyle name="Calculation 2 6 2 6" xfId="2276" xr:uid="{00000000-0005-0000-0000-00005B000000}"/>
    <cellStyle name="Calculation 2 6 2 6 2" xfId="9187" xr:uid="{03F66DB5-F374-4720-AB4B-0E4D7F88B7CD}"/>
    <cellStyle name="Calculation 2 6 2 6 2 2" xfId="31762" xr:uid="{2EBD1946-D433-4623-9D6F-E233212B2A92}"/>
    <cellStyle name="Calculation 2 6 2 6 2 3" xfId="43340" xr:uid="{14380ED5-5AA5-4CB2-9F11-98A14CD02A98}"/>
    <cellStyle name="Calculation 2 6 2 6 3" xfId="14845" xr:uid="{1AB71DDB-3425-43B7-B2EB-D1AE3E2D8B51}"/>
    <cellStyle name="Calculation 2 6 2 6 3 2" xfId="37299" xr:uid="{4F2EB433-985C-47F0-AA75-A36DEE4733E7}"/>
    <cellStyle name="Calculation 2 6 2 6 3 3" xfId="46238" xr:uid="{87580437-F3D8-45C6-B3FA-63DCF56BD4AF}"/>
    <cellStyle name="Calculation 2 6 2 6 4" xfId="19656" xr:uid="{22DD5D3C-87DB-415D-810F-F277D19F37DE}"/>
    <cellStyle name="Calculation 2 6 2 6 4 2" xfId="29086" xr:uid="{069B9866-F235-4907-80B8-82F917212021}"/>
    <cellStyle name="Calculation 2 6 2 6 5" xfId="24484" xr:uid="{EF28656D-B725-4E4F-97EF-773207FDF063}"/>
    <cellStyle name="Calculation 2 6 2 7" xfId="5499" xr:uid="{00000000-0005-0000-0000-00005B000000}"/>
    <cellStyle name="Calculation 2 6 2 7 2" xfId="12388" xr:uid="{01E6611F-B7D9-48BB-9290-32ADB2F5DBCD}"/>
    <cellStyle name="Calculation 2 6 2 7 2 2" xfId="34873" xr:uid="{11A3C477-E1EF-498D-9F35-9DD283DC8056}"/>
    <cellStyle name="Calculation 2 6 2 7 2 3" xfId="43538" xr:uid="{CD652715-6092-4C6D-84C4-9559364AAD2D}"/>
    <cellStyle name="Calculation 2 6 2 7 3" xfId="17436" xr:uid="{2D681E84-C2C8-4C6F-99B3-46210CD5CDF3}"/>
    <cellStyle name="Calculation 2 6 2 7 3 2" xfId="39826" xr:uid="{7553B174-0D71-4691-9011-7DEF48967C4D}"/>
    <cellStyle name="Calculation 2 6 2 7 3 3" xfId="28074" xr:uid="{565C843B-0CEC-408E-80E6-0081A9ABB70F}"/>
    <cellStyle name="Calculation 2 6 2 7 4" xfId="21860" xr:uid="{E7133E25-604A-4A1E-A9F4-7CD2CBADAB53}"/>
    <cellStyle name="Calculation 2 6 2 7 4 2" xfId="48717" xr:uid="{27AC095E-DF50-4FE7-968A-8139063EBE9A}"/>
    <cellStyle name="Calculation 2 6 2 7 5" xfId="46751" xr:uid="{C02CA9EE-4EFC-43A4-B839-0442F338EFBE}"/>
    <cellStyle name="Calculation 2 6 2 8" xfId="7745" xr:uid="{5B133B91-A6B0-4C76-9F16-6A84FD8E5F0D}"/>
    <cellStyle name="Calculation 2 6 2 8 2" xfId="30394" xr:uid="{7B34F347-5D39-4D3B-AEC9-A4A88312B8FF}"/>
    <cellStyle name="Calculation 2 6 2 8 3" xfId="32679" xr:uid="{B1A5851F-9EFE-48BA-BBDE-4DC63526D004}"/>
    <cellStyle name="Calculation 2 6 2 9" xfId="20092" xr:uid="{4C6EB995-8502-4FB5-9619-A96797CF95D9}"/>
    <cellStyle name="Calculation 2 6 2 9 2" xfId="42409" xr:uid="{1A047B94-CCE3-4BF1-B3C0-A7AD17FF4C27}"/>
    <cellStyle name="Calculation 2 6 2 9 3" xfId="29937" xr:uid="{C58FE42B-085A-4D2A-A7DB-A54FD7B9CC61}"/>
    <cellStyle name="Calculation 2 6 3" xfId="829" xr:uid="{00000000-0005-0000-0000-00005D000000}"/>
    <cellStyle name="Calculation 2 6 3 10" xfId="15417" xr:uid="{AA772450-F578-4FC2-9286-E2401730ED4E}"/>
    <cellStyle name="Calculation 2 6 3 10 2" xfId="50763" xr:uid="{8F3DAEBD-EC7D-49A5-B2E2-C1F31590E70F}"/>
    <cellStyle name="Calculation 2 6 3 11" xfId="46520" xr:uid="{CA5278EF-02A4-4978-A7B8-87A685C89A88}"/>
    <cellStyle name="Calculation 2 6 3 2" xfId="1815" xr:uid="{00000000-0005-0000-0000-00005E000000}"/>
    <cellStyle name="Calculation 2 6 3 2 10" xfId="14499" xr:uid="{76180DAC-DE63-4790-9B76-379690CC8A30}"/>
    <cellStyle name="Calculation 2 6 3 2 10 2" xfId="36960" xr:uid="{4F7AB35F-DE02-4AA2-B516-263F3CA37969}"/>
    <cellStyle name="Calculation 2 6 3 2 10 3" xfId="46043" xr:uid="{A972BE3A-DF08-44CA-8CA4-1460CA961F0F}"/>
    <cellStyle name="Calculation 2 6 3 2 11" xfId="19610" xr:uid="{D08320AB-FABD-408F-80F3-3D094D509925}"/>
    <cellStyle name="Calculation 2 6 3 2 11 2" xfId="41962" xr:uid="{6D91A700-5704-4CBD-9E43-6FD57A68A9DE}"/>
    <cellStyle name="Calculation 2 6 3 2 11 3" xfId="28257" xr:uid="{9E28206E-9AB3-47FD-A5F4-5B4E1B335DB1}"/>
    <cellStyle name="Calculation 2 6 3 2 12" xfId="15617" xr:uid="{07096CCE-BBE6-4EC8-A301-6CF4AF952C53}"/>
    <cellStyle name="Calculation 2 6 3 2 12 2" xfId="52220" xr:uid="{1FAC8727-EAA2-4697-81DF-DE578164FD8D}"/>
    <cellStyle name="Calculation 2 6 3 2 13" xfId="51313" xr:uid="{AF9AC89E-535E-422A-A31E-1C598ADAA27E}"/>
    <cellStyle name="Calculation 2 6 3 2 2" xfId="3913" xr:uid="{00000000-0005-0000-0000-00005E000000}"/>
    <cellStyle name="Calculation 2 6 3 2 2 2" xfId="10817" xr:uid="{9CAD25DC-298A-4DB6-8CBB-310FF58764DA}"/>
    <cellStyle name="Calculation 2 6 3 2 2 2 2" xfId="33303" xr:uid="{19F32BB3-5C8A-4165-870D-92489C275CA8}"/>
    <cellStyle name="Calculation 2 6 3 2 2 2 3" xfId="51158" xr:uid="{678D3560-0C14-461E-8A91-C9E4E99DC169}"/>
    <cellStyle name="Calculation 2 6 3 2 2 3" xfId="15955" xr:uid="{46884623-F4C3-4AB1-8104-17ACEF8289D1}"/>
    <cellStyle name="Calculation 2 6 3 2 2 3 2" xfId="38358" xr:uid="{BA511A39-F105-4A65-BABA-D4444393FA02}"/>
    <cellStyle name="Calculation 2 6 3 2 2 3 3" xfId="53137" xr:uid="{6417679F-6B9E-4BEE-8A3A-5E37A1A24E5D}"/>
    <cellStyle name="Calculation 2 6 3 2 2 4" xfId="15226" xr:uid="{F2756F63-385A-44F1-A309-035C7A6D367E}"/>
    <cellStyle name="Calculation 2 6 3 2 2 4 2" xfId="47266" xr:uid="{855696B8-DF7D-47D3-B121-4DDA2E32A0F9}"/>
    <cellStyle name="Calculation 2 6 3 2 2 5" xfId="47612" xr:uid="{BBC0E00A-EE6F-41E0-A595-411686F3275B}"/>
    <cellStyle name="Calculation 2 6 3 2 3" xfId="5308" xr:uid="{00000000-0005-0000-0000-00005E000000}"/>
    <cellStyle name="Calculation 2 6 3 2 3 2" xfId="12200" xr:uid="{6C764512-239A-4D38-A425-DCA24001BBC1}"/>
    <cellStyle name="Calculation 2 6 3 2 3 2 2" xfId="34685" xr:uid="{6F0E59F1-1F02-4411-895B-975E678640E8}"/>
    <cellStyle name="Calculation 2 6 3 2 3 2 3" xfId="38406" xr:uid="{3C9A575F-CC44-4A55-ABE3-98C630D1D9AD}"/>
    <cellStyle name="Calculation 2 6 3 2 3 3" xfId="17245" xr:uid="{981FAB88-8B61-49E0-86F7-1739B583CAB3}"/>
    <cellStyle name="Calculation 2 6 3 2 3 3 2" xfId="39635" xr:uid="{43929A08-EA62-43CB-8C66-81B2E3C2F931}"/>
    <cellStyle name="Calculation 2 6 3 2 3 3 3" xfId="27184" xr:uid="{88942BBB-0BA9-45BE-9132-FB36D25E4EBE}"/>
    <cellStyle name="Calculation 2 6 3 2 3 4" xfId="21669" xr:uid="{64A95030-8703-4787-AC4A-345C5EAD89D0}"/>
    <cellStyle name="Calculation 2 6 3 2 3 4 2" xfId="47500" xr:uid="{24E62ACC-D848-4907-A672-6105E3918D0C}"/>
    <cellStyle name="Calculation 2 6 3 2 3 5" xfId="26089" xr:uid="{303A9049-BF11-4582-BF26-D8382101ACB8}"/>
    <cellStyle name="Calculation 2 6 3 2 4" xfId="5718" xr:uid="{00000000-0005-0000-0000-00005E000000}"/>
    <cellStyle name="Calculation 2 6 3 2 4 2" xfId="12602" xr:uid="{72671480-081C-4265-8024-D8D7320BD8B9}"/>
    <cellStyle name="Calculation 2 6 3 2 4 2 2" xfId="35087" xr:uid="{615BA815-51A0-49C7-992D-5FEA35EFA017}"/>
    <cellStyle name="Calculation 2 6 3 2 4 2 3" xfId="28718" xr:uid="{2865FDE1-4C61-4383-8AEF-23248E42751D}"/>
    <cellStyle name="Calculation 2 6 3 2 4 3" xfId="17655" xr:uid="{510F743F-9FAE-4872-A5B4-70F251069071}"/>
    <cellStyle name="Calculation 2 6 3 2 4 3 2" xfId="40045" xr:uid="{E0F2F551-7354-4276-932B-359F09F63CBA}"/>
    <cellStyle name="Calculation 2 6 3 2 4 3 3" xfId="43003" xr:uid="{711DAD12-C4B4-4B1F-A37A-9913CA21B9CA}"/>
    <cellStyle name="Calculation 2 6 3 2 4 4" xfId="22079" xr:uid="{8FE3A3EA-7A46-471A-8EB7-0F40EE0549FE}"/>
    <cellStyle name="Calculation 2 6 3 2 4 4 2" xfId="53143" xr:uid="{0EE7E7F3-1E29-44AF-AD10-BBDDC329A1F8}"/>
    <cellStyle name="Calculation 2 6 3 2 4 5" xfId="48430" xr:uid="{BCBA32F2-15BC-4574-98A2-14C9A63984E4}"/>
    <cellStyle name="Calculation 2 6 3 2 5" xfId="6072" xr:uid="{00000000-0005-0000-0000-00005E000000}"/>
    <cellStyle name="Calculation 2 6 3 2 5 2" xfId="12950" xr:uid="{191E03A5-8904-43FE-8C34-718C893C2FF5}"/>
    <cellStyle name="Calculation 2 6 3 2 5 2 2" xfId="35434" xr:uid="{7608DAE6-5401-4AB6-9995-BCE663BCD1A1}"/>
    <cellStyle name="Calculation 2 6 3 2 5 2 3" xfId="30964" xr:uid="{051C3FBE-0E0E-4C46-A73E-2F879DDD25BE}"/>
    <cellStyle name="Calculation 2 6 3 2 5 3" xfId="18009" xr:uid="{7F6B8056-B239-4122-B845-DB5E8842E497}"/>
    <cellStyle name="Calculation 2 6 3 2 5 3 2" xfId="40399" xr:uid="{E0C3AD5E-4630-49E7-B352-3E6D7A05C5A8}"/>
    <cellStyle name="Calculation 2 6 3 2 5 3 3" xfId="38198" xr:uid="{DA7AE24B-A0CD-4D4A-9A02-29B8844B13A0}"/>
    <cellStyle name="Calculation 2 6 3 2 5 4" xfId="22433" xr:uid="{FF6CD207-04B6-4FDB-8949-B61199877B4E}"/>
    <cellStyle name="Calculation 2 6 3 2 5 4 2" xfId="52660" xr:uid="{436A0B6D-42FA-4B82-891B-2B73A44A2918}"/>
    <cellStyle name="Calculation 2 6 3 2 5 5" xfId="52998" xr:uid="{9EB43F21-01A2-4CD3-A887-D93D160FDDA9}"/>
    <cellStyle name="Calculation 2 6 3 2 6" xfId="6447" xr:uid="{00000000-0005-0000-0000-00005E000000}"/>
    <cellStyle name="Calculation 2 6 3 2 6 2" xfId="13317" xr:uid="{31E8E6CA-07C4-4B09-9395-B005EF0B4C62}"/>
    <cellStyle name="Calculation 2 6 3 2 6 2 2" xfId="35801" xr:uid="{DC089027-DDCA-425A-B0A6-F61869D4235F}"/>
    <cellStyle name="Calculation 2 6 3 2 6 2 3" xfId="48872" xr:uid="{C5120473-35A0-4F50-B97E-D62A02739521}"/>
    <cellStyle name="Calculation 2 6 3 2 6 3" xfId="18384" xr:uid="{7F3B553B-F1EC-4409-A2A2-42ABB764509F}"/>
    <cellStyle name="Calculation 2 6 3 2 6 3 2" xfId="40774" xr:uid="{640A7BAA-E855-4F2D-8EC7-A378F1B55EEB}"/>
    <cellStyle name="Calculation 2 6 3 2 6 3 3" xfId="28810" xr:uid="{73B9A953-2397-4950-A51A-D22664FD99E6}"/>
    <cellStyle name="Calculation 2 6 3 2 6 4" xfId="22808" xr:uid="{AE85CE03-2CB3-42AE-B19A-635CDC2F7B0E}"/>
    <cellStyle name="Calculation 2 6 3 2 6 4 2" xfId="47131" xr:uid="{F5B2A8BC-89BB-4187-B6C0-5C3E552D4028}"/>
    <cellStyle name="Calculation 2 6 3 2 6 5" xfId="51966" xr:uid="{F6CA8B39-F148-4DB7-A132-CD0775B0FD7A}"/>
    <cellStyle name="Calculation 2 6 3 2 7" xfId="4878" xr:uid="{00000000-0005-0000-0000-00005E000000}"/>
    <cellStyle name="Calculation 2 6 3 2 7 2" xfId="11773" xr:uid="{D6FC414B-AAB0-4880-927B-CF9854EA4289}"/>
    <cellStyle name="Calculation 2 6 3 2 7 2 2" xfId="34259" xr:uid="{F055843E-7D28-450D-8C6C-CA129F47D09C}"/>
    <cellStyle name="Calculation 2 6 3 2 7 2 3" xfId="26502" xr:uid="{AFF15DB5-1D5B-49DF-B4B6-329CAFF533BD}"/>
    <cellStyle name="Calculation 2 6 3 2 7 3" xfId="16815" xr:uid="{76526674-13DE-43E1-9F93-BBD5F809329C}"/>
    <cellStyle name="Calculation 2 6 3 2 7 3 2" xfId="39205" xr:uid="{9A8EFF7C-90B8-4216-8ED6-791A31CBB5E2}"/>
    <cellStyle name="Calculation 2 6 3 2 7 3 3" xfId="28389" xr:uid="{EFC3207D-FFEA-4230-8E0D-6B9B976898D5}"/>
    <cellStyle name="Calculation 2 6 3 2 7 4" xfId="16226" xr:uid="{35485A9A-9740-4631-94F1-80C788E6D3B1}"/>
    <cellStyle name="Calculation 2 6 3 2 7 4 2" xfId="28489" xr:uid="{A90B8FC8-8361-4C08-AAC7-475D26723A14}"/>
    <cellStyle name="Calculation 2 6 3 2 7 5" xfId="47941" xr:uid="{FA72FA21-F2DD-4789-B668-7FC06E2F0AFA}"/>
    <cellStyle name="Calculation 2 6 3 2 8" xfId="6947" xr:uid="{00000000-0005-0000-0000-00005E000000}"/>
    <cellStyle name="Calculation 2 6 3 2 8 2" xfId="13784" xr:uid="{44701D28-4970-4E38-B61B-C62BD3992DC1}"/>
    <cellStyle name="Calculation 2 6 3 2 8 2 2" xfId="36268" xr:uid="{1510CB24-1664-449B-B24E-8A5F5FC9D1CA}"/>
    <cellStyle name="Calculation 2 6 3 2 8 2 3" xfId="28829" xr:uid="{72D8ACA0-415B-4D59-B13A-B6880A5EB091}"/>
    <cellStyle name="Calculation 2 6 3 2 8 3" xfId="18884" xr:uid="{023D718B-2089-4F48-94FA-8BAF994E8504}"/>
    <cellStyle name="Calculation 2 6 3 2 8 3 2" xfId="41274" xr:uid="{FBE35267-96F4-4087-BCBD-A72F7721B9CB}"/>
    <cellStyle name="Calculation 2 6 3 2 8 3 3" xfId="36621" xr:uid="{C485F1DF-FC7F-49ED-B850-588E4EEF9DC2}"/>
    <cellStyle name="Calculation 2 6 3 2 8 4" xfId="23308" xr:uid="{7CD236B2-0B58-4AD9-9AC0-8D415B6F9226}"/>
    <cellStyle name="Calculation 2 6 3 2 8 4 2" xfId="45171" xr:uid="{F76977B4-C2BB-4B29-8C92-CE1B2BA74FD5}"/>
    <cellStyle name="Calculation 2 6 3 2 8 5" xfId="48212" xr:uid="{BB0EE274-34FC-47D9-A57E-3E2A9AD271D6}"/>
    <cellStyle name="Calculation 2 6 3 2 9" xfId="6241" xr:uid="{00000000-0005-0000-0000-00005E000000}"/>
    <cellStyle name="Calculation 2 6 3 2 9 2" xfId="18178" xr:uid="{23D611BE-D036-49E5-8FBC-6333291CC34F}"/>
    <cellStyle name="Calculation 2 6 3 2 9 2 2" xfId="40568" xr:uid="{359DBC17-C381-456F-BDF6-D693605511E6}"/>
    <cellStyle name="Calculation 2 6 3 2 9 2 3" xfId="43810" xr:uid="{2BAD99BE-AD8F-4E4F-8D5D-CF13843DBD21}"/>
    <cellStyle name="Calculation 2 6 3 2 9 3" xfId="22602" xr:uid="{847A9B41-1D30-48D6-A8CD-53381913EE7E}"/>
    <cellStyle name="Calculation 2 6 3 2 9 3 2" xfId="49025" xr:uid="{20395D32-70CC-47E1-AA8D-10412DC10B41}"/>
    <cellStyle name="Calculation 2 6 3 2 9 4" xfId="51371" xr:uid="{5C9E0ED2-25D0-4DAA-B91F-53B542C89A2C}"/>
    <cellStyle name="Calculation 2 6 3 3" xfId="2963" xr:uid="{00000000-0005-0000-0000-00005D000000}"/>
    <cellStyle name="Calculation 2 6 3 3 2" xfId="9872" xr:uid="{D9E5E422-A6EB-424E-9112-BC427D96C097}"/>
    <cellStyle name="Calculation 2 6 3 3 2 2" xfId="32395" xr:uid="{5E25A6E9-2300-46DE-B657-E0DBBA931A43}"/>
    <cellStyle name="Calculation 2 6 3 3 2 3" xfId="47701" xr:uid="{91B0200B-3014-4707-89C5-85F819487DD1}"/>
    <cellStyle name="Calculation 2 6 3 3 3" xfId="15311" xr:uid="{DFA29B97-7D1B-4729-BE5A-74638F41C1C6}"/>
    <cellStyle name="Calculation 2 6 3 3 3 2" xfId="37743" xr:uid="{BA09B3E6-D790-4447-B861-AD735C16CCFB}"/>
    <cellStyle name="Calculation 2 6 3 3 3 3" xfId="37799" xr:uid="{74A07AD4-6BCE-4DD7-A7B6-68C8FE9D8F8C}"/>
    <cellStyle name="Calculation 2 6 3 3 4" xfId="19279" xr:uid="{5C08AEB7-5FF4-4748-BF69-89D9875D8FC7}"/>
    <cellStyle name="Calculation 2 6 3 3 4 2" xfId="27455" xr:uid="{AAB7477A-1B88-4C3E-8FD5-CA395D9DA22F}"/>
    <cellStyle name="Calculation 2 6 3 3 5" xfId="50455" xr:uid="{9117859A-A132-4187-8959-88BE82AA52D6}"/>
    <cellStyle name="Calculation 2 6 3 4" xfId="4673" xr:uid="{00000000-0005-0000-0000-00005D000000}"/>
    <cellStyle name="Calculation 2 6 3 4 2" xfId="11571" xr:uid="{AC7FA50D-E15B-4850-9A4E-10881757E610}"/>
    <cellStyle name="Calculation 2 6 3 4 2 2" xfId="34057" xr:uid="{882278B5-8550-4623-807D-2BCD12DE991E}"/>
    <cellStyle name="Calculation 2 6 3 4 2 3" xfId="23713" xr:uid="{D985BE22-6500-47D2-8F85-C267F557CC16}"/>
    <cellStyle name="Calculation 2 6 3 4 3" xfId="16610" xr:uid="{60AD0FD0-E65A-4F36-AF6F-CE0EB0570F61}"/>
    <cellStyle name="Calculation 2 6 3 4 3 2" xfId="39000" xr:uid="{86F95FDC-F8BD-4FA8-995A-DF217F5AA52E}"/>
    <cellStyle name="Calculation 2 6 3 4 3 3" xfId="29399" xr:uid="{88B14889-7816-438A-A4EA-B60448936849}"/>
    <cellStyle name="Calculation 2 6 3 4 4" xfId="21029" xr:uid="{3CA693F0-4D0F-47E4-8275-77220F29C4B4}"/>
    <cellStyle name="Calculation 2 6 3 4 4 2" xfId="52642" xr:uid="{DFFD99EB-4641-4FBD-B606-C8ADBD8481F5}"/>
    <cellStyle name="Calculation 2 6 3 4 5" xfId="50577" xr:uid="{314D75BD-81F1-437E-9558-EC437017B2F3}"/>
    <cellStyle name="Calculation 2 6 3 5" xfId="2372" xr:uid="{00000000-0005-0000-0000-00005D000000}"/>
    <cellStyle name="Calculation 2 6 3 5 2" xfId="9281" xr:uid="{186CD819-6CB5-4EDF-B51B-4C24FC45C11B}"/>
    <cellStyle name="Calculation 2 6 3 5 2 2" xfId="31856" xr:uid="{0859130E-B15B-428A-AA40-AE9D8F847CCD}"/>
    <cellStyle name="Calculation 2 6 3 5 2 3" xfId="53159" xr:uid="{94DA0843-C457-4A9D-9FF9-BF9A24ADDD79}"/>
    <cellStyle name="Calculation 2 6 3 5 3" xfId="14925" xr:uid="{9EFB22FB-E931-476C-A9A5-75BE2952260B}"/>
    <cellStyle name="Calculation 2 6 3 5 3 2" xfId="37379" xr:uid="{769A5850-1BFB-47CF-ADCD-893AAD6ABFD7}"/>
    <cellStyle name="Calculation 2 6 3 5 3 3" xfId="46450" xr:uid="{74ED28E7-FA61-4FA8-B8A1-C3D25DCD0F0D}"/>
    <cellStyle name="Calculation 2 6 3 5 4" xfId="20707" xr:uid="{717CC7FE-D8CB-4A36-8BFA-D096C3343F29}"/>
    <cellStyle name="Calculation 2 6 3 5 4 2" xfId="50058" xr:uid="{6845214E-1B3D-42A6-B0C6-9AF03090B55E}"/>
    <cellStyle name="Calculation 2 6 3 5 5" xfId="47481" xr:uid="{28128243-E79F-47CA-B2A1-4CF3C26E0AAE}"/>
    <cellStyle name="Calculation 2 6 3 6" xfId="5845" xr:uid="{00000000-0005-0000-0000-00005D000000}"/>
    <cellStyle name="Calculation 2 6 3 6 2" xfId="12727" xr:uid="{53C7EA1D-1EF0-46BD-A4B6-955B03E05319}"/>
    <cellStyle name="Calculation 2 6 3 6 2 2" xfId="35211" xr:uid="{9B110AD0-CBB3-43ED-81B5-B2417321D02E}"/>
    <cellStyle name="Calculation 2 6 3 6 2 3" xfId="27202" xr:uid="{9997F2C9-F30F-4E55-8251-4CDF417D3EA8}"/>
    <cellStyle name="Calculation 2 6 3 6 3" xfId="17782" xr:uid="{46D7B307-C87D-4E60-B8BE-28A4693E9141}"/>
    <cellStyle name="Calculation 2 6 3 6 3 2" xfId="40172" xr:uid="{B3781F6A-DC01-4C5F-84C2-C8C58DB789FA}"/>
    <cellStyle name="Calculation 2 6 3 6 3 3" xfId="38185" xr:uid="{93A75D43-3DA9-4057-9216-76D458CB8442}"/>
    <cellStyle name="Calculation 2 6 3 6 4" xfId="22206" xr:uid="{32D6E413-EFB9-4B63-B402-8D73320A08C5}"/>
    <cellStyle name="Calculation 2 6 3 6 4 2" xfId="49367" xr:uid="{F0428A8C-1162-4F41-A539-2C56B44CD925}"/>
    <cellStyle name="Calculation 2 6 3 6 5" xfId="48023" xr:uid="{4539FFC3-3C27-4B76-B7F7-9F5272997394}"/>
    <cellStyle name="Calculation 2 6 3 7" xfId="4966" xr:uid="{00000000-0005-0000-0000-00005D000000}"/>
    <cellStyle name="Calculation 2 6 3 7 2" xfId="11861" xr:uid="{53CB94F0-C511-4DAE-8ACD-74E9DA6F6079}"/>
    <cellStyle name="Calculation 2 6 3 7 2 2" xfId="34347" xr:uid="{756F7663-3007-4339-B75A-51C6C0D58879}"/>
    <cellStyle name="Calculation 2 6 3 7 2 3" xfId="24543" xr:uid="{D4CD24F0-80B9-4D88-82C0-4E26391F19E6}"/>
    <cellStyle name="Calculation 2 6 3 7 3" xfId="16903" xr:uid="{5CC998FA-83A7-4E92-AFFF-AB61D39872F1}"/>
    <cellStyle name="Calculation 2 6 3 7 3 2" xfId="39293" xr:uid="{C4EE70D4-5918-48AF-B8B4-388059DD1E7C}"/>
    <cellStyle name="Calculation 2 6 3 7 3 3" xfId="42907" xr:uid="{AC142A40-6F95-4DA1-BCFC-B15770BA05E7}"/>
    <cellStyle name="Calculation 2 6 3 7 4" xfId="21327" xr:uid="{93E588B7-D4E2-43FC-B2E0-FB969AAC3E9D}"/>
    <cellStyle name="Calculation 2 6 3 7 4 2" xfId="49292" xr:uid="{37BF7C22-D2C9-4364-AB00-3E68F2BEE08B}"/>
    <cellStyle name="Calculation 2 6 3 7 5" xfId="50142" xr:uid="{9B29CA75-B747-47C1-AD82-ED6B74B43B7D}"/>
    <cellStyle name="Calculation 2 6 3 8" xfId="8280" xr:uid="{7949EBC3-2FC7-424A-9A7F-7C5ECB8A5F99}"/>
    <cellStyle name="Calculation 2 6 3 8 2" xfId="30880" xr:uid="{7BC3CC70-B821-44DB-BE52-DAF0399F1D94}"/>
    <cellStyle name="Calculation 2 6 3 8 3" xfId="48308" xr:uid="{2BE68D53-DC8F-4EC8-B7C3-A8A1567EC9E7}"/>
    <cellStyle name="Calculation 2 6 3 9" xfId="20059" xr:uid="{99E69A80-3DC2-4742-8CE9-0D53F65D438F}"/>
    <cellStyle name="Calculation 2 6 3 9 2" xfId="42380" xr:uid="{6017E1B7-8DFF-4D8E-8DF7-FE39211CF715}"/>
    <cellStyle name="Calculation 2 6 3 9 3" xfId="32015" xr:uid="{5BFA9C70-4353-480C-ACF6-0F770F9B9F87}"/>
    <cellStyle name="Calculation 2 6 4" xfId="1015" xr:uid="{00000000-0005-0000-0000-00005F000000}"/>
    <cellStyle name="Calculation 2 6 4 10" xfId="15476" xr:uid="{810E28F0-24E5-4AA8-B1D2-F2BA2168073E}"/>
    <cellStyle name="Calculation 2 6 4 10 2" xfId="50721" xr:uid="{5BFB9FAA-52D3-4F30-9736-454DF1B5482F}"/>
    <cellStyle name="Calculation 2 6 4 11" xfId="51187" xr:uid="{33F4134F-A816-45C9-BCFA-45AABD7AA118}"/>
    <cellStyle name="Calculation 2 6 4 2" xfId="1905" xr:uid="{00000000-0005-0000-0000-000060000000}"/>
    <cellStyle name="Calculation 2 6 4 2 10" xfId="14575" xr:uid="{4F1398B9-30D2-435F-9C09-9D5CA13E46DB}"/>
    <cellStyle name="Calculation 2 6 4 2 10 2" xfId="37036" xr:uid="{8671766F-C39A-49AD-93DB-D0F5EF7CE2E6}"/>
    <cellStyle name="Calculation 2 6 4 2 10 3" xfId="47024" xr:uid="{8780863C-2E6E-4779-B218-C35525C12E73}"/>
    <cellStyle name="Calculation 2 6 4 2 11" xfId="8678" xr:uid="{B4087DB1-30D3-4641-B9BB-1ABC28F40FA7}"/>
    <cellStyle name="Calculation 2 6 4 2 11 2" xfId="31263" xr:uid="{768150AB-249B-40BD-B9BB-A3DCE4B8D94A}"/>
    <cellStyle name="Calculation 2 6 4 2 11 3" xfId="46837" xr:uid="{8635AE79-78E2-48DB-819E-F8A1AED8BA86}"/>
    <cellStyle name="Calculation 2 6 4 2 12" xfId="19677" xr:uid="{85EB02B8-5C46-4CEC-9DA4-F7054C6BED94}"/>
    <cellStyle name="Calculation 2 6 4 2 12 2" xfId="25659" xr:uid="{8F5D36A3-AA8E-4810-8E53-D81D76F94D27}"/>
    <cellStyle name="Calculation 2 6 4 2 13" xfId="30370" xr:uid="{A96ED666-9ED5-4FBF-A731-171B9D68F864}"/>
    <cellStyle name="Calculation 2 6 4 2 2" xfId="4003" xr:uid="{00000000-0005-0000-0000-000060000000}"/>
    <cellStyle name="Calculation 2 6 4 2 2 2" xfId="10907" xr:uid="{B3858E7B-D3A7-4A80-9E3E-8CFE3F948C34}"/>
    <cellStyle name="Calculation 2 6 4 2 2 2 2" xfId="33393" xr:uid="{7CFA7EE3-C8B5-4FF7-A026-C8D2DE663AFD}"/>
    <cellStyle name="Calculation 2 6 4 2 2 2 3" xfId="53629" xr:uid="{8159C35F-03B6-4C40-8EB5-7AB85D124484}"/>
    <cellStyle name="Calculation 2 6 4 2 2 3" xfId="16027" xr:uid="{D1546F35-964B-422D-A951-5FE43AC9175D}"/>
    <cellStyle name="Calculation 2 6 4 2 2 3 2" xfId="38428" xr:uid="{A3DECDB4-F09A-4BFB-AE8F-D84507D5BC3B}"/>
    <cellStyle name="Calculation 2 6 4 2 2 3 3" xfId="52026" xr:uid="{3EBFE402-5188-49A0-8D51-B945E99C9716}"/>
    <cellStyle name="Calculation 2 6 4 2 2 4" xfId="13971" xr:uid="{BC5D8D4B-68E3-4CA2-A7B7-344B9B162F47}"/>
    <cellStyle name="Calculation 2 6 4 2 2 4 2" xfId="48796" xr:uid="{57E036B7-6339-473D-AD8E-23C8641FDE7D}"/>
    <cellStyle name="Calculation 2 6 4 2 2 5" xfId="32527" xr:uid="{0ED2AEED-987E-49C5-8F89-F04FF8EBA53B}"/>
    <cellStyle name="Calculation 2 6 4 2 3" xfId="5377" xr:uid="{00000000-0005-0000-0000-000060000000}"/>
    <cellStyle name="Calculation 2 6 4 2 3 2" xfId="12268" xr:uid="{E66CC1C5-AD57-464D-888A-2E31939192C3}"/>
    <cellStyle name="Calculation 2 6 4 2 3 2 2" xfId="34753" xr:uid="{9F02EC51-6605-485D-BE99-8BECB00D6EB4}"/>
    <cellStyle name="Calculation 2 6 4 2 3 2 3" xfId="30098" xr:uid="{A6BB358C-3090-4F59-8DC5-07E902023BE4}"/>
    <cellStyle name="Calculation 2 6 4 2 3 3" xfId="17314" xr:uid="{54B720C0-533D-4E92-8AFE-93E750D03D78}"/>
    <cellStyle name="Calculation 2 6 4 2 3 3 2" xfId="39704" xr:uid="{B0D80628-BEDD-480C-8C3D-B5F36ACF6690}"/>
    <cellStyle name="Calculation 2 6 4 2 3 3 3" xfId="24422" xr:uid="{B0E0C64C-9F0C-4CFA-B964-5276B4AF878C}"/>
    <cellStyle name="Calculation 2 6 4 2 3 4" xfId="21738" xr:uid="{A6906377-3D75-4C60-92B0-2B04F0448C31}"/>
    <cellStyle name="Calculation 2 6 4 2 3 4 2" xfId="49721" xr:uid="{B27E7733-9C66-47A6-B2EB-3E86E65138C3}"/>
    <cellStyle name="Calculation 2 6 4 2 3 5" xfId="52158" xr:uid="{8B1A110F-F075-4DED-9DAD-BB7EA8FF543D}"/>
    <cellStyle name="Calculation 2 6 4 2 4" xfId="5791" xr:uid="{00000000-0005-0000-0000-000060000000}"/>
    <cellStyle name="Calculation 2 6 4 2 4 2" xfId="12674" xr:uid="{196FCF6C-C9B6-407A-AA31-5C75975F3F39}"/>
    <cellStyle name="Calculation 2 6 4 2 4 2 2" xfId="35159" xr:uid="{A0948943-C895-405E-AE42-A6F980722349}"/>
    <cellStyle name="Calculation 2 6 4 2 4 2 3" xfId="44250" xr:uid="{73FF2AEA-6F9D-476C-9BE4-48CCE62C6F90}"/>
    <cellStyle name="Calculation 2 6 4 2 4 3" xfId="17728" xr:uid="{FC6F4445-4930-4276-810B-93E7F732B7EA}"/>
    <cellStyle name="Calculation 2 6 4 2 4 3 2" xfId="40118" xr:uid="{E3749CB9-C964-4AAA-8879-D6E64569773C}"/>
    <cellStyle name="Calculation 2 6 4 2 4 3 3" xfId="32092" xr:uid="{40D4C656-17AE-47B1-B954-C592C4443387}"/>
    <cellStyle name="Calculation 2 6 4 2 4 4" xfId="22152" xr:uid="{1D5245BD-1AA7-4B78-BE4E-F9742E91BA88}"/>
    <cellStyle name="Calculation 2 6 4 2 4 4 2" xfId="46289" xr:uid="{C5523380-20F1-4C23-871E-3D0522FD626D}"/>
    <cellStyle name="Calculation 2 6 4 2 4 5" xfId="49269" xr:uid="{F0AF8732-329B-4CD3-9270-3A145E9ACD8B}"/>
    <cellStyle name="Calculation 2 6 4 2 5" xfId="6136" xr:uid="{00000000-0005-0000-0000-000060000000}"/>
    <cellStyle name="Calculation 2 6 4 2 5 2" xfId="13013" xr:uid="{F7F9F2A5-E924-4750-B9D6-97E56996CC59}"/>
    <cellStyle name="Calculation 2 6 4 2 5 2 2" xfId="35497" xr:uid="{F33C705E-B848-42E3-B5B3-C7502623344A}"/>
    <cellStyle name="Calculation 2 6 4 2 5 2 3" xfId="25937" xr:uid="{99D002C6-B08B-4A64-B598-02F02E49C99D}"/>
    <cellStyle name="Calculation 2 6 4 2 5 3" xfId="18073" xr:uid="{D46D8821-C523-47A5-BC6A-028EC069799E}"/>
    <cellStyle name="Calculation 2 6 4 2 5 3 2" xfId="40463" xr:uid="{A845A319-AFE7-4CA7-A01F-59B7E30047DB}"/>
    <cellStyle name="Calculation 2 6 4 2 5 3 3" xfId="25735" xr:uid="{AAA41FDB-8566-48E6-823C-71AE06D170A1}"/>
    <cellStyle name="Calculation 2 6 4 2 5 4" xfId="22497" xr:uid="{1FFF2605-5124-419E-A3BE-3388E9DDA50B}"/>
    <cellStyle name="Calculation 2 6 4 2 5 4 2" xfId="49424" xr:uid="{64B0A4EA-22D8-4B83-992F-80AAFCFBEE08}"/>
    <cellStyle name="Calculation 2 6 4 2 5 5" xfId="28325" xr:uid="{A35708AC-846A-4FDF-AB83-B5DA0A0197A0}"/>
    <cellStyle name="Calculation 2 6 4 2 6" xfId="6509" xr:uid="{00000000-0005-0000-0000-000060000000}"/>
    <cellStyle name="Calculation 2 6 4 2 6 2" xfId="13378" xr:uid="{E471DAC7-9AF1-4E86-8B09-C8D035CFA570}"/>
    <cellStyle name="Calculation 2 6 4 2 6 2 2" xfId="35862" xr:uid="{150B55E7-7A5F-4C4C-99BD-57C233857F34}"/>
    <cellStyle name="Calculation 2 6 4 2 6 2 3" xfId="46142" xr:uid="{16DA77BD-CA23-499E-9800-546A2AE2ABF4}"/>
    <cellStyle name="Calculation 2 6 4 2 6 3" xfId="18446" xr:uid="{6BF44621-465F-466E-966F-0DCCA2FC6D40}"/>
    <cellStyle name="Calculation 2 6 4 2 6 3 2" xfId="40836" xr:uid="{D6F3FA1E-7793-44BF-AFCB-7D89FF736EE0}"/>
    <cellStyle name="Calculation 2 6 4 2 6 3 3" xfId="26055" xr:uid="{BA273FE4-E576-4AA5-8EAD-6E2F22005F9A}"/>
    <cellStyle name="Calculation 2 6 4 2 6 4" xfId="22870" xr:uid="{134854B7-5D54-43CB-B4AE-EA4A63DE6D08}"/>
    <cellStyle name="Calculation 2 6 4 2 6 4 2" xfId="50408" xr:uid="{813BE606-FF21-4982-B11A-AFAF97952DD3}"/>
    <cellStyle name="Calculation 2 6 4 2 6 5" xfId="52771" xr:uid="{2366F375-2524-4FC1-9D98-270D20E28F7A}"/>
    <cellStyle name="Calculation 2 6 4 2 7" xfId="5477" xr:uid="{00000000-0005-0000-0000-000060000000}"/>
    <cellStyle name="Calculation 2 6 4 2 7 2" xfId="12366" xr:uid="{7A378E4C-71B6-4A7C-B3C1-8F896AE8E6D2}"/>
    <cellStyle name="Calculation 2 6 4 2 7 2 2" xfId="34851" xr:uid="{C246F1D9-0A60-4897-8438-AA858A648F5A}"/>
    <cellStyle name="Calculation 2 6 4 2 7 2 3" xfId="42571" xr:uid="{0171B381-FCF8-4083-AE20-3B22F90D4BF9}"/>
    <cellStyle name="Calculation 2 6 4 2 7 3" xfId="17414" xr:uid="{E6E48AFE-E91F-4F96-8A32-3F56A44DBD90}"/>
    <cellStyle name="Calculation 2 6 4 2 7 3 2" xfId="39804" xr:uid="{FAD75297-178E-420A-98FF-B07143DEFE93}"/>
    <cellStyle name="Calculation 2 6 4 2 7 3 3" xfId="29118" xr:uid="{CE015D80-A955-4781-B2A7-12DE0E61367B}"/>
    <cellStyle name="Calculation 2 6 4 2 7 4" xfId="21838" xr:uid="{77003B1F-C6E5-406E-95CD-2BAD22A0BAE2}"/>
    <cellStyle name="Calculation 2 6 4 2 7 4 2" xfId="42639" xr:uid="{41213537-F216-48B6-A438-2BBBECD1F302}"/>
    <cellStyle name="Calculation 2 6 4 2 7 5" xfId="49808" xr:uid="{048E8A6E-BE9D-477D-AAF5-71F0EE0E1BC0}"/>
    <cellStyle name="Calculation 2 6 4 2 8" xfId="6993" xr:uid="{00000000-0005-0000-0000-000060000000}"/>
    <cellStyle name="Calculation 2 6 4 2 8 2" xfId="13830" xr:uid="{8FCBD706-D45D-4164-B13F-8BBA15090E9F}"/>
    <cellStyle name="Calculation 2 6 4 2 8 2 2" xfId="36314" xr:uid="{6ABBCD7C-7ABB-4C69-8F68-FB40F158AB56}"/>
    <cellStyle name="Calculation 2 6 4 2 8 2 3" xfId="48027" xr:uid="{D920A4B7-7A70-4399-918A-28AD3128EC14}"/>
    <cellStyle name="Calculation 2 6 4 2 8 3" xfId="18930" xr:uid="{3A79A79E-1D49-45A4-A0A1-F506898CB809}"/>
    <cellStyle name="Calculation 2 6 4 2 8 3 2" xfId="41320" xr:uid="{697FC4B2-45A5-4656-822B-2B9B34BA3441}"/>
    <cellStyle name="Calculation 2 6 4 2 8 3 3" xfId="25664" xr:uid="{988359F7-1B04-4433-B4E2-9358F3C072B5}"/>
    <cellStyle name="Calculation 2 6 4 2 8 4" xfId="23354" xr:uid="{943191AC-A40B-4A75-8688-A53206C04BA0}"/>
    <cellStyle name="Calculation 2 6 4 2 8 4 2" xfId="51166" xr:uid="{690BD2C0-36C0-4F76-A650-9B80949CB654}"/>
    <cellStyle name="Calculation 2 6 4 2 8 5" xfId="45627" xr:uid="{58E6A352-59FB-40EE-892F-F594A80D8CC3}"/>
    <cellStyle name="Calculation 2 6 4 2 9" xfId="5600" xr:uid="{00000000-0005-0000-0000-000060000000}"/>
    <cellStyle name="Calculation 2 6 4 2 9 2" xfId="17537" xr:uid="{FD04CFD9-C4EB-4517-AEC3-B1356B7B9D5F}"/>
    <cellStyle name="Calculation 2 6 4 2 9 2 2" xfId="39927" xr:uid="{5B9CCBEA-5C59-4E64-8F5D-D108312E1601}"/>
    <cellStyle name="Calculation 2 6 4 2 9 2 3" xfId="25947" xr:uid="{41D10FF8-EBA0-48D7-AE16-F69469BBF80D}"/>
    <cellStyle name="Calculation 2 6 4 2 9 3" xfId="21961" xr:uid="{131917B9-2ABD-44BF-AB37-90ACB94B8B9F}"/>
    <cellStyle name="Calculation 2 6 4 2 9 3 2" xfId="49229" xr:uid="{BECD6223-70E6-449E-98C2-5B748B55BF4E}"/>
    <cellStyle name="Calculation 2 6 4 2 9 4" xfId="46818" xr:uid="{6C5AF78E-2124-4870-A3C2-816A40BA29C6}"/>
    <cellStyle name="Calculation 2 6 4 3" xfId="3142" xr:uid="{00000000-0005-0000-0000-00005F000000}"/>
    <cellStyle name="Calculation 2 6 4 3 2" xfId="10051" xr:uid="{C583B556-7F81-44D2-B2A2-9508A12C33F7}"/>
    <cellStyle name="Calculation 2 6 4 3 2 2" xfId="32558" xr:uid="{D117FCAD-7B31-4B7E-8DB4-0640EF01713E}"/>
    <cellStyle name="Calculation 2 6 4 3 2 3" xfId="53078" xr:uid="{F64E18C4-DAA0-4670-B2DE-412B57AE1744}"/>
    <cellStyle name="Calculation 2 6 4 3 3" xfId="15429" xr:uid="{EAD3AF1D-2FA4-46E2-B9D7-C515D352A43F}"/>
    <cellStyle name="Calculation 2 6 4 3 3 2" xfId="37855" xr:uid="{AD3679FA-96E8-4AB9-9F4B-7CFF74A1BE05}"/>
    <cellStyle name="Calculation 2 6 4 3 3 3" xfId="49990" xr:uid="{27F2B0F6-766A-40FE-8A24-F651343D3C92}"/>
    <cellStyle name="Calculation 2 6 4 3 4" xfId="19867" xr:uid="{6609934E-0C34-4D01-9E03-0DEF5E20EF8A}"/>
    <cellStyle name="Calculation 2 6 4 3 4 2" xfId="32662" xr:uid="{BEC415A3-1F56-4B50-8A8E-C3C85999685D}"/>
    <cellStyle name="Calculation 2 6 4 3 5" xfId="23987" xr:uid="{1530F5A6-54AB-4285-8255-010B993E0F40}"/>
    <cellStyle name="Calculation 2 6 4 4" xfId="4790" xr:uid="{00000000-0005-0000-0000-00005F000000}"/>
    <cellStyle name="Calculation 2 6 4 4 2" xfId="11687" xr:uid="{CE2F88DC-52C5-4F08-84FF-EF2D3FF1B35F}"/>
    <cellStyle name="Calculation 2 6 4 4 2 2" xfId="34173" xr:uid="{068B834D-663B-4D75-833F-910EB27A0114}"/>
    <cellStyle name="Calculation 2 6 4 4 2 3" xfId="29051" xr:uid="{78D97FFD-442B-4DF9-B9E6-482094059EB1}"/>
    <cellStyle name="Calculation 2 6 4 4 3" xfId="16727" xr:uid="{C9D804ED-D149-4DE6-934F-EB1831CF599B}"/>
    <cellStyle name="Calculation 2 6 4 4 3 2" xfId="39117" xr:uid="{ED10920F-405F-4D60-8E7E-399583C1E1D4}"/>
    <cellStyle name="Calculation 2 6 4 4 3 3" xfId="30807" xr:uid="{B5EFB818-245D-46C7-82B4-600F9CC60358}"/>
    <cellStyle name="Calculation 2 6 4 4 4" xfId="20626" xr:uid="{39A9B2D4-C41C-4700-9BCD-A16781E4FFC3}"/>
    <cellStyle name="Calculation 2 6 4 4 4 2" xfId="53892" xr:uid="{5049CACB-D36C-4E1D-A764-41D4A9D6D0BC}"/>
    <cellStyle name="Calculation 2 6 4 4 5" xfId="29386" xr:uid="{1857C439-9622-4B50-B27F-9D889C85A16D}"/>
    <cellStyle name="Calculation 2 6 4 5" xfId="4469" xr:uid="{00000000-0005-0000-0000-00005F000000}"/>
    <cellStyle name="Calculation 2 6 4 5 2" xfId="11371" xr:uid="{02961B51-7218-48F9-8687-F51AE1773833}"/>
    <cellStyle name="Calculation 2 6 4 5 2 2" xfId="33857" xr:uid="{E45F163F-290E-4851-A394-3D7A9906459A}"/>
    <cellStyle name="Calculation 2 6 4 5 2 3" xfId="27679" xr:uid="{AED56011-A756-4D66-9C7A-5024406D7150}"/>
    <cellStyle name="Calculation 2 6 4 5 3" xfId="16406" xr:uid="{EBD27841-8DDD-4592-9065-DD0618C45D68}"/>
    <cellStyle name="Calculation 2 6 4 5 3 2" xfId="38796" xr:uid="{E58F1FF7-8C10-49E7-8ED7-2705222FEE2D}"/>
    <cellStyle name="Calculation 2 6 4 5 3 3" xfId="29166" xr:uid="{8C563D75-1343-4DBA-9D78-4C81A1C2AEC0}"/>
    <cellStyle name="Calculation 2 6 4 5 4" xfId="15126" xr:uid="{B4805991-F3D7-45C6-AB78-B91A44502F25}"/>
    <cellStyle name="Calculation 2 6 4 5 4 2" xfId="51851" xr:uid="{82A77C04-0F9A-45F3-AB6F-0A02ED2E569B}"/>
    <cellStyle name="Calculation 2 6 4 5 5" xfId="29500" xr:uid="{D986301B-01AA-4294-934F-D07A362181DC}"/>
    <cellStyle name="Calculation 2 6 4 6" xfId="2259" xr:uid="{00000000-0005-0000-0000-00005F000000}"/>
    <cellStyle name="Calculation 2 6 4 6 2" xfId="9171" xr:uid="{16DD08E2-0A5F-432E-810F-8C6882469A9D}"/>
    <cellStyle name="Calculation 2 6 4 6 2 2" xfId="31746" xr:uid="{55926024-65F4-4ECC-9064-E32E8738D3DB}"/>
    <cellStyle name="Calculation 2 6 4 6 2 3" xfId="53258" xr:uid="{DE2471F1-6572-4F58-AFFA-F46518C09613}"/>
    <cellStyle name="Calculation 2 6 4 6 3" xfId="14829" xr:uid="{528071DA-7393-443A-9A31-23BA427310D9}"/>
    <cellStyle name="Calculation 2 6 4 6 3 2" xfId="37283" xr:uid="{E2DD3948-0C0F-47D8-80AC-E4A25483C502}"/>
    <cellStyle name="Calculation 2 6 4 6 3 3" xfId="45559" xr:uid="{8D3FAA5A-92A9-44F1-8643-775A7D29A436}"/>
    <cellStyle name="Calculation 2 6 4 6 4" xfId="20533" xr:uid="{B9A297AF-9DF6-4613-AE47-3954B2EF15FA}"/>
    <cellStyle name="Calculation 2 6 4 6 4 2" xfId="51841" xr:uid="{F837F54B-A8D7-4926-A4C9-E61F358B4DAB}"/>
    <cellStyle name="Calculation 2 6 4 6 5" xfId="46984" xr:uid="{39EC96A5-4851-469B-9715-7A1B0A7F278D}"/>
    <cellStyle name="Calculation 2 6 4 7" xfId="6548" xr:uid="{00000000-0005-0000-0000-00005F000000}"/>
    <cellStyle name="Calculation 2 6 4 7 2" xfId="13416" xr:uid="{CB8441A2-2F5F-4F41-84EC-F8CE4C0F7F11}"/>
    <cellStyle name="Calculation 2 6 4 7 2 2" xfId="35900" xr:uid="{CFABB3FD-62FE-4D24-A9A7-B8E32E30E4AC}"/>
    <cellStyle name="Calculation 2 6 4 7 2 3" xfId="52302" xr:uid="{61FF0235-8B76-48EA-8066-8EB65617E5F4}"/>
    <cellStyle name="Calculation 2 6 4 7 3" xfId="18485" xr:uid="{620DB286-EC7C-48C5-A78A-82E571BC0721}"/>
    <cellStyle name="Calculation 2 6 4 7 3 2" xfId="40875" xr:uid="{48BF5F95-463A-49FD-A5C2-03E488D85813}"/>
    <cellStyle name="Calculation 2 6 4 7 3 3" xfId="44246" xr:uid="{3F18EBC5-960D-499B-8875-9CFC6CEAFF27}"/>
    <cellStyle name="Calculation 2 6 4 7 4" xfId="22909" xr:uid="{7FC874FE-F275-4521-B742-2489B63B4DCD}"/>
    <cellStyle name="Calculation 2 6 4 7 4 2" xfId="49124" xr:uid="{9A05F172-A7FF-43AA-BB4B-976766481C7C}"/>
    <cellStyle name="Calculation 2 6 4 7 5" xfId="53178" xr:uid="{30C91258-84C8-433C-980D-DDB72A40F10A}"/>
    <cellStyle name="Calculation 2 6 4 8" xfId="7724" xr:uid="{8A940952-453B-4760-BE5B-2918564B929F}"/>
    <cellStyle name="Calculation 2 6 4 8 2" xfId="30373" xr:uid="{3E6A783D-914E-4309-9989-E9BF0BEC3A56}"/>
    <cellStyle name="Calculation 2 6 4 8 3" xfId="49249" xr:uid="{6CC206FA-1598-454C-BABD-3C352C163301}"/>
    <cellStyle name="Calculation 2 6 4 9" xfId="20016" xr:uid="{3788AD0D-8F2E-4675-8D01-7CF6782F9169}"/>
    <cellStyle name="Calculation 2 6 4 9 2" xfId="42341" xr:uid="{A265A225-4180-44FA-976D-5B4D0D8CC09E}"/>
    <cellStyle name="Calculation 2 6 4 9 3" xfId="27754" xr:uid="{45237171-6A20-407B-85C2-05E55E1F146C}"/>
    <cellStyle name="Calculation 2 6 5" xfId="1199" xr:uid="{00000000-0005-0000-0000-000061000000}"/>
    <cellStyle name="Calculation 2 6 5 10" xfId="20525" xr:uid="{AC4320B2-626A-42F5-A7A6-CEB6929C9492}"/>
    <cellStyle name="Calculation 2 6 5 10 2" xfId="53111" xr:uid="{8B6A5E26-9465-48BC-BA8F-DFCE1C0CA9A2}"/>
    <cellStyle name="Calculation 2 6 5 11" xfId="43213" xr:uid="{31144FBC-55A3-4FDA-B291-66A5DC37C80F}"/>
    <cellStyle name="Calculation 2 6 5 2" xfId="1999" xr:uid="{00000000-0005-0000-0000-000062000000}"/>
    <cellStyle name="Calculation 2 6 5 2 10" xfId="14647" xr:uid="{6EE4B4E3-C39C-49DA-89D0-06BA30A89CFF}"/>
    <cellStyle name="Calculation 2 6 5 2 10 2" xfId="37107" xr:uid="{D1978F23-5C84-4E55-A53D-0F71AF1CA8BC}"/>
    <cellStyle name="Calculation 2 6 5 2 10 3" xfId="50050" xr:uid="{A8CFB31A-B4DA-4AC6-B03E-6351A6785CAB}"/>
    <cellStyle name="Calculation 2 6 5 2 11" xfId="15246" xr:uid="{BABF65CE-7446-4977-8C3E-C00534E091EC}"/>
    <cellStyle name="Calculation 2 6 5 2 11 2" xfId="37681" xr:uid="{9A94911E-F276-4F8F-AA8C-076F6553AE23}"/>
    <cellStyle name="Calculation 2 6 5 2 11 3" xfId="48028" xr:uid="{4739EF58-655D-4C57-937E-35BA5DA610F9}"/>
    <cellStyle name="Calculation 2 6 5 2 12" xfId="20666" xr:uid="{31226DD5-C23A-4A7C-A383-96C0636EED91}"/>
    <cellStyle name="Calculation 2 6 5 2 12 2" xfId="27686" xr:uid="{C2385518-7846-4813-A82D-B56D8D90EFCD}"/>
    <cellStyle name="Calculation 2 6 5 2 13" xfId="47472" xr:uid="{ECC14A67-9F4C-40D5-A3D3-C702311E6F96}"/>
    <cellStyle name="Calculation 2 6 5 2 2" xfId="4095" xr:uid="{00000000-0005-0000-0000-000062000000}"/>
    <cellStyle name="Calculation 2 6 5 2 2 2" xfId="10999" xr:uid="{6BCCEC80-FC88-48EA-A569-13ADE9BDA77B}"/>
    <cellStyle name="Calculation 2 6 5 2 2 2 2" xfId="33485" xr:uid="{30714F03-C7D6-4671-9201-C904B9F52777}"/>
    <cellStyle name="Calculation 2 6 5 2 2 2 3" xfId="46895" xr:uid="{861B3C77-32B8-4BEC-A490-7832271A1BE5}"/>
    <cellStyle name="Calculation 2 6 5 2 2 3" xfId="16099" xr:uid="{3EA9CDA2-C71A-43D6-8C1E-4A75DB614BB9}"/>
    <cellStyle name="Calculation 2 6 5 2 2 3 2" xfId="38499" xr:uid="{E9F2C71E-0B79-448B-B09A-CCA8045A508F}"/>
    <cellStyle name="Calculation 2 6 5 2 2 3 3" xfId="27526" xr:uid="{88356FA3-11DF-4A32-A418-F88F9758A560}"/>
    <cellStyle name="Calculation 2 6 5 2 2 4" xfId="19500" xr:uid="{9F297947-77D7-405B-A48C-11AC14834F19}"/>
    <cellStyle name="Calculation 2 6 5 2 2 4 2" xfId="44564" xr:uid="{E48DA767-9BED-4BF3-BB1A-A744B90CDB79}"/>
    <cellStyle name="Calculation 2 6 5 2 2 5" xfId="23635" xr:uid="{16B6F1DF-4A3D-4E23-85E4-4F266E925556}"/>
    <cellStyle name="Calculation 2 6 5 2 3" xfId="5440" xr:uid="{00000000-0005-0000-0000-000062000000}"/>
    <cellStyle name="Calculation 2 6 5 2 3 2" xfId="12330" xr:uid="{07026EC8-1BE5-4336-AB11-DA0E764A8D5C}"/>
    <cellStyle name="Calculation 2 6 5 2 3 2 2" xfId="34815" xr:uid="{8ED3C1E6-A759-4730-9829-D983BB8537A3}"/>
    <cellStyle name="Calculation 2 6 5 2 3 2 3" xfId="43177" xr:uid="{4BD7538A-B2FB-4F69-A27F-8B8195D96CC3}"/>
    <cellStyle name="Calculation 2 6 5 2 3 3" xfId="17377" xr:uid="{F1EDE6A5-2360-4B2F-9BBD-E7366B8D2E79}"/>
    <cellStyle name="Calculation 2 6 5 2 3 3 2" xfId="39767" xr:uid="{2AAD6F41-FE61-4145-B739-41B80FA53EAB}"/>
    <cellStyle name="Calculation 2 6 5 2 3 3 3" xfId="44879" xr:uid="{BC31D479-6C1D-4C64-BE16-9AD5CC44B3BD}"/>
    <cellStyle name="Calculation 2 6 5 2 3 4" xfId="21801" xr:uid="{507AC88D-FE77-482C-860A-0A4EA33B935F}"/>
    <cellStyle name="Calculation 2 6 5 2 3 4 2" xfId="48798" xr:uid="{26864772-924E-4A87-8677-C048B6EA05C0}"/>
    <cellStyle name="Calculation 2 6 5 2 3 5" xfId="43361" xr:uid="{EE93E0AF-1480-4E78-81F4-AA82B00F035F}"/>
    <cellStyle name="Calculation 2 6 5 2 4" xfId="5863" xr:uid="{00000000-0005-0000-0000-000062000000}"/>
    <cellStyle name="Calculation 2 6 5 2 4 2" xfId="12745" xr:uid="{CA78D9E2-E17F-4712-A69D-BA0BF7DA9BC7}"/>
    <cellStyle name="Calculation 2 6 5 2 4 2 2" xfId="35229" xr:uid="{6D9938D9-852E-47D2-8BA7-1954F07BDDA4}"/>
    <cellStyle name="Calculation 2 6 5 2 4 2 3" xfId="26468" xr:uid="{498FB228-C39D-4511-9F19-DEF7E1EE7F3D}"/>
    <cellStyle name="Calculation 2 6 5 2 4 3" xfId="17800" xr:uid="{395AD436-A96D-440B-96C7-566D8CB48FBC}"/>
    <cellStyle name="Calculation 2 6 5 2 4 3 2" xfId="40190" xr:uid="{228D23D8-9258-4F79-97C2-5DFAF7E9FBB5}"/>
    <cellStyle name="Calculation 2 6 5 2 4 3 3" xfId="30106" xr:uid="{3499EFCA-E137-4B13-8A97-2B1AF63B0F50}"/>
    <cellStyle name="Calculation 2 6 5 2 4 4" xfId="22224" xr:uid="{95C1C24E-4759-497C-9A71-B35BF165BC4E}"/>
    <cellStyle name="Calculation 2 6 5 2 4 4 2" xfId="53522" xr:uid="{427833EF-E990-4B6E-B5BE-7AE23457B4B9}"/>
    <cellStyle name="Calculation 2 6 5 2 4 5" xfId="48883" xr:uid="{D310E55C-CFC2-4B0E-ADA4-6AFCD232AC72}"/>
    <cellStyle name="Calculation 2 6 5 2 5" xfId="6201" xr:uid="{00000000-0005-0000-0000-000062000000}"/>
    <cellStyle name="Calculation 2 6 5 2 5 2" xfId="13076" xr:uid="{9B262086-9BF4-419B-AD73-E5D5A6A1FE4A}"/>
    <cellStyle name="Calculation 2 6 5 2 5 2 2" xfId="35560" xr:uid="{33E52381-8E49-4910-A862-1971020BE8CD}"/>
    <cellStyle name="Calculation 2 6 5 2 5 2 3" xfId="41899" xr:uid="{C04A2D14-86B0-44C8-A7B3-89AD7065448A}"/>
    <cellStyle name="Calculation 2 6 5 2 5 3" xfId="18138" xr:uid="{E82D7AC2-E9F4-4C64-AC7F-709870F5FAE1}"/>
    <cellStyle name="Calculation 2 6 5 2 5 3 2" xfId="40528" xr:uid="{FEFFC2D3-65B1-4C91-B201-6AACDEEE9730}"/>
    <cellStyle name="Calculation 2 6 5 2 5 3 3" xfId="42649" xr:uid="{44E9B229-D04F-421B-80FB-DB7FA2F4AC8F}"/>
    <cellStyle name="Calculation 2 6 5 2 5 4" xfId="22562" xr:uid="{FCE675F7-BC77-41F5-BBC1-EE9F7701FC61}"/>
    <cellStyle name="Calculation 2 6 5 2 5 4 2" xfId="44347" xr:uid="{489DB56B-62FA-47E3-8D13-A08577BB242E}"/>
    <cellStyle name="Calculation 2 6 5 2 5 5" xfId="45563" xr:uid="{A501A572-DFEA-4CBD-B735-19AC3FD6DDCB}"/>
    <cellStyle name="Calculation 2 6 5 2 6" xfId="6569" xr:uid="{00000000-0005-0000-0000-000062000000}"/>
    <cellStyle name="Calculation 2 6 5 2 6 2" xfId="13435" xr:uid="{8AF41E27-4B3C-4A0E-B787-3749DC617E5B}"/>
    <cellStyle name="Calculation 2 6 5 2 6 2 2" xfId="35919" xr:uid="{DE9889D6-4054-427F-BE27-BB94E663D26D}"/>
    <cellStyle name="Calculation 2 6 5 2 6 2 3" xfId="51517" xr:uid="{7AFBE4CC-D66F-447D-9C8E-329BECA66E23}"/>
    <cellStyle name="Calculation 2 6 5 2 6 3" xfId="18506" xr:uid="{4A88EDB3-080F-4D5F-8304-F5ECBBD6364C}"/>
    <cellStyle name="Calculation 2 6 5 2 6 3 2" xfId="40896" xr:uid="{7B0ABC58-EF53-49A7-9759-A1CA7E352EDC}"/>
    <cellStyle name="Calculation 2 6 5 2 6 3 3" xfId="29452" xr:uid="{C117B78C-01EF-4D07-9594-27F574D7349B}"/>
    <cellStyle name="Calculation 2 6 5 2 6 4" xfId="22930" xr:uid="{2FE43890-BE0C-45D7-81B1-C0FE6CAC6500}"/>
    <cellStyle name="Calculation 2 6 5 2 6 4 2" xfId="46176" xr:uid="{E4183C6B-874B-4433-BCF1-A5E8BA85DB51}"/>
    <cellStyle name="Calculation 2 6 5 2 6 5" xfId="51652" xr:uid="{8D88D7AC-5C68-40FF-A2D8-9A4AE585AC67}"/>
    <cellStyle name="Calculation 2 6 5 2 7" xfId="5062" xr:uid="{00000000-0005-0000-0000-000062000000}"/>
    <cellStyle name="Calculation 2 6 5 2 7 2" xfId="11955" xr:uid="{812A81C4-D4C6-48FB-9A59-45EA5BD63373}"/>
    <cellStyle name="Calculation 2 6 5 2 7 2 2" xfId="34441" xr:uid="{9A5A8D3D-E1D2-4E1B-9CAB-AEB464F5DC32}"/>
    <cellStyle name="Calculation 2 6 5 2 7 2 3" xfId="44714" xr:uid="{FF1C70D5-398A-440B-B517-297AC8154FE7}"/>
    <cellStyle name="Calculation 2 6 5 2 7 3" xfId="16999" xr:uid="{A102C4F9-53DF-4DA5-9A38-0D465DAA8765}"/>
    <cellStyle name="Calculation 2 6 5 2 7 3 2" xfId="39389" xr:uid="{41E9A8BB-64B0-4CD9-A317-0B4312EBC18F}"/>
    <cellStyle name="Calculation 2 6 5 2 7 3 3" xfId="44971" xr:uid="{ECBA534C-7521-4787-A1DC-37A05FFB3947}"/>
    <cellStyle name="Calculation 2 6 5 2 7 4" xfId="21423" xr:uid="{2DF38EF1-E97B-466D-997B-A437327B3C9D}"/>
    <cellStyle name="Calculation 2 6 5 2 7 4 2" xfId="52461" xr:uid="{2D0D6D05-3312-442C-890D-7110FCC9BE70}"/>
    <cellStyle name="Calculation 2 6 5 2 7 5" xfId="46205" xr:uid="{B9CC2257-DDA9-464B-B8C2-B68DD9966016}"/>
    <cellStyle name="Calculation 2 6 5 2 8" xfId="7039" xr:uid="{00000000-0005-0000-0000-000062000000}"/>
    <cellStyle name="Calculation 2 6 5 2 8 2" xfId="13875" xr:uid="{8C097229-C933-4B76-895C-9FDC5588219E}"/>
    <cellStyle name="Calculation 2 6 5 2 8 2 2" xfId="36359" xr:uid="{4088A1F1-66CA-4ADE-AD73-18A8DA63FEB0}"/>
    <cellStyle name="Calculation 2 6 5 2 8 2 3" xfId="46421" xr:uid="{1E1BE8E3-974A-4BC8-A773-F50F76C70814}"/>
    <cellStyle name="Calculation 2 6 5 2 8 3" xfId="18976" xr:uid="{0DC87634-42F4-45D8-B7BA-CA8FBE6DCA91}"/>
    <cellStyle name="Calculation 2 6 5 2 8 3 2" xfId="41366" xr:uid="{37024D69-4914-42CF-B9F5-D5F3A9FB5065}"/>
    <cellStyle name="Calculation 2 6 5 2 8 3 3" xfId="25062" xr:uid="{A27309BF-0F07-400F-A71C-7438640AAE75}"/>
    <cellStyle name="Calculation 2 6 5 2 8 4" xfId="23400" xr:uid="{988C108B-8D3F-412A-9421-0B63134A50BB}"/>
    <cellStyle name="Calculation 2 6 5 2 8 4 2" xfId="52821" xr:uid="{51FD92FE-D313-4735-A496-4779CF04647A}"/>
    <cellStyle name="Calculation 2 6 5 2 8 5" xfId="50796" xr:uid="{82DC7323-436F-43CE-8FBF-D833022E2F99}"/>
    <cellStyle name="Calculation 2 6 5 2 9" xfId="7154" xr:uid="{00000000-0005-0000-0000-000062000000}"/>
    <cellStyle name="Calculation 2 6 5 2 9 2" xfId="19091" xr:uid="{98FBE07A-EF0A-4D7B-8657-3953D4DA4A44}"/>
    <cellStyle name="Calculation 2 6 5 2 9 2 2" xfId="41481" xr:uid="{7817EA83-BFB6-4472-95FE-A286DA5CAD48}"/>
    <cellStyle name="Calculation 2 6 5 2 9 2 3" xfId="23606" xr:uid="{06CD0347-56FC-4D5A-98A2-AAF81E4F8975}"/>
    <cellStyle name="Calculation 2 6 5 2 9 3" xfId="23515" xr:uid="{7C4BD200-277F-4B85-9A0B-2D61A2AD9D6A}"/>
    <cellStyle name="Calculation 2 6 5 2 9 3 2" xfId="50090" xr:uid="{9E82A123-C6F0-4121-8487-9B6E64D60D50}"/>
    <cellStyle name="Calculation 2 6 5 2 9 4" xfId="48004" xr:uid="{F311CE7E-914F-4497-A5A1-EB5187527DEE}"/>
    <cellStyle name="Calculation 2 6 5 3" xfId="3314" xr:uid="{00000000-0005-0000-0000-000061000000}"/>
    <cellStyle name="Calculation 2 6 5 3 2" xfId="10222" xr:uid="{3C27D746-D465-4F5A-BABB-B1DDCC81DB5A}"/>
    <cellStyle name="Calculation 2 6 5 3 2 2" xfId="32716" xr:uid="{4296C2E9-4B3F-43A8-B03F-651865380AFB}"/>
    <cellStyle name="Calculation 2 6 5 3 2 3" xfId="46647" xr:uid="{5E244B85-D445-4158-911A-F7E43782794E}"/>
    <cellStyle name="Calculation 2 6 5 3 3" xfId="15540" xr:uid="{D07E0AB5-33C8-4425-AEF3-A002F7A7DF64}"/>
    <cellStyle name="Calculation 2 6 5 3 3 2" xfId="37959" xr:uid="{7D1F680A-E0AD-42C8-8C7D-9EB38FECF707}"/>
    <cellStyle name="Calculation 2 6 5 3 3 3" xfId="47059" xr:uid="{7C3626D6-42A2-41C9-B296-438FB5503CA5}"/>
    <cellStyle name="Calculation 2 6 5 3 4" xfId="20488" xr:uid="{ED07DA19-47C2-4FB6-B267-06994B394443}"/>
    <cellStyle name="Calculation 2 6 5 3 4 2" xfId="47194" xr:uid="{1B2BDC07-387F-428F-9954-898EF765389E}"/>
    <cellStyle name="Calculation 2 6 5 3 5" xfId="45195" xr:uid="{37C09EFF-188A-4619-8D76-31566BAC353F}"/>
    <cellStyle name="Calculation 2 6 5 4" xfId="4900" xr:uid="{00000000-0005-0000-0000-000061000000}"/>
    <cellStyle name="Calculation 2 6 5 4 2" xfId="11795" xr:uid="{EBB83D3B-BAAC-4C9E-9E09-BA8CBD15AC11}"/>
    <cellStyle name="Calculation 2 6 5 4 2 2" xfId="34281" xr:uid="{8727C542-81E4-4E8D-8724-9DA2B3469B31}"/>
    <cellStyle name="Calculation 2 6 5 4 2 3" xfId="26273" xr:uid="{6C034DFC-D338-47D9-AFBD-F1F6FFE50757}"/>
    <cellStyle name="Calculation 2 6 5 4 3" xfId="16837" xr:uid="{2BA5872C-B0BB-4FE7-991A-4DB18EC6E6D2}"/>
    <cellStyle name="Calculation 2 6 5 4 3 2" xfId="39227" xr:uid="{38C23531-008B-4DA1-961E-51889B6778D5}"/>
    <cellStyle name="Calculation 2 6 5 4 3 3" xfId="30661" xr:uid="{CDA92DD4-E1C4-4AD1-938E-1CD4AE4DA512}"/>
    <cellStyle name="Calculation 2 6 5 4 4" xfId="14266" xr:uid="{7DCCA47C-8AE5-4669-95A8-24815E99D92A}"/>
    <cellStyle name="Calculation 2 6 5 4 4 2" xfId="48857" xr:uid="{DE85F14E-1D3A-43D9-AEEE-8781C1526A1D}"/>
    <cellStyle name="Calculation 2 6 5 4 5" xfId="46569" xr:uid="{25921580-D942-4D47-9145-38BA42B9E4E1}"/>
    <cellStyle name="Calculation 2 6 5 5" xfId="6026" xr:uid="{00000000-0005-0000-0000-000061000000}"/>
    <cellStyle name="Calculation 2 6 5 5 2" xfId="12906" xr:uid="{AA92AB36-B844-4ECF-88A7-491F77246455}"/>
    <cellStyle name="Calculation 2 6 5 5 2 2" xfId="35390" xr:uid="{8D036C78-DEA0-41BB-BB1B-642984D10BD5}"/>
    <cellStyle name="Calculation 2 6 5 5 2 3" xfId="46283" xr:uid="{67FFAD85-CFED-4E26-87A2-D592BCBA0154}"/>
    <cellStyle name="Calculation 2 6 5 5 3" xfId="17963" xr:uid="{83523933-F218-4260-AE8D-C616CCCA60A3}"/>
    <cellStyle name="Calculation 2 6 5 5 3 2" xfId="40353" xr:uid="{2456BDAD-0260-4423-AD65-2FE22F0DD185}"/>
    <cellStyle name="Calculation 2 6 5 5 3 3" xfId="44778" xr:uid="{446F4B17-7EB8-4744-9619-6722DC43DC09}"/>
    <cellStyle name="Calculation 2 6 5 5 4" xfId="22387" xr:uid="{19BA0ED1-2034-479B-82F8-B8C751048A1C}"/>
    <cellStyle name="Calculation 2 6 5 5 4 2" xfId="28791" xr:uid="{48B5623E-1713-408C-BAF1-F60817174665}"/>
    <cellStyle name="Calculation 2 6 5 5 5" xfId="51110" xr:uid="{EF3FEE83-B2FA-4E7A-A032-812FFFA2FBC9}"/>
    <cellStyle name="Calculation 2 6 5 6" xfId="5041" xr:uid="{00000000-0005-0000-0000-000061000000}"/>
    <cellStyle name="Calculation 2 6 5 6 2" xfId="11935" xr:uid="{46F58A08-DAEE-4107-B064-8F8A473C451E}"/>
    <cellStyle name="Calculation 2 6 5 6 2 2" xfId="34421" xr:uid="{E80420E7-C5CA-4793-B78E-CE7F1DC5C470}"/>
    <cellStyle name="Calculation 2 6 5 6 2 3" xfId="29811" xr:uid="{F3DCB663-3DA1-4856-A090-38AAE5736B02}"/>
    <cellStyle name="Calculation 2 6 5 6 3" xfId="16978" xr:uid="{BF9262BC-C383-4DE5-87DA-98BEEC8F149D}"/>
    <cellStyle name="Calculation 2 6 5 6 3 2" xfId="39368" xr:uid="{35264007-C6B1-4DCD-B5ED-1B79638D161E}"/>
    <cellStyle name="Calculation 2 6 5 6 3 3" xfId="28971" xr:uid="{DCECE9E2-9CD2-48B8-8340-48D1C98BFE0B}"/>
    <cellStyle name="Calculation 2 6 5 6 4" xfId="21402" xr:uid="{B120D7E8-837A-4E3D-AAB4-41F7711F113F}"/>
    <cellStyle name="Calculation 2 6 5 6 4 2" xfId="53722" xr:uid="{C918264C-5FEE-459D-AFEC-737B2A2A9781}"/>
    <cellStyle name="Calculation 2 6 5 6 5" xfId="46180" xr:uid="{6F4CB5F5-60FC-4630-B323-549B3A685BA6}"/>
    <cellStyle name="Calculation 2 6 5 7" xfId="6799" xr:uid="{00000000-0005-0000-0000-000061000000}"/>
    <cellStyle name="Calculation 2 6 5 7 2" xfId="13648" xr:uid="{C8F4A67B-813F-47C9-B232-DD35403B172B}"/>
    <cellStyle name="Calculation 2 6 5 7 2 2" xfId="36132" xr:uid="{DDCE97C5-03B3-4486-9823-C58B24D135CE}"/>
    <cellStyle name="Calculation 2 6 5 7 2 3" xfId="49133" xr:uid="{447E6D4A-9D2D-4118-A3FE-C5B731FA411B}"/>
    <cellStyle name="Calculation 2 6 5 7 3" xfId="18736" xr:uid="{94C2864F-DEA0-4209-90A8-C8BBCC244D40}"/>
    <cellStyle name="Calculation 2 6 5 7 3 2" xfId="41126" xr:uid="{80137C08-8386-42D1-8B9F-5C4EAD4C5E63}"/>
    <cellStyle name="Calculation 2 6 5 7 3 3" xfId="37679" xr:uid="{7E87622F-6B39-4263-BA69-2014952A5C87}"/>
    <cellStyle name="Calculation 2 6 5 7 4" xfId="23160" xr:uid="{B05D6C5D-3CAD-4DC0-9744-718CB8845A19}"/>
    <cellStyle name="Calculation 2 6 5 7 4 2" xfId="51946" xr:uid="{2E55AE83-212F-4474-A394-1F77F61B55C3}"/>
    <cellStyle name="Calculation 2 6 5 7 5" xfId="48647" xr:uid="{DE4C38D5-0AF4-4F24-B1EA-4D7D798A6AA3}"/>
    <cellStyle name="Calculation 2 6 5 8" xfId="14075" xr:uid="{41518BAC-D821-4151-BD0A-10BB0ACD1212}"/>
    <cellStyle name="Calculation 2 6 5 8 2" xfId="36553" xr:uid="{FAD4DE5B-8961-4E1E-99DA-52386827945B}"/>
    <cellStyle name="Calculation 2 6 5 8 3" xfId="32086" xr:uid="{BB179C52-BA5B-49A3-B7FC-3ACC21DEA890}"/>
    <cellStyle name="Calculation 2 6 5 9" xfId="21208" xr:uid="{E975FFCA-EDB7-47B3-BFD0-454716E45056}"/>
    <cellStyle name="Calculation 2 6 5 9 2" xfId="43448" xr:uid="{A9D69796-271B-4163-A060-3B427A4F016D}"/>
    <cellStyle name="Calculation 2 6 5 9 3" xfId="46150" xr:uid="{EAC645CD-0C37-4456-A530-A62E8FF76618}"/>
    <cellStyle name="Calculation 2 6 6" xfId="1361" xr:uid="{00000000-0005-0000-0000-000063000000}"/>
    <cellStyle name="Calculation 2 6 6 10" xfId="8828" xr:uid="{ADA9D0B2-08DF-4C35-826F-32E175A8B219}"/>
    <cellStyle name="Calculation 2 6 6 10 2" xfId="24570" xr:uid="{F8B8E538-EBD2-46C7-9AF0-06B96568D405}"/>
    <cellStyle name="Calculation 2 6 6 11" xfId="46342" xr:uid="{2160BEFF-D838-4A01-8FFE-54D23EAA1BD3}"/>
    <cellStyle name="Calculation 2 6 6 2" xfId="2090" xr:uid="{00000000-0005-0000-0000-000064000000}"/>
    <cellStyle name="Calculation 2 6 6 2 10" xfId="14720" xr:uid="{89A8DB37-4D75-4E9D-8F24-14D9CEDEB91B}"/>
    <cellStyle name="Calculation 2 6 6 2 10 2" xfId="37178" xr:uid="{E8A519CD-A0ED-4AC5-95E8-40D3A7D84D9B}"/>
    <cellStyle name="Calculation 2 6 6 2 10 3" xfId="24752" xr:uid="{9669F5C4-C8D6-41FA-A8E4-FCF5C2C9EB53}"/>
    <cellStyle name="Calculation 2 6 6 2 11" xfId="21106" xr:uid="{1CB3BFB3-9C5C-4F27-A07C-B317D0685FD0}"/>
    <cellStyle name="Calculation 2 6 6 2 11 2" xfId="43353" xr:uid="{1BCDC012-53B6-4E01-BC1C-B6E3508B5206}"/>
    <cellStyle name="Calculation 2 6 6 2 11 3" xfId="37820" xr:uid="{A16E6129-B883-4A9A-B6DD-4EAD138961D6}"/>
    <cellStyle name="Calculation 2 6 6 2 12" xfId="20816" xr:uid="{4C7348DE-3E0E-4680-A8D6-888ED1BFE3F2}"/>
    <cellStyle name="Calculation 2 6 6 2 12 2" xfId="53412" xr:uid="{C7438C40-7B81-4D88-99E3-D682933F44E9}"/>
    <cellStyle name="Calculation 2 6 6 2 13" xfId="48519" xr:uid="{D943F3A2-6872-476F-B8FD-C3270B188C48}"/>
    <cellStyle name="Calculation 2 6 6 2 2" xfId="4185" xr:uid="{00000000-0005-0000-0000-000064000000}"/>
    <cellStyle name="Calculation 2 6 6 2 2 2" xfId="11089" xr:uid="{96BE99F2-7237-4CAE-9C34-60040BD6BD07}"/>
    <cellStyle name="Calculation 2 6 6 2 2 2 2" xfId="33575" xr:uid="{2552D7B4-B5F9-4957-8FAE-91A3C954467A}"/>
    <cellStyle name="Calculation 2 6 6 2 2 2 3" xfId="50887" xr:uid="{4274D4E7-9F34-4CCB-8CB2-16DA52125AEE}"/>
    <cellStyle name="Calculation 2 6 6 2 2 3" xfId="16178" xr:uid="{1D6A86E3-4A93-4B1E-9FE6-AD9B922A00F4}"/>
    <cellStyle name="Calculation 2 6 6 2 2 3 2" xfId="38577" xr:uid="{8E9AEA85-6EDC-4E99-B702-FA4B82884E51}"/>
    <cellStyle name="Calculation 2 6 6 2 2 3 3" xfId="27845" xr:uid="{556A21D8-8ABC-4D70-A976-1678CEAADB07}"/>
    <cellStyle name="Calculation 2 6 6 2 2 4" xfId="13953" xr:uid="{F99A41B5-BB00-418B-88E5-DDFF7BD2B65A}"/>
    <cellStyle name="Calculation 2 6 6 2 2 4 2" xfId="47830" xr:uid="{1A778534-F8C0-406A-B922-76C9B7A2B123}"/>
    <cellStyle name="Calculation 2 6 6 2 2 5" xfId="47782" xr:uid="{A6615361-75A5-4CF6-8A1D-082B7ED3504C}"/>
    <cellStyle name="Calculation 2 6 6 2 3" xfId="5511" xr:uid="{00000000-0005-0000-0000-000064000000}"/>
    <cellStyle name="Calculation 2 6 6 2 3 2" xfId="12400" xr:uid="{3E783A93-207F-4CA1-AC2E-CB3C4105D626}"/>
    <cellStyle name="Calculation 2 6 6 2 3 2 2" xfId="34885" xr:uid="{4197FDF2-8BBC-4207-840C-CCDCDA3451F8}"/>
    <cellStyle name="Calculation 2 6 6 2 3 2 3" xfId="25216" xr:uid="{D1362FB5-CF9D-4DB5-8B01-547301DC9E8F}"/>
    <cellStyle name="Calculation 2 6 6 2 3 3" xfId="17448" xr:uid="{0F386B43-0A75-46CB-B6FE-99C3EF1B6718}"/>
    <cellStyle name="Calculation 2 6 6 2 3 3 2" xfId="39838" xr:uid="{59B1D0A7-30C6-44B5-8395-3E5CAB8665B1}"/>
    <cellStyle name="Calculation 2 6 6 2 3 3 3" xfId="27834" xr:uid="{C8996A9D-7990-4821-8D29-BF771FBEF988}"/>
    <cellStyle name="Calculation 2 6 6 2 3 4" xfId="21872" xr:uid="{1F94E693-EF9F-437F-9076-3770CA44D40B}"/>
    <cellStyle name="Calculation 2 6 6 2 3 4 2" xfId="46079" xr:uid="{703AC700-6AFC-4AA8-876D-86634D523A3D}"/>
    <cellStyle name="Calculation 2 6 6 2 3 5" xfId="51374" xr:uid="{C4D1A2AF-77AA-46D9-A304-1E60FF9396E6}"/>
    <cellStyle name="Calculation 2 6 6 2 4" xfId="5931" xr:uid="{00000000-0005-0000-0000-000064000000}"/>
    <cellStyle name="Calculation 2 6 6 2 4 2" xfId="12812" xr:uid="{638CA7B2-E97D-4A97-A62A-8B6C5E029E18}"/>
    <cellStyle name="Calculation 2 6 6 2 4 2 2" xfId="35296" xr:uid="{D9F46FB4-5D74-481C-9430-F18C914B1CD2}"/>
    <cellStyle name="Calculation 2 6 6 2 4 2 3" xfId="49358" xr:uid="{447F34B5-3040-4214-8A31-6297F86869EE}"/>
    <cellStyle name="Calculation 2 6 6 2 4 3" xfId="17868" xr:uid="{6C9809A8-9D57-41D1-8EE7-099046ADABBB}"/>
    <cellStyle name="Calculation 2 6 6 2 4 3 2" xfId="40258" xr:uid="{8F1D03E6-0361-4FF0-BC7A-F0495D592D75}"/>
    <cellStyle name="Calculation 2 6 6 2 4 3 3" xfId="43613" xr:uid="{BBA6E658-99E9-4BED-A1DB-0331FEAB3F0F}"/>
    <cellStyle name="Calculation 2 6 6 2 4 4" xfId="22292" xr:uid="{AFC9229B-B972-4365-9D98-9CF1B75744C0}"/>
    <cellStyle name="Calculation 2 6 6 2 4 4 2" xfId="50438" xr:uid="{40AA7B28-19BA-4698-8112-1B13A6574D5C}"/>
    <cellStyle name="Calculation 2 6 6 2 4 5" xfId="47231" xr:uid="{447520D1-6BF7-4556-A811-5B9654E1CDA2}"/>
    <cellStyle name="Calculation 2 6 6 2 5" xfId="6271" xr:uid="{00000000-0005-0000-0000-000064000000}"/>
    <cellStyle name="Calculation 2 6 6 2 5 2" xfId="13143" xr:uid="{10374423-231D-4CB4-B15E-6AA6AD4BDED7}"/>
    <cellStyle name="Calculation 2 6 6 2 5 2 2" xfId="35627" xr:uid="{5A4C537F-96F1-45FE-BB16-CC480AAF527E}"/>
    <cellStyle name="Calculation 2 6 6 2 5 2 3" xfId="49306" xr:uid="{30877F0C-93F7-4E5C-ADE4-71CD5C9CB230}"/>
    <cellStyle name="Calculation 2 6 6 2 5 3" xfId="18208" xr:uid="{CC0D6495-7806-48AB-B944-DC114C16333C}"/>
    <cellStyle name="Calculation 2 6 6 2 5 3 2" xfId="40598" xr:uid="{F3A3FA62-2CB1-4C37-ABC0-A2D6B9093627}"/>
    <cellStyle name="Calculation 2 6 6 2 5 3 3" xfId="26623" xr:uid="{91E6BE9C-7882-4271-BE7A-BE88B38AA5DD}"/>
    <cellStyle name="Calculation 2 6 6 2 5 4" xfId="22632" xr:uid="{2339F152-09C4-462D-BFEF-88A353371EB4}"/>
    <cellStyle name="Calculation 2 6 6 2 5 4 2" xfId="28157" xr:uid="{4955AE48-D9C0-48E1-A216-D29B7DD46841}"/>
    <cellStyle name="Calculation 2 6 6 2 5 5" xfId="51475" xr:uid="{C3198DCE-8621-4F3A-BF00-A8055D8CC02F}"/>
    <cellStyle name="Calculation 2 6 6 2 6" xfId="6628" xr:uid="{00000000-0005-0000-0000-000064000000}"/>
    <cellStyle name="Calculation 2 6 6 2 6 2" xfId="13494" xr:uid="{7CD70895-77AF-444E-8192-4F9CF887B97C}"/>
    <cellStyle name="Calculation 2 6 6 2 6 2 2" xfId="35978" xr:uid="{A78539A0-44A8-4930-9BF7-0F1C2813C1D2}"/>
    <cellStyle name="Calculation 2 6 6 2 6 2 3" xfId="25330" xr:uid="{439E3FBD-4A03-4CC9-99A0-F91C76FA8215}"/>
    <cellStyle name="Calculation 2 6 6 2 6 3" xfId="18565" xr:uid="{B33514A0-DE67-4D6F-8119-873F14E4DF66}"/>
    <cellStyle name="Calculation 2 6 6 2 6 3 2" xfId="40955" xr:uid="{65BE477C-0169-4406-B58B-A3EB1118783C}"/>
    <cellStyle name="Calculation 2 6 6 2 6 3 3" xfId="44734" xr:uid="{C161402F-5E4C-45EC-9661-DF519D7B46D0}"/>
    <cellStyle name="Calculation 2 6 6 2 6 4" xfId="22989" xr:uid="{A9A75CFF-315C-41D6-93A6-21F1903A55CE}"/>
    <cellStyle name="Calculation 2 6 6 2 6 4 2" xfId="45923" xr:uid="{A62B6E5A-7DC1-4453-9875-35F9B896F4D3}"/>
    <cellStyle name="Calculation 2 6 6 2 6 5" xfId="46575" xr:uid="{0E0E9497-B175-4569-B533-1AB29C024462}"/>
    <cellStyle name="Calculation 2 6 6 2 7" xfId="6348" xr:uid="{00000000-0005-0000-0000-000064000000}"/>
    <cellStyle name="Calculation 2 6 6 2 7 2" xfId="13220" xr:uid="{58C34C95-5DA0-4EA8-901E-1A8399E30612}"/>
    <cellStyle name="Calculation 2 6 6 2 7 2 2" xfId="35704" xr:uid="{4C51D8DF-A263-40AC-A35A-CBBCAE365365}"/>
    <cellStyle name="Calculation 2 6 6 2 7 2 3" xfId="47431" xr:uid="{C1DF4A3C-6318-4E6F-B780-0E509137B426}"/>
    <cellStyle name="Calculation 2 6 6 2 7 3" xfId="18285" xr:uid="{C6091363-7133-4B54-B7BD-14D6173A653A}"/>
    <cellStyle name="Calculation 2 6 6 2 7 3 2" xfId="40675" xr:uid="{381D97CD-F74B-494F-A318-6C8B3B7C6C3E}"/>
    <cellStyle name="Calculation 2 6 6 2 7 3 3" xfId="37927" xr:uid="{A07C2D0A-9BCD-4BA2-86DF-DC60613C1317}"/>
    <cellStyle name="Calculation 2 6 6 2 7 4" xfId="22709" xr:uid="{C0CBB561-C951-4A79-9CFB-A9680208997B}"/>
    <cellStyle name="Calculation 2 6 6 2 7 4 2" xfId="50135" xr:uid="{BAFA30F3-2A52-44C1-BA3F-6484D41D6972}"/>
    <cellStyle name="Calculation 2 6 6 2 7 5" xfId="29767" xr:uid="{149B6902-98EB-4A5C-9486-C25E3C157C91}"/>
    <cellStyle name="Calculation 2 6 6 2 8" xfId="7083" xr:uid="{00000000-0005-0000-0000-000064000000}"/>
    <cellStyle name="Calculation 2 6 6 2 8 2" xfId="13919" xr:uid="{4752A89E-0FCC-41BA-B187-F28CA4C077C8}"/>
    <cellStyle name="Calculation 2 6 6 2 8 2 2" xfId="36403" xr:uid="{E498D4B0-68EA-42CF-8760-C7098658B010}"/>
    <cellStyle name="Calculation 2 6 6 2 8 2 3" xfId="51147" xr:uid="{8F402555-5030-4EF9-BEF1-FB52C0F912C2}"/>
    <cellStyle name="Calculation 2 6 6 2 8 3" xfId="19020" xr:uid="{4D62423A-A065-4BCC-8346-D1CFAAED1C79}"/>
    <cellStyle name="Calculation 2 6 6 2 8 3 2" xfId="41410" xr:uid="{248770AA-545A-407E-8CC7-2A61BD9AAC90}"/>
    <cellStyle name="Calculation 2 6 6 2 8 3 3" xfId="27281" xr:uid="{F4E62AC9-9591-49B5-8147-D4E66D090564}"/>
    <cellStyle name="Calculation 2 6 6 2 8 4" xfId="23444" xr:uid="{9BB8BCBD-84F3-4C1B-8F3D-C9328CB4E2C4}"/>
    <cellStyle name="Calculation 2 6 6 2 8 4 2" xfId="51734" xr:uid="{C70BA786-80B7-46B0-899F-87F0C06A6CE3}"/>
    <cellStyle name="Calculation 2 6 6 2 8 5" xfId="46709" xr:uid="{C02CD652-478E-4122-9031-58AC90F6CFF7}"/>
    <cellStyle name="Calculation 2 6 6 2 9" xfId="7198" xr:uid="{00000000-0005-0000-0000-000064000000}"/>
    <cellStyle name="Calculation 2 6 6 2 9 2" xfId="19135" xr:uid="{CDE20CDE-B5EB-491F-81ED-9BB10BCFD33A}"/>
    <cellStyle name="Calculation 2 6 6 2 9 2 2" xfId="41525" xr:uid="{B6989181-142F-4163-B4FD-1340D72F422C}"/>
    <cellStyle name="Calculation 2 6 6 2 9 2 3" xfId="45869" xr:uid="{A8F0F07B-0B4E-48F9-A7C0-3F5EE459BB50}"/>
    <cellStyle name="Calculation 2 6 6 2 9 3" xfId="23559" xr:uid="{40CA92B8-563A-414C-A71E-C909D362DA44}"/>
    <cellStyle name="Calculation 2 6 6 2 9 3 2" xfId="27053" xr:uid="{47C8263A-498B-4541-BFCE-566763D87FB3}"/>
    <cellStyle name="Calculation 2 6 6 2 9 4" xfId="49506" xr:uid="{C92F200E-9CB0-416F-B98F-BC848865D1C0}"/>
    <cellStyle name="Calculation 2 6 6 3" xfId="3466" xr:uid="{00000000-0005-0000-0000-000063000000}"/>
    <cellStyle name="Calculation 2 6 6 3 2" xfId="10374" xr:uid="{C9BAAB75-AEC6-4859-A920-D68856B3502D}"/>
    <cellStyle name="Calculation 2 6 6 3 2 2" xfId="32861" xr:uid="{F2082EEE-777D-4BD7-968D-64AACFAFF3D2}"/>
    <cellStyle name="Calculation 2 6 6 3 2 3" xfId="50648" xr:uid="{7365EA57-2641-449C-B7DA-9D8932A5F472}"/>
    <cellStyle name="Calculation 2 6 6 3 3" xfId="15644" xr:uid="{977D9684-F389-4616-AC68-E50D22AFA135}"/>
    <cellStyle name="Calculation 2 6 6 3 3 2" xfId="38060" xr:uid="{B784E58B-F204-4C04-BC51-860BFC2F171B}"/>
    <cellStyle name="Calculation 2 6 6 3 3 3" xfId="48366" xr:uid="{8AA751A3-DCD9-412F-A5A6-7064607F4896}"/>
    <cellStyle name="Calculation 2 6 6 3 4" xfId="19324" xr:uid="{5E3E6601-C32D-4A52-A67F-45CF53C4D7A5}"/>
    <cellStyle name="Calculation 2 6 6 3 4 2" xfId="45232" xr:uid="{B651A056-B3BB-4CF8-AEC4-70076747B784}"/>
    <cellStyle name="Calculation 2 6 6 3 5" xfId="52334" xr:uid="{2CFCDBDD-6EF4-4026-A2C4-9A60BF3962F3}"/>
    <cellStyle name="Calculation 2 6 6 4" xfId="4999" xr:uid="{00000000-0005-0000-0000-000063000000}"/>
    <cellStyle name="Calculation 2 6 6 4 2" xfId="11893" xr:uid="{9A6A63D6-A300-4BFC-B1BE-073F62AA3A9B}"/>
    <cellStyle name="Calculation 2 6 6 4 2 2" xfId="34379" xr:uid="{9445CE57-13A4-459D-AD3C-0C2FB3FDD207}"/>
    <cellStyle name="Calculation 2 6 6 4 2 3" xfId="26656" xr:uid="{1600DB84-191F-4D14-8A2F-561B51269793}"/>
    <cellStyle name="Calculation 2 6 6 4 3" xfId="16936" xr:uid="{8CF6F1B3-578E-4EB8-B7EC-FD12FD549EC5}"/>
    <cellStyle name="Calculation 2 6 6 4 3 2" xfId="39326" xr:uid="{61BC2948-BAB3-4D54-BEA4-E83345E86613}"/>
    <cellStyle name="Calculation 2 6 6 4 3 3" xfId="23752" xr:uid="{B97F4384-E8F5-493F-A5CF-203664D6A9F1}"/>
    <cellStyle name="Calculation 2 6 6 4 4" xfId="21360" xr:uid="{3B43A337-F093-4DAA-A46B-C3C16004A9FD}"/>
    <cellStyle name="Calculation 2 6 6 4 4 2" xfId="25219" xr:uid="{737D44B7-5F04-434A-B479-8A6D1AEC9A27}"/>
    <cellStyle name="Calculation 2 6 6 4 5" xfId="48264" xr:uid="{FFDBA77C-7458-464C-AD92-4671E71A20A0}"/>
    <cellStyle name="Calculation 2 6 6 5" xfId="5910" xr:uid="{00000000-0005-0000-0000-000063000000}"/>
    <cellStyle name="Calculation 2 6 6 5 2" xfId="12791" xr:uid="{03E58214-F52E-48F6-9531-625197792DF5}"/>
    <cellStyle name="Calculation 2 6 6 5 2 2" xfId="35275" xr:uid="{D2E113BF-3227-41FF-A6D7-4433BF904EC1}"/>
    <cellStyle name="Calculation 2 6 6 5 2 3" xfId="27365" xr:uid="{8EF42D6B-CED7-448A-98FA-2F6D4F30BF3C}"/>
    <cellStyle name="Calculation 2 6 6 5 3" xfId="17847" xr:uid="{8B6D9049-A7A9-4636-84B6-516F5CBE441B}"/>
    <cellStyle name="Calculation 2 6 6 5 3 2" xfId="40237" xr:uid="{D1B6EDC6-C65E-43B9-AB55-C3917A418380}"/>
    <cellStyle name="Calculation 2 6 6 5 3 3" xfId="28642" xr:uid="{15EE5F42-5338-46D2-8002-DAA4F35BBC84}"/>
    <cellStyle name="Calculation 2 6 6 5 4" xfId="22271" xr:uid="{1DF8C5D6-2C67-46F0-8980-F32929EAF8D1}"/>
    <cellStyle name="Calculation 2 6 6 5 4 2" xfId="43007" xr:uid="{E6CA4B5E-6750-4B58-A0C5-40974DC14891}"/>
    <cellStyle name="Calculation 2 6 6 5 5" xfId="46476" xr:uid="{BAFBFDB0-0322-46D3-A963-2582F23F5D37}"/>
    <cellStyle name="Calculation 2 6 6 6" xfId="4864" xr:uid="{00000000-0005-0000-0000-000063000000}"/>
    <cellStyle name="Calculation 2 6 6 6 2" xfId="11760" xr:uid="{B9230289-7941-4082-BDF2-C7F3A2D2010E}"/>
    <cellStyle name="Calculation 2 6 6 6 2 2" xfId="34246" xr:uid="{52A33E01-BA96-4506-AF39-03B0F64ACF77}"/>
    <cellStyle name="Calculation 2 6 6 6 2 3" xfId="30206" xr:uid="{BC72BA08-D659-48AD-B412-8EFE51501D12}"/>
    <cellStyle name="Calculation 2 6 6 6 3" xfId="16801" xr:uid="{B1118A9D-8E59-477E-A8E3-71955FC6BE58}"/>
    <cellStyle name="Calculation 2 6 6 6 3 2" xfId="39191" xr:uid="{8BB2D139-5D41-40C3-924E-A2774A311675}"/>
    <cellStyle name="Calculation 2 6 6 6 3 3" xfId="45606" xr:uid="{C5263F3F-C311-4D52-8673-7578C4A37A43}"/>
    <cellStyle name="Calculation 2 6 6 6 4" xfId="16267" xr:uid="{99D3499E-9F9A-472A-BB26-0A6FA17C10F4}"/>
    <cellStyle name="Calculation 2 6 6 6 4 2" xfId="24655" xr:uid="{98F948BC-5A98-459D-A4F7-CB189ACCF3D4}"/>
    <cellStyle name="Calculation 2 6 6 6 5" xfId="32821" xr:uid="{326F2E41-5E69-4CF4-BEE1-797C6F0DEA8D}"/>
    <cellStyle name="Calculation 2 6 6 7" xfId="4493" xr:uid="{00000000-0005-0000-0000-000063000000}"/>
    <cellStyle name="Calculation 2 6 6 7 2" xfId="11395" xr:uid="{2F22D4D3-A39B-462F-B4A7-F82532155D89}"/>
    <cellStyle name="Calculation 2 6 6 7 2 2" xfId="33881" xr:uid="{4F8792CA-B082-45C2-8DBA-9FB602A05CEF}"/>
    <cellStyle name="Calculation 2 6 6 7 2 3" xfId="29841" xr:uid="{CD1ACFC4-8643-4AF5-BF87-DA589919C81A}"/>
    <cellStyle name="Calculation 2 6 6 7 3" xfId="16430" xr:uid="{4B7C16E9-D8D5-4A7A-B8CC-2BE7E01C1881}"/>
    <cellStyle name="Calculation 2 6 6 7 3 2" xfId="38820" xr:uid="{28581FF4-292F-4ACA-9E43-6609F62E4983}"/>
    <cellStyle name="Calculation 2 6 6 7 3 3" xfId="26553" xr:uid="{04F89E14-D717-4DF8-8F6F-9E1D3228C426}"/>
    <cellStyle name="Calculation 2 6 6 7 4" xfId="14245" xr:uid="{1AE4DD44-0B2F-4F53-A26B-09B520295704}"/>
    <cellStyle name="Calculation 2 6 6 7 4 2" xfId="47993" xr:uid="{F7B9F607-EFA3-4A10-A072-6B4133B80FCD}"/>
    <cellStyle name="Calculation 2 6 6 7 5" xfId="52282" xr:uid="{8D215AE5-85DA-49DC-A2CB-5145660932DC}"/>
    <cellStyle name="Calculation 2 6 6 8" xfId="14180" xr:uid="{03E75F8F-95D7-46AC-95E7-1D405D8CCD79}"/>
    <cellStyle name="Calculation 2 6 6 8 2" xfId="36655" xr:uid="{035CBAAF-7DE5-432D-B7FA-6D2833413D0B}"/>
    <cellStyle name="Calculation 2 6 6 8 3" xfId="45488" xr:uid="{7CAEC0DE-0D34-480B-9FC0-DF48F8EC2045}"/>
    <cellStyle name="Calculation 2 6 6 9" xfId="8127" xr:uid="{F0581F58-16FC-4F54-B905-9F5240D8E620}"/>
    <cellStyle name="Calculation 2 6 6 9 2" xfId="30739" xr:uid="{64F2A637-53B0-4358-A1AE-08A8F3005A47}"/>
    <cellStyle name="Calculation 2 6 6 9 3" xfId="52403" xr:uid="{00E5A164-A39B-4617-B5D5-89719CAB91CF}"/>
    <cellStyle name="Calculation 2 6 7" xfId="1633" xr:uid="{00000000-0005-0000-0000-000065000000}"/>
    <cellStyle name="Calculation 2 6 7 10" xfId="14347" xr:uid="{58C91836-2E2F-47E2-890F-35BAA4848C5A}"/>
    <cellStyle name="Calculation 2 6 7 10 2" xfId="36815" xr:uid="{F373C111-D1D4-47A3-8723-32CBFEB064C6}"/>
    <cellStyle name="Calculation 2 6 7 10 3" xfId="53233" xr:uid="{39C58C29-80F9-4313-B73D-AEE46DD9B382}"/>
    <cellStyle name="Calculation 2 6 7 11" xfId="14253" xr:uid="{A4F2DE16-9C98-4A2B-87B5-95F3EBE431F3}"/>
    <cellStyle name="Calculation 2 6 7 11 2" xfId="36726" xr:uid="{A477E08D-272A-4618-9ED1-FC27AF835001}"/>
    <cellStyle name="Calculation 2 6 7 11 3" xfId="52573" xr:uid="{DD5AA2EC-9F81-488D-A5A3-17433223755A}"/>
    <cellStyle name="Calculation 2 6 7 12" xfId="19262" xr:uid="{C2CC24DE-2A0C-485F-90D5-C99C1AC3C941}"/>
    <cellStyle name="Calculation 2 6 7 12 2" xfId="32233" xr:uid="{54F366B7-8A64-42EE-A93B-FD4BCA408A8B}"/>
    <cellStyle name="Calculation 2 6 7 13" xfId="43859" xr:uid="{1E141BF9-1BED-4CE4-867E-7F6A3872FBB7}"/>
    <cellStyle name="Calculation 2 6 7 2" xfId="3733" xr:uid="{00000000-0005-0000-0000-000065000000}"/>
    <cellStyle name="Calculation 2 6 7 2 2" xfId="10637" xr:uid="{4F404154-71A8-4668-B591-8835625FD4F5}"/>
    <cellStyle name="Calculation 2 6 7 2 2 2" xfId="33123" xr:uid="{45C32BF2-4290-4351-8EFC-02334245F86E}"/>
    <cellStyle name="Calculation 2 6 7 2 2 3" xfId="48470" xr:uid="{720FFCA7-E363-440A-8835-BC740DE8E725}"/>
    <cellStyle name="Calculation 2 6 7 2 3" xfId="15814" xr:uid="{51E13125-C8C7-4E31-92E0-E1A5ADAD9FEC}"/>
    <cellStyle name="Calculation 2 6 7 2 3 2" xfId="38222" xr:uid="{C579AD0D-78B2-447C-8967-35A6A26244AB}"/>
    <cellStyle name="Calculation 2 6 7 2 3 3" xfId="52397" xr:uid="{35F67D90-E68C-4228-B519-F95AF47AC050}"/>
    <cellStyle name="Calculation 2 6 7 2 4" xfId="14159" xr:uid="{316BFD7F-BE9C-4406-B638-24E660E82178}"/>
    <cellStyle name="Calculation 2 6 7 2 4 2" xfId="49902" xr:uid="{27507B20-1BD6-4E31-A884-3611AFAB3E4B}"/>
    <cellStyle name="Calculation 2 6 7 2 5" xfId="38549" xr:uid="{6C0498C7-90A6-4D6F-94A9-6E06A502BA69}"/>
    <cellStyle name="Calculation 2 6 7 3" xfId="5166" xr:uid="{00000000-0005-0000-0000-000065000000}"/>
    <cellStyle name="Calculation 2 6 7 3 2" xfId="12059" xr:uid="{4BF543F0-DE48-4AFF-A671-67A6897196C0}"/>
    <cellStyle name="Calculation 2 6 7 3 2 2" xfId="34545" xr:uid="{5E549963-A8BA-46DF-A39D-5B27307B9F1B}"/>
    <cellStyle name="Calculation 2 6 7 3 2 3" xfId="25756" xr:uid="{5FF8A449-7E29-44E9-9A99-5A1B84ABB840}"/>
    <cellStyle name="Calculation 2 6 7 3 3" xfId="17103" xr:uid="{DADF14FB-60DA-47C6-8549-BDD2E4A4B2BF}"/>
    <cellStyle name="Calculation 2 6 7 3 3 2" xfId="39493" xr:uid="{76232976-BF87-4DB2-BBC5-213979A1343C}"/>
    <cellStyle name="Calculation 2 6 7 3 3 3" xfId="29587" xr:uid="{D7A737C0-1FDE-4B5A-9E42-1617D593FDB7}"/>
    <cellStyle name="Calculation 2 6 7 3 4" xfId="21527" xr:uid="{687159ED-6187-42F0-B2AC-E46803115082}"/>
    <cellStyle name="Calculation 2 6 7 3 4 2" xfId="28065" xr:uid="{534A3E9F-59F9-4CAA-AA54-496015412B42}"/>
    <cellStyle name="Calculation 2 6 7 3 5" xfId="48488" xr:uid="{D2A7D570-7770-43B7-ABA7-51F3ACA3EB3F}"/>
    <cellStyle name="Calculation 2 6 7 4" xfId="4380" xr:uid="{00000000-0005-0000-0000-000065000000}"/>
    <cellStyle name="Calculation 2 6 7 4 2" xfId="11282" xr:uid="{B5695AC3-057B-4E1F-AFCD-42D975461EFB}"/>
    <cellStyle name="Calculation 2 6 7 4 2 2" xfId="33768" xr:uid="{0298AF8A-6E88-4950-B1AA-502F664151A5}"/>
    <cellStyle name="Calculation 2 6 7 4 2 3" xfId="45422" xr:uid="{22851A96-D625-439C-80F2-236782EA17FE}"/>
    <cellStyle name="Calculation 2 6 7 4 3" xfId="16317" xr:uid="{5E0B779C-05C5-41FF-BABB-8F59CFE0BE1C}"/>
    <cellStyle name="Calculation 2 6 7 4 3 2" xfId="38707" xr:uid="{BBBD0A63-66DB-49B0-9749-4A00CF84FF0E}"/>
    <cellStyle name="Calculation 2 6 7 4 3 3" xfId="30101" xr:uid="{7A451170-9F58-42E2-A4AD-BFD4C5F32208}"/>
    <cellStyle name="Calculation 2 6 7 4 4" xfId="14116" xr:uid="{3DC8E1C6-E570-458A-BB18-B10A6F8FD798}"/>
    <cellStyle name="Calculation 2 6 7 4 4 2" xfId="49931" xr:uid="{D90B0803-F8BC-42D9-AAA7-FE605465984C}"/>
    <cellStyle name="Calculation 2 6 7 4 5" xfId="50735" xr:uid="{FF8FBBC4-598B-4714-94E4-DCF7CE4E6390}"/>
    <cellStyle name="Calculation 2 6 7 5" xfId="5492" xr:uid="{00000000-0005-0000-0000-000065000000}"/>
    <cellStyle name="Calculation 2 6 7 5 2" xfId="12381" xr:uid="{B17413A0-9BCE-433A-A332-94C8818A268A}"/>
    <cellStyle name="Calculation 2 6 7 5 2 2" xfId="34866" xr:uid="{2ED69E08-6E2B-4EA8-AE87-9564D0BEF0E7}"/>
    <cellStyle name="Calculation 2 6 7 5 2 3" xfId="42937" xr:uid="{8E486217-4BB3-4E55-B354-2BD2161B3AC5}"/>
    <cellStyle name="Calculation 2 6 7 5 3" xfId="17429" xr:uid="{94423555-042B-4FAC-8184-904744B9D436}"/>
    <cellStyle name="Calculation 2 6 7 5 3 2" xfId="39819" xr:uid="{E10413CF-B493-460F-B327-7E132E2DC5EA}"/>
    <cellStyle name="Calculation 2 6 7 5 3 3" xfId="26238" xr:uid="{8B5AC24A-F7BA-4C00-B5E6-8FF11658623F}"/>
    <cellStyle name="Calculation 2 6 7 5 4" xfId="21853" xr:uid="{C96B8C26-7483-44EE-A923-C5D9BF1F386B}"/>
    <cellStyle name="Calculation 2 6 7 5 4 2" xfId="46545" xr:uid="{AF90899F-7C9B-476C-BD0D-02C08135A91E}"/>
    <cellStyle name="Calculation 2 6 7 5 5" xfId="52486" xr:uid="{307CFC98-0008-4A55-BA3E-C4C76F5A2C8B}"/>
    <cellStyle name="Calculation 2 6 7 6" xfId="4737" xr:uid="{00000000-0005-0000-0000-000065000000}"/>
    <cellStyle name="Calculation 2 6 7 6 2" xfId="11635" xr:uid="{4D83EDEF-2CDB-4AEB-BFCA-6C33658C3751}"/>
    <cellStyle name="Calculation 2 6 7 6 2 2" xfId="34121" xr:uid="{0B751A5A-DDF3-4129-AE0C-AF79C8F72C4E}"/>
    <cellStyle name="Calculation 2 6 7 6 2 3" xfId="43460" xr:uid="{7447A20A-9D29-4641-AC49-3C2F1E9B5BA5}"/>
    <cellStyle name="Calculation 2 6 7 6 3" xfId="16674" xr:uid="{AF3173D0-1194-464F-829F-7E340C91805D}"/>
    <cellStyle name="Calculation 2 6 7 6 3 2" xfId="39064" xr:uid="{B5B4B6CA-A340-4355-9EF2-A2D771240C72}"/>
    <cellStyle name="Calculation 2 6 7 6 3 3" xfId="25144" xr:uid="{E30C5712-5EA3-4991-A874-BDF68DB8CC55}"/>
    <cellStyle name="Calculation 2 6 7 6 4" xfId="20323" xr:uid="{2BD2178D-7319-41C8-9D61-77356D95A14F}"/>
    <cellStyle name="Calculation 2 6 7 6 4 2" xfId="46348" xr:uid="{79535A87-11E0-4C02-B328-778201AD898E}"/>
    <cellStyle name="Calculation 2 6 7 6 5" xfId="25465" xr:uid="{D96BF33D-ECFB-477F-9D43-AF46A678B90E}"/>
    <cellStyle name="Calculation 2 6 7 7" xfId="5697" xr:uid="{00000000-0005-0000-0000-000065000000}"/>
    <cellStyle name="Calculation 2 6 7 7 2" xfId="12581" xr:uid="{DCAC0652-67B9-482E-AB6B-FAF8524EB97C}"/>
    <cellStyle name="Calculation 2 6 7 7 2 2" xfId="35066" xr:uid="{56CF706B-9552-47DD-8FAA-45DC848749DB}"/>
    <cellStyle name="Calculation 2 6 7 7 2 3" xfId="45800" xr:uid="{D079CC95-F11D-4E24-93E2-7C53C689B2E9}"/>
    <cellStyle name="Calculation 2 6 7 7 3" xfId="17634" xr:uid="{99AA5080-AC2B-4153-9AD8-12B4AAB1A335}"/>
    <cellStyle name="Calculation 2 6 7 7 3 2" xfId="40024" xr:uid="{DBFB2374-2444-4154-8346-E6416EC0243F}"/>
    <cellStyle name="Calculation 2 6 7 7 3 3" xfId="44731" xr:uid="{AFB62D81-CB00-4F56-815F-81BCEAB0740E}"/>
    <cellStyle name="Calculation 2 6 7 7 4" xfId="22058" xr:uid="{5AB5FEF5-C86D-44B1-AFDC-43AAB3911141}"/>
    <cellStyle name="Calculation 2 6 7 7 4 2" xfId="49414" xr:uid="{C9662D30-80F8-4069-A7C6-A4EDDB38C6B8}"/>
    <cellStyle name="Calculation 2 6 7 7 5" xfId="45620" xr:uid="{82ADDDEA-941E-43C7-8471-67F5CE6EC084}"/>
    <cellStyle name="Calculation 2 6 7 8" xfId="6111" xr:uid="{00000000-0005-0000-0000-000065000000}"/>
    <cellStyle name="Calculation 2 6 7 8 2" xfId="12989" xr:uid="{EA6D9064-DB72-45C7-AE65-BA055F7AC135}"/>
    <cellStyle name="Calculation 2 6 7 8 2 2" xfId="35473" xr:uid="{FEC22AFE-2207-4668-8A09-D52DCB908E0E}"/>
    <cellStyle name="Calculation 2 6 7 8 2 3" xfId="43587" xr:uid="{25E89D49-3FE0-44FB-A2E2-0096DB0FBF9E}"/>
    <cellStyle name="Calculation 2 6 7 8 3" xfId="18048" xr:uid="{5BB31986-7677-41AD-BCA8-9167EE6BAC7E}"/>
    <cellStyle name="Calculation 2 6 7 8 3 2" xfId="40438" xr:uid="{80036EB3-E226-42DD-82CA-6B38138CE548}"/>
    <cellStyle name="Calculation 2 6 7 8 3 3" xfId="42653" xr:uid="{48AE318C-114F-4CBA-B38A-FD010D58BD3D}"/>
    <cellStyle name="Calculation 2 6 7 8 4" xfId="22472" xr:uid="{239A44D7-E495-4315-8E4D-5B1ECE9E21F3}"/>
    <cellStyle name="Calculation 2 6 7 8 4 2" xfId="53263" xr:uid="{D69EBF31-EF97-4886-A170-5079B1F3ED57}"/>
    <cellStyle name="Calculation 2 6 7 8 5" xfId="53409" xr:uid="{83E6326B-9F2D-449E-AD80-ED4DB842AD5E}"/>
    <cellStyle name="Calculation 2 6 7 9" xfId="6759" xr:uid="{00000000-0005-0000-0000-000065000000}"/>
    <cellStyle name="Calculation 2 6 7 9 2" xfId="18696" xr:uid="{8817F88D-3038-422E-A34B-A28899D2EF05}"/>
    <cellStyle name="Calculation 2 6 7 9 2 2" xfId="41086" xr:uid="{1B434F25-A47F-4378-9102-B5780C6958CA}"/>
    <cellStyle name="Calculation 2 6 7 9 2 3" xfId="44772" xr:uid="{3A0F7380-53D3-4DA1-A994-0B049EDD6FED}"/>
    <cellStyle name="Calculation 2 6 7 9 3" xfId="23120" xr:uid="{CB515C1C-28A6-46D5-AF4E-04740607D6EB}"/>
    <cellStyle name="Calculation 2 6 7 9 3 2" xfId="51090" xr:uid="{1A43F37F-0A8D-48F1-AD15-D72F9BAA88B0}"/>
    <cellStyle name="Calculation 2 6 7 9 4" xfId="47027" xr:uid="{410859BF-A2EF-489D-9190-D957AA5AFF8B}"/>
    <cellStyle name="Calculation 2 6 8" xfId="2584" xr:uid="{00000000-0005-0000-0000-00005A000000}"/>
    <cellStyle name="Calculation 2 6 8 2" xfId="9493" xr:uid="{9A0F162D-9F3B-42C3-8F9C-61402C34A285}"/>
    <cellStyle name="Calculation 2 6 8 2 2" xfId="32045" xr:uid="{FFFC8BF2-3B1F-48F8-B437-D5665E400CC8}"/>
    <cellStyle name="Calculation 2 6 8 2 3" xfId="53738" xr:uid="{C340B862-EE1F-4032-84F4-23043B1AF98D}"/>
    <cellStyle name="Calculation 2 6 8 3" xfId="15062" xr:uid="{10904DA4-761E-462F-88FE-A91DB00E9F8E}"/>
    <cellStyle name="Calculation 2 6 8 3 2" xfId="37507" xr:uid="{AF7F3102-8D07-44BC-8D96-5951D2F17741}"/>
    <cellStyle name="Calculation 2 6 8 3 3" xfId="42702" xr:uid="{143A1F99-9ED1-46DC-99E4-9B14D19B6B03}"/>
    <cellStyle name="Calculation 2 6 8 4" xfId="19747" xr:uid="{CE377A5C-D386-444C-8189-B3FC2ADB40AD}"/>
    <cellStyle name="Calculation 2 6 8 4 2" xfId="42814" xr:uid="{D6B0FDDE-0B82-46A3-8E0C-382D10DA3442}"/>
    <cellStyle name="Calculation 2 6 8 5" xfId="49023" xr:uid="{B9FCFBB9-981C-4D8C-942F-E76D248182E5}"/>
    <cellStyle name="Calculation 2 6 9" xfId="4411" xr:uid="{00000000-0005-0000-0000-00005A000000}"/>
    <cellStyle name="Calculation 2 6 9 2" xfId="11313" xr:uid="{5FF5E901-4880-420D-9D3D-F0033F059874}"/>
    <cellStyle name="Calculation 2 6 9 2 2" xfId="33799" xr:uid="{BD4BF675-5128-4A4D-8CA6-A1F91AAFFAE8}"/>
    <cellStyle name="Calculation 2 6 9 2 3" xfId="28116" xr:uid="{8B9CD5DC-4423-4FDC-B32E-A14247C1640C}"/>
    <cellStyle name="Calculation 2 6 9 3" xfId="16348" xr:uid="{1FF9FB7D-CE1B-4C39-A815-0767922DEB06}"/>
    <cellStyle name="Calculation 2 6 9 3 2" xfId="38738" xr:uid="{178D6D9B-B1B9-41F9-A2CE-DF9EF291444C}"/>
    <cellStyle name="Calculation 2 6 9 3 3" xfId="29622" xr:uid="{9CDF9EB2-E128-40F3-972D-151A8F191A55}"/>
    <cellStyle name="Calculation 2 6 9 4" xfId="14650" xr:uid="{8F0A218A-D80D-4230-86FA-A9FD13CB01EA}"/>
    <cellStyle name="Calculation 2 6 9 4 2" xfId="51421" xr:uid="{3B2F9AAD-F276-4DED-B302-ED6E750CD3F0}"/>
    <cellStyle name="Calculation 2 6 9 5" xfId="53846" xr:uid="{A623C68D-E3AC-45C5-B5E3-85B02AFA0374}"/>
    <cellStyle name="Calculation 2 7" xfId="459" xr:uid="{00000000-0005-0000-0000-000066000000}"/>
    <cellStyle name="Calculation 2 7 10" xfId="4618" xr:uid="{00000000-0005-0000-0000-000066000000}"/>
    <cellStyle name="Calculation 2 7 10 2" xfId="11519" xr:uid="{3BEF2B9F-CD15-40EF-BD25-2A31AD511CCD}"/>
    <cellStyle name="Calculation 2 7 10 2 2" xfId="34005" xr:uid="{285E370B-1CFC-49B9-9747-28185B552E0F}"/>
    <cellStyle name="Calculation 2 7 10 2 3" xfId="24662" xr:uid="{075B7F40-E861-461F-8A4E-ABAECE59EEAA}"/>
    <cellStyle name="Calculation 2 7 10 3" xfId="16555" xr:uid="{056E616A-DC32-42CC-B92E-6DFD964AAFE7}"/>
    <cellStyle name="Calculation 2 7 10 3 2" xfId="38945" xr:uid="{7CD4E8EB-5519-4A8C-A692-EE8EF35B0393}"/>
    <cellStyle name="Calculation 2 7 10 3 3" xfId="45075" xr:uid="{A11BD546-17B3-4A03-B558-F47B756C3ADB}"/>
    <cellStyle name="Calculation 2 7 10 4" xfId="20045" xr:uid="{28E95802-0FCD-431C-8323-D90DED0047A2}"/>
    <cellStyle name="Calculation 2 7 10 4 2" xfId="29840" xr:uid="{0DFDBECA-D2DB-4A84-A805-5BA6CBC62271}"/>
    <cellStyle name="Calculation 2 7 10 5" xfId="48956" xr:uid="{A9B0D893-2FC8-42A8-9002-B6F6A90EFCC9}"/>
    <cellStyle name="Calculation 2 7 11" xfId="6306" xr:uid="{00000000-0005-0000-0000-000066000000}"/>
    <cellStyle name="Calculation 2 7 11 2" xfId="13178" xr:uid="{952D0A62-686B-4656-8427-48511205F043}"/>
    <cellStyle name="Calculation 2 7 11 2 2" xfId="35662" xr:uid="{77EAA9C0-A68A-4745-BE0B-25ADB00D2A33}"/>
    <cellStyle name="Calculation 2 7 11 2 3" xfId="48960" xr:uid="{8E7BCB67-AFB7-4C02-9B3A-0B9FD44EF63A}"/>
    <cellStyle name="Calculation 2 7 11 3" xfId="18243" xr:uid="{D5921A7F-6BB6-478E-901F-614C48683CB5}"/>
    <cellStyle name="Calculation 2 7 11 3 2" xfId="40633" xr:uid="{F5372C22-E3EF-420E-BA32-4C73930A21AF}"/>
    <cellStyle name="Calculation 2 7 11 3 3" xfId="26555" xr:uid="{3C3819F2-C98A-423D-AD8A-A75F6F07B9B2}"/>
    <cellStyle name="Calculation 2 7 11 4" xfId="22667" xr:uid="{2534C2EC-00BB-4843-BE1C-90D352662DC6}"/>
    <cellStyle name="Calculation 2 7 11 4 2" xfId="51263" xr:uid="{25C02C09-ECBB-4994-B9A3-28F41ACD86C3}"/>
    <cellStyle name="Calculation 2 7 11 5" xfId="51272" xr:uid="{F9288552-50ED-4E35-ABAC-35B6CC078074}"/>
    <cellStyle name="Calculation 2 7 12" xfId="5057" xr:uid="{00000000-0005-0000-0000-000066000000}"/>
    <cellStyle name="Calculation 2 7 12 2" xfId="11950" xr:uid="{7CC6ACD1-BB78-4926-9FC8-632016B584DA}"/>
    <cellStyle name="Calculation 2 7 12 2 2" xfId="34436" xr:uid="{42BDCF80-AF26-4773-A500-70C0775B0FB7}"/>
    <cellStyle name="Calculation 2 7 12 2 3" xfId="28592" xr:uid="{1EA9E580-6E85-4FDA-9CF2-A789E657A2CB}"/>
    <cellStyle name="Calculation 2 7 12 3" xfId="16994" xr:uid="{E83E24D6-FE8B-4734-9C28-B91792583185}"/>
    <cellStyle name="Calculation 2 7 12 3 2" xfId="39384" xr:uid="{80ED0532-BE23-401F-9579-359CDA2D7925}"/>
    <cellStyle name="Calculation 2 7 12 3 3" xfId="44035" xr:uid="{7D8CF43E-6EA3-4EF1-AA6C-5324FAE0CC37}"/>
    <cellStyle name="Calculation 2 7 12 4" xfId="21418" xr:uid="{3DDA78E7-60D6-4CD9-BCB8-E588A9A74B34}"/>
    <cellStyle name="Calculation 2 7 12 4 2" xfId="47735" xr:uid="{F4FF22AE-8FA4-407C-8708-85A0B3CC3063}"/>
    <cellStyle name="Calculation 2 7 12 5" xfId="48681" xr:uid="{5D2E84F4-8EDA-4F58-B18D-275FCD6B43A6}"/>
    <cellStyle name="Calculation 2 7 13" xfId="8295" xr:uid="{A193C96E-0D46-4D81-B3C3-E938B8EE7049}"/>
    <cellStyle name="Calculation 2 7 13 2" xfId="30895" xr:uid="{99DD000D-1614-47CB-B2C1-26175C559838}"/>
    <cellStyle name="Calculation 2 7 13 3" xfId="52889" xr:uid="{6DE25A67-56D8-4C0D-8687-740FFA3F2A29}"/>
    <cellStyle name="Calculation 2 7 14" xfId="8810" xr:uid="{7D8402CE-D69C-49A5-9BBA-A57D151EE659}"/>
    <cellStyle name="Calculation 2 7 14 2" xfId="31391" xr:uid="{41D9AB64-CC5F-4AA6-9810-929B9A39CD9A}"/>
    <cellStyle name="Calculation 2 7 14 3" xfId="52868" xr:uid="{4F62A4E4-37F6-4DF0-9DDC-567C8ECAF30B}"/>
    <cellStyle name="Calculation 2 7 15" xfId="21150" xr:uid="{B983F0A2-E662-4E6B-9E9D-E50717CA1165}"/>
    <cellStyle name="Calculation 2 7 15 2" xfId="45404" xr:uid="{03CB4E61-91E5-4D52-B700-4052D8A5AF5A}"/>
    <cellStyle name="Calculation 2 7 16" xfId="48006" xr:uid="{4D1756E1-9286-4B01-821C-04E86F0FC76B}"/>
    <cellStyle name="Calculation 2 7 2" xfId="612" xr:uid="{00000000-0005-0000-0000-000067000000}"/>
    <cellStyle name="Calculation 2 7 2 10" xfId="20657" xr:uid="{F245E43C-339D-4CA1-A900-D9E629BF61B9}"/>
    <cellStyle name="Calculation 2 7 2 10 2" xfId="48941" xr:uid="{EDE88AC1-A333-4C6A-A801-34C49C232432}"/>
    <cellStyle name="Calculation 2 7 2 11" xfId="50008" xr:uid="{B2838BA1-4535-4C2B-8C84-788CF408D671}"/>
    <cellStyle name="Calculation 2 7 2 2" xfId="1746" xr:uid="{00000000-0005-0000-0000-000068000000}"/>
    <cellStyle name="Calculation 2 7 2 2 10" xfId="14447" xr:uid="{48356EC5-A519-4198-A9BA-C18F37E95292}"/>
    <cellStyle name="Calculation 2 7 2 2 10 2" xfId="36913" xr:uid="{B3F863A7-9403-400A-A148-CB1E7F080F9A}"/>
    <cellStyle name="Calculation 2 7 2 2 10 3" xfId="51150" xr:uid="{C4714103-235B-4590-BFE3-8E421B17E963}"/>
    <cellStyle name="Calculation 2 7 2 2 11" xfId="19564" xr:uid="{681DE43F-96D8-48C9-BFBC-4354DD9BE418}"/>
    <cellStyle name="Calculation 2 7 2 2 11 2" xfId="41922" xr:uid="{3DCFB238-B721-446F-9714-56D159EE6B5F}"/>
    <cellStyle name="Calculation 2 7 2 2 11 3" xfId="44995" xr:uid="{D06F7C4D-D43D-421A-9977-C671D494795E}"/>
    <cellStyle name="Calculation 2 7 2 2 12" xfId="16222" xr:uid="{93A82840-53A4-409A-8648-17A1AF6B60B5}"/>
    <cellStyle name="Calculation 2 7 2 2 12 2" xfId="44654" xr:uid="{CF7E4131-D597-4712-8CE2-954196D171BF}"/>
    <cellStyle name="Calculation 2 7 2 2 13" xfId="50855" xr:uid="{AD97A06D-D584-422F-B86B-BC805DB2D917}"/>
    <cellStyle name="Calculation 2 7 2 2 2" xfId="3844" xr:uid="{00000000-0005-0000-0000-000068000000}"/>
    <cellStyle name="Calculation 2 7 2 2 2 2" xfId="10748" xr:uid="{270CE18D-B26C-43B4-8EC5-C0487521C88B}"/>
    <cellStyle name="Calculation 2 7 2 2 2 2 2" xfId="33234" xr:uid="{870930F5-FCF3-4C79-B964-6EF70DA6F477}"/>
    <cellStyle name="Calculation 2 7 2 2 2 2 3" xfId="47009" xr:uid="{4E945988-327B-405C-9053-E192DD1DB29B}"/>
    <cellStyle name="Calculation 2 7 2 2 2 3" xfId="15904" xr:uid="{56F68231-8C08-4F64-8BF1-831D65A91DDA}"/>
    <cellStyle name="Calculation 2 7 2 2 2 3 2" xfId="38310" xr:uid="{45D75962-FB44-488D-9432-A944F267171D}"/>
    <cellStyle name="Calculation 2 7 2 2 2 3 3" xfId="32251" xr:uid="{2D8DE11A-F710-4994-9B1C-831ED975B4D0}"/>
    <cellStyle name="Calculation 2 7 2 2 2 4" xfId="21018" xr:uid="{581E21A7-33D0-46E0-A1E8-13C2D6AF6AB6}"/>
    <cellStyle name="Calculation 2 7 2 2 2 4 2" xfId="50377" xr:uid="{A48752F0-9D88-454B-BF42-F0ADAFABC372}"/>
    <cellStyle name="Calculation 2 7 2 2 2 5" xfId="48204" xr:uid="{F79887B7-3CD7-4B59-A73A-2847FEA82A68}"/>
    <cellStyle name="Calculation 2 7 2 2 3" xfId="5260" xr:uid="{00000000-0005-0000-0000-000068000000}"/>
    <cellStyle name="Calculation 2 7 2 2 3 2" xfId="12152" xr:uid="{B689298F-8C07-4970-88B6-9C42724FE0B0}"/>
    <cellStyle name="Calculation 2 7 2 2 3 2 2" xfId="34637" xr:uid="{0DD74212-665C-4C99-BD90-0AB4AF543180}"/>
    <cellStyle name="Calculation 2 7 2 2 3 2 3" xfId="45738" xr:uid="{9FCF1BEF-E37C-485C-A154-071ABA155B1E}"/>
    <cellStyle name="Calculation 2 7 2 2 3 3" xfId="17197" xr:uid="{9345C995-DEA6-4906-98EA-F0D23E9313A3}"/>
    <cellStyle name="Calculation 2 7 2 2 3 3 2" xfId="39587" xr:uid="{6E8DB6B9-8682-4FFB-9F7D-A6088959DF46}"/>
    <cellStyle name="Calculation 2 7 2 2 3 3 3" xfId="25771" xr:uid="{5B3F59CB-6B04-495C-AEFB-AE85508DACF2}"/>
    <cellStyle name="Calculation 2 7 2 2 3 4" xfId="21621" xr:uid="{EB83D1DF-9382-414F-BAD6-10D913F98852}"/>
    <cellStyle name="Calculation 2 7 2 2 3 4 2" xfId="46027" xr:uid="{AE73AD49-74A9-44E2-94AA-D89BCE9A9391}"/>
    <cellStyle name="Calculation 2 7 2 2 3 5" xfId="46611" xr:uid="{E1658DE1-5113-45AE-8AFB-DC5AB6B31EB5}"/>
    <cellStyle name="Calculation 2 7 2 2 4" xfId="5672" xr:uid="{00000000-0005-0000-0000-000068000000}"/>
    <cellStyle name="Calculation 2 7 2 2 4 2" xfId="12556" xr:uid="{ACD4FAF7-45A3-43E9-9D0D-5A518256573A}"/>
    <cellStyle name="Calculation 2 7 2 2 4 2 2" xfId="35041" xr:uid="{AE9AB2A6-3DD5-467B-8672-25FDED05BBED}"/>
    <cellStyle name="Calculation 2 7 2 2 4 2 3" xfId="45788" xr:uid="{67C7DAAC-250F-40F9-9AC1-86BF7E17C60F}"/>
    <cellStyle name="Calculation 2 7 2 2 4 3" xfId="17609" xr:uid="{2547ACED-DEE2-4BE9-99DC-D8E779CA6114}"/>
    <cellStyle name="Calculation 2 7 2 2 4 3 2" xfId="39999" xr:uid="{5BDC5E3F-B52F-4928-B97F-60F594F9CA2E}"/>
    <cellStyle name="Calculation 2 7 2 2 4 3 3" xfId="28523" xr:uid="{4AD57CDD-AACD-4ED0-A9DE-0440B297870A}"/>
    <cellStyle name="Calculation 2 7 2 2 4 4" xfId="22033" xr:uid="{D5D78158-22DE-4C9E-B71D-68983FC8D523}"/>
    <cellStyle name="Calculation 2 7 2 2 4 4 2" xfId="29324" xr:uid="{E7D5AB01-57C4-4EFA-B5C1-9D5BF712824B}"/>
    <cellStyle name="Calculation 2 7 2 2 4 5" xfId="46445" xr:uid="{F2AF45F0-3E34-46A8-94B0-E2B215DFB7E4}"/>
    <cellStyle name="Calculation 2 7 2 2 5" xfId="5592" xr:uid="{00000000-0005-0000-0000-000068000000}"/>
    <cellStyle name="Calculation 2 7 2 2 5 2" xfId="12477" xr:uid="{5A9EE7A5-0041-4F15-9CEE-449D0512541D}"/>
    <cellStyle name="Calculation 2 7 2 2 5 2 2" xfId="34962" xr:uid="{26ED3F26-1101-44D0-A8F8-29EDA0E8CEB8}"/>
    <cellStyle name="Calculation 2 7 2 2 5 2 3" xfId="29114" xr:uid="{78E8E865-180F-4CB1-9257-339DED8E09E2}"/>
    <cellStyle name="Calculation 2 7 2 2 5 3" xfId="17529" xr:uid="{74CE9460-0795-461E-B141-BD0825CE9D42}"/>
    <cellStyle name="Calculation 2 7 2 2 5 3 2" xfId="39919" xr:uid="{4B175910-BE33-44D9-A5E1-33227F015D46}"/>
    <cellStyle name="Calculation 2 7 2 2 5 3 3" xfId="30201" xr:uid="{65152107-39CA-45E4-A5C9-988A4C6F6583}"/>
    <cellStyle name="Calculation 2 7 2 2 5 4" xfId="21953" xr:uid="{392E8535-1B48-460F-9897-1F8D119FBC8B}"/>
    <cellStyle name="Calculation 2 7 2 2 5 4 2" xfId="47938" xr:uid="{61B8C078-05D0-499B-988F-D1DB0432D1FE}"/>
    <cellStyle name="Calculation 2 7 2 2 5 5" xfId="54004" xr:uid="{97BA3C78-F82E-430F-A8A7-87D9A2872294}"/>
    <cellStyle name="Calculation 2 7 2 2 6" xfId="6411" xr:uid="{00000000-0005-0000-0000-000068000000}"/>
    <cellStyle name="Calculation 2 7 2 2 6 2" xfId="13283" xr:uid="{BD550BB3-1BDE-411B-979C-DC89AF2D3438}"/>
    <cellStyle name="Calculation 2 7 2 2 6 2 2" xfId="35767" xr:uid="{18DF29F5-E838-4B62-8A23-FB306B9CD7F6}"/>
    <cellStyle name="Calculation 2 7 2 2 6 2 3" xfId="47159" xr:uid="{337E0AF2-ED23-4CDC-A5B2-D529AEB3DAE5}"/>
    <cellStyle name="Calculation 2 7 2 2 6 3" xfId="18348" xr:uid="{71FD7F4A-481A-4298-976E-D1E56E6CB333}"/>
    <cellStyle name="Calculation 2 7 2 2 6 3 2" xfId="40738" xr:uid="{FC8A6BBE-B9C4-4843-9565-B1DC93524675}"/>
    <cellStyle name="Calculation 2 7 2 2 6 3 3" xfId="31889" xr:uid="{689C09EB-F15D-4CE5-B30E-EF9085B3B1CF}"/>
    <cellStyle name="Calculation 2 7 2 2 6 4" xfId="22772" xr:uid="{9CF85F2E-2B00-4254-ABB4-83227EC2A6A2}"/>
    <cellStyle name="Calculation 2 7 2 2 6 4 2" xfId="32077" xr:uid="{FC2834D3-EA17-44E2-A25D-09B0F65F92CB}"/>
    <cellStyle name="Calculation 2 7 2 2 6 5" xfId="50055" xr:uid="{7A10AF2C-F35A-4ADC-9AA8-C193781303D4}"/>
    <cellStyle name="Calculation 2 7 2 2 7" xfId="5612" xr:uid="{00000000-0005-0000-0000-000068000000}"/>
    <cellStyle name="Calculation 2 7 2 2 7 2" xfId="12496" xr:uid="{9EFCBF2A-B3E9-4E37-9771-6F3F75003DF2}"/>
    <cellStyle name="Calculation 2 7 2 2 7 2 2" xfId="34981" xr:uid="{41FC8F72-A8DE-4A86-8F1A-B24F106CFE67}"/>
    <cellStyle name="Calculation 2 7 2 2 7 2 3" xfId="30844" xr:uid="{669A4665-1B6D-4FEF-B388-4138DFA58FEE}"/>
    <cellStyle name="Calculation 2 7 2 2 7 3" xfId="17549" xr:uid="{5E648E28-5A63-4AC0-885C-9F521E61AD29}"/>
    <cellStyle name="Calculation 2 7 2 2 7 3 2" xfId="39939" xr:uid="{B3D45EE5-5A91-4728-8548-7AD103C6E027}"/>
    <cellStyle name="Calculation 2 7 2 2 7 3 3" xfId="26261" xr:uid="{1446E052-7D9E-4C1B-A572-A3876683275A}"/>
    <cellStyle name="Calculation 2 7 2 2 7 4" xfId="21973" xr:uid="{2C378A41-B39B-4E92-8E3B-761AC2B3A51E}"/>
    <cellStyle name="Calculation 2 7 2 2 7 4 2" xfId="51578" xr:uid="{00F56054-B46B-4489-B377-174F09E3BCD8}"/>
    <cellStyle name="Calculation 2 7 2 2 7 5" xfId="53212" xr:uid="{55197B59-880C-4442-9150-76D66E4E1959}"/>
    <cellStyle name="Calculation 2 7 2 2 8" xfId="6928" xr:uid="{00000000-0005-0000-0000-000068000000}"/>
    <cellStyle name="Calculation 2 7 2 2 8 2" xfId="13766" xr:uid="{EF97BFEC-218B-4080-8CCE-10573BFA0D7D}"/>
    <cellStyle name="Calculation 2 7 2 2 8 2 2" xfId="36250" xr:uid="{9F1B1EC8-91BC-42E5-827A-BC1ED3032E8D}"/>
    <cellStyle name="Calculation 2 7 2 2 8 2 3" xfId="49044" xr:uid="{BCA54548-E3D2-4610-BF96-83415F8E0833}"/>
    <cellStyle name="Calculation 2 7 2 2 8 3" xfId="18865" xr:uid="{0685463B-287F-45DD-9C8C-4380A69CAD31}"/>
    <cellStyle name="Calculation 2 7 2 2 8 3 2" xfId="41255" xr:uid="{D08F92DB-F503-442D-98E0-B97C20AF1DC3}"/>
    <cellStyle name="Calculation 2 7 2 2 8 3 3" xfId="29738" xr:uid="{D31BD202-FF57-469F-9F6F-291CBA8A2FE0}"/>
    <cellStyle name="Calculation 2 7 2 2 8 4" xfId="23289" xr:uid="{501507B1-436A-4078-B483-319ED35D5DB0}"/>
    <cellStyle name="Calculation 2 7 2 2 8 4 2" xfId="44360" xr:uid="{78E5E915-CC42-40EC-BCF0-045CE6716842}"/>
    <cellStyle name="Calculation 2 7 2 2 8 5" xfId="42627" xr:uid="{34F3D36D-104B-42AC-B0C6-B4F99DD50EE9}"/>
    <cellStyle name="Calculation 2 7 2 2 9" xfId="6260" xr:uid="{00000000-0005-0000-0000-000068000000}"/>
    <cellStyle name="Calculation 2 7 2 2 9 2" xfId="18197" xr:uid="{0510F20D-B9F0-42D6-A828-5436E620B535}"/>
    <cellStyle name="Calculation 2 7 2 2 9 2 2" xfId="40587" xr:uid="{0034FEFB-CE24-47F2-8AA7-34490E84237F}"/>
    <cellStyle name="Calculation 2 7 2 2 9 2 3" xfId="45434" xr:uid="{0DB68FA6-550C-4134-AADC-7444A028919D}"/>
    <cellStyle name="Calculation 2 7 2 2 9 3" xfId="22621" xr:uid="{5EE13178-2BFB-4DE2-BD1A-44B5E212EB45}"/>
    <cellStyle name="Calculation 2 7 2 2 9 3 2" xfId="24482" xr:uid="{A16D8ECA-4C9C-4E67-8FC8-598E016D2092}"/>
    <cellStyle name="Calculation 2 7 2 2 9 4" xfId="53074" xr:uid="{807887CB-E14A-43E5-81B9-CFE38D0D5AB9}"/>
    <cellStyle name="Calculation 2 7 2 3" xfId="2757" xr:uid="{00000000-0005-0000-0000-000067000000}"/>
    <cellStyle name="Calculation 2 7 2 3 2" xfId="9666" xr:uid="{E0FA08E7-1BC8-4DDB-A0AE-8208C49AD80E}"/>
    <cellStyle name="Calculation 2 7 2 3 2 2" xfId="32214" xr:uid="{B6BC52C9-D148-4872-8BB1-932840D3AA9B}"/>
    <cellStyle name="Calculation 2 7 2 3 2 3" xfId="53130" xr:uid="{98D8A3EA-7F44-4BC6-B03A-F73C61F8C2C7}"/>
    <cellStyle name="Calculation 2 7 2 3 3" xfId="15184" xr:uid="{C6E3729C-9AD4-4ADD-8877-70E652A9746E}"/>
    <cellStyle name="Calculation 2 7 2 3 3 2" xfId="37624" xr:uid="{B4D75DAD-12C5-47AD-98ED-CCB171D2C5B1}"/>
    <cellStyle name="Calculation 2 7 2 3 3 3" xfId="25712" xr:uid="{78D3FD05-E2BB-4280-A5AB-46E1702459EB}"/>
    <cellStyle name="Calculation 2 7 2 3 4" xfId="19908" xr:uid="{7D0CAA6E-BBB3-4BD5-8021-445802B6E777}"/>
    <cellStyle name="Calculation 2 7 2 3 4 2" xfId="44610" xr:uid="{57EA13FD-4A99-434E-946B-D390453673D6}"/>
    <cellStyle name="Calculation 2 7 2 3 5" xfId="50528" xr:uid="{AC47E7E2-9B80-4CE7-BC42-583297E48E64}"/>
    <cellStyle name="Calculation 2 7 2 4" xfId="4551" xr:uid="{00000000-0005-0000-0000-000067000000}"/>
    <cellStyle name="Calculation 2 7 2 4 2" xfId="11453" xr:uid="{9A244F24-4BDC-43B5-BD5F-88F49C9261E6}"/>
    <cellStyle name="Calculation 2 7 2 4 2 2" xfId="33939" xr:uid="{E0AF369B-EAA2-485C-9046-FE86B0935162}"/>
    <cellStyle name="Calculation 2 7 2 4 2 3" xfId="45826" xr:uid="{6EAF30A7-2CE1-45BC-A4F9-24036D7F418E}"/>
    <cellStyle name="Calculation 2 7 2 4 3" xfId="16488" xr:uid="{1D9CA43C-5A73-48E1-B067-21930C07335B}"/>
    <cellStyle name="Calculation 2 7 2 4 3 2" xfId="38878" xr:uid="{76A55C4A-C7AB-4998-A475-ECFA58207262}"/>
    <cellStyle name="Calculation 2 7 2 4 3 3" xfId="32096" xr:uid="{8061FF0B-47A4-42B0-ADCD-E56612DE2F90}"/>
    <cellStyle name="Calculation 2 7 2 4 4" xfId="7245" xr:uid="{210C64E0-5665-4F9F-A151-7A01789CF977}"/>
    <cellStyle name="Calculation 2 7 2 4 4 2" xfId="46628" xr:uid="{D3BE16A9-EA25-448C-BE7D-4005B276D353}"/>
    <cellStyle name="Calculation 2 7 2 4 5" xfId="52113" xr:uid="{99724608-1159-469C-B366-07547EB99042}"/>
    <cellStyle name="Calculation 2 7 2 5" xfId="4566" xr:uid="{00000000-0005-0000-0000-000067000000}"/>
    <cellStyle name="Calculation 2 7 2 5 2" xfId="11468" xr:uid="{F4018412-5056-4311-ABAA-F17B2F8F3D68}"/>
    <cellStyle name="Calculation 2 7 2 5 2 2" xfId="33954" xr:uid="{E2063422-9201-49AD-AE64-A003CB30E3CF}"/>
    <cellStyle name="Calculation 2 7 2 5 2 3" xfId="26645" xr:uid="{52DD845E-8221-467A-866A-41DAB0C1538C}"/>
    <cellStyle name="Calculation 2 7 2 5 3" xfId="16503" xr:uid="{4BF7205D-9702-4498-B4A3-021997922ACF}"/>
    <cellStyle name="Calculation 2 7 2 5 3 2" xfId="38893" xr:uid="{4CDC4BEA-EAAA-41DD-9F34-84DF846A05B5}"/>
    <cellStyle name="Calculation 2 7 2 5 3 3" xfId="27878" xr:uid="{0956AA41-334D-4DFA-B47B-76B7C8E7B163}"/>
    <cellStyle name="Calculation 2 7 2 5 4" xfId="20011" xr:uid="{B07CD0F5-6080-48A6-B6B6-C2CA73E969BD}"/>
    <cellStyle name="Calculation 2 7 2 5 4 2" xfId="28812" xr:uid="{F3F1FB4A-ECAA-4214-A306-BBA591809224}"/>
    <cellStyle name="Calculation 2 7 2 5 5" xfId="52718" xr:uid="{640FA528-62D5-45D4-87AF-2D061680F43A}"/>
    <cellStyle name="Calculation 2 7 2 6" xfId="4774" xr:uid="{00000000-0005-0000-0000-000067000000}"/>
    <cellStyle name="Calculation 2 7 2 6 2" xfId="11671" xr:uid="{AD79A652-7E5C-40CB-8673-57833D2FEB2C}"/>
    <cellStyle name="Calculation 2 7 2 6 2 2" xfId="34157" xr:uid="{B8F07C34-FBC0-4049-86C3-E5894D07BEF4}"/>
    <cellStyle name="Calculation 2 7 2 6 2 3" xfId="26959" xr:uid="{4AD2B561-56EF-44A1-90DB-3E49AF0A6EE3}"/>
    <cellStyle name="Calculation 2 7 2 6 3" xfId="16711" xr:uid="{4623C67C-3364-4A16-9726-81C0103E1525}"/>
    <cellStyle name="Calculation 2 7 2 6 3 2" xfId="39101" xr:uid="{9D873A17-8EB1-42DF-BF0A-F4E8C1536D37}"/>
    <cellStyle name="Calculation 2 7 2 6 3 3" xfId="25881" xr:uid="{15842268-0FDE-4C8B-826C-6E77E0987F1E}"/>
    <cellStyle name="Calculation 2 7 2 6 4" xfId="15041" xr:uid="{8465167F-40ED-49C7-AE0D-BAA0A779E99C}"/>
    <cellStyle name="Calculation 2 7 2 6 4 2" xfId="47686" xr:uid="{F7E1F596-980B-49F6-9F6F-3EF2426FBAE3}"/>
    <cellStyle name="Calculation 2 7 2 6 5" xfId="45908" xr:uid="{C255A301-AC52-4AC7-8D04-090B655A7233}"/>
    <cellStyle name="Calculation 2 7 2 7" xfId="5429" xr:uid="{00000000-0005-0000-0000-000067000000}"/>
    <cellStyle name="Calculation 2 7 2 7 2" xfId="12319" xr:uid="{2C69493D-6F96-48E1-9790-5881FC3309A7}"/>
    <cellStyle name="Calculation 2 7 2 7 2 2" xfId="34804" xr:uid="{1DA98DA2-8773-479D-849C-CEC4170FC85D}"/>
    <cellStyle name="Calculation 2 7 2 7 2 3" xfId="24045" xr:uid="{5366A2DB-43EA-4199-9943-CA61E6189AEF}"/>
    <cellStyle name="Calculation 2 7 2 7 3" xfId="17366" xr:uid="{EB08AA22-2099-4D22-B6F7-26771BDFC745}"/>
    <cellStyle name="Calculation 2 7 2 7 3 2" xfId="39756" xr:uid="{3019B134-D740-4528-BA5E-59A6FA9926BD}"/>
    <cellStyle name="Calculation 2 7 2 7 3 3" xfId="25389" xr:uid="{3FDD4266-AEC0-4A9F-AA88-5B2E516BF4C7}"/>
    <cellStyle name="Calculation 2 7 2 7 4" xfId="21790" xr:uid="{C93905AE-D57E-4B69-8AE9-0794104629FC}"/>
    <cellStyle name="Calculation 2 7 2 7 4 2" xfId="43610" xr:uid="{32B22FAA-ADDB-41FA-B368-F1B242E766CB}"/>
    <cellStyle name="Calculation 2 7 2 7 5" xfId="43851" xr:uid="{1FE226EF-1967-4DB2-9895-DAE4BBD8F239}"/>
    <cellStyle name="Calculation 2 7 2 8" xfId="7397" xr:uid="{CF0ACF15-08C3-471D-ACC2-93FEA4F285C4}"/>
    <cellStyle name="Calculation 2 7 2 8 2" xfId="30081" xr:uid="{EFACFD21-54FB-4CA1-B5E7-BDCC7BCC9A5D}"/>
    <cellStyle name="Calculation 2 7 2 8 3" xfId="51403" xr:uid="{A6CB2A42-150F-4DAE-97CB-544DD9AA5F02}"/>
    <cellStyle name="Calculation 2 7 2 9" xfId="20317" xr:uid="{D95B0271-0D20-488F-89AB-9062BEA43813}"/>
    <cellStyle name="Calculation 2 7 2 9 2" xfId="42616" xr:uid="{299A6D61-F106-4A99-9455-BE329A257DE6}"/>
    <cellStyle name="Calculation 2 7 2 9 3" xfId="53314" xr:uid="{21A4BF62-8F8E-4495-85B9-1486C6E76DF8}"/>
    <cellStyle name="Calculation 2 7 3" xfId="859" xr:uid="{00000000-0005-0000-0000-000069000000}"/>
    <cellStyle name="Calculation 2 7 3 10" xfId="19708" xr:uid="{2A078B49-67F2-434C-8204-11DA7C949E26}"/>
    <cellStyle name="Calculation 2 7 3 10 2" xfId="32782" xr:uid="{EA8D6EDC-1619-4B40-B729-59C6756AB84A}"/>
    <cellStyle name="Calculation 2 7 3 11" xfId="36716" xr:uid="{9524F552-5629-4B61-BBDE-2C4B85F15791}"/>
    <cellStyle name="Calculation 2 7 3 2" xfId="1844" xr:uid="{00000000-0005-0000-0000-00006A000000}"/>
    <cellStyle name="Calculation 2 7 3 2 10" xfId="14528" xr:uid="{556C49A2-5387-4376-855A-20283D0A6457}"/>
    <cellStyle name="Calculation 2 7 3 2 10 2" xfId="36989" xr:uid="{56AD2AD0-21E9-4954-80A1-07CAAC0FE31F}"/>
    <cellStyle name="Calculation 2 7 3 2 10 3" xfId="52797" xr:uid="{7DA4E7DF-403F-4B24-8CB3-7FD4EBA23730}"/>
    <cellStyle name="Calculation 2 7 3 2 11" xfId="15369" xr:uid="{C6D5C263-8797-49F3-9E33-6E33598EEEBB}"/>
    <cellStyle name="Calculation 2 7 3 2 11 2" xfId="37800" xr:uid="{810CAB87-C007-4245-AA7E-7AA1F66DC286}"/>
    <cellStyle name="Calculation 2 7 3 2 11 3" xfId="52959" xr:uid="{95F22CEA-B725-4CA8-B1D2-E2E9905F2B4D}"/>
    <cellStyle name="Calculation 2 7 3 2 12" xfId="16068" xr:uid="{7D68C72C-B89B-4C10-A1EB-69651AB608CE}"/>
    <cellStyle name="Calculation 2 7 3 2 12 2" xfId="43519" xr:uid="{CD029FC4-18DE-4FFC-AACA-807211C81617}"/>
    <cellStyle name="Calculation 2 7 3 2 13" xfId="52459" xr:uid="{E1735427-0897-4F84-847E-F1602BF1FA8D}"/>
    <cellStyle name="Calculation 2 7 3 2 2" xfId="3942" xr:uid="{00000000-0005-0000-0000-00006A000000}"/>
    <cellStyle name="Calculation 2 7 3 2 2 2" xfId="10846" xr:uid="{571F29D1-0CBB-4D5D-A952-74B39CFB0918}"/>
    <cellStyle name="Calculation 2 7 3 2 2 2 2" xfId="33332" xr:uid="{0B089B20-FFA9-429E-83EB-5B7E4991784D}"/>
    <cellStyle name="Calculation 2 7 3 2 2 2 3" xfId="48274" xr:uid="{52855B8B-9551-40C5-B433-AA8C3021CEE4}"/>
    <cellStyle name="Calculation 2 7 3 2 2 3" xfId="15984" xr:uid="{70BA478C-CA5F-4F76-935D-A3E20E8ACABB}"/>
    <cellStyle name="Calculation 2 7 3 2 2 3 2" xfId="38387" xr:uid="{562B66AC-620B-47C0-B671-4515B5C00D91}"/>
    <cellStyle name="Calculation 2 7 3 2 2 3 3" xfId="50171" xr:uid="{2FD3401E-ADA1-4A86-A2CD-FF4643A39D2B}"/>
    <cellStyle name="Calculation 2 7 3 2 2 4" xfId="21281" xr:uid="{BED99A49-7AB3-4CCC-8137-131D2FEA9DAA}"/>
    <cellStyle name="Calculation 2 7 3 2 2 4 2" xfId="50108" xr:uid="{B8B50BA3-FB9D-4953-BD14-7C0D7E94240E}"/>
    <cellStyle name="Calculation 2 7 3 2 2 5" xfId="49018" xr:uid="{4C46DFF7-3A59-406E-B84C-04F6D6788ABD}"/>
    <cellStyle name="Calculation 2 7 3 2 3" xfId="5337" xr:uid="{00000000-0005-0000-0000-00006A000000}"/>
    <cellStyle name="Calculation 2 7 3 2 3 2" xfId="12229" xr:uid="{59A020B5-CCD9-4E10-906D-C67BBC6385F2}"/>
    <cellStyle name="Calculation 2 7 3 2 3 2 2" xfId="34714" xr:uid="{C07E781F-B059-46B1-9386-E80768589637}"/>
    <cellStyle name="Calculation 2 7 3 2 3 2 3" xfId="38625" xr:uid="{EE68A095-D6A6-44E5-945D-B7B2CC8EBE5B}"/>
    <cellStyle name="Calculation 2 7 3 2 3 3" xfId="17274" xr:uid="{51AA7902-C3AC-4F48-A058-5A915B03464C}"/>
    <cellStyle name="Calculation 2 7 3 2 3 3 2" xfId="39664" xr:uid="{C8D5809B-5A4A-4F77-A2B9-8298555D2A5F}"/>
    <cellStyle name="Calculation 2 7 3 2 3 3 3" xfId="25388" xr:uid="{20CCEB68-A884-4FF5-A062-7D655BD4E405}"/>
    <cellStyle name="Calculation 2 7 3 2 3 4" xfId="21698" xr:uid="{B79E1607-AD79-4C91-B009-EF4DF455E261}"/>
    <cellStyle name="Calculation 2 7 3 2 3 4 2" xfId="25328" xr:uid="{93175C30-9711-49E1-9FCF-15F99E03549A}"/>
    <cellStyle name="Calculation 2 7 3 2 3 5" xfId="45558" xr:uid="{80113FCA-401D-44A2-ADE0-E07D9B27353A}"/>
    <cellStyle name="Calculation 2 7 3 2 4" xfId="5747" xr:uid="{00000000-0005-0000-0000-00006A000000}"/>
    <cellStyle name="Calculation 2 7 3 2 4 2" xfId="12631" xr:uid="{56F2C153-5D1F-4CFC-BC56-29B56FB771B6}"/>
    <cellStyle name="Calculation 2 7 3 2 4 2 2" xfId="35116" xr:uid="{D8B49337-3336-4DBF-902F-5C5926C341F4}"/>
    <cellStyle name="Calculation 2 7 3 2 4 2 3" xfId="25247" xr:uid="{228C5CEA-1003-4BF4-BFDC-EB133B1F41B1}"/>
    <cellStyle name="Calculation 2 7 3 2 4 3" xfId="17684" xr:uid="{11DE6E44-C771-4FF2-A7B9-395D83CFC7A7}"/>
    <cellStyle name="Calculation 2 7 3 2 4 3 2" xfId="40074" xr:uid="{0F1D777E-17B7-4A62-A0CA-E7DFBB4BB992}"/>
    <cellStyle name="Calculation 2 7 3 2 4 3 3" xfId="42869" xr:uid="{1AAD3526-9552-485A-836F-0DEDD0DC425D}"/>
    <cellStyle name="Calculation 2 7 3 2 4 4" xfId="22108" xr:uid="{2CC17DC0-9CD1-40C3-BDFC-9552053665EF}"/>
    <cellStyle name="Calculation 2 7 3 2 4 4 2" xfId="46201" xr:uid="{3F46540C-C92D-4C4A-8C73-807DCA2CA9B0}"/>
    <cellStyle name="Calculation 2 7 3 2 4 5" xfId="51714" xr:uid="{AD54FA55-15F3-4E3E-8BA7-DD1B74DEFCF0}"/>
    <cellStyle name="Calculation 2 7 3 2 5" xfId="6101" xr:uid="{00000000-0005-0000-0000-00006A000000}"/>
    <cellStyle name="Calculation 2 7 3 2 5 2" xfId="12979" xr:uid="{C38B8824-50CC-44C4-B523-F87DE702EB14}"/>
    <cellStyle name="Calculation 2 7 3 2 5 2 2" xfId="35463" xr:uid="{199C1350-02DA-4ADC-AA06-B62D511CEF15}"/>
    <cellStyle name="Calculation 2 7 3 2 5 2 3" xfId="50798" xr:uid="{1AEDC231-4F85-46AA-8ABB-399C1E7CE286}"/>
    <cellStyle name="Calculation 2 7 3 2 5 3" xfId="18038" xr:uid="{13855DF7-56C5-456E-AE0D-BC524DE36F5C}"/>
    <cellStyle name="Calculation 2 7 3 2 5 3 2" xfId="40428" xr:uid="{E6940453-C7ED-45DE-B9D4-B4FC869BE960}"/>
    <cellStyle name="Calculation 2 7 3 2 5 3 3" xfId="29799" xr:uid="{78788C77-EA0E-4293-900D-C268E299F27B}"/>
    <cellStyle name="Calculation 2 7 3 2 5 4" xfId="22462" xr:uid="{9031EFA4-9C1E-4AA8-BD0F-BED075769703}"/>
    <cellStyle name="Calculation 2 7 3 2 5 4 2" xfId="47451" xr:uid="{B83F914D-C209-4E3F-A484-6ADF75A90307}"/>
    <cellStyle name="Calculation 2 7 3 2 5 5" xfId="48644" xr:uid="{0EC1998F-0BDD-4E49-8FD4-ED4D075EAEF9}"/>
    <cellStyle name="Calculation 2 7 3 2 6" xfId="6476" xr:uid="{00000000-0005-0000-0000-00006A000000}"/>
    <cellStyle name="Calculation 2 7 3 2 6 2" xfId="13346" xr:uid="{E3A2E567-15C5-4312-A7AE-487D57849BDB}"/>
    <cellStyle name="Calculation 2 7 3 2 6 2 2" xfId="35830" xr:uid="{B5EEC8DF-A528-47F3-80AC-CDC4B99165FB}"/>
    <cellStyle name="Calculation 2 7 3 2 6 2 3" xfId="46885" xr:uid="{FBFBFF8E-A10D-4FB8-BF98-C1FF17825323}"/>
    <cellStyle name="Calculation 2 7 3 2 6 3" xfId="18413" xr:uid="{FD77965E-1325-4A5B-A4E8-8F0B83121EBC}"/>
    <cellStyle name="Calculation 2 7 3 2 6 3 2" xfId="40803" xr:uid="{88D19D20-2B37-4628-B902-1F949A41841B}"/>
    <cellStyle name="Calculation 2 7 3 2 6 3 3" xfId="45307" xr:uid="{5A47B407-8FCA-457E-8AD5-966CD1E9D3C4}"/>
    <cellStyle name="Calculation 2 7 3 2 6 4" xfId="22837" xr:uid="{B4A294F3-6D06-466A-BFFA-53C32EBCFF75}"/>
    <cellStyle name="Calculation 2 7 3 2 6 4 2" xfId="53479" xr:uid="{8AA6DDAF-01E3-4053-8C3F-6909CD9CE58C}"/>
    <cellStyle name="Calculation 2 7 3 2 6 5" xfId="53232" xr:uid="{00FC4D9E-8823-41B1-9B81-13CBD98583C0}"/>
    <cellStyle name="Calculation 2 7 3 2 7" xfId="6185" xr:uid="{00000000-0005-0000-0000-00006A000000}"/>
    <cellStyle name="Calculation 2 7 3 2 7 2" xfId="13060" xr:uid="{846EFC7E-E6BA-4BA2-9D31-49E3E6479BEC}"/>
    <cellStyle name="Calculation 2 7 3 2 7 2 2" xfId="35544" xr:uid="{1C762096-D7A7-4F91-B143-C77FE9ABCB12}"/>
    <cellStyle name="Calculation 2 7 3 2 7 2 3" xfId="28474" xr:uid="{0C0F6E1B-A63B-46D5-923B-F032E8846381}"/>
    <cellStyle name="Calculation 2 7 3 2 7 3" xfId="18122" xr:uid="{007958E7-A9A2-49DB-B237-7CBCE0C64C3B}"/>
    <cellStyle name="Calculation 2 7 3 2 7 3 2" xfId="40512" xr:uid="{98396A82-B94D-41BD-9AF2-DF06C5943D1B}"/>
    <cellStyle name="Calculation 2 7 3 2 7 3 3" xfId="36790" xr:uid="{2C0E5F9E-BD92-4B53-876D-76A32F8CE07B}"/>
    <cellStyle name="Calculation 2 7 3 2 7 4" xfId="22546" xr:uid="{D45EF47D-5FBC-45BC-B7E4-3C84908A11A4}"/>
    <cellStyle name="Calculation 2 7 3 2 7 4 2" xfId="25308" xr:uid="{4801FF9E-642D-4251-A9AE-ABB7C6C74E39}"/>
    <cellStyle name="Calculation 2 7 3 2 7 5" xfId="50446" xr:uid="{9C447586-6FD3-48E4-9120-3383B7382B0A}"/>
    <cellStyle name="Calculation 2 7 3 2 8" xfId="6976" xr:uid="{00000000-0005-0000-0000-00006A000000}"/>
    <cellStyle name="Calculation 2 7 3 2 8 2" xfId="13813" xr:uid="{601430EA-A424-4E0C-863C-E501A8A519D8}"/>
    <cellStyle name="Calculation 2 7 3 2 8 2 2" xfId="36297" xr:uid="{2996C9F0-34F3-4EFC-980F-6078222A1F6F}"/>
    <cellStyle name="Calculation 2 7 3 2 8 2 3" xfId="49337" xr:uid="{50AB6A2C-57EB-4C10-9C76-119A0B38CC5E}"/>
    <cellStyle name="Calculation 2 7 3 2 8 3" xfId="18913" xr:uid="{92D9AFE7-3B35-424B-AEF9-4FD1A529728D}"/>
    <cellStyle name="Calculation 2 7 3 2 8 3 2" xfId="41303" xr:uid="{9E8488A0-3035-4DB7-90B8-2E0B366FB474}"/>
    <cellStyle name="Calculation 2 7 3 2 8 3 3" xfId="26426" xr:uid="{C5729782-C748-4DB8-A54D-A1FD17B342E1}"/>
    <cellStyle name="Calculation 2 7 3 2 8 4" xfId="23337" xr:uid="{D2F6C27E-ECB9-47ED-9C96-3AFC3500F728}"/>
    <cellStyle name="Calculation 2 7 3 2 8 4 2" xfId="51656" xr:uid="{6B7E31D5-7110-45DF-AFF0-033C577541DB}"/>
    <cellStyle name="Calculation 2 7 3 2 8 5" xfId="48014" xr:uid="{DF9FF72F-857D-4906-9297-E3C08967BD08}"/>
    <cellStyle name="Calculation 2 7 3 2 9" xfId="6744" xr:uid="{00000000-0005-0000-0000-00006A000000}"/>
    <cellStyle name="Calculation 2 7 3 2 9 2" xfId="18681" xr:uid="{D29D44BE-6E0C-4C44-AA9A-E9384C16C4B0}"/>
    <cellStyle name="Calculation 2 7 3 2 9 2 2" xfId="41071" xr:uid="{2B14DF2D-7A61-4443-9A88-2001A3017C9D}"/>
    <cellStyle name="Calculation 2 7 3 2 9 2 3" xfId="26316" xr:uid="{6D445357-1317-4768-8B28-BC0884157399}"/>
    <cellStyle name="Calculation 2 7 3 2 9 3" xfId="23105" xr:uid="{F20164CB-3580-410A-8A60-F57DFA770EE1}"/>
    <cellStyle name="Calculation 2 7 3 2 9 3 2" xfId="27790" xr:uid="{7371C09E-F592-4D78-8D35-29772E2B8B71}"/>
    <cellStyle name="Calculation 2 7 3 2 9 4" xfId="49266" xr:uid="{A58B8836-45CB-4585-8B79-2E6409323879}"/>
    <cellStyle name="Calculation 2 7 3 3" xfId="2990" xr:uid="{00000000-0005-0000-0000-000069000000}"/>
    <cellStyle name="Calculation 2 7 3 3 2" xfId="9899" xr:uid="{80EA4FA6-99AE-4BC4-8D32-1405EC0DDCC4}"/>
    <cellStyle name="Calculation 2 7 3 3 2 2" xfId="32422" xr:uid="{C6C926B4-987E-42A2-9161-85B602D6ED41}"/>
    <cellStyle name="Calculation 2 7 3 3 2 3" xfId="51586" xr:uid="{B5E86051-59A9-4444-BB1B-06843158A06A}"/>
    <cellStyle name="Calculation 2 7 3 3 3" xfId="15337" xr:uid="{EB093BD0-D8AE-47C5-AC2B-0F9B1836C8DD}"/>
    <cellStyle name="Calculation 2 7 3 3 3 2" xfId="37769" xr:uid="{844307A8-545C-47BD-8016-3E0ADACF68C9}"/>
    <cellStyle name="Calculation 2 7 3 3 3 3" xfId="43044" xr:uid="{7028FFD1-3DFD-436A-AE95-626DCF638810}"/>
    <cellStyle name="Calculation 2 7 3 3 4" xfId="14980" xr:uid="{E444F06C-5BBD-4976-9D31-47D488C74F8E}"/>
    <cellStyle name="Calculation 2 7 3 3 4 2" xfId="54040" xr:uid="{B28A2A37-ACD6-4CF5-9BB7-89D343AB1D1A}"/>
    <cellStyle name="Calculation 2 7 3 3 5" xfId="27118" xr:uid="{275B6F25-C5AC-4098-B6E8-02D5E0F7782C}"/>
    <cellStyle name="Calculation 2 7 3 4" xfId="4703" xr:uid="{00000000-0005-0000-0000-000069000000}"/>
    <cellStyle name="Calculation 2 7 3 4 2" xfId="11601" xr:uid="{00925019-A8D8-4DD1-A948-611AB85A771D}"/>
    <cellStyle name="Calculation 2 7 3 4 2 2" xfId="34087" xr:uid="{D8D5B2D8-4880-4D70-8727-643FBCC637ED}"/>
    <cellStyle name="Calculation 2 7 3 4 2 3" xfId="45831" xr:uid="{20F89427-9A12-48F6-B95A-F3F1DCE8E74C}"/>
    <cellStyle name="Calculation 2 7 3 4 3" xfId="16640" xr:uid="{8F7DA0E4-AD6D-45DC-A95F-27ACDAC087D0}"/>
    <cellStyle name="Calculation 2 7 3 4 3 2" xfId="39030" xr:uid="{19035100-B9D2-4AD7-B4BC-64C563CE081C}"/>
    <cellStyle name="Calculation 2 7 3 4 3 3" xfId="30831" xr:uid="{5B6A9A19-7EA2-4740-8A00-34EB394AD37F}"/>
    <cellStyle name="Calculation 2 7 3 4 4" xfId="14461" xr:uid="{6CB7FB08-47DA-451B-B746-B7FA77BA4F55}"/>
    <cellStyle name="Calculation 2 7 3 4 4 2" xfId="53369" xr:uid="{150E60D7-35B7-42AC-A4A9-A725FF09B477}"/>
    <cellStyle name="Calculation 2 7 3 4 5" xfId="28873" xr:uid="{DE66F4CF-AAA2-4122-897F-537DAB7A91AF}"/>
    <cellStyle name="Calculation 2 7 3 5" xfId="4866" xr:uid="{00000000-0005-0000-0000-000069000000}"/>
    <cellStyle name="Calculation 2 7 3 5 2" xfId="11762" xr:uid="{3C543F66-A65A-43F0-9B1B-9313B296C266}"/>
    <cellStyle name="Calculation 2 7 3 5 2 2" xfId="34248" xr:uid="{6DA7B838-3CA0-4228-9299-705F10CC2970}"/>
    <cellStyle name="Calculation 2 7 3 5 2 3" xfId="45372" xr:uid="{22D4AAEB-BC92-4EA1-9E78-ECEDDD7ABF33}"/>
    <cellStyle name="Calculation 2 7 3 5 3" xfId="16803" xr:uid="{A4531857-56FD-4725-9095-D7FFF0492CC5}"/>
    <cellStyle name="Calculation 2 7 3 5 3 2" xfId="39193" xr:uid="{2F2D1011-1B3B-4C8F-8BD1-39CB0090FA5F}"/>
    <cellStyle name="Calculation 2 7 3 5 3 3" xfId="37810" xr:uid="{E663576D-ECB6-455C-AFA3-21487F18E690}"/>
    <cellStyle name="Calculation 2 7 3 5 4" xfId="19579" xr:uid="{28FC9539-3B48-48A3-A359-8EE04426207C}"/>
    <cellStyle name="Calculation 2 7 3 5 4 2" xfId="32428" xr:uid="{DAE28710-6502-4359-99D7-16C5D43AD71B}"/>
    <cellStyle name="Calculation 2 7 3 5 5" xfId="43869" xr:uid="{DB99B63B-6626-4B6D-B231-AB80B626146C}"/>
    <cellStyle name="Calculation 2 7 3 6" xfId="4592" xr:uid="{00000000-0005-0000-0000-000069000000}"/>
    <cellStyle name="Calculation 2 7 3 6 2" xfId="11493" xr:uid="{027396A2-12D7-4728-979D-EB1275FDAE16}"/>
    <cellStyle name="Calculation 2 7 3 6 2 2" xfId="33979" xr:uid="{9E532157-741F-4539-BD9D-83C101BE2E8E}"/>
    <cellStyle name="Calculation 2 7 3 6 2 3" xfId="43813" xr:uid="{DC12D1F1-E2E8-4A80-A632-5ED43989ED68}"/>
    <cellStyle name="Calculation 2 7 3 6 3" xfId="16529" xr:uid="{330F8CE0-1A10-4CA9-AAA9-80870DB74775}"/>
    <cellStyle name="Calculation 2 7 3 6 3 2" xfId="38919" xr:uid="{5AF7BE9B-8FB5-45F4-85A4-7C42BFC6E3B2}"/>
    <cellStyle name="Calculation 2 7 3 6 3 3" xfId="29032" xr:uid="{A9DF5C99-B268-4AAE-A84D-08BC50941722}"/>
    <cellStyle name="Calculation 2 7 3 6 4" xfId="20960" xr:uid="{C79B631E-3F70-44A6-9AB0-C6F39BF87009}"/>
    <cellStyle name="Calculation 2 7 3 6 4 2" xfId="50559" xr:uid="{EDA61C4D-6B15-4A0F-BA21-D96CE1CF0B58}"/>
    <cellStyle name="Calculation 2 7 3 6 5" xfId="52262" xr:uid="{E8F43668-C8D0-4FCC-97E0-998F7074E87F}"/>
    <cellStyle name="Calculation 2 7 3 7" xfId="2332" xr:uid="{00000000-0005-0000-0000-000069000000}"/>
    <cellStyle name="Calculation 2 7 3 7 2" xfId="9241" xr:uid="{83459F7C-2FFA-4C2A-AD8B-28D5FB37B68C}"/>
    <cellStyle name="Calculation 2 7 3 7 2 2" xfId="31816" xr:uid="{9088D60D-CF41-463A-9706-AC0373232CB1}"/>
    <cellStyle name="Calculation 2 7 3 7 2 3" xfId="43908" xr:uid="{15C90249-FD49-40D9-8CDC-E005898051DD}"/>
    <cellStyle name="Calculation 2 7 3 7 3" xfId="14892" xr:uid="{0461A068-049C-4F7D-9B0C-4F635092A5B5}"/>
    <cellStyle name="Calculation 2 7 3 7 3 2" xfId="37346" xr:uid="{57F52C50-0AF6-48EF-9C0C-DCACCB76F7DC}"/>
    <cellStyle name="Calculation 2 7 3 7 3 3" xfId="48035" xr:uid="{45680482-52D7-4A63-81F3-0308190BCB21}"/>
    <cellStyle name="Calculation 2 7 3 7 4" xfId="20364" xr:uid="{EC2FB93C-87C7-4C06-B003-7865CA87FCA2}"/>
    <cellStyle name="Calculation 2 7 3 7 4 2" xfId="51527" xr:uid="{58340A8A-9586-4813-BCDF-0968243DCCD7}"/>
    <cellStyle name="Calculation 2 7 3 7 5" xfId="43861" xr:uid="{A9316325-96E3-4D9F-8B76-1178F483F75B}"/>
    <cellStyle name="Calculation 2 7 3 8" xfId="7376" xr:uid="{81451C43-53AD-4C0F-ADF6-461FC7D04404}"/>
    <cellStyle name="Calculation 2 7 3 8 2" xfId="30061" xr:uid="{8114438E-68A0-4DFC-A826-271CC38132A7}"/>
    <cellStyle name="Calculation 2 7 3 8 3" xfId="53819" xr:uid="{6AF6D487-370C-45AF-A339-BAF0A5C21BD5}"/>
    <cellStyle name="Calculation 2 7 3 9" xfId="19787" xr:uid="{8E6ADE68-9C1C-4BF4-B3D7-730F13F3CC2B}"/>
    <cellStyle name="Calculation 2 7 3 9 2" xfId="42125" xr:uid="{DD1F7F17-5947-4D8A-9C58-20EC27C0D067}"/>
    <cellStyle name="Calculation 2 7 3 9 3" xfId="26192" xr:uid="{C740F259-0B8B-409A-8009-135231A6D7B9}"/>
    <cellStyle name="Calculation 2 7 4" xfId="1046" xr:uid="{00000000-0005-0000-0000-00006B000000}"/>
    <cellStyle name="Calculation 2 7 4 10" xfId="20996" xr:uid="{8E65C096-8ECA-467A-845D-AF26FCC0361B}"/>
    <cellStyle name="Calculation 2 7 4 10 2" xfId="50366" xr:uid="{96FF340A-8DD1-4CF4-9C11-983B808A6D0B}"/>
    <cellStyle name="Calculation 2 7 4 11" xfId="29359" xr:uid="{D178CE04-F6EA-4869-99CF-78C9FB9BA508}"/>
    <cellStyle name="Calculation 2 7 4 2" xfId="1936" xr:uid="{00000000-0005-0000-0000-00006C000000}"/>
    <cellStyle name="Calculation 2 7 4 2 10" xfId="14606" xr:uid="{CFA172EF-9B93-42AC-BD60-AD4A72BD1492}"/>
    <cellStyle name="Calculation 2 7 4 2 10 2" xfId="37067" xr:uid="{CACA76B1-8BB2-47D4-A8F7-E5B9A3A8865B}"/>
    <cellStyle name="Calculation 2 7 4 2 10 3" xfId="30440" xr:uid="{D7627009-BF60-4C5B-8982-8F30426C838E}"/>
    <cellStyle name="Calculation 2 7 4 2 11" xfId="21050" xr:uid="{F9FD4FE6-3613-4D54-B815-3758810841F5}"/>
    <cellStyle name="Calculation 2 7 4 2 11 2" xfId="43298" xr:uid="{A8AA29E4-653F-448A-A74B-AFFB1F68D4E8}"/>
    <cellStyle name="Calculation 2 7 4 2 11 3" xfId="47440" xr:uid="{7F1962FB-5620-4B81-B54F-79D2A84C8E88}"/>
    <cellStyle name="Calculation 2 7 4 2 12" xfId="20963" xr:uid="{EB430283-5349-4B8D-A036-69BCCB2ED2FF}"/>
    <cellStyle name="Calculation 2 7 4 2 12 2" xfId="53511" xr:uid="{933ECEFC-8693-4513-A325-5A722F24893A}"/>
    <cellStyle name="Calculation 2 7 4 2 13" xfId="49739" xr:uid="{9FB4B724-5C9E-40A2-81E4-3FA34D365079}"/>
    <cellStyle name="Calculation 2 7 4 2 2" xfId="4033" xr:uid="{00000000-0005-0000-0000-00006C000000}"/>
    <cellStyle name="Calculation 2 7 4 2 2 2" xfId="10937" xr:uid="{6C0CF4E1-1F16-4E82-AD6E-EB52362B2988}"/>
    <cellStyle name="Calculation 2 7 4 2 2 2 2" xfId="33423" xr:uid="{986F07C8-50AC-421A-A7F1-F22E5454E9D0}"/>
    <cellStyle name="Calculation 2 7 4 2 2 2 3" xfId="28950" xr:uid="{50F2F961-9D93-4D46-B26C-690DA71495B8}"/>
    <cellStyle name="Calculation 2 7 4 2 2 3" xfId="16057" xr:uid="{958844A7-2742-4F8E-83DC-5CE33A5B420D}"/>
    <cellStyle name="Calculation 2 7 4 2 2 3 2" xfId="38458" xr:uid="{F67351EF-ED73-40E2-AEF8-BF047BCF1960}"/>
    <cellStyle name="Calculation 2 7 4 2 2 3 3" xfId="53711" xr:uid="{75E02A2B-1E05-44A1-A866-882CC1A03FB3}"/>
    <cellStyle name="Calculation 2 7 4 2 2 4" xfId="8430" xr:uid="{6FA1EE02-E0FB-4C30-8174-F34026DD47C7}"/>
    <cellStyle name="Calculation 2 7 4 2 2 4 2" xfId="53244" xr:uid="{C82AC37B-047D-4523-990F-5CC5060F4C38}"/>
    <cellStyle name="Calculation 2 7 4 2 2 5" xfId="45906" xr:uid="{E9F24007-9F3D-4618-B3D7-D0C74BA9158D}"/>
    <cellStyle name="Calculation 2 7 4 2 3" xfId="5408" xr:uid="{00000000-0005-0000-0000-00006C000000}"/>
    <cellStyle name="Calculation 2 7 4 2 3 2" xfId="12299" xr:uid="{863C0F1D-30C1-453B-9A7C-CF94F7B11427}"/>
    <cellStyle name="Calculation 2 7 4 2 3 2 2" xfId="34784" xr:uid="{66B8AAC4-DCAC-4042-B809-EDAD9E30DA57}"/>
    <cellStyle name="Calculation 2 7 4 2 3 2 3" xfId="23973" xr:uid="{01627943-ABED-4C03-8D90-B4B7971F7888}"/>
    <cellStyle name="Calculation 2 7 4 2 3 3" xfId="17345" xr:uid="{7B90CD93-A47E-4F5C-A452-AE607E68F7B9}"/>
    <cellStyle name="Calculation 2 7 4 2 3 3 2" xfId="39735" xr:uid="{94829CB9-9505-4969-9803-47AE1884AB31}"/>
    <cellStyle name="Calculation 2 7 4 2 3 3 3" xfId="44749" xr:uid="{3DC990C7-49B0-49BF-8632-8908AF7EC42A}"/>
    <cellStyle name="Calculation 2 7 4 2 3 4" xfId="21769" xr:uid="{59EDF94C-AC21-4FCE-A8A1-BD199E900244}"/>
    <cellStyle name="Calculation 2 7 4 2 3 4 2" xfId="50061" xr:uid="{BDDDBE3C-B81E-40D6-B311-2ECF60064FE8}"/>
    <cellStyle name="Calculation 2 7 4 2 3 5" xfId="48997" xr:uid="{C19BFAD6-7FD3-4D13-9A71-CC071E8422A4}"/>
    <cellStyle name="Calculation 2 7 4 2 4" xfId="5821" xr:uid="{00000000-0005-0000-0000-00006C000000}"/>
    <cellStyle name="Calculation 2 7 4 2 4 2" xfId="12704" xr:uid="{420BCED6-2FC7-4E74-BAD2-964FE477883B}"/>
    <cellStyle name="Calculation 2 7 4 2 4 2 2" xfId="35189" xr:uid="{F942CFF0-6B56-45B0-B374-5CCDC9AB0EB5}"/>
    <cellStyle name="Calculation 2 7 4 2 4 2 3" xfId="28496" xr:uid="{6C2A8C2C-335E-416C-9362-8DE8C0EB72DE}"/>
    <cellStyle name="Calculation 2 7 4 2 4 3" xfId="17758" xr:uid="{AD9B91D3-A43E-4DF1-89F8-5674FABE6018}"/>
    <cellStyle name="Calculation 2 7 4 2 4 3 2" xfId="40148" xr:uid="{C1F0AE6D-F50D-46A6-BD83-05003C13EDEA}"/>
    <cellStyle name="Calculation 2 7 4 2 4 3 3" xfId="30159" xr:uid="{1C7DE500-1253-470B-BC99-93EEEEF42B5E}"/>
    <cellStyle name="Calculation 2 7 4 2 4 4" xfId="22182" xr:uid="{E9E758F0-D3A1-4BEC-AECB-A10D0E375BA5}"/>
    <cellStyle name="Calculation 2 7 4 2 4 4 2" xfId="50002" xr:uid="{5CC9248A-EE8F-4347-A0C9-A8FF9F7A33D1}"/>
    <cellStyle name="Calculation 2 7 4 2 4 5" xfId="47261" xr:uid="{70AD3C47-C431-463D-8F1F-90534A926E24}"/>
    <cellStyle name="Calculation 2 7 4 2 5" xfId="6165" xr:uid="{00000000-0005-0000-0000-00006C000000}"/>
    <cellStyle name="Calculation 2 7 4 2 5 2" xfId="13042" xr:uid="{AEF72C9C-5FB1-46AB-AECF-D797E0FED51F}"/>
    <cellStyle name="Calculation 2 7 4 2 5 2 2" xfId="35526" xr:uid="{3B45EDBD-5586-4F75-AEB6-0D11BDEA6F33}"/>
    <cellStyle name="Calculation 2 7 4 2 5 2 3" xfId="50688" xr:uid="{13E12A6A-5A62-4FAA-8A7A-949991E3C53F}"/>
    <cellStyle name="Calculation 2 7 4 2 5 3" xfId="18102" xr:uid="{CBF4A682-9D76-4ACC-9E76-B221FFAAD7D6}"/>
    <cellStyle name="Calculation 2 7 4 2 5 3 2" xfId="40492" xr:uid="{4B70395B-61E5-43F9-AD9E-A3F25F4AD35D}"/>
    <cellStyle name="Calculation 2 7 4 2 5 3 3" xfId="28742" xr:uid="{1FE5290D-55D5-4BC8-B8D6-17FDA0F240AD}"/>
    <cellStyle name="Calculation 2 7 4 2 5 4" xfId="22526" xr:uid="{B4A2E1BC-8E12-4EB1-9958-6D7AEC8B571E}"/>
    <cellStyle name="Calculation 2 7 4 2 5 4 2" xfId="44294" xr:uid="{C56E5B02-7EC7-45A4-97AC-E8D37A8F3251}"/>
    <cellStyle name="Calculation 2 7 4 2 5 5" xfId="48398" xr:uid="{81A8346D-5DF4-433A-BCC4-44764CE15F6A}"/>
    <cellStyle name="Calculation 2 7 4 2 6" xfId="6538" xr:uid="{00000000-0005-0000-0000-00006C000000}"/>
    <cellStyle name="Calculation 2 7 4 2 6 2" xfId="13407" xr:uid="{085611DB-D24C-40C3-A844-54E4E9491066}"/>
    <cellStyle name="Calculation 2 7 4 2 6 2 2" xfId="35891" xr:uid="{D829F54F-1672-4B2D-A5FA-A101707876D7}"/>
    <cellStyle name="Calculation 2 7 4 2 6 2 3" xfId="52845" xr:uid="{2A18FB98-3CF5-4A55-98FE-C9E0A19CCE11}"/>
    <cellStyle name="Calculation 2 7 4 2 6 3" xfId="18475" xr:uid="{384262D4-C1F0-4F5F-AC57-F4E1AC0ED367}"/>
    <cellStyle name="Calculation 2 7 4 2 6 3 2" xfId="40865" xr:uid="{F57D4F09-A488-4720-ABC6-47984077500D}"/>
    <cellStyle name="Calculation 2 7 4 2 6 3 3" xfId="44448" xr:uid="{C104C8BD-0865-4797-B7FB-516A46E46B4C}"/>
    <cellStyle name="Calculation 2 7 4 2 6 4" xfId="22899" xr:uid="{DE114E6E-7C2C-46E6-82ED-147ACC26C90B}"/>
    <cellStyle name="Calculation 2 7 4 2 6 4 2" xfId="27768" xr:uid="{F5A46F34-E5DB-4ACF-A95D-B8D821CA76AD}"/>
    <cellStyle name="Calculation 2 7 4 2 6 5" xfId="53657" xr:uid="{3EE49A86-3A2C-4212-9C55-D93012D83B8A}"/>
    <cellStyle name="Calculation 2 7 4 2 7" xfId="4649" xr:uid="{00000000-0005-0000-0000-00006C000000}"/>
    <cellStyle name="Calculation 2 7 4 2 7 2" xfId="11549" xr:uid="{06E8F02F-CA94-484F-A031-A00FB3F056C9}"/>
    <cellStyle name="Calculation 2 7 4 2 7 2 2" xfId="34035" xr:uid="{8A3A61DB-519A-48B9-80CF-5BA6F5E5E157}"/>
    <cellStyle name="Calculation 2 7 4 2 7 2 3" xfId="32033" xr:uid="{1A6ED384-5990-40C1-B473-47B14731E9A3}"/>
    <cellStyle name="Calculation 2 7 4 2 7 3" xfId="16586" xr:uid="{967C45B9-2903-4729-8702-4A00945717EA}"/>
    <cellStyle name="Calculation 2 7 4 2 7 3 2" xfId="38976" xr:uid="{9D3F64D5-65A2-4FE3-A08B-CCCBF41FC5DE}"/>
    <cellStyle name="Calculation 2 7 4 2 7 3 3" xfId="27955" xr:uid="{3F93F2A4-AF39-4460-8EAF-05C5CBCCE106}"/>
    <cellStyle name="Calculation 2 7 4 2 7 4" xfId="20110" xr:uid="{8C04AC77-64F4-490F-A7C4-39E4DF4CD982}"/>
    <cellStyle name="Calculation 2 7 4 2 7 4 2" xfId="44922" xr:uid="{56098435-E589-4907-BF3E-7CA655588E68}"/>
    <cellStyle name="Calculation 2 7 4 2 7 5" xfId="48851" xr:uid="{90D4C013-B593-4A98-A35F-A85FFA515DF6}"/>
    <cellStyle name="Calculation 2 7 4 2 8" xfId="7022" xr:uid="{00000000-0005-0000-0000-00006C000000}"/>
    <cellStyle name="Calculation 2 7 4 2 8 2" xfId="13859" xr:uid="{4C4DB3EE-8FBD-41CC-990F-D4E102019F00}"/>
    <cellStyle name="Calculation 2 7 4 2 8 2 2" xfId="36343" xr:uid="{3B30AB54-0543-42CD-B626-A5E7D6527587}"/>
    <cellStyle name="Calculation 2 7 4 2 8 2 3" xfId="50325" xr:uid="{03991003-E03B-4C3B-BEA5-AE35B49B3285}"/>
    <cellStyle name="Calculation 2 7 4 2 8 3" xfId="18959" xr:uid="{B6185EB7-5F78-4D4B-99A7-D81D1E019A33}"/>
    <cellStyle name="Calculation 2 7 4 2 8 3 2" xfId="41349" xr:uid="{CED7A08B-CC58-446D-B965-BE592FC505E8}"/>
    <cellStyle name="Calculation 2 7 4 2 8 3 3" xfId="45535" xr:uid="{6920C20F-81F8-4845-9CF0-838E21A61839}"/>
    <cellStyle name="Calculation 2 7 4 2 8 4" xfId="23383" xr:uid="{C2B3442A-11F4-4D3B-9189-485A3A1A6463}"/>
    <cellStyle name="Calculation 2 7 4 2 8 4 2" xfId="25910" xr:uid="{51F6DBE7-DFBE-4979-871B-148820A61E04}"/>
    <cellStyle name="Calculation 2 7 4 2 8 5" xfId="44710" xr:uid="{A92AC159-739C-45F8-A5D8-3822D6C61B3C}"/>
    <cellStyle name="Calculation 2 7 4 2 9" xfId="7138" xr:uid="{00000000-0005-0000-0000-00006C000000}"/>
    <cellStyle name="Calculation 2 7 4 2 9 2" xfId="19075" xr:uid="{561B5289-9A86-4808-94E0-999C28CCCF0F}"/>
    <cellStyle name="Calculation 2 7 4 2 9 2 2" xfId="41465" xr:uid="{A833F3CC-C4CB-42ED-A35F-6C2B48B1530D}"/>
    <cellStyle name="Calculation 2 7 4 2 9 2 3" xfId="32323" xr:uid="{C55BDAFC-423C-459C-83D1-4A980D877648}"/>
    <cellStyle name="Calculation 2 7 4 2 9 3" xfId="23499" xr:uid="{1B69CBE1-4124-4118-BFE2-ACC79A7177B7}"/>
    <cellStyle name="Calculation 2 7 4 2 9 3 2" xfId="49015" xr:uid="{7C9DBFE0-F111-49FD-BF65-DC2E4A0BDFB4}"/>
    <cellStyle name="Calculation 2 7 4 2 9 4" xfId="37478" xr:uid="{CFFE8456-623F-47DD-B3EA-DDDCEBF8CDAF}"/>
    <cellStyle name="Calculation 2 7 4 3" xfId="3167" xr:uid="{00000000-0005-0000-0000-00006B000000}"/>
    <cellStyle name="Calculation 2 7 4 3 2" xfId="10076" xr:uid="{9911699D-6264-493B-A87C-AFCC1923797D}"/>
    <cellStyle name="Calculation 2 7 4 3 2 2" xfId="32583" xr:uid="{B9D585E4-D95B-462F-879C-7453CCC4D73B}"/>
    <cellStyle name="Calculation 2 7 4 3 2 3" xfId="49679" xr:uid="{EA7F9889-7817-4440-A966-7FA61A8B7F39}"/>
    <cellStyle name="Calculation 2 7 4 3 3" xfId="15454" xr:uid="{13E6B677-7DE7-4E34-AF91-07EBCA809CC0}"/>
    <cellStyle name="Calculation 2 7 4 3 3 2" xfId="37880" xr:uid="{277E0E08-B120-4B42-80C6-AD595AAC2F40}"/>
    <cellStyle name="Calculation 2 7 4 3 3 3" xfId="46408" xr:uid="{1EF92F44-0E5A-4C43-8103-8D939FF85C10}"/>
    <cellStyle name="Calculation 2 7 4 3 4" xfId="20556" xr:uid="{9806B820-594E-4518-BF43-C9D46980FD23}"/>
    <cellStyle name="Calculation 2 7 4 3 4 2" xfId="27539" xr:uid="{02AD603A-1F50-4552-AD1A-3F01F78BC681}"/>
    <cellStyle name="Calculation 2 7 4 3 5" xfId="43756" xr:uid="{5D0F7DF8-093A-44A8-BEFE-87E7A6311F18}"/>
    <cellStyle name="Calculation 2 7 4 4" xfId="4820" xr:uid="{00000000-0005-0000-0000-00006B000000}"/>
    <cellStyle name="Calculation 2 7 4 4 2" xfId="11717" xr:uid="{5323EF97-0C97-47BA-984E-5FF2D3D4D3A6}"/>
    <cellStyle name="Calculation 2 7 4 4 2 2" xfId="34203" xr:uid="{808ABD9D-C49F-4E59-AEF9-757AEBB44738}"/>
    <cellStyle name="Calculation 2 7 4 4 2 3" xfId="24406" xr:uid="{2993E27E-ED87-4AC0-9CCC-37613DD71B08}"/>
    <cellStyle name="Calculation 2 7 4 4 3" xfId="16757" xr:uid="{580141B2-F4FE-4239-B92B-F08FC86C22D8}"/>
    <cellStyle name="Calculation 2 7 4 4 3 2" xfId="39147" xr:uid="{7A68274F-1CC0-4719-A7EC-DA67800C9703}"/>
    <cellStyle name="Calculation 2 7 4 4 3 3" xfId="23922" xr:uid="{F5DD2DFF-AC45-4598-8BA4-A8F9E0C1DABE}"/>
    <cellStyle name="Calculation 2 7 4 4 4" xfId="15503" xr:uid="{998C78F9-DA7C-4AB4-ACBA-42990F6E7E25}"/>
    <cellStyle name="Calculation 2 7 4 4 4 2" xfId="53895" xr:uid="{11E889E7-AB55-488E-B05B-4A74C9BB1515}"/>
    <cellStyle name="Calculation 2 7 4 4 5" xfId="53170" xr:uid="{415C9A62-71B7-425A-A59F-4DFAC6BEA9E2}"/>
    <cellStyle name="Calculation 2 7 4 5" xfId="2373" xr:uid="{00000000-0005-0000-0000-00006B000000}"/>
    <cellStyle name="Calculation 2 7 4 5 2" xfId="9282" xr:uid="{6C968A16-E3E8-4D88-B5E6-256AD04E6321}"/>
    <cellStyle name="Calculation 2 7 4 5 2 2" xfId="31857" xr:uid="{572DE0A1-2F08-4878-A4A1-E4D7B52CA5FF}"/>
    <cellStyle name="Calculation 2 7 4 5 2 3" xfId="50235" xr:uid="{FF742CC5-9DAB-45DA-8585-7037EBE5353B}"/>
    <cellStyle name="Calculation 2 7 4 5 3" xfId="14926" xr:uid="{7282457E-72F4-45AE-B33D-64559C94C9FD}"/>
    <cellStyle name="Calculation 2 7 4 5 3 2" xfId="37380" xr:uid="{6121B673-61A4-4152-A28A-4632D46DACDA}"/>
    <cellStyle name="Calculation 2 7 4 5 3 3" xfId="43764" xr:uid="{7D835B2C-4370-4C53-8706-CAA4A4CEEEEF}"/>
    <cellStyle name="Calculation 2 7 4 5 4" xfId="21122" xr:uid="{348A726B-CEA4-4084-AC99-97DF70644146}"/>
    <cellStyle name="Calculation 2 7 4 5 4 2" xfId="43732" xr:uid="{D16BD6E8-EF06-4B2C-A506-CA33A964653D}"/>
    <cellStyle name="Calculation 2 7 4 5 5" xfId="48708" xr:uid="{7C5BC626-41A1-42CA-95AD-D51A6B84DD05}"/>
    <cellStyle name="Calculation 2 7 4 6" xfId="4466" xr:uid="{00000000-0005-0000-0000-00006B000000}"/>
    <cellStyle name="Calculation 2 7 4 6 2" xfId="11368" xr:uid="{3161CFCA-292E-4410-A944-3C02A01C698E}"/>
    <cellStyle name="Calculation 2 7 4 6 2 2" xfId="33854" xr:uid="{1A7C3A90-0281-4FC2-9B1D-61E1FB856320}"/>
    <cellStyle name="Calculation 2 7 4 6 2 3" xfId="45508" xr:uid="{36644DF1-DA65-4148-923C-3C29F1031BD7}"/>
    <cellStyle name="Calculation 2 7 4 6 3" xfId="16403" xr:uid="{F6FBFC24-B8DB-48FD-A244-AE2077A1188D}"/>
    <cellStyle name="Calculation 2 7 4 6 3 2" xfId="38793" xr:uid="{1F139E9F-06EB-4DA1-9524-281085A67A29}"/>
    <cellStyle name="Calculation 2 7 4 6 3 3" xfId="28045" xr:uid="{75190421-17C9-470C-A818-1175EEAE266D}"/>
    <cellStyle name="Calculation 2 7 4 6 4" xfId="8745" xr:uid="{17168C87-7F5F-46F7-BF42-7BCBF43F582F}"/>
    <cellStyle name="Calculation 2 7 4 6 4 2" xfId="48039" xr:uid="{15D0AA3D-2592-43FF-B233-6266B1DA7F92}"/>
    <cellStyle name="Calculation 2 7 4 6 5" xfId="47918" xr:uid="{1F23BDCF-F902-416D-BF7F-9DAE85378F1D}"/>
    <cellStyle name="Calculation 2 7 4 7" xfId="4761" xr:uid="{00000000-0005-0000-0000-00006B000000}"/>
    <cellStyle name="Calculation 2 7 4 7 2" xfId="11659" xr:uid="{9C487FCC-176C-487B-A28D-ACC4AB35B48F}"/>
    <cellStyle name="Calculation 2 7 4 7 2 2" xfId="34145" xr:uid="{575AEC3B-0722-40EE-9DFE-A293B4518FAF}"/>
    <cellStyle name="Calculation 2 7 4 7 2 3" xfId="28457" xr:uid="{17AEB567-261F-436D-AAE8-D2CB996AA89E}"/>
    <cellStyle name="Calculation 2 7 4 7 3" xfId="16698" xr:uid="{4FB47B68-52C9-478D-ACBB-737D281C50A5}"/>
    <cellStyle name="Calculation 2 7 4 7 3 2" xfId="39088" xr:uid="{01B86FE9-9E0A-4761-89D7-5D6B1AD6FE73}"/>
    <cellStyle name="Calculation 2 7 4 7 3 3" xfId="43884" xr:uid="{E04157CF-E640-465D-8B8C-AC95FDA2DFBD}"/>
    <cellStyle name="Calculation 2 7 4 7 4" xfId="14531" xr:uid="{23DB80A7-D50D-46FD-8661-7624846F7D93}"/>
    <cellStyle name="Calculation 2 7 4 7 4 2" xfId="43424" xr:uid="{76A57D12-2CEB-4773-9484-E90F97595C21}"/>
    <cellStyle name="Calculation 2 7 4 7 5" xfId="45702" xr:uid="{7C891244-15E9-4A8B-99AD-2FC4F00D560B}"/>
    <cellStyle name="Calculation 2 7 4 8" xfId="13640" xr:uid="{717B73C5-0362-4606-B8BB-607E78F8EB46}"/>
    <cellStyle name="Calculation 2 7 4 8 2" xfId="36124" xr:uid="{BE6290C2-2A7C-4E12-92A5-ACB9AA347FCE}"/>
    <cellStyle name="Calculation 2 7 4 8 3" xfId="50293" xr:uid="{5D17D78F-1026-45FC-95CC-420DF3AB8DCA}"/>
    <cellStyle name="Calculation 2 7 4 9" xfId="20093" xr:uid="{D8230F97-AF03-46BD-9B16-42BE0BE1C449}"/>
    <cellStyle name="Calculation 2 7 4 9 2" xfId="42410" xr:uid="{1D07AEC3-6D4A-4D44-99D3-FDB253128D7D}"/>
    <cellStyle name="Calculation 2 7 4 9 3" xfId="27105" xr:uid="{9D75FAE6-556E-466A-A775-F09ED10A96C9}"/>
    <cellStyle name="Calculation 2 7 5" xfId="1230" xr:uid="{00000000-0005-0000-0000-00006D000000}"/>
    <cellStyle name="Calculation 2 7 5 10" xfId="20330" xr:uid="{E7837592-155B-43D7-B3F5-E2FCC01C5989}"/>
    <cellStyle name="Calculation 2 7 5 10 2" xfId="51203" xr:uid="{4797C864-1660-479C-8367-DBF6A2D3F3B2}"/>
    <cellStyle name="Calculation 2 7 5 11" xfId="48416" xr:uid="{D7325146-3907-4B02-A342-F63BDD0ABFC4}"/>
    <cellStyle name="Calculation 2 7 5 2" xfId="2030" xr:uid="{00000000-0005-0000-0000-00006E000000}"/>
    <cellStyle name="Calculation 2 7 5 2 10" xfId="14678" xr:uid="{E9B14A7E-5548-47AE-ADAB-473383EBDCCE}"/>
    <cellStyle name="Calculation 2 7 5 2 10 2" xfId="37138" xr:uid="{38BB85F5-AE88-46D7-9EBA-6228289267D5}"/>
    <cellStyle name="Calculation 2 7 5 2 10 3" xfId="52215" xr:uid="{3B952961-8C23-4D55-8B77-51C6A6329BFD}"/>
    <cellStyle name="Calculation 2 7 5 2 11" xfId="14560" xr:uid="{5215AF29-74EF-44F3-A53D-122BCE13DCF2}"/>
    <cellStyle name="Calculation 2 7 5 2 11 2" xfId="37021" xr:uid="{0AB369AD-AB1B-42ED-B988-BFCE69B55340}"/>
    <cellStyle name="Calculation 2 7 5 2 11 3" xfId="45958" xr:uid="{B8B0F730-B6C2-4AD7-BA46-CF2BB38FECA8}"/>
    <cellStyle name="Calculation 2 7 5 2 12" xfId="20233" xr:uid="{2087F58D-28F8-4D7C-A805-DCE49D502D1E}"/>
    <cellStyle name="Calculation 2 7 5 2 12 2" xfId="43837" xr:uid="{71CCA789-823A-4856-AE23-C9C1C9B41FDF}"/>
    <cellStyle name="Calculation 2 7 5 2 13" xfId="51363" xr:uid="{56BCC147-7A90-4203-BF8D-D96C6821CA96}"/>
    <cellStyle name="Calculation 2 7 5 2 2" xfId="4125" xr:uid="{00000000-0005-0000-0000-00006E000000}"/>
    <cellStyle name="Calculation 2 7 5 2 2 2" xfId="11029" xr:uid="{0E27306C-2D3C-45CA-ABD5-EF7145C53885}"/>
    <cellStyle name="Calculation 2 7 5 2 2 2 2" xfId="33515" xr:uid="{4D79A42B-DBD5-4D48-A391-153F254A3E70}"/>
    <cellStyle name="Calculation 2 7 5 2 2 2 3" xfId="47934" xr:uid="{8F367C0E-F3D2-4FE0-A031-73146155AA80}"/>
    <cellStyle name="Calculation 2 7 5 2 2 3" xfId="16129" xr:uid="{44053919-3BB2-4278-833F-1D0DC4915B1E}"/>
    <cellStyle name="Calculation 2 7 5 2 2 3 2" xfId="38529" xr:uid="{48157E13-DFFD-49C0-AE1E-936B3F27E777}"/>
    <cellStyle name="Calculation 2 7 5 2 2 3 3" xfId="44993" xr:uid="{EF280FE8-A364-483C-933C-CB8C7772D90E}"/>
    <cellStyle name="Calculation 2 7 5 2 2 4" xfId="14988" xr:uid="{C020D01A-E75B-4198-87D0-10A8CD624D47}"/>
    <cellStyle name="Calculation 2 7 5 2 2 4 2" xfId="53725" xr:uid="{B98003BB-3FA2-46EC-8171-DACB7CA12852}"/>
    <cellStyle name="Calculation 2 7 5 2 2 5" xfId="43832" xr:uid="{CF476B29-780F-44F1-8EA7-49F521E24DD1}"/>
    <cellStyle name="Calculation 2 7 5 2 3" xfId="5471" xr:uid="{00000000-0005-0000-0000-00006E000000}"/>
    <cellStyle name="Calculation 2 7 5 2 3 2" xfId="12360" xr:uid="{63E620BE-F537-447B-A96C-F458BAF30957}"/>
    <cellStyle name="Calculation 2 7 5 2 3 2 2" xfId="34845" xr:uid="{55A5C0BD-7792-4BDD-94D1-B8A5FA64E320}"/>
    <cellStyle name="Calculation 2 7 5 2 3 2 3" xfId="38669" xr:uid="{D873C03F-A942-4B79-AFB8-AD5C89C62969}"/>
    <cellStyle name="Calculation 2 7 5 2 3 3" xfId="17408" xr:uid="{1C57BFDA-4143-42C8-9580-5EC6107EF78F}"/>
    <cellStyle name="Calculation 2 7 5 2 3 3 2" xfId="39798" xr:uid="{3BE75769-10D2-4540-A79E-83B48F5C3CBE}"/>
    <cellStyle name="Calculation 2 7 5 2 3 3 3" xfId="42249" xr:uid="{E925B695-9EA2-42A6-A3C9-24F449740264}"/>
    <cellStyle name="Calculation 2 7 5 2 3 4" xfId="21832" xr:uid="{CD491E35-B2DE-4A8E-9104-869593BE1DA1}"/>
    <cellStyle name="Calculation 2 7 5 2 3 4 2" xfId="49150" xr:uid="{A49DB993-679F-465D-9449-63DD5FD3DF3B}"/>
    <cellStyle name="Calculation 2 7 5 2 3 5" xfId="46104" xr:uid="{C0B33901-FD6F-4023-A2E2-468D2A637263}"/>
    <cellStyle name="Calculation 2 7 5 2 4" xfId="5894" xr:uid="{00000000-0005-0000-0000-00006E000000}"/>
    <cellStyle name="Calculation 2 7 5 2 4 2" xfId="12776" xr:uid="{0896E77F-81BF-43BD-A247-CDB8017B49D2}"/>
    <cellStyle name="Calculation 2 7 5 2 4 2 2" xfId="35260" xr:uid="{126ABAB2-1B33-40B0-8480-E108E8F42CF0}"/>
    <cellStyle name="Calculation 2 7 5 2 4 2 3" xfId="29691" xr:uid="{49EE9AC2-C4FC-4B00-AE9C-3A9671DF8E26}"/>
    <cellStyle name="Calculation 2 7 5 2 4 3" xfId="17831" xr:uid="{73CB20CF-8012-46DE-B341-0A669344C9CA}"/>
    <cellStyle name="Calculation 2 7 5 2 4 3 2" xfId="40221" xr:uid="{2793A413-8946-4F39-AE1C-CDBB1AD8E865}"/>
    <cellStyle name="Calculation 2 7 5 2 4 3 3" xfId="42373" xr:uid="{F8F400DE-E6C9-45BC-9A18-74F140A52BA2}"/>
    <cellStyle name="Calculation 2 7 5 2 4 4" xfId="22255" xr:uid="{4BBE4F63-A633-4DDD-B8E4-347E0C772C4C}"/>
    <cellStyle name="Calculation 2 7 5 2 4 4 2" xfId="33004" xr:uid="{A240BA25-4082-4D13-BA09-EAC4BAD0352F}"/>
    <cellStyle name="Calculation 2 7 5 2 4 5" xfId="49616" xr:uid="{1D74282D-C251-45C0-9D02-6C70F359FBA8}"/>
    <cellStyle name="Calculation 2 7 5 2 5" xfId="6232" xr:uid="{00000000-0005-0000-0000-00006E000000}"/>
    <cellStyle name="Calculation 2 7 5 2 5 2" xfId="13107" xr:uid="{DB98867F-F41A-4469-AC6C-BD5A396C37F2}"/>
    <cellStyle name="Calculation 2 7 5 2 5 2 2" xfId="35591" xr:uid="{2B43A41D-CBDE-4563-9A43-97AC52A5893F}"/>
    <cellStyle name="Calculation 2 7 5 2 5 2 3" xfId="29675" xr:uid="{8D1818ED-3DBE-4014-98D8-D22BA89153EA}"/>
    <cellStyle name="Calculation 2 7 5 2 5 3" xfId="18169" xr:uid="{454CB2BA-7405-43F7-9403-6413F82DD03E}"/>
    <cellStyle name="Calculation 2 7 5 2 5 3 2" xfId="40559" xr:uid="{1210E8DB-44F0-4992-BFD1-289911518C25}"/>
    <cellStyle name="Calculation 2 7 5 2 5 3 3" xfId="41781" xr:uid="{03CE6767-18EC-4971-880D-C9F9C808584A}"/>
    <cellStyle name="Calculation 2 7 5 2 5 4" xfId="22593" xr:uid="{33D67AF1-C406-43C8-9747-AC5481374273}"/>
    <cellStyle name="Calculation 2 7 5 2 5 4 2" xfId="28504" xr:uid="{DB600E23-C8F1-4264-9885-BBB3C828FAF7}"/>
    <cellStyle name="Calculation 2 7 5 2 5 5" xfId="48417" xr:uid="{AE87A396-106A-4900-808D-8BD243FB8618}"/>
    <cellStyle name="Calculation 2 7 5 2 6" xfId="6598" xr:uid="{00000000-0005-0000-0000-00006E000000}"/>
    <cellStyle name="Calculation 2 7 5 2 6 2" xfId="13464" xr:uid="{57C97E98-20DA-4C29-A554-541467B0143C}"/>
    <cellStyle name="Calculation 2 7 5 2 6 2 2" xfId="35948" xr:uid="{737CA88F-C398-41CF-AC89-19562D7F008F}"/>
    <cellStyle name="Calculation 2 7 5 2 6 2 3" xfId="46787" xr:uid="{F50B177B-EBBB-4E00-9757-9E9F83BFF81B}"/>
    <cellStyle name="Calculation 2 7 5 2 6 3" xfId="18535" xr:uid="{4B7E422F-A2A0-447A-B586-5862628627F6}"/>
    <cellStyle name="Calculation 2 7 5 2 6 3 2" xfId="40925" xr:uid="{C47C257C-EA40-4C32-BCA3-CFE31ECDF863}"/>
    <cellStyle name="Calculation 2 7 5 2 6 3 3" xfId="43666" xr:uid="{30985D1C-C358-4D1C-99C6-20BE167F67F6}"/>
    <cellStyle name="Calculation 2 7 5 2 6 4" xfId="22959" xr:uid="{40F87218-9736-439A-A37E-8FEAE459C8B7}"/>
    <cellStyle name="Calculation 2 7 5 2 6 4 2" xfId="53157" xr:uid="{8D866B2C-9B5E-4715-A2A3-590CC28E2805}"/>
    <cellStyle name="Calculation 2 7 5 2 6 5" xfId="50870" xr:uid="{6A6EC3C5-D414-4FB6-96F2-3585766FBD9B}"/>
    <cellStyle name="Calculation 2 7 5 2 7" xfId="5115" xr:uid="{00000000-0005-0000-0000-00006E000000}"/>
    <cellStyle name="Calculation 2 7 5 2 7 2" xfId="12008" xr:uid="{75154523-A6A5-4617-A340-5A4F19236B5C}"/>
    <cellStyle name="Calculation 2 7 5 2 7 2 2" xfId="34494" xr:uid="{14F26CDE-DE18-43B0-B2FF-5079817757CC}"/>
    <cellStyle name="Calculation 2 7 5 2 7 2 3" xfId="45748" xr:uid="{594AE884-31B4-469B-9FFB-31E14249CCB8}"/>
    <cellStyle name="Calculation 2 7 5 2 7 3" xfId="17052" xr:uid="{7E5BFAF8-82A2-4218-81FA-D2BB9A5C979B}"/>
    <cellStyle name="Calculation 2 7 5 2 7 3 2" xfId="39442" xr:uid="{108BF208-8D9C-402E-817C-D56BADCDA8AB}"/>
    <cellStyle name="Calculation 2 7 5 2 7 3 3" xfId="44529" xr:uid="{7ABA9AFE-79B8-401D-ACE0-D4E769ED5D6A}"/>
    <cellStyle name="Calculation 2 7 5 2 7 4" xfId="21476" xr:uid="{32620422-B221-4DE9-9F84-D2A1916872D5}"/>
    <cellStyle name="Calculation 2 7 5 2 7 4 2" xfId="29531" xr:uid="{EBE71598-51A2-4DE9-91E9-69272FD16AAC}"/>
    <cellStyle name="Calculation 2 7 5 2 7 5" xfId="50049" xr:uid="{5F9FFBE5-8732-4EDA-9C17-4FE24A61A16B}"/>
    <cellStyle name="Calculation 2 7 5 2 8" xfId="7068" xr:uid="{00000000-0005-0000-0000-00006E000000}"/>
    <cellStyle name="Calculation 2 7 5 2 8 2" xfId="13904" xr:uid="{EEC8436A-703C-4204-802A-D7B980AD684A}"/>
    <cellStyle name="Calculation 2 7 5 2 8 2 2" xfId="36388" xr:uid="{1922A751-BC9C-4E88-B379-8FC4C938A304}"/>
    <cellStyle name="Calculation 2 7 5 2 8 2 3" xfId="48835" xr:uid="{74C7E155-038B-4204-AD1C-86D5F6882174}"/>
    <cellStyle name="Calculation 2 7 5 2 8 3" xfId="19005" xr:uid="{AF52B4C5-ABD9-40CE-B8E0-1EF2A86DCA8E}"/>
    <cellStyle name="Calculation 2 7 5 2 8 3 2" xfId="41395" xr:uid="{122D23FC-027B-4340-A768-9A2DCA38F12E}"/>
    <cellStyle name="Calculation 2 7 5 2 8 3 3" xfId="28792" xr:uid="{5FF48443-FFC8-4F71-B442-4667E406E3A1}"/>
    <cellStyle name="Calculation 2 7 5 2 8 4" xfId="23429" xr:uid="{224B4DEE-557C-4A6D-A51A-BAB71BE98742}"/>
    <cellStyle name="Calculation 2 7 5 2 8 4 2" xfId="47084" xr:uid="{502EA698-FE2B-4F75-A94B-EC13A946263C}"/>
    <cellStyle name="Calculation 2 7 5 2 8 5" xfId="52157" xr:uid="{BA0B3199-0BD7-4630-A1A7-87AED1F6189E}"/>
    <cellStyle name="Calculation 2 7 5 2 9" xfId="7183" xr:uid="{00000000-0005-0000-0000-00006E000000}"/>
    <cellStyle name="Calculation 2 7 5 2 9 2" xfId="19120" xr:uid="{A876CDCC-31AA-4D65-8FAD-9A77CEC8FFC8}"/>
    <cellStyle name="Calculation 2 7 5 2 9 2 2" xfId="41510" xr:uid="{3D3531E3-023A-43BC-A260-00054D611299}"/>
    <cellStyle name="Calculation 2 7 5 2 9 2 3" xfId="25744" xr:uid="{A98E0247-1248-4927-A546-D888A4EF9C3C}"/>
    <cellStyle name="Calculation 2 7 5 2 9 3" xfId="23544" xr:uid="{D85121BB-7FC0-430F-9A7F-44843BE01101}"/>
    <cellStyle name="Calculation 2 7 5 2 9 3 2" xfId="25233" xr:uid="{003FCC36-71CC-4719-A304-FCA4E2D11B2A}"/>
    <cellStyle name="Calculation 2 7 5 2 9 4" xfId="23774" xr:uid="{0484278F-0199-48C3-91EB-F991CDE18CC2}"/>
    <cellStyle name="Calculation 2 7 5 3" xfId="3342" xr:uid="{00000000-0005-0000-0000-00006D000000}"/>
    <cellStyle name="Calculation 2 7 5 3 2" xfId="10250" xr:uid="{C5E2BFD0-AC5A-422D-B216-D452547BD622}"/>
    <cellStyle name="Calculation 2 7 5 3 2 2" xfId="32744" xr:uid="{8274CDBD-6A1C-40AD-94A3-8EEB1574761C}"/>
    <cellStyle name="Calculation 2 7 5 3 2 3" xfId="46220" xr:uid="{20256698-592D-4CA9-AD03-761CE369B53D}"/>
    <cellStyle name="Calculation 2 7 5 3 3" xfId="15568" xr:uid="{0FB47993-05D6-441F-A0DA-8A5676D9E877}"/>
    <cellStyle name="Calculation 2 7 5 3 3 2" xfId="37987" xr:uid="{C5B5E5DC-1778-4C1D-A1CA-0A2B9199179C}"/>
    <cellStyle name="Calculation 2 7 5 3 3 3" xfId="45986" xr:uid="{0D352BC8-CCB4-4C9C-9A66-614E4E595438}"/>
    <cellStyle name="Calculation 2 7 5 3 4" xfId="20738" xr:uid="{5BAE4FCD-33D2-451A-85DD-E9A969513A5A}"/>
    <cellStyle name="Calculation 2 7 5 3 4 2" xfId="48473" xr:uid="{68FA0E4E-F3F1-45CE-92FD-B3E7BB4F8C46}"/>
    <cellStyle name="Calculation 2 7 5 3 5" xfId="46816" xr:uid="{3A2B7D5D-6BD3-4383-B0BE-12E1D49E5467}"/>
    <cellStyle name="Calculation 2 7 5 4" xfId="4930" xr:uid="{00000000-0005-0000-0000-00006D000000}"/>
    <cellStyle name="Calculation 2 7 5 4 2" xfId="11825" xr:uid="{D92AE482-E032-44D7-8718-6081694FB04E}"/>
    <cellStyle name="Calculation 2 7 5 4 2 2" xfId="34311" xr:uid="{74BD1D94-753D-4833-BF5B-693253BCF5E3}"/>
    <cellStyle name="Calculation 2 7 5 4 2 3" xfId="45731" xr:uid="{3EB0037E-562F-4C84-A147-42B3E8B145FB}"/>
    <cellStyle name="Calculation 2 7 5 4 3" xfId="16867" xr:uid="{1E06667F-0F24-4019-B727-20547FA33686}"/>
    <cellStyle name="Calculation 2 7 5 4 3 2" xfId="39257" xr:uid="{ECD11F55-18B4-4B68-BF46-E3B0963DB64E}"/>
    <cellStyle name="Calculation 2 7 5 4 3 3" xfId="27520" xr:uid="{82FFC1C7-6DAD-42E2-8A56-D12B2D0D28FA}"/>
    <cellStyle name="Calculation 2 7 5 4 4" xfId="21291" xr:uid="{0DD97BAE-731F-47FD-B974-2350D4880EC0}"/>
    <cellStyle name="Calculation 2 7 5 4 4 2" xfId="28624" xr:uid="{3E15E0FF-FFF3-4C92-BCDC-02A93E36D66A}"/>
    <cellStyle name="Calculation 2 7 5 4 5" xfId="52054" xr:uid="{98D80C78-59D7-4658-B9A2-ADBC9CCEC679}"/>
    <cellStyle name="Calculation 2 7 5 5" xfId="5617" xr:uid="{00000000-0005-0000-0000-00006D000000}"/>
    <cellStyle name="Calculation 2 7 5 5 2" xfId="12501" xr:uid="{7619D1F6-5C4F-4CCB-9F81-99B006FBFFBF}"/>
    <cellStyle name="Calculation 2 7 5 5 2 2" xfId="34986" xr:uid="{756A6E09-AC98-4E0F-914A-EF68A88E57E1}"/>
    <cellStyle name="Calculation 2 7 5 5 2 3" xfId="37151" xr:uid="{A5C18BE2-B4CE-451C-833B-73D43367A6DD}"/>
    <cellStyle name="Calculation 2 7 5 5 3" xfId="17554" xr:uid="{9B55FEFA-1F4D-44A3-8255-EE4E771A0A14}"/>
    <cellStyle name="Calculation 2 7 5 5 3 2" xfId="39944" xr:uid="{EC6EAFC3-6DC4-49DB-A800-B96E58F113F5}"/>
    <cellStyle name="Calculation 2 7 5 5 3 3" xfId="36992" xr:uid="{ABAACDFC-FB51-481B-B762-6A6FA5028601}"/>
    <cellStyle name="Calculation 2 7 5 5 4" xfId="21978" xr:uid="{0FE032B4-5291-4782-812E-B52C58068C1F}"/>
    <cellStyle name="Calculation 2 7 5 5 4 2" xfId="48527" xr:uid="{9A0DD6AF-5DCE-4409-BB47-70B0734A654C}"/>
    <cellStyle name="Calculation 2 7 5 5 5" xfId="52914" xr:uid="{DC37E8FB-2F51-4349-B6E2-3D0D8B98E6F9}"/>
    <cellStyle name="Calculation 2 7 5 6" xfId="6124" xr:uid="{00000000-0005-0000-0000-00006D000000}"/>
    <cellStyle name="Calculation 2 7 5 6 2" xfId="13001" xr:uid="{BA0562F4-CA74-4EB5-B451-4EAAF6CA465E}"/>
    <cellStyle name="Calculation 2 7 5 6 2 2" xfId="35485" xr:uid="{805BE1DA-AA54-4C34-AB84-F18BE6F86D74}"/>
    <cellStyle name="Calculation 2 7 5 6 2 3" xfId="27654" xr:uid="{9366EF5C-F99A-40B6-8A81-E264B8E97ADB}"/>
    <cellStyle name="Calculation 2 7 5 6 3" xfId="18061" xr:uid="{055A7D32-1F2C-45AF-9DE5-D8BF12A640EA}"/>
    <cellStyle name="Calculation 2 7 5 6 3 2" xfId="40451" xr:uid="{29770E59-5CAF-4E7F-AA01-0E55F265D232}"/>
    <cellStyle name="Calculation 2 7 5 6 3 3" xfId="29346" xr:uid="{F4147203-AC95-4EF3-AB3F-5B644A195968}"/>
    <cellStyle name="Calculation 2 7 5 6 4" xfId="22485" xr:uid="{DB35BB58-887C-4D34-B899-FD214EA1B201}"/>
    <cellStyle name="Calculation 2 7 5 6 4 2" xfId="52412" xr:uid="{6D60DAD5-5473-48D4-BEC0-BC106CD5E949}"/>
    <cellStyle name="Calculation 2 7 5 6 5" xfId="46617" xr:uid="{469E9C62-5E47-4BF7-88D4-A5C4EC664E5D}"/>
    <cellStyle name="Calculation 2 7 5 7" xfId="5997" xr:uid="{00000000-0005-0000-0000-00006D000000}"/>
    <cellStyle name="Calculation 2 7 5 7 2" xfId="12878" xr:uid="{C3D0527F-531A-40CE-A0ED-18B002B240A3}"/>
    <cellStyle name="Calculation 2 7 5 7 2 2" xfId="35362" xr:uid="{0687A463-F3F0-4A05-8ADB-1E90A6B91EE2}"/>
    <cellStyle name="Calculation 2 7 5 7 2 3" xfId="46687" xr:uid="{57D4A976-8B1B-4C42-8C31-3D33B0963519}"/>
    <cellStyle name="Calculation 2 7 5 7 3" xfId="17934" xr:uid="{969EBC97-2971-4D0A-94F1-8154780DD414}"/>
    <cellStyle name="Calculation 2 7 5 7 3 2" xfId="40324" xr:uid="{876B2A58-0879-416C-B736-8F9EC3BF869C}"/>
    <cellStyle name="Calculation 2 7 5 7 3 3" xfId="31982" xr:uid="{EEC5591D-8CCD-4231-9D22-4570E226CC9C}"/>
    <cellStyle name="Calculation 2 7 5 7 4" xfId="22358" xr:uid="{654F4D1D-06B3-4FA9-A558-076BDA61337E}"/>
    <cellStyle name="Calculation 2 7 5 7 4 2" xfId="52784" xr:uid="{84413636-8CC6-4F5B-BE5B-BA36A668C8A1}"/>
    <cellStyle name="Calculation 2 7 5 7 5" xfId="49792" xr:uid="{AC2B2E73-FC84-4988-9232-3EDAB5DA6C19}"/>
    <cellStyle name="Calculation 2 7 5 8" xfId="14105" xr:uid="{8DC60E71-B9B0-4F52-B0E5-91ECD8AA7A1C}"/>
    <cellStyle name="Calculation 2 7 5 8 2" xfId="36583" xr:uid="{A4A1B62E-4361-4341-AD2E-B6370FB37FAF}"/>
    <cellStyle name="Calculation 2 7 5 8 3" xfId="47321" xr:uid="{C5BC7E6C-5930-410F-B10D-14CA82583928}"/>
    <cellStyle name="Calculation 2 7 5 9" xfId="20276" xr:uid="{7AE4234E-DDB3-4CA7-A9C8-018F8947BC3A}"/>
    <cellStyle name="Calculation 2 7 5 9 2" xfId="42577" xr:uid="{DE938E37-E116-4AC7-801F-66435176DC27}"/>
    <cellStyle name="Calculation 2 7 5 9 3" xfId="49687" xr:uid="{10F75E33-8C18-4B7A-88D4-43F50E4BA5D4}"/>
    <cellStyle name="Calculation 2 7 6" xfId="1392" xr:uid="{00000000-0005-0000-0000-00006F000000}"/>
    <cellStyle name="Calculation 2 7 6 10" xfId="7264" xr:uid="{59AFD22A-95F4-4E2F-9DC3-BA99E34B01B6}"/>
    <cellStyle name="Calculation 2 7 6 10 2" xfId="47710" xr:uid="{2BBE850A-578A-4516-9963-E09C2DFA705B}"/>
    <cellStyle name="Calculation 2 7 6 11" xfId="53503" xr:uid="{39E4C638-AC3B-48F1-A6D5-5B4EF9A11525}"/>
    <cellStyle name="Calculation 2 7 6 2" xfId="2121" xr:uid="{00000000-0005-0000-0000-000070000000}"/>
    <cellStyle name="Calculation 2 7 6 2 10" xfId="14750" xr:uid="{68CE1E37-67E3-4357-BDE3-350E8903167B}"/>
    <cellStyle name="Calculation 2 7 6 2 10 2" xfId="37208" xr:uid="{A7C0791F-9BAB-4B19-807D-151E0DF46513}"/>
    <cellStyle name="Calculation 2 7 6 2 10 3" xfId="47178" xr:uid="{CB3D0802-1A9E-40E8-AC06-A6F508ED5723}"/>
    <cellStyle name="Calculation 2 7 6 2 11" xfId="20605" xr:uid="{07408560-D982-480E-8D37-229D43740775}"/>
    <cellStyle name="Calculation 2 7 6 2 11 2" xfId="42886" xr:uid="{8E82934C-2275-47A3-AD1D-32870E602D59}"/>
    <cellStyle name="Calculation 2 7 6 2 11 3" xfId="53842" xr:uid="{1EB689A2-EB69-4419-BE9B-B088E9ED23C3}"/>
    <cellStyle name="Calculation 2 7 6 2 12" xfId="21172" xr:uid="{751D1E96-C09C-46AF-B842-AE9CA6710351}"/>
    <cellStyle name="Calculation 2 7 6 2 12 2" xfId="47124" xr:uid="{481617A5-A087-4FA4-96C8-7313EB77B93C}"/>
    <cellStyle name="Calculation 2 7 6 2 13" xfId="43702" xr:uid="{6FA4A5FA-E240-47E3-A973-76B7636E1600}"/>
    <cellStyle name="Calculation 2 7 6 2 2" xfId="4214" xr:uid="{00000000-0005-0000-0000-000070000000}"/>
    <cellStyle name="Calculation 2 7 6 2 2 2" xfId="11118" xr:uid="{E52B278C-E377-4FD9-A40A-6815C2F1E2F1}"/>
    <cellStyle name="Calculation 2 7 6 2 2 2 2" xfId="33604" xr:uid="{6A9D5DC0-A43C-4FC1-AD17-73B584E7E3AA}"/>
    <cellStyle name="Calculation 2 7 6 2 2 2 3" xfId="44087" xr:uid="{3F8CEE9E-BB4D-43C0-9E1C-BB8203B55CA4}"/>
    <cellStyle name="Calculation 2 7 6 2 2 3" xfId="16207" xr:uid="{BADE58E4-7668-4051-9598-621AA7213D82}"/>
    <cellStyle name="Calculation 2 7 6 2 2 3 2" xfId="38606" xr:uid="{8C2DC124-389D-4B43-87F7-EBAFD5BA920D}"/>
    <cellStyle name="Calculation 2 7 6 2 2 3 3" xfId="32311" xr:uid="{D3E2D33D-478C-45F6-8CE0-04A1316C28C8}"/>
    <cellStyle name="Calculation 2 7 6 2 2 4" xfId="14453" xr:uid="{3A56E214-9418-470C-9DAD-8CE0FF95B469}"/>
    <cellStyle name="Calculation 2 7 6 2 2 4 2" xfId="53586" xr:uid="{E0DFACF2-3F54-4F87-A9D2-94BBA21E228A}"/>
    <cellStyle name="Calculation 2 7 6 2 2 5" xfId="24097" xr:uid="{8220B738-6AF9-49CC-8A4B-1B122A0A6C98}"/>
    <cellStyle name="Calculation 2 7 6 2 3" xfId="5540" xr:uid="{00000000-0005-0000-0000-000070000000}"/>
    <cellStyle name="Calculation 2 7 6 2 3 2" xfId="12429" xr:uid="{67537554-EDDF-4A64-B742-6580794BF0A9}"/>
    <cellStyle name="Calculation 2 7 6 2 3 2 2" xfId="34914" xr:uid="{C1C7FEAC-C823-4BA2-88A8-C52ED811043A}"/>
    <cellStyle name="Calculation 2 7 6 2 3 2 3" xfId="36492" xr:uid="{A48FAD1D-42A5-4381-BE17-1F6AE4CDC417}"/>
    <cellStyle name="Calculation 2 7 6 2 3 3" xfId="17477" xr:uid="{B57D1434-2C2C-4295-A59A-B37B126AE611}"/>
    <cellStyle name="Calculation 2 7 6 2 3 3 2" xfId="39867" xr:uid="{487EC9B6-A21B-4E93-80EA-8C13E2067768}"/>
    <cellStyle name="Calculation 2 7 6 2 3 3 3" xfId="42010" xr:uid="{9DFB2D64-C361-421B-87F4-D11BDDC429E0}"/>
    <cellStyle name="Calculation 2 7 6 2 3 4" xfId="21901" xr:uid="{E5F0A49A-0C25-45EB-A769-069C4D23520E}"/>
    <cellStyle name="Calculation 2 7 6 2 3 4 2" xfId="24478" xr:uid="{CB40936D-A45F-4139-A45D-6EAC3C346BFB}"/>
    <cellStyle name="Calculation 2 7 6 2 3 5" xfId="53260" xr:uid="{C4D575B6-42F8-4C25-849D-F5D9B7BA3F6B}"/>
    <cellStyle name="Calculation 2 7 6 2 4" xfId="5962" xr:uid="{00000000-0005-0000-0000-000070000000}"/>
    <cellStyle name="Calculation 2 7 6 2 4 2" xfId="12843" xr:uid="{75126AF5-DE7A-423A-A083-5706647B7314}"/>
    <cellStyle name="Calculation 2 7 6 2 4 2 2" xfId="35327" xr:uid="{5A4A66BC-794A-4B6A-A8AA-B5C4D12C2632}"/>
    <cellStyle name="Calculation 2 7 6 2 4 2 3" xfId="46326" xr:uid="{1FCE67C6-6EA8-4519-8B70-DE9FF84CD8D3}"/>
    <cellStyle name="Calculation 2 7 6 2 4 3" xfId="17899" xr:uid="{EB2DAEC7-D61A-4DF2-8349-923643903C7E}"/>
    <cellStyle name="Calculation 2 7 6 2 4 3 2" xfId="40289" xr:uid="{7AB3F65D-E269-4BDF-A43D-7A9B7F352C86}"/>
    <cellStyle name="Calculation 2 7 6 2 4 3 3" xfId="26253" xr:uid="{AFDE80B0-1E12-40C1-8DD1-51D0334F6784}"/>
    <cellStyle name="Calculation 2 7 6 2 4 4" xfId="22323" xr:uid="{F44FB975-7866-4941-8D6F-245865C04E04}"/>
    <cellStyle name="Calculation 2 7 6 2 4 4 2" xfId="48064" xr:uid="{F0B84F11-4527-491C-A464-E39597EF4960}"/>
    <cellStyle name="Calculation 2 7 6 2 4 5" xfId="53734" xr:uid="{E9DF4A62-DCE6-488B-B808-5D6F7AE36FB3}"/>
    <cellStyle name="Calculation 2 7 6 2 5" xfId="6302" xr:uid="{00000000-0005-0000-0000-000070000000}"/>
    <cellStyle name="Calculation 2 7 6 2 5 2" xfId="13174" xr:uid="{7C02AC1D-1750-4C1B-A5A8-C423AADFAC7E}"/>
    <cellStyle name="Calculation 2 7 6 2 5 2 2" xfId="35658" xr:uid="{B1E2B3D0-3741-4A31-923B-6BD784BE6E4C}"/>
    <cellStyle name="Calculation 2 7 6 2 5 2 3" xfId="49824" xr:uid="{C0ACB134-BC49-4B0E-A2E9-A4FA4617DBD4}"/>
    <cellStyle name="Calculation 2 7 6 2 5 3" xfId="18239" xr:uid="{732E497A-71B9-472C-8449-32146DDADEFB}"/>
    <cellStyle name="Calculation 2 7 6 2 5 3 2" xfId="40629" xr:uid="{0D9D53C1-89DE-4F25-906E-A8EF74C96924}"/>
    <cellStyle name="Calculation 2 7 6 2 5 3 3" xfId="28544" xr:uid="{D242B051-FC99-40F6-845D-CB0212DD01E4}"/>
    <cellStyle name="Calculation 2 7 6 2 5 4" xfId="22663" xr:uid="{99B26505-4B64-40DF-A626-68F9C0ED2F5F}"/>
    <cellStyle name="Calculation 2 7 6 2 5 4 2" xfId="48081" xr:uid="{979F1B88-299A-4BDB-8638-1AD171EC381F}"/>
    <cellStyle name="Calculation 2 7 6 2 5 5" xfId="49309" xr:uid="{FA6881DB-409F-48CF-BBEA-84933DF9667E}"/>
    <cellStyle name="Calculation 2 7 6 2 6" xfId="6657" xr:uid="{00000000-0005-0000-0000-000070000000}"/>
    <cellStyle name="Calculation 2 7 6 2 6 2" xfId="13523" xr:uid="{1FBD40A0-C0CC-46BB-879D-D8DB828A9903}"/>
    <cellStyle name="Calculation 2 7 6 2 6 2 2" xfId="36007" xr:uid="{9CA48B61-8A6D-4BB0-8628-865194EC260E}"/>
    <cellStyle name="Calculation 2 7 6 2 6 2 3" xfId="52599" xr:uid="{ECD3C9C6-3EBE-4557-9B95-E940F20B5A91}"/>
    <cellStyle name="Calculation 2 7 6 2 6 3" xfId="18594" xr:uid="{83C6870D-1BDC-4277-A2B9-D3626C4B9F4D}"/>
    <cellStyle name="Calculation 2 7 6 2 6 3 2" xfId="40984" xr:uid="{D7DA502E-1AFD-465A-AB9E-062640B1E603}"/>
    <cellStyle name="Calculation 2 7 6 2 6 3 3" xfId="45305" xr:uid="{1AF93A1D-FBB9-4A36-8963-70B9C495EC91}"/>
    <cellStyle name="Calculation 2 7 6 2 6 4" xfId="23018" xr:uid="{1C367669-AD69-493C-A40F-0B1D5DB29092}"/>
    <cellStyle name="Calculation 2 7 6 2 6 4 2" xfId="53108" xr:uid="{251A73A0-8896-42BB-B5C5-3A591B83F88B}"/>
    <cellStyle name="Calculation 2 7 6 2 6 5" xfId="28081" xr:uid="{AF0DA0BB-FB6E-48A9-94B4-F3699C512278}"/>
    <cellStyle name="Calculation 2 7 6 2 7" xfId="6831" xr:uid="{00000000-0005-0000-0000-000070000000}"/>
    <cellStyle name="Calculation 2 7 6 2 7 2" xfId="13676" xr:uid="{5A73ED33-7F01-4715-91BD-8CEC069C1C2C}"/>
    <cellStyle name="Calculation 2 7 6 2 7 2 2" xfId="36160" xr:uid="{9AF27448-6259-4536-B46E-CE9CC9F27113}"/>
    <cellStyle name="Calculation 2 7 6 2 7 2 3" xfId="48698" xr:uid="{F2086EBE-B98E-416A-AB4D-FF22C17786A6}"/>
    <cellStyle name="Calculation 2 7 6 2 7 3" xfId="18768" xr:uid="{BE8FB53B-759D-4C2B-9689-245BACCDE375}"/>
    <cellStyle name="Calculation 2 7 6 2 7 3 2" xfId="41158" xr:uid="{CECB0354-BACC-4AA2-B8C6-048DA9E3966B}"/>
    <cellStyle name="Calculation 2 7 6 2 7 3 3" xfId="27895" xr:uid="{97463B82-74D2-428F-9EB8-869C2C61B25F}"/>
    <cellStyle name="Calculation 2 7 6 2 7 4" xfId="23192" xr:uid="{8D2864F3-BDAC-46E2-9E7D-07B948A312E8}"/>
    <cellStyle name="Calculation 2 7 6 2 7 4 2" xfId="50611" xr:uid="{E232C363-256A-41F3-A3D8-3B812F71802A}"/>
    <cellStyle name="Calculation 2 7 6 2 7 5" xfId="53492" xr:uid="{5F58E9CA-5D86-41FB-B800-4C372E662EB9}"/>
    <cellStyle name="Calculation 2 7 6 2 8" xfId="7112" xr:uid="{00000000-0005-0000-0000-000070000000}"/>
    <cellStyle name="Calculation 2 7 6 2 8 2" xfId="13948" xr:uid="{C0904D75-C973-431C-A6C7-7E07556CE04E}"/>
    <cellStyle name="Calculation 2 7 6 2 8 2 2" xfId="36432" xr:uid="{4F067778-88C9-4984-9DDE-93D828A64FB0}"/>
    <cellStyle name="Calculation 2 7 6 2 8 2 3" xfId="48244" xr:uid="{47C16999-B2E8-4B9B-9114-7DC80A95175B}"/>
    <cellStyle name="Calculation 2 7 6 2 8 3" xfId="19049" xr:uid="{69389071-2821-421E-8434-6F3DA98C4D11}"/>
    <cellStyle name="Calculation 2 7 6 2 8 3 2" xfId="41439" xr:uid="{198CCCF3-C03F-4C1F-968B-9226E61C28F4}"/>
    <cellStyle name="Calculation 2 7 6 2 8 3 3" xfId="29292" xr:uid="{D13DB676-8575-4726-8D04-00FFBD92148A}"/>
    <cellStyle name="Calculation 2 7 6 2 8 4" xfId="23473" xr:uid="{21E2B0B5-1914-4FCB-A76C-C68B0342AEE8}"/>
    <cellStyle name="Calculation 2 7 6 2 8 4 2" xfId="28425" xr:uid="{A9D27889-80DA-48CC-9CE4-68BC36411C84}"/>
    <cellStyle name="Calculation 2 7 6 2 8 5" xfId="47565" xr:uid="{4220AD01-B9A7-46AF-BF5E-B8C92EA2EE03}"/>
    <cellStyle name="Calculation 2 7 6 2 9" xfId="7227" xr:uid="{00000000-0005-0000-0000-000070000000}"/>
    <cellStyle name="Calculation 2 7 6 2 9 2" xfId="19164" xr:uid="{1A3D90D0-96C1-486E-8B4D-F83DBFA4DFD2}"/>
    <cellStyle name="Calculation 2 7 6 2 9 2 2" xfId="41554" xr:uid="{A35B6410-ED80-47A3-AB70-27DD6D24A4EF}"/>
    <cellStyle name="Calculation 2 7 6 2 9 2 3" xfId="29413" xr:uid="{6E8365B2-10B3-4080-9E62-4DAE4960C44B}"/>
    <cellStyle name="Calculation 2 7 6 2 9 3" xfId="23588" xr:uid="{BC80EA02-F1C2-4B7E-87F9-71B7B90EA008}"/>
    <cellStyle name="Calculation 2 7 6 2 9 3 2" xfId="24814" xr:uid="{94F52038-A3B1-4CA5-8946-AB0B73DBD361}"/>
    <cellStyle name="Calculation 2 7 6 2 9 4" xfId="51496" xr:uid="{C0209B56-FE21-4AC0-A39B-880537F178EB}"/>
    <cellStyle name="Calculation 2 7 6 3" xfId="3494" xr:uid="{00000000-0005-0000-0000-00006F000000}"/>
    <cellStyle name="Calculation 2 7 6 3 2" xfId="10401" xr:uid="{937127D0-1D4B-4A29-9020-730EA60F2E9F}"/>
    <cellStyle name="Calculation 2 7 6 3 2 2" xfId="32888" xr:uid="{AED615BB-6D0E-4C70-BEB3-58F016AD18EB}"/>
    <cellStyle name="Calculation 2 7 6 3 2 3" xfId="53439" xr:uid="{03DB6E88-A55D-4F06-9D93-4D9FCEBD98B8}"/>
    <cellStyle name="Calculation 2 7 6 3 3" xfId="15672" xr:uid="{509E722E-361E-47A0-8274-2C845AE778B5}"/>
    <cellStyle name="Calculation 2 7 6 3 3 2" xfId="38088" xr:uid="{D8296926-C509-4637-8820-5B12198340F4}"/>
    <cellStyle name="Calculation 2 7 6 3 3 3" xfId="43563" xr:uid="{BAEF61C2-8074-448C-826F-57BAB1726F5D}"/>
    <cellStyle name="Calculation 2 7 6 3 4" xfId="20997" xr:uid="{1A7AFDA3-006E-4B80-834D-1F14BF724172}"/>
    <cellStyle name="Calculation 2 7 6 3 4 2" xfId="46996" xr:uid="{DFEA7908-208C-4571-8A49-F9EDF79BEA83}"/>
    <cellStyle name="Calculation 2 7 6 3 5" xfId="45036" xr:uid="{37F00E0E-44AB-40A7-BC21-C1611A52E67D}"/>
    <cellStyle name="Calculation 2 7 6 4" xfId="5029" xr:uid="{00000000-0005-0000-0000-00006F000000}"/>
    <cellStyle name="Calculation 2 7 6 4 2" xfId="11923" xr:uid="{B0E5A443-5C92-4050-878F-A6B3244B9792}"/>
    <cellStyle name="Calculation 2 7 6 4 2 2" xfId="34409" xr:uid="{63730B0F-A848-43CA-923F-920B73BE717C}"/>
    <cellStyle name="Calculation 2 7 6 4 2 3" xfId="29604" xr:uid="{B550BC6F-4186-42DC-AE32-A2D274D39B37}"/>
    <cellStyle name="Calculation 2 7 6 4 3" xfId="16966" xr:uid="{0234423A-356E-4ADC-AAB2-8DF43591A5FC}"/>
    <cellStyle name="Calculation 2 7 6 4 3 2" xfId="39356" xr:uid="{821073F6-6E74-47CB-A336-49D86E9A32AB}"/>
    <cellStyle name="Calculation 2 7 6 4 3 3" xfId="25491" xr:uid="{80015499-915B-4B18-9931-6EE2B1AB67E9}"/>
    <cellStyle name="Calculation 2 7 6 4 4" xfId="21390" xr:uid="{70CA5EE6-9203-4662-A045-521A86913319}"/>
    <cellStyle name="Calculation 2 7 6 4 4 2" xfId="27633" xr:uid="{B6A1A1A1-9D58-47FE-891D-5B69218A695C}"/>
    <cellStyle name="Calculation 2 7 6 4 5" xfId="48972" xr:uid="{33BB1881-9170-4A0E-8103-A54A3E9AD39C}"/>
    <cellStyle name="Calculation 2 7 6 5" xfId="4721" xr:uid="{00000000-0005-0000-0000-00006F000000}"/>
    <cellStyle name="Calculation 2 7 6 5 2" xfId="11619" xr:uid="{ADF5D579-06B7-47F6-A079-6D031EDB93CE}"/>
    <cellStyle name="Calculation 2 7 6 5 2 2" xfId="34105" xr:uid="{2F598E0B-892C-48A2-85AF-870838EAD6D6}"/>
    <cellStyle name="Calculation 2 7 6 5 2 3" xfId="44421" xr:uid="{4EEF18C9-63DB-4A06-B790-C73C84B6A8A3}"/>
    <cellStyle name="Calculation 2 7 6 5 3" xfId="16658" xr:uid="{14A438B8-64F4-4164-910B-29A8CFE291D9}"/>
    <cellStyle name="Calculation 2 7 6 5 3 2" xfId="39048" xr:uid="{4B4A8D66-7D1E-47CF-A77A-57BDEC121814}"/>
    <cellStyle name="Calculation 2 7 6 5 3 3" xfId="27564" xr:uid="{C44D27FF-2E7A-4C00-88DB-09989511D36B}"/>
    <cellStyle name="Calculation 2 7 6 5 4" xfId="14382" xr:uid="{F8B5B2EE-6F92-4CD8-86AA-E18474731694}"/>
    <cellStyle name="Calculation 2 7 6 5 4 2" xfId="29157" xr:uid="{B061E5C9-CE3E-4183-879C-C3A71F2513E2}"/>
    <cellStyle name="Calculation 2 7 6 5 5" xfId="48784" xr:uid="{2F1E7B31-D434-4F53-975B-77F41E12B0B5}"/>
    <cellStyle name="Calculation 2 7 6 6" xfId="2273" xr:uid="{00000000-0005-0000-0000-00006F000000}"/>
    <cellStyle name="Calculation 2 7 6 6 2" xfId="9184" xr:uid="{27CFA664-DFD2-402A-9C18-77CEAF607FF6}"/>
    <cellStyle name="Calculation 2 7 6 6 2 2" xfId="31759" xr:uid="{3787631C-B46E-4215-8054-8C294A74E01D}"/>
    <cellStyle name="Calculation 2 7 6 6 2 3" xfId="52251" xr:uid="{DEDDB271-7699-4880-9573-B46005E455ED}"/>
    <cellStyle name="Calculation 2 7 6 6 3" xfId="14842" xr:uid="{522D5D11-7026-4974-8753-E627F6E8FA84}"/>
    <cellStyle name="Calculation 2 7 6 6 3 2" xfId="37296" xr:uid="{2977C06A-775B-4538-8505-28663F61DDF5}"/>
    <cellStyle name="Calculation 2 7 6 6 3 3" xfId="24077" xr:uid="{8B75EF3D-C51A-49D7-8FA4-30AC480F1E44}"/>
    <cellStyle name="Calculation 2 7 6 6 4" xfId="20623" xr:uid="{57B02A85-9D45-4D9F-9D41-5BE50B094314}"/>
    <cellStyle name="Calculation 2 7 6 6 4 2" xfId="48463" xr:uid="{10BAAC1D-5080-4EF3-BFFA-224A6593A115}"/>
    <cellStyle name="Calculation 2 7 6 6 5" xfId="48236" xr:uid="{6286E0D0-A9B3-482C-995C-757A42CAEB5F}"/>
    <cellStyle name="Calculation 2 7 6 7" xfId="5982" xr:uid="{00000000-0005-0000-0000-00006F000000}"/>
    <cellStyle name="Calculation 2 7 6 7 2" xfId="12863" xr:uid="{2FE8A54E-B4EE-487F-81E7-DD9CA321D4D9}"/>
    <cellStyle name="Calculation 2 7 6 7 2 2" xfId="35347" xr:uid="{7299B8B8-D7BE-4665-B999-B82D5EC47C01}"/>
    <cellStyle name="Calculation 2 7 6 7 2 3" xfId="44954" xr:uid="{617FA7B4-CF4C-457F-A9C5-3D1A9ADB314D}"/>
    <cellStyle name="Calculation 2 7 6 7 3" xfId="17919" xr:uid="{B139AB75-5772-4671-AD77-0053CDFE1B89}"/>
    <cellStyle name="Calculation 2 7 6 7 3 2" xfId="40309" xr:uid="{52FE1DEF-0EE3-4EB4-BFB4-8CDD2EB59815}"/>
    <cellStyle name="Calculation 2 7 6 7 3 3" xfId="28064" xr:uid="{1C1D98EB-7DE3-496C-BFBE-506D58E19784}"/>
    <cellStyle name="Calculation 2 7 6 7 4" xfId="22343" xr:uid="{8AC56C8F-974F-4642-9076-F9FCA7BC0F95}"/>
    <cellStyle name="Calculation 2 7 6 7 4 2" xfId="49125" xr:uid="{EB0DB290-867C-4CC6-AEBD-2B90215B411D}"/>
    <cellStyle name="Calculation 2 7 6 7 5" xfId="47242" xr:uid="{975D3D84-D3A0-4306-91CA-4776B7D80594}"/>
    <cellStyle name="Calculation 2 7 6 8" xfId="14211" xr:uid="{0A5EB8BB-19EB-4298-A671-7B949309DF5C}"/>
    <cellStyle name="Calculation 2 7 6 8 2" xfId="36686" xr:uid="{8FA15ED8-7059-4689-BC94-D23A76B0D6F8}"/>
    <cellStyle name="Calculation 2 7 6 8 3" xfId="23984" xr:uid="{51DEFE74-610D-4263-9E87-316958620CEF}"/>
    <cellStyle name="Calculation 2 7 6 9" xfId="19322" xr:uid="{9DD694F4-66FA-4688-A49D-B52C1A7522CE}"/>
    <cellStyle name="Calculation 2 7 6 9 2" xfId="41700" xr:uid="{BEB4ADEB-8E68-4D87-923B-B3AAEAF0FA69}"/>
    <cellStyle name="Calculation 2 7 6 9 3" xfId="29142" xr:uid="{AE232695-D70B-4EFD-9D4A-3AAA95D167FF}"/>
    <cellStyle name="Calculation 2 7 7" xfId="1664" xr:uid="{00000000-0005-0000-0000-000071000000}"/>
    <cellStyle name="Calculation 2 7 7 10" xfId="14378" xr:uid="{ACD5FC9F-80FC-4A03-BF88-14E0805758FD}"/>
    <cellStyle name="Calculation 2 7 7 10 2" xfId="36846" xr:uid="{F8788C60-AE1C-46BF-BC00-690F77FA687B}"/>
    <cellStyle name="Calculation 2 7 7 10 3" xfId="29756" xr:uid="{7203FF1F-0030-4EBA-8339-153BDF50D91D}"/>
    <cellStyle name="Calculation 2 7 7 11" xfId="20169" xr:uid="{ADD0C054-BD22-42FB-8D8A-B6B85BA67DF4}"/>
    <cellStyle name="Calculation 2 7 7 11 2" xfId="42480" xr:uid="{72B12E4E-FB81-45B6-A42B-2FB642ECF8CB}"/>
    <cellStyle name="Calculation 2 7 7 11 3" xfId="25067" xr:uid="{FBBB466F-CE73-4E16-BEBA-E80FED130F09}"/>
    <cellStyle name="Calculation 2 7 7 12" xfId="20838" xr:uid="{A5B27A77-11AD-405B-B7F5-0A01D14B528F}"/>
    <cellStyle name="Calculation 2 7 7 12 2" xfId="48885" xr:uid="{46F90F3C-F2EF-4547-87FC-1B6979FEEFAE}"/>
    <cellStyle name="Calculation 2 7 7 13" xfId="25471" xr:uid="{1759CFCB-8E4E-41EB-B54D-9331DCCA4393}"/>
    <cellStyle name="Calculation 2 7 7 2" xfId="3762" xr:uid="{00000000-0005-0000-0000-000071000000}"/>
    <cellStyle name="Calculation 2 7 7 2 2" xfId="10666" xr:uid="{E0659907-6843-482C-AE6E-FBEFA7BF8EF2}"/>
    <cellStyle name="Calculation 2 7 7 2 2 2" xfId="33152" xr:uid="{57BDF626-0F54-45A7-AAC6-5BEABA1A95F8}"/>
    <cellStyle name="Calculation 2 7 7 2 2 3" xfId="41945" xr:uid="{768B1BC7-6087-4AB3-8DA2-44AA95368830}"/>
    <cellStyle name="Calculation 2 7 7 2 3" xfId="15843" xr:uid="{22B9ECD1-2B0C-4B75-807A-90053B373C84}"/>
    <cellStyle name="Calculation 2 7 7 2 3 2" xfId="38251" xr:uid="{9EB1461C-61BB-4B8E-B860-33F05F7A49AD}"/>
    <cellStyle name="Calculation 2 7 7 2 3 3" xfId="46664" xr:uid="{68DD6E57-AB40-4DDA-9C50-575E1C4618AD}"/>
    <cellStyle name="Calculation 2 7 7 2 4" xfId="19302" xr:uid="{F5821DA3-87BD-4B22-8DBC-0EC41CCE22E1}"/>
    <cellStyle name="Calculation 2 7 7 2 4 2" xfId="45645" xr:uid="{B1DAAA00-247E-41C7-B2A3-5241082019B5}"/>
    <cellStyle name="Calculation 2 7 7 2 5" xfId="54076" xr:uid="{7B975E1E-E88D-4B28-902F-FCBB910E0AA9}"/>
    <cellStyle name="Calculation 2 7 7 3" xfId="5197" xr:uid="{00000000-0005-0000-0000-000071000000}"/>
    <cellStyle name="Calculation 2 7 7 3 2" xfId="12090" xr:uid="{ED307AB0-CD57-481F-B2E7-FA8D0F989F6A}"/>
    <cellStyle name="Calculation 2 7 7 3 2 2" xfId="34576" xr:uid="{B374CEC5-674C-4816-9895-7A2F96346A49}"/>
    <cellStyle name="Calculation 2 7 7 3 2 3" xfId="24654" xr:uid="{CD938A96-2CAD-4929-B7E4-118EDF5597A2}"/>
    <cellStyle name="Calculation 2 7 7 3 3" xfId="17134" xr:uid="{DF7B526A-CAE9-442B-B586-7C47BDC1736A}"/>
    <cellStyle name="Calculation 2 7 7 3 3 2" xfId="39524" xr:uid="{C24926AD-41D0-488F-B8EF-4B4D30EC05E1}"/>
    <cellStyle name="Calculation 2 7 7 3 3 3" xfId="44953" xr:uid="{FC51C7AE-1E3F-4F02-9228-B8E9CF90662B}"/>
    <cellStyle name="Calculation 2 7 7 3 4" xfId="21558" xr:uid="{EDA852D2-A1D1-4B66-997F-2747A7A04E15}"/>
    <cellStyle name="Calculation 2 7 7 3 4 2" xfId="43983" xr:uid="{5CF5A4DB-86CA-4BD1-9E60-6D857574B5C8}"/>
    <cellStyle name="Calculation 2 7 7 3 5" xfId="48186" xr:uid="{B800C267-014E-45B3-87B2-221D02C1A8DC}"/>
    <cellStyle name="Calculation 2 7 7 4" xfId="5033" xr:uid="{00000000-0005-0000-0000-000071000000}"/>
    <cellStyle name="Calculation 2 7 7 4 2" xfId="11927" xr:uid="{E6C5DF25-2EB7-4D29-B3D0-32BD6BAEFDF1}"/>
    <cellStyle name="Calculation 2 7 7 4 2 2" xfId="34413" xr:uid="{F1112F06-20E9-4D9E-AC45-D4169E424F5E}"/>
    <cellStyle name="Calculation 2 7 7 4 2 3" xfId="45109" xr:uid="{F58A41A9-32B0-4EBC-BD27-A8A9897F4239}"/>
    <cellStyle name="Calculation 2 7 7 4 3" xfId="16970" xr:uid="{3C499AE1-3F89-4CFA-A17C-D2425E8CD646}"/>
    <cellStyle name="Calculation 2 7 7 4 3 2" xfId="39360" xr:uid="{E841BDA2-CE22-4110-9EDA-F59504B4199E}"/>
    <cellStyle name="Calculation 2 7 7 4 3 3" xfId="43545" xr:uid="{96A4E073-5ECB-445D-A584-532F2826679A}"/>
    <cellStyle name="Calculation 2 7 7 4 4" xfId="21394" xr:uid="{63C9EAE7-2200-4270-9998-9C9D57CAED5A}"/>
    <cellStyle name="Calculation 2 7 7 4 4 2" xfId="54037" xr:uid="{6CC5B4D2-EC74-44DF-97D4-0DAC11C84798}"/>
    <cellStyle name="Calculation 2 7 7 4 5" xfId="52649" xr:uid="{C45E1E1D-AC9D-4344-BE09-D51FEE6262BA}"/>
    <cellStyle name="Calculation 2 7 7 5" xfId="5966" xr:uid="{00000000-0005-0000-0000-000071000000}"/>
    <cellStyle name="Calculation 2 7 7 5 2" xfId="12847" xr:uid="{D41D1C04-85E6-4763-BC91-2FC0BBFB6E37}"/>
    <cellStyle name="Calculation 2 7 7 5 2 2" xfId="35331" xr:uid="{989D0DB7-E813-46DD-A321-E33C458252B2}"/>
    <cellStyle name="Calculation 2 7 7 5 2 3" xfId="46351" xr:uid="{E8BB8170-DDBB-4E4E-A730-826FDF9941E5}"/>
    <cellStyle name="Calculation 2 7 7 5 3" xfId="17903" xr:uid="{01655D7E-D547-4D10-91AB-A4B0B7946F30}"/>
    <cellStyle name="Calculation 2 7 7 5 3 2" xfId="40293" xr:uid="{52AE9867-1F9A-4D32-9335-BBECB08E60BE}"/>
    <cellStyle name="Calculation 2 7 7 5 3 3" xfId="42074" xr:uid="{BEDAD52C-CF54-4C23-B688-B2B0047759CB}"/>
    <cellStyle name="Calculation 2 7 7 5 4" xfId="22327" xr:uid="{D2743965-AB8A-4DD4-9C7F-5777A6219881}"/>
    <cellStyle name="Calculation 2 7 7 5 4 2" xfId="49067" xr:uid="{65C281D0-380C-40FD-B8F6-06F3BA312F21}"/>
    <cellStyle name="Calculation 2 7 7 5 5" xfId="29593" xr:uid="{07403BCE-7F45-41B8-8C45-936B5F2BB47A}"/>
    <cellStyle name="Calculation 2 7 7 6" xfId="5684" xr:uid="{00000000-0005-0000-0000-000071000000}"/>
    <cellStyle name="Calculation 2 7 7 6 2" xfId="12568" xr:uid="{603CB8BF-FE33-4CB0-9BBC-3CEE6A0E692C}"/>
    <cellStyle name="Calculation 2 7 7 6 2 2" xfId="35053" xr:uid="{B6578697-59FE-4C37-86BD-3DED5F5BDB73}"/>
    <cellStyle name="Calculation 2 7 7 6 2 3" xfId="44379" xr:uid="{EC58983E-5F01-420B-86E4-E60F076B5DF8}"/>
    <cellStyle name="Calculation 2 7 7 6 3" xfId="17621" xr:uid="{246B1E6B-8604-408B-BE0D-47C129E79B91}"/>
    <cellStyle name="Calculation 2 7 7 6 3 2" xfId="40011" xr:uid="{522087B8-BABB-4AE2-A71D-BC769F9C7C22}"/>
    <cellStyle name="Calculation 2 7 7 6 3 3" xfId="29203" xr:uid="{65C1000C-5617-480D-B7CB-69DFE0C31C4F}"/>
    <cellStyle name="Calculation 2 7 7 6 4" xfId="22045" xr:uid="{2D472F1D-7985-4E13-9A75-5E7699711F40}"/>
    <cellStyle name="Calculation 2 7 7 6 4 2" xfId="52864" xr:uid="{1A3165E7-FC2D-415E-A45B-EC4140CD04B8}"/>
    <cellStyle name="Calculation 2 7 7 6 5" xfId="53161" xr:uid="{57F5DC58-73EE-417F-9975-189BA794651D}"/>
    <cellStyle name="Calculation 2 7 7 7" xfId="6251" xr:uid="{00000000-0005-0000-0000-000071000000}"/>
    <cellStyle name="Calculation 2 7 7 7 2" xfId="13124" xr:uid="{3AA53081-76B3-44DF-9838-A0169D8B9A90}"/>
    <cellStyle name="Calculation 2 7 7 7 2 2" xfId="35608" xr:uid="{6CFB473E-FD06-40C5-B9C9-0DC39CCADD9D}"/>
    <cellStyle name="Calculation 2 7 7 7 2 3" xfId="52349" xr:uid="{50647E7B-6AE3-46C1-81AA-7771C9100D91}"/>
    <cellStyle name="Calculation 2 7 7 7 3" xfId="18188" xr:uid="{DA21CFBA-FEEE-4978-B007-31744B4AF3FC}"/>
    <cellStyle name="Calculation 2 7 7 7 3 2" xfId="40578" xr:uid="{4D679A50-4235-4054-8192-C5537E8D2DBE}"/>
    <cellStyle name="Calculation 2 7 7 7 3 3" xfId="41582" xr:uid="{29311894-0D7F-4A22-BC03-C75084A227E9}"/>
    <cellStyle name="Calculation 2 7 7 7 4" xfId="22612" xr:uid="{EDA7D3AA-E5F3-4A8D-97C6-2DF9E8E3968D}"/>
    <cellStyle name="Calculation 2 7 7 7 4 2" xfId="47493" xr:uid="{5E94D1CA-6738-4E67-838A-7AFEE9CD1291}"/>
    <cellStyle name="Calculation 2 7 7 7 5" xfId="51320" xr:uid="{30F141A3-7E9E-4263-BDE2-1BBA3BA00C2C}"/>
    <cellStyle name="Calculation 2 7 7 8" xfId="2375" xr:uid="{00000000-0005-0000-0000-000071000000}"/>
    <cellStyle name="Calculation 2 7 7 8 2" xfId="9284" xr:uid="{D06F04D3-9021-4CFA-A1FB-A5F5FA2E7793}"/>
    <cellStyle name="Calculation 2 7 7 8 2 2" xfId="31859" xr:uid="{DC8ABD59-4173-4A0B-9992-8AC9635AC0D0}"/>
    <cellStyle name="Calculation 2 7 7 8 2 3" xfId="44681" xr:uid="{DB45537F-0167-401A-BF4B-3FB6F5F6FE70}"/>
    <cellStyle name="Calculation 2 7 7 8 3" xfId="14928" xr:uid="{785CE44C-19CD-4D3F-812B-948DAD08F230}"/>
    <cellStyle name="Calculation 2 7 7 8 3 2" xfId="37382" xr:uid="{531DB144-B9AA-48AB-AF8F-E4CE8130DC94}"/>
    <cellStyle name="Calculation 2 7 7 8 3 3" xfId="50995" xr:uid="{671B0663-C11B-4757-95AA-BA0BA120A983}"/>
    <cellStyle name="Calculation 2 7 7 8 4" xfId="20348" xr:uid="{879F1A20-A012-4554-B66A-B9AFC9E91AC2}"/>
    <cellStyle name="Calculation 2 7 7 8 4 2" xfId="53259" xr:uid="{5C0E43F6-47AC-4D44-8F2A-0150D18FADAA}"/>
    <cellStyle name="Calculation 2 7 7 8 5" xfId="43573" xr:uid="{D7138FD5-BF0B-4A98-9E17-F400E785A208}"/>
    <cellStyle name="Calculation 2 7 7 9" xfId="4454" xr:uid="{00000000-0005-0000-0000-000071000000}"/>
    <cellStyle name="Calculation 2 7 7 9 2" xfId="16391" xr:uid="{E6E602D3-C3F6-4A69-A1B3-55292F116A1A}"/>
    <cellStyle name="Calculation 2 7 7 9 2 2" xfId="38781" xr:uid="{9612FC64-218A-4141-B07F-B5FCE0D97740}"/>
    <cellStyle name="Calculation 2 7 7 9 2 3" xfId="42002" xr:uid="{306979F3-0AE4-4092-BCBF-821DAB54FBA3}"/>
    <cellStyle name="Calculation 2 7 7 9 3" xfId="15149" xr:uid="{789148B5-9EBA-4428-B71D-771D5688F6A2}"/>
    <cellStyle name="Calculation 2 7 7 9 3 2" xfId="27961" xr:uid="{8C46BDE1-0B2C-45BF-A387-B2FFE78A3C14}"/>
    <cellStyle name="Calculation 2 7 7 9 4" xfId="28250" xr:uid="{88C97124-80C0-4A64-A9B5-7F305E5C3C64}"/>
    <cellStyle name="Calculation 2 7 8" xfId="2611" xr:uid="{00000000-0005-0000-0000-000066000000}"/>
    <cellStyle name="Calculation 2 7 8 2" xfId="9520" xr:uid="{A24F57B0-9119-452C-8AC8-0EA0121C0451}"/>
    <cellStyle name="Calculation 2 7 8 2 2" xfId="32072" xr:uid="{619B086B-8071-4D93-A478-93B1E2A5F008}"/>
    <cellStyle name="Calculation 2 7 8 2 3" xfId="47828" xr:uid="{1E10D703-1A42-46D3-A0AF-A413A3486CEC}"/>
    <cellStyle name="Calculation 2 7 8 3" xfId="15089" xr:uid="{A4022CD9-8AC3-4667-9BC7-3BE98426932B}"/>
    <cellStyle name="Calculation 2 7 8 3 2" xfId="37534" xr:uid="{3D69CD2E-F4BA-43D4-9AC9-50438E268C62}"/>
    <cellStyle name="Calculation 2 7 8 3 3" xfId="46218" xr:uid="{630DB5DD-4C30-4105-94BA-FC69D0B6FEEE}"/>
    <cellStyle name="Calculation 2 7 8 4" xfId="19608" xr:uid="{065DEB15-6474-426F-A370-47F67B3537B7}"/>
    <cellStyle name="Calculation 2 7 8 4 2" xfId="44830" xr:uid="{BFAF8D9E-7407-48CE-853C-500B4556281B}"/>
    <cellStyle name="Calculation 2 7 8 5" xfId="46102" xr:uid="{258EE16C-CC5D-4003-BE30-38C3323EE00C}"/>
    <cellStyle name="Calculation 2 7 9" xfId="4442" xr:uid="{00000000-0005-0000-0000-000066000000}"/>
    <cellStyle name="Calculation 2 7 9 2" xfId="11344" xr:uid="{81D5F160-1E82-4E06-9A23-0CF80E05F6B4}"/>
    <cellStyle name="Calculation 2 7 9 2 2" xfId="33830" xr:uid="{FC17F168-0661-455D-A1EA-A557E983E3DC}"/>
    <cellStyle name="Calculation 2 7 9 2 3" xfId="45722" xr:uid="{D93367AB-21ED-480E-9A35-E61325A0F9C2}"/>
    <cellStyle name="Calculation 2 7 9 3" xfId="16379" xr:uid="{5A114134-EE25-4F98-B175-B701DA826C6A}"/>
    <cellStyle name="Calculation 2 7 9 3 2" xfId="38769" xr:uid="{230487A5-21CD-4B1F-9481-CF93B44433EA}"/>
    <cellStyle name="Calculation 2 7 9 3 3" xfId="23792" xr:uid="{47EBE06D-8C56-496F-8645-B10D8BD03C80}"/>
    <cellStyle name="Calculation 2 7 9 4" xfId="19197" xr:uid="{92C2CC49-779F-4D7D-A6CC-4AFDC8AECB2B}"/>
    <cellStyle name="Calculation 2 7 9 4 2" xfId="29576" xr:uid="{AD0B1B28-7424-4C54-9DCA-2D9C72AADF84}"/>
    <cellStyle name="Calculation 2 7 9 5" xfId="51046" xr:uid="{C035F513-E90B-47D1-A64B-938499AA767D}"/>
    <cellStyle name="Calculation 2 8" xfId="457" xr:uid="{00000000-0005-0000-0000-000072000000}"/>
    <cellStyle name="Calculation 2 8 10" xfId="4746" xr:uid="{00000000-0005-0000-0000-000072000000}"/>
    <cellStyle name="Calculation 2 8 10 2" xfId="11644" xr:uid="{6B302540-5CEE-4AB2-B26F-3647F6BA7BF9}"/>
    <cellStyle name="Calculation 2 8 10 2 2" xfId="34130" xr:uid="{87A56AC4-3C2C-4B9C-A8DC-FD4DB79DFA37}"/>
    <cellStyle name="Calculation 2 8 10 2 3" xfId="25928" xr:uid="{5E347A95-D6BC-4E38-ABB7-38CC99468F36}"/>
    <cellStyle name="Calculation 2 8 10 3" xfId="16683" xr:uid="{B35D57C6-9E15-4D72-B4F3-2AA7890148F6}"/>
    <cellStyle name="Calculation 2 8 10 3 2" xfId="39073" xr:uid="{86DD8F55-44ED-45B4-9D9E-5E7FF9402C0C}"/>
    <cellStyle name="Calculation 2 8 10 3 3" xfId="25558" xr:uid="{F683D46D-792B-4928-B31A-23E202BABD42}"/>
    <cellStyle name="Calculation 2 8 10 4" xfId="19570" xr:uid="{9DCCA9BC-3874-4085-832D-125884024307}"/>
    <cellStyle name="Calculation 2 8 10 4 2" xfId="29907" xr:uid="{BBC73458-ABA8-43F7-B704-9EABA6893940}"/>
    <cellStyle name="Calculation 2 8 10 5" xfId="47153" xr:uid="{84572969-CB26-4F4C-9D74-7BE90EC5EAE9}"/>
    <cellStyle name="Calculation 2 8 11" xfId="6308" xr:uid="{00000000-0005-0000-0000-000072000000}"/>
    <cellStyle name="Calculation 2 8 11 2" xfId="13180" xr:uid="{DFCE7312-479F-44A8-AD3C-55DDE0086214}"/>
    <cellStyle name="Calculation 2 8 11 2 2" xfId="35664" xr:uid="{5F0422A1-08F4-4168-9F1A-FD5672F127DA}"/>
    <cellStyle name="Calculation 2 8 11 2 3" xfId="45425" xr:uid="{7A9C9477-638D-467C-8511-51F74DB3FE80}"/>
    <cellStyle name="Calculation 2 8 11 3" xfId="18245" xr:uid="{F7589B6C-F0D0-413F-AD35-A8E181049660}"/>
    <cellStyle name="Calculation 2 8 11 3 2" xfId="40635" xr:uid="{4FCF6927-1487-4DDF-B7E0-8C64A2E2D93B}"/>
    <cellStyle name="Calculation 2 8 11 3 3" xfId="30318" xr:uid="{1959A0B3-164A-4F1F-9536-86ADCE998E34}"/>
    <cellStyle name="Calculation 2 8 11 4" xfId="22669" xr:uid="{00AE2F0C-1C3E-43E3-9B86-798D8CC695D0}"/>
    <cellStyle name="Calculation 2 8 11 4 2" xfId="51835" xr:uid="{931A3BBD-38CB-4B1B-ADEA-6559EC49F979}"/>
    <cellStyle name="Calculation 2 8 11 5" xfId="44583" xr:uid="{788F6821-5CD2-4700-B521-2B4ADE5B23F3}"/>
    <cellStyle name="Calculation 2 8 12" xfId="6254" xr:uid="{00000000-0005-0000-0000-000072000000}"/>
    <cellStyle name="Calculation 2 8 12 2" xfId="13127" xr:uid="{1FC161C4-D170-48F8-A78C-895026902DD8}"/>
    <cellStyle name="Calculation 2 8 12 2 2" xfId="35611" xr:uid="{41B55803-49D6-423B-9290-D09BDE8C1177}"/>
    <cellStyle name="Calculation 2 8 12 2 3" xfId="51538" xr:uid="{19EF3E3E-6BB0-424C-8ACD-FD42D9D4A1D5}"/>
    <cellStyle name="Calculation 2 8 12 3" xfId="18191" xr:uid="{7702B726-F66F-44F9-88C3-CF9D74109A61}"/>
    <cellStyle name="Calculation 2 8 12 3 2" xfId="40581" xr:uid="{BB1667EA-9128-42D7-92A9-D0B296A4E003}"/>
    <cellStyle name="Calculation 2 8 12 3 3" xfId="32216" xr:uid="{03BBBDF9-E30D-412F-BEC8-7EC80A5172FE}"/>
    <cellStyle name="Calculation 2 8 12 4" xfId="22615" xr:uid="{8C7621B7-ED39-4B5D-AB79-9107FB7A51B5}"/>
    <cellStyle name="Calculation 2 8 12 4 2" xfId="49452" xr:uid="{50954F1A-809B-41E5-8999-1C78E1D3067E}"/>
    <cellStyle name="Calculation 2 8 12 5" xfId="27185" xr:uid="{E2B35A04-C4D7-4FE7-B8D6-367340DABF53}"/>
    <cellStyle name="Calculation 2 8 13" xfId="13999" xr:uid="{115515A5-9848-4F71-B720-270D0AD3F2F4}"/>
    <cellStyle name="Calculation 2 8 13 2" xfId="36482" xr:uid="{9209C064-3A95-4BDF-BFF6-50A48D4B95CA}"/>
    <cellStyle name="Calculation 2 8 13 3" xfId="46661" xr:uid="{3CFBDD6E-3CCE-4086-9864-190E6CC1FA0E}"/>
    <cellStyle name="Calculation 2 8 14" xfId="20300" xr:uid="{9357A312-FA1C-4314-A9BA-4D13B9A02FF9}"/>
    <cellStyle name="Calculation 2 8 14 2" xfId="42599" xr:uid="{98566F85-BF0E-4CC8-B1F6-00432758F4AF}"/>
    <cellStyle name="Calculation 2 8 14 3" xfId="48947" xr:uid="{7E124FC7-E465-4812-A459-99033255BD85}"/>
    <cellStyle name="Calculation 2 8 15" xfId="15297" xr:uid="{53EE8FE4-2AB5-4765-B4F3-78B9EF94D704}"/>
    <cellStyle name="Calculation 2 8 15 2" xfId="49850" xr:uid="{E5A3070B-2343-4EEA-9D12-480FBCAAC193}"/>
    <cellStyle name="Calculation 2 8 16" xfId="38180" xr:uid="{BAA1DF8F-F10B-4EAD-B180-12FA4A4CF74D}"/>
    <cellStyle name="Calculation 2 8 2" xfId="610" xr:uid="{00000000-0005-0000-0000-000073000000}"/>
    <cellStyle name="Calculation 2 8 2 10" xfId="20161" xr:uid="{9C4D1C26-3C5D-4372-8326-26057CE8039A}"/>
    <cellStyle name="Calculation 2 8 2 10 2" xfId="28646" xr:uid="{4013380F-4FD9-49B5-8FBA-74F254CE519A}"/>
    <cellStyle name="Calculation 2 8 2 11" xfId="52928" xr:uid="{F8A6BAEE-941A-46EC-ABE4-164A6159A0DC}"/>
    <cellStyle name="Calculation 2 8 2 2" xfId="1744" xr:uid="{00000000-0005-0000-0000-000074000000}"/>
    <cellStyle name="Calculation 2 8 2 2 10" xfId="14445" xr:uid="{E20C5F26-67EE-4D01-BE1E-CBCFCCAAB28F}"/>
    <cellStyle name="Calculation 2 8 2 2 10 2" xfId="36911" xr:uid="{3F270704-1278-4915-93AD-D77C82698A2A}"/>
    <cellStyle name="Calculation 2 8 2 2 10 3" xfId="27882" xr:uid="{E99A9AAD-E81A-4ABD-B5A0-02C1EBCE6A74}"/>
    <cellStyle name="Calculation 2 8 2 2 11" xfId="20111" xr:uid="{0314C9B1-5D18-432E-A564-0D10C803D1E0}"/>
    <cellStyle name="Calculation 2 8 2 2 11 2" xfId="42426" xr:uid="{03BFFE0C-CD2A-4846-9EF7-1A66AA5401D3}"/>
    <cellStyle name="Calculation 2 8 2 2 11 3" xfId="28480" xr:uid="{F8E48BF5-6994-4774-826E-3D89028251FB}"/>
    <cellStyle name="Calculation 2 8 2 2 12" xfId="15271" xr:uid="{08E237D7-0FCD-469D-B688-605B4F8C0E3A}"/>
    <cellStyle name="Calculation 2 8 2 2 12 2" xfId="46745" xr:uid="{02479D75-CC15-4C91-B5EC-36958C4B2B59}"/>
    <cellStyle name="Calculation 2 8 2 2 13" xfId="53766" xr:uid="{51386F87-83AE-47DA-A748-DA9456051349}"/>
    <cellStyle name="Calculation 2 8 2 2 2" xfId="3842" xr:uid="{00000000-0005-0000-0000-000074000000}"/>
    <cellStyle name="Calculation 2 8 2 2 2 2" xfId="10746" xr:uid="{43CF3B54-1CE4-49D5-845B-0146F4F2E65C}"/>
    <cellStyle name="Calculation 2 8 2 2 2 2 2" xfId="33232" xr:uid="{21CAD31E-2B0E-4728-9939-CEB0D82FF5AA}"/>
    <cellStyle name="Calculation 2 8 2 2 2 2 3" xfId="53296" xr:uid="{1FC49AE3-E807-4AC1-B1C3-E18A72FEE5B4}"/>
    <cellStyle name="Calculation 2 8 2 2 2 3" xfId="15902" xr:uid="{738C038F-CD9B-4801-9AD7-A382B0B149FC}"/>
    <cellStyle name="Calculation 2 8 2 2 2 3 2" xfId="38308" xr:uid="{3E6DB915-2F74-455C-914B-C92A80942FD6}"/>
    <cellStyle name="Calculation 2 8 2 2 2 3 3" xfId="46625" xr:uid="{B5ED2765-B2F5-447E-A61A-ED161A3624D6}"/>
    <cellStyle name="Calculation 2 8 2 2 2 4" xfId="15515" xr:uid="{3E19A83C-D838-4572-A8D0-D9A47103E6E2}"/>
    <cellStyle name="Calculation 2 8 2 2 2 4 2" xfId="52082" xr:uid="{A0678238-29AC-4DA7-AB0B-4DB64FA9D544}"/>
    <cellStyle name="Calculation 2 8 2 2 2 5" xfId="30345" xr:uid="{80C496BC-9206-4960-A90F-4E64D8AD6E59}"/>
    <cellStyle name="Calculation 2 8 2 2 3" xfId="5258" xr:uid="{00000000-0005-0000-0000-000074000000}"/>
    <cellStyle name="Calculation 2 8 2 2 3 2" xfId="12150" xr:uid="{62DC2E03-5033-4CE0-9807-C8C771C4586C}"/>
    <cellStyle name="Calculation 2 8 2 2 3 2 2" xfId="34635" xr:uid="{A4577DC4-1761-4D29-858E-9CB3DB9FBB71}"/>
    <cellStyle name="Calculation 2 8 2 2 3 2 3" xfId="27373" xr:uid="{840ED243-05AD-4C90-8AB1-5A93DC1829C5}"/>
    <cellStyle name="Calculation 2 8 2 2 3 3" xfId="17195" xr:uid="{2FB7303F-3FE9-457A-8436-9F69FC02205B}"/>
    <cellStyle name="Calculation 2 8 2 2 3 3 2" xfId="39585" xr:uid="{9D907D7F-AE6E-4B30-B340-876A7AE09E22}"/>
    <cellStyle name="Calculation 2 8 2 2 3 3 3" xfId="28954" xr:uid="{93067A42-847D-4F5F-B388-B1D8A6AA9F73}"/>
    <cellStyle name="Calculation 2 8 2 2 3 4" xfId="21619" xr:uid="{4A2AE073-07FC-42FF-AD75-48A30ED32262}"/>
    <cellStyle name="Calculation 2 8 2 2 3 4 2" xfId="49170" xr:uid="{DB7AFFCA-F281-4B6A-AD07-B19A0927DA03}"/>
    <cellStyle name="Calculation 2 8 2 2 3 5" xfId="48897" xr:uid="{B7481C70-288E-4060-AD04-C142033CE539}"/>
    <cellStyle name="Calculation 2 8 2 2 4" xfId="5670" xr:uid="{00000000-0005-0000-0000-000074000000}"/>
    <cellStyle name="Calculation 2 8 2 2 4 2" xfId="12554" xr:uid="{D1B6E130-4664-49D7-B0CD-FF4481F6BC2B}"/>
    <cellStyle name="Calculation 2 8 2 2 4 2 2" xfId="35039" xr:uid="{2F9FCA75-96D9-40C9-AFDC-22C22A9ADE19}"/>
    <cellStyle name="Calculation 2 8 2 2 4 2 3" xfId="41635" xr:uid="{F6974C4A-5B46-4A52-A138-A85EBFEC0999}"/>
    <cellStyle name="Calculation 2 8 2 2 4 3" xfId="17607" xr:uid="{AC4E3B08-7FCE-4E94-B824-AB50647DF3ED}"/>
    <cellStyle name="Calculation 2 8 2 2 4 3 2" xfId="39997" xr:uid="{B2F26CDD-C6A7-4C40-8CD1-F9680E3A04E8}"/>
    <cellStyle name="Calculation 2 8 2 2 4 3 3" xfId="28097" xr:uid="{C252329F-0B47-4190-B16B-C23E3080FCAB}"/>
    <cellStyle name="Calculation 2 8 2 2 4 4" xfId="22031" xr:uid="{3644E4D3-F7A0-4FAB-B3FA-86304DB70FE6}"/>
    <cellStyle name="Calculation 2 8 2 2 4 4 2" xfId="45973" xr:uid="{03C7E32E-034E-4A5C-A796-A0FE3D239563}"/>
    <cellStyle name="Calculation 2 8 2 2 4 5" xfId="48260" xr:uid="{8DD168B0-6AFB-4295-A224-A7E70A732CDF}"/>
    <cellStyle name="Calculation 2 8 2 2 5" xfId="5555" xr:uid="{00000000-0005-0000-0000-000074000000}"/>
    <cellStyle name="Calculation 2 8 2 2 5 2" xfId="12443" xr:uid="{C1021D5F-41A6-444A-B8D0-B804C89B3F76}"/>
    <cellStyle name="Calculation 2 8 2 2 5 2 2" xfId="34928" xr:uid="{82C0DA87-4981-4E13-B4B8-7FC3EC7AC621}"/>
    <cellStyle name="Calculation 2 8 2 2 5 2 3" xfId="29603" xr:uid="{883CBB07-EC91-486F-B0D2-BB8C85157BF9}"/>
    <cellStyle name="Calculation 2 8 2 2 5 3" xfId="17492" xr:uid="{CC4B7540-F39C-473E-8BE5-01CA623569B1}"/>
    <cellStyle name="Calculation 2 8 2 2 5 3 2" xfId="39882" xr:uid="{4F127C91-1F85-4425-BFD8-8F6D299D2F9B}"/>
    <cellStyle name="Calculation 2 8 2 2 5 3 3" xfId="24049" xr:uid="{C4BF1C23-E472-47AA-9DA2-5A8D8A9E4584}"/>
    <cellStyle name="Calculation 2 8 2 2 5 4" xfId="21916" xr:uid="{7203569A-14D2-4D80-8AC5-3B367A55DEAA}"/>
    <cellStyle name="Calculation 2 8 2 2 5 4 2" xfId="46151" xr:uid="{3B10AC75-1279-4582-A5A6-F3608C6673F1}"/>
    <cellStyle name="Calculation 2 8 2 2 5 5" xfId="25982" xr:uid="{3CC97F4A-679E-42D3-824B-1CDB66FC2184}"/>
    <cellStyle name="Calculation 2 8 2 2 6" xfId="6409" xr:uid="{00000000-0005-0000-0000-000074000000}"/>
    <cellStyle name="Calculation 2 8 2 2 6 2" xfId="13281" xr:uid="{493229DB-FDE0-42D3-9A2A-A9395EA3CF4B}"/>
    <cellStyle name="Calculation 2 8 2 2 6 2 2" xfId="35765" xr:uid="{92840141-D1A1-4F5B-8CAD-026AD6A52175}"/>
    <cellStyle name="Calculation 2 8 2 2 6 2 3" xfId="53451" xr:uid="{7620CE19-FFDA-4310-B7BF-407BEDC02013}"/>
    <cellStyle name="Calculation 2 8 2 2 6 3" xfId="18346" xr:uid="{FB815CFC-0C06-4142-B4D6-97B14BA8E35F}"/>
    <cellStyle name="Calculation 2 8 2 2 6 3 2" xfId="40736" xr:uid="{38A4F9A7-D346-414A-9CB5-27BB9617F6E7}"/>
    <cellStyle name="Calculation 2 8 2 2 6 3 3" xfId="27956" xr:uid="{7CDBD0EF-3425-464C-8DC1-8A333594D8C9}"/>
    <cellStyle name="Calculation 2 8 2 2 6 4" xfId="22770" xr:uid="{20083D34-9607-4D4B-BBBA-1C11E4E31F7C}"/>
    <cellStyle name="Calculation 2 8 2 2 6 4 2" xfId="46854" xr:uid="{292BAD8B-59BC-4F11-96B9-E45C17D7450C}"/>
    <cellStyle name="Calculation 2 8 2 2 6 5" xfId="52980" xr:uid="{738CE5E5-9A96-45D4-AE66-A1922B287408}"/>
    <cellStyle name="Calculation 2 8 2 2 7" xfId="5613" xr:uid="{00000000-0005-0000-0000-000074000000}"/>
    <cellStyle name="Calculation 2 8 2 2 7 2" xfId="12497" xr:uid="{BFA7451F-621B-42FC-B72F-3C36134BE735}"/>
    <cellStyle name="Calculation 2 8 2 2 7 2 2" xfId="34982" xr:uid="{8D95E7AD-C12F-4268-B847-27B5C21C6625}"/>
    <cellStyle name="Calculation 2 8 2 2 7 2 3" xfId="43467" xr:uid="{94769847-1FE8-4545-9700-C2F2A6C16C91}"/>
    <cellStyle name="Calculation 2 8 2 2 7 3" xfId="17550" xr:uid="{69EA8312-C7C2-434F-B71F-B638F3D70E0B}"/>
    <cellStyle name="Calculation 2 8 2 2 7 3 2" xfId="39940" xr:uid="{C0BF2475-7492-45DA-AF92-12C8C1F217D9}"/>
    <cellStyle name="Calculation 2 8 2 2 7 3 3" xfId="24787" xr:uid="{272D6DB5-8BE1-46C8-A90D-F3531FD4367D}"/>
    <cellStyle name="Calculation 2 8 2 2 7 4" xfId="21974" xr:uid="{3DD32A77-3172-4032-8668-F875298FAA64}"/>
    <cellStyle name="Calculation 2 8 2 2 7 4 2" xfId="49395" xr:uid="{72A1F7C0-4D1D-4B93-8380-19AE61669825}"/>
    <cellStyle name="Calculation 2 8 2 2 7 5" xfId="51635" xr:uid="{C9EB5DE4-BF6E-4EBD-8313-515302E94E42}"/>
    <cellStyle name="Calculation 2 8 2 2 8" xfId="6926" xr:uid="{00000000-0005-0000-0000-000074000000}"/>
    <cellStyle name="Calculation 2 8 2 2 8 2" xfId="13764" xr:uid="{57F490F0-39A8-48B9-9D18-12AD06D05297}"/>
    <cellStyle name="Calculation 2 8 2 2 8 2 2" xfId="36248" xr:uid="{94718CF9-BCE7-4D37-8851-D823DE5A6F6A}"/>
    <cellStyle name="Calculation 2 8 2 2 8 2 3" xfId="28731" xr:uid="{C0B0DA23-0215-4320-B32E-13B0467128F2}"/>
    <cellStyle name="Calculation 2 8 2 2 8 3" xfId="18863" xr:uid="{39CCE858-176C-46A2-9413-E2002E963890}"/>
    <cellStyle name="Calculation 2 8 2 2 8 3 2" xfId="41253" xr:uid="{F1931340-0122-4854-962A-92F60E0E562C}"/>
    <cellStyle name="Calculation 2 8 2 2 8 3 3" xfId="38554" xr:uid="{221ABD59-18CF-4EC9-BC9F-48E8C41D7EC2}"/>
    <cellStyle name="Calculation 2 8 2 2 8 4" xfId="23287" xr:uid="{D083F107-72EC-456F-AD47-2D67013B88DA}"/>
    <cellStyle name="Calculation 2 8 2 2 8 4 2" xfId="49412" xr:uid="{0C557FF2-3451-4FB8-AF79-FC9F9F0C3B72}"/>
    <cellStyle name="Calculation 2 8 2 2 8 5" xfId="38631" xr:uid="{59B4C32E-1C4D-4BD5-89B2-69EA0E1F75F2}"/>
    <cellStyle name="Calculation 2 8 2 2 9" xfId="6886" xr:uid="{00000000-0005-0000-0000-000074000000}"/>
    <cellStyle name="Calculation 2 8 2 2 9 2" xfId="18823" xr:uid="{ECE72F29-263A-4225-9157-17E1F3DBE0CC}"/>
    <cellStyle name="Calculation 2 8 2 2 9 2 2" xfId="41213" xr:uid="{96CE5A6C-829F-4879-A9F8-186A0E898A4E}"/>
    <cellStyle name="Calculation 2 8 2 2 9 2 3" xfId="42349" xr:uid="{B34A845E-22EE-4235-9AD3-33685E7B9F39}"/>
    <cellStyle name="Calculation 2 8 2 2 9 3" xfId="23247" xr:uid="{DBA982B3-40DE-488C-AF11-513C650A84ED}"/>
    <cellStyle name="Calculation 2 8 2 2 9 3 2" xfId="50845" xr:uid="{9D1D49C7-752B-473A-B389-B58CB55E9DD7}"/>
    <cellStyle name="Calculation 2 8 2 2 9 4" xfId="51180" xr:uid="{75EE81B1-2063-4E6E-94EA-DF24567C7E59}"/>
    <cellStyle name="Calculation 2 8 2 3" xfId="2755" xr:uid="{00000000-0005-0000-0000-000073000000}"/>
    <cellStyle name="Calculation 2 8 2 3 2" xfId="9664" xr:uid="{2635B351-B591-44B5-BA68-6FFB81CBE430}"/>
    <cellStyle name="Calculation 2 8 2 3 2 2" xfId="32212" xr:uid="{64E92A00-F44B-43DA-844F-C6FDA811BCA7}"/>
    <cellStyle name="Calculation 2 8 2 3 2 3" xfId="47079" xr:uid="{1BE953C6-BD34-4CDC-9C39-7A3CE31B9884}"/>
    <cellStyle name="Calculation 2 8 2 3 3" xfId="15182" xr:uid="{79FAE6BF-905A-4E2E-8E86-B88F2F149A18}"/>
    <cellStyle name="Calculation 2 8 2 3 3 2" xfId="37622" xr:uid="{D96C0721-F10D-42EF-864A-D190F1E7A2CC}"/>
    <cellStyle name="Calculation 2 8 2 3 3 3" xfId="49045" xr:uid="{31E65F26-FDB3-4EEA-8940-5246CD749521}"/>
    <cellStyle name="Calculation 2 8 2 3 4" xfId="15401" xr:uid="{A0FADBE3-7FF4-4B44-80EB-4A6DEE355982}"/>
    <cellStyle name="Calculation 2 8 2 3 4 2" xfId="52177" xr:uid="{37481EC3-5D7F-4448-887F-ABB56F15B8C7}"/>
    <cellStyle name="Calculation 2 8 2 3 5" xfId="53443" xr:uid="{9669DA47-BE12-4B33-97B8-EB9DBB890115}"/>
    <cellStyle name="Calculation 2 8 2 4" xfId="4549" xr:uid="{00000000-0005-0000-0000-000073000000}"/>
    <cellStyle name="Calculation 2 8 2 4 2" xfId="11451" xr:uid="{E2BE93D1-8BAB-47FF-AAE7-BF0563F2D09E}"/>
    <cellStyle name="Calculation 2 8 2 4 2 2" xfId="33937" xr:uid="{62E5167C-E27A-4C75-869B-1DBD9D79729E}"/>
    <cellStyle name="Calculation 2 8 2 4 2 3" xfId="28026" xr:uid="{EDF8705C-BEEB-4B13-B41E-62B8655DAB71}"/>
    <cellStyle name="Calculation 2 8 2 4 3" xfId="16486" xr:uid="{794DAE3B-9029-442D-97BE-9E7D3A6FD1EF}"/>
    <cellStyle name="Calculation 2 8 2 4 3 2" xfId="38876" xr:uid="{14C6A21A-B941-426E-B9B3-24E34D1FDB2B}"/>
    <cellStyle name="Calculation 2 8 2 4 3 3" xfId="27629" xr:uid="{D5ADF7F6-B785-4C95-A749-96E4A9D63AF1}"/>
    <cellStyle name="Calculation 2 8 2 4 4" xfId="14228" xr:uid="{41956F72-4D53-4B55-8848-98FF424FCB64}"/>
    <cellStyle name="Calculation 2 8 2 4 4 2" xfId="49364" xr:uid="{12360463-B6EF-4DE7-8207-4454C1723626}"/>
    <cellStyle name="Calculation 2 8 2 4 5" xfId="48036" xr:uid="{B18A580E-5826-42FF-9730-DD2A80A59145}"/>
    <cellStyle name="Calculation 2 8 2 5" xfId="4563" xr:uid="{00000000-0005-0000-0000-000073000000}"/>
    <cellStyle name="Calculation 2 8 2 5 2" xfId="11465" xr:uid="{F4C2C36B-A895-4671-B5D5-36A81E42E746}"/>
    <cellStyle name="Calculation 2 8 2 5 2 2" xfId="33951" xr:uid="{E467738D-80DD-4B8F-BA78-9447132C6202}"/>
    <cellStyle name="Calculation 2 8 2 5 2 3" xfId="24448" xr:uid="{41666CD2-4BA9-4805-9179-87EA17EE6C77}"/>
    <cellStyle name="Calculation 2 8 2 5 3" xfId="16500" xr:uid="{4B6BA8D6-0312-43E7-A8BB-3653D7193BFC}"/>
    <cellStyle name="Calculation 2 8 2 5 3 2" xfId="38890" xr:uid="{D6E752A3-5428-458B-86A7-ADA062F0DCE7}"/>
    <cellStyle name="Calculation 2 8 2 5 3 3" xfId="29900" xr:uid="{D4178198-3027-4BFC-A24C-C1277106C5F9}"/>
    <cellStyle name="Calculation 2 8 2 5 4" xfId="15625" xr:uid="{3C009291-AB58-4F2B-A988-FAA368135101}"/>
    <cellStyle name="Calculation 2 8 2 5 4 2" xfId="25149" xr:uid="{ECDEF021-6FCE-49A4-A4C1-8963DB52A8EA}"/>
    <cellStyle name="Calculation 2 8 2 5 5" xfId="50390" xr:uid="{DC2871FC-CEFD-4498-9491-82AFE1F31922}"/>
    <cellStyle name="Calculation 2 8 2 6" xfId="4352" xr:uid="{00000000-0005-0000-0000-000073000000}"/>
    <cellStyle name="Calculation 2 8 2 6 2" xfId="11255" xr:uid="{E4615F36-D703-496B-9636-BDC9DAFB807E}"/>
    <cellStyle name="Calculation 2 8 2 6 2 2" xfId="33741" xr:uid="{0129A6F0-3151-425B-8E55-DEA4748FD425}"/>
    <cellStyle name="Calculation 2 8 2 6 2 3" xfId="43544" xr:uid="{5302E098-875D-4958-A770-E9127C49DBCE}"/>
    <cellStyle name="Calculation 2 8 2 6 3" xfId="16289" xr:uid="{60ED6573-40D5-4049-8201-980D68E7A6D3}"/>
    <cellStyle name="Calculation 2 8 2 6 3 2" xfId="38679" xr:uid="{6421C5ED-2CB5-4D1E-9032-15DE468D15BF}"/>
    <cellStyle name="Calculation 2 8 2 6 3 3" xfId="45608" xr:uid="{38F3CE6E-0E5A-4947-890D-044D416B3C18}"/>
    <cellStyle name="Calculation 2 8 2 6 4" xfId="14321" xr:uid="{6B7BAF8C-2607-4521-8C21-5B33A4259BD7}"/>
    <cellStyle name="Calculation 2 8 2 6 4 2" xfId="49653" xr:uid="{4A448172-49E1-429D-A51E-E1CF14059E3C}"/>
    <cellStyle name="Calculation 2 8 2 6 5" xfId="46108" xr:uid="{D9B3B48C-7033-4D64-8E75-A816FC2A146E}"/>
    <cellStyle name="Calculation 2 8 2 7" xfId="6854" xr:uid="{00000000-0005-0000-0000-000073000000}"/>
    <cellStyle name="Calculation 2 8 2 7 2" xfId="13696" xr:uid="{D42DD299-1022-4B71-A53E-C00C8FF9AAD3}"/>
    <cellStyle name="Calculation 2 8 2 7 2 2" xfId="36180" xr:uid="{0C740477-7FAE-4BF2-B735-322692E6CA0D}"/>
    <cellStyle name="Calculation 2 8 2 7 2 3" xfId="47107" xr:uid="{EC57497F-C3DF-4A64-83EF-F34C35124E0D}"/>
    <cellStyle name="Calculation 2 8 2 7 3" xfId="18791" xr:uid="{63213A17-2274-4BF9-A0F1-F808CC159301}"/>
    <cellStyle name="Calculation 2 8 2 7 3 2" xfId="41181" xr:uid="{02BA3EBD-27F3-41EE-AB84-39806CC8E85F}"/>
    <cellStyle name="Calculation 2 8 2 7 3 3" xfId="44354" xr:uid="{5C606613-6A9A-4F1D-9DA8-04BE40517DC9}"/>
    <cellStyle name="Calculation 2 8 2 7 4" xfId="23215" xr:uid="{04FF9FD8-3422-40F2-8F58-E7913BBCFE4B}"/>
    <cellStyle name="Calculation 2 8 2 7 4 2" xfId="52606" xr:uid="{6DFC95D9-49BB-4E26-980A-AD9E9FA53D83}"/>
    <cellStyle name="Calculation 2 8 2 7 5" xfId="28021" xr:uid="{A07F3112-B66A-47DB-A994-42865A98E6D3}"/>
    <cellStyle name="Calculation 2 8 2 8" xfId="7743" xr:uid="{0D1C44F1-5858-4031-B780-42193D1E2142}"/>
    <cellStyle name="Calculation 2 8 2 8 2" xfId="30392" xr:uid="{1CE87D09-96BD-4B86-878E-88BF1E1786ED}"/>
    <cellStyle name="Calculation 2 8 2 8 3" xfId="50924" xr:uid="{EC5356EE-42FE-4883-9874-BC38EB96346E}"/>
    <cellStyle name="Calculation 2 8 2 9" xfId="20696" xr:uid="{0E3186FC-478A-44E7-A19E-452B5E9A972C}"/>
    <cellStyle name="Calculation 2 8 2 9 2" xfId="42968" xr:uid="{C66108CB-775B-43B7-BC3D-74B381CB027D}"/>
    <cellStyle name="Calculation 2 8 2 9 3" xfId="47438" xr:uid="{68980CCC-491E-42BD-92EE-57C5BB4DD3D3}"/>
    <cellStyle name="Calculation 2 8 3" xfId="857" xr:uid="{00000000-0005-0000-0000-000075000000}"/>
    <cellStyle name="Calculation 2 8 3 10" xfId="19222" xr:uid="{E222925C-E4B8-4F29-8397-FF697B4E73B2}"/>
    <cellStyle name="Calculation 2 8 3 10 2" xfId="32460" xr:uid="{033874B4-017B-4D7F-BF6E-BD6C39D30B02}"/>
    <cellStyle name="Calculation 2 8 3 11" xfId="50391" xr:uid="{4E457B0C-6607-4AF5-9969-939DD94B922A}"/>
    <cellStyle name="Calculation 2 8 3 2" xfId="1842" xr:uid="{00000000-0005-0000-0000-000076000000}"/>
    <cellStyle name="Calculation 2 8 3 2 10" xfId="14526" xr:uid="{BCC0232C-D7F5-4596-9BD2-BA1BF3495249}"/>
    <cellStyle name="Calculation 2 8 3 2 10 2" xfId="36987" xr:uid="{A2B8E0AF-0AF4-4BCD-9190-93196E415D1C}"/>
    <cellStyle name="Calculation 2 8 3 2 10 3" xfId="46791" xr:uid="{C9926B54-8D52-494A-A63C-902ACA295018}"/>
    <cellStyle name="Calculation 2 8 3 2 11" xfId="20459" xr:uid="{E14535C8-01F2-4197-ABE3-4D6B36C46A47}"/>
    <cellStyle name="Calculation 2 8 3 2 11 2" xfId="42748" xr:uid="{AEA2BDBB-89B0-43DE-AC24-8DEF71B384F3}"/>
    <cellStyle name="Calculation 2 8 3 2 11 3" xfId="50722" xr:uid="{4540375B-1FCB-4B35-8391-18CC13C0AB5F}"/>
    <cellStyle name="Calculation 2 8 3 2 12" xfId="20977" xr:uid="{92142AE4-491C-401C-B642-B21213D8B1C8}"/>
    <cellStyle name="Calculation 2 8 3 2 12 2" xfId="48465" xr:uid="{1A7B00A6-CE88-4BC3-AA15-74CE2B84A6CD}"/>
    <cellStyle name="Calculation 2 8 3 2 13" xfId="45779" xr:uid="{B7464F9C-4D5F-4ECF-BA96-687CE8E2748C}"/>
    <cellStyle name="Calculation 2 8 3 2 2" xfId="3940" xr:uid="{00000000-0005-0000-0000-000076000000}"/>
    <cellStyle name="Calculation 2 8 3 2 2 2" xfId="10844" xr:uid="{F898B868-3007-4805-8876-9D06DEA76703}"/>
    <cellStyle name="Calculation 2 8 3 2 2 2 2" xfId="33330" xr:uid="{35164B16-6063-4520-89C2-BB283C30CEA8}"/>
    <cellStyle name="Calculation 2 8 3 2 2 2 3" xfId="43568" xr:uid="{0010A093-D53F-490E-86D0-578CD1F1111E}"/>
    <cellStyle name="Calculation 2 8 3 2 2 3" xfId="15982" xr:uid="{660267C5-556C-45EB-A8D6-69813A93E93C}"/>
    <cellStyle name="Calculation 2 8 3 2 2 3 2" xfId="38385" xr:uid="{82E8C284-F19C-4893-ACE4-43A600A6C2E4}"/>
    <cellStyle name="Calculation 2 8 3 2 2 3 3" xfId="29556" xr:uid="{6B2CB96B-4C39-41F8-8536-B0303D1E45B1}"/>
    <cellStyle name="Calculation 2 8 3 2 2 4" xfId="20347" xr:uid="{F4B84DE8-B691-41A2-B387-AEC4C934B0E2}"/>
    <cellStyle name="Calculation 2 8 3 2 2 4 2" xfId="25636" xr:uid="{FEA32848-B1FC-46B4-87DC-465BCC782626}"/>
    <cellStyle name="Calculation 2 8 3 2 2 5" xfId="51977" xr:uid="{372AEBBF-5ECC-4CDD-BA1E-B1CC911BE4AE}"/>
    <cellStyle name="Calculation 2 8 3 2 3" xfId="5335" xr:uid="{00000000-0005-0000-0000-000076000000}"/>
    <cellStyle name="Calculation 2 8 3 2 3 2" xfId="12227" xr:uid="{CB13E03B-574C-4C69-9D14-0769AC8B320D}"/>
    <cellStyle name="Calculation 2 8 3 2 3 2 2" xfId="34712" xr:uid="{49805A13-6EEC-41DD-B241-20A425ABE047}"/>
    <cellStyle name="Calculation 2 8 3 2 3 2 3" xfId="29298" xr:uid="{7CB7CBA4-54F4-45D8-82EA-6991534FF961}"/>
    <cellStyle name="Calculation 2 8 3 2 3 3" xfId="17272" xr:uid="{32164C5C-EB81-4C4A-909F-0699F01338F2}"/>
    <cellStyle name="Calculation 2 8 3 2 3 3 2" xfId="39662" xr:uid="{F42D2C41-4CC5-41CD-9956-66E2318AB377}"/>
    <cellStyle name="Calculation 2 8 3 2 3 3 3" xfId="30462" xr:uid="{B2515720-1EE2-460F-81D5-B2DC65EACA5E}"/>
    <cellStyle name="Calculation 2 8 3 2 3 4" xfId="21696" xr:uid="{D1F840E8-4EA7-4B34-81C7-79938985FB33}"/>
    <cellStyle name="Calculation 2 8 3 2 3 4 2" xfId="50869" xr:uid="{E788E90C-832F-40AE-9DB9-6BA7D540B4F1}"/>
    <cellStyle name="Calculation 2 8 3 2 3 5" xfId="51741" xr:uid="{20FEF4E7-2B31-45EF-ADD7-94135D12D080}"/>
    <cellStyle name="Calculation 2 8 3 2 4" xfId="5745" xr:uid="{00000000-0005-0000-0000-000076000000}"/>
    <cellStyle name="Calculation 2 8 3 2 4 2" xfId="12629" xr:uid="{F0B8C6E2-4A7E-4954-A8F6-8D8A01B4C1B4}"/>
    <cellStyle name="Calculation 2 8 3 2 4 2 2" xfId="35114" xr:uid="{3130ABD1-009A-4DBD-BE4C-48C34785B558}"/>
    <cellStyle name="Calculation 2 8 3 2 4 2 3" xfId="41829" xr:uid="{BB91BD55-7C07-4455-AB7A-4A78169DA6F0}"/>
    <cellStyle name="Calculation 2 8 3 2 4 3" xfId="17682" xr:uid="{10477725-1F8B-4A21-A164-2AA8E6EF2E91}"/>
    <cellStyle name="Calculation 2 8 3 2 4 3 2" xfId="40072" xr:uid="{5C6F99EC-5784-4D54-AD81-3A6B8B9ACC52}"/>
    <cellStyle name="Calculation 2 8 3 2 4 3 3" xfId="28398" xr:uid="{89C01298-2630-4D80-B0EB-4A39F6479DF2}"/>
    <cellStyle name="Calculation 2 8 3 2 4 4" xfId="22106" xr:uid="{F7851A6A-3ED8-4FF0-81A9-469EB3BB8348}"/>
    <cellStyle name="Calculation 2 8 3 2 4 4 2" xfId="48755" xr:uid="{872224C9-796B-4715-8861-2E6A8F4CAB89}"/>
    <cellStyle name="Calculation 2 8 3 2 4 5" xfId="28156" xr:uid="{C12E0EFC-DF80-4C5E-8B8F-6223F0F22002}"/>
    <cellStyle name="Calculation 2 8 3 2 5" xfId="6099" xr:uid="{00000000-0005-0000-0000-000076000000}"/>
    <cellStyle name="Calculation 2 8 3 2 5 2" xfId="12977" xr:uid="{9A7F0C81-3650-4E97-804F-5F0CC4A7C4DF}"/>
    <cellStyle name="Calculation 2 8 3 2 5 2 2" xfId="35461" xr:uid="{BA2CEE91-2F70-4FC7-B0D7-AD0DDC2D52BB}"/>
    <cellStyle name="Calculation 2 8 3 2 5 2 3" xfId="32819" xr:uid="{43E1FEC1-5F84-4EB2-B9D5-DC3FB1282B9E}"/>
    <cellStyle name="Calculation 2 8 3 2 5 3" xfId="18036" xr:uid="{D3723A0A-D3B9-4F28-BA23-67E6875DAA80}"/>
    <cellStyle name="Calculation 2 8 3 2 5 3 2" xfId="40426" xr:uid="{C7050416-0091-497B-A939-34FB1A57A858}"/>
    <cellStyle name="Calculation 2 8 3 2 5 3 3" xfId="43991" xr:uid="{FD4E8A44-E9DF-4F88-BDDA-BC41C59BA0CF}"/>
    <cellStyle name="Calculation 2 8 3 2 5 4" xfId="22460" xr:uid="{BF8F6766-DC5F-4661-A60C-2D10B69CA00D}"/>
    <cellStyle name="Calculation 2 8 3 2 5 4 2" xfId="53753" xr:uid="{B08450A3-59A2-425B-8809-D2A5EEA8B162}"/>
    <cellStyle name="Calculation 2 8 3 2 5 5" xfId="47665" xr:uid="{21399A0A-8897-46A0-9B46-D46B61AAAB2E}"/>
    <cellStyle name="Calculation 2 8 3 2 6" xfId="6474" xr:uid="{00000000-0005-0000-0000-000076000000}"/>
    <cellStyle name="Calculation 2 8 3 2 6 2" xfId="13344" xr:uid="{DCCD9E61-C7EF-4892-BFCB-0B3B0860E1C1}"/>
    <cellStyle name="Calculation 2 8 3 2 6 2 2" xfId="35828" xr:uid="{69EFF17E-2F24-436B-874F-7F6D42B0C790}"/>
    <cellStyle name="Calculation 2 8 3 2 6 2 3" xfId="53176" xr:uid="{0360EC5A-E413-45CC-BF21-9A7DE21AC1E3}"/>
    <cellStyle name="Calculation 2 8 3 2 6 3" xfId="18411" xr:uid="{FB1F9E66-0172-431D-9BBD-94003B4DD739}"/>
    <cellStyle name="Calculation 2 8 3 2 6 3 2" xfId="40801" xr:uid="{2C419925-13FC-46A4-BAA1-5455F14E95EA}"/>
    <cellStyle name="Calculation 2 8 3 2 6 3 3" xfId="23896" xr:uid="{A912CC6B-001D-494A-93FE-E9353F743667}"/>
    <cellStyle name="Calculation 2 8 3 2 6 4" xfId="22835" xr:uid="{C8FE82E5-BD53-4D22-B95E-37C6EAC0F72D}"/>
    <cellStyle name="Calculation 2 8 3 2 6 4 2" xfId="47414" xr:uid="{E55ECEA1-EFCB-4E9C-9802-78EABB30FFDD}"/>
    <cellStyle name="Calculation 2 8 3 2 6 5" xfId="47162" xr:uid="{C91AC8FF-57E5-4E45-B711-FBB89DECE777}"/>
    <cellStyle name="Calculation 2 8 3 2 7" xfId="5686" xr:uid="{00000000-0005-0000-0000-000076000000}"/>
    <cellStyle name="Calculation 2 8 3 2 7 2" xfId="12570" xr:uid="{E8306FC7-7E99-4C4F-9738-5373E9621622}"/>
    <cellStyle name="Calculation 2 8 3 2 7 2 2" xfId="35055" xr:uid="{B922F796-F1A9-4B82-BC62-5D3470C35E6A}"/>
    <cellStyle name="Calculation 2 8 3 2 7 2 3" xfId="29831" xr:uid="{9A4E9033-9C64-45B9-BF2D-9D31B2D32716}"/>
    <cellStyle name="Calculation 2 8 3 2 7 3" xfId="17623" xr:uid="{38BE966B-59A8-4966-8F6A-115CF7A2E630}"/>
    <cellStyle name="Calculation 2 8 3 2 7 3 2" xfId="40013" xr:uid="{78AA7B6D-568B-492B-8A5B-D6AE7C94A22B}"/>
    <cellStyle name="Calculation 2 8 3 2 7 3 3" xfId="41994" xr:uid="{175881B2-3FDC-42D9-A4F3-9EAA122754CD}"/>
    <cellStyle name="Calculation 2 8 3 2 7 4" xfId="22047" xr:uid="{6D1E0D98-D489-4437-B595-4F55189567F5}"/>
    <cellStyle name="Calculation 2 8 3 2 7 4 2" xfId="46592" xr:uid="{C155A83A-B6FA-4A56-963A-EE8FF49DAD9E}"/>
    <cellStyle name="Calculation 2 8 3 2 7 5" xfId="50237" xr:uid="{028309F8-66D0-42DA-9182-05F4149357A5}"/>
    <cellStyle name="Calculation 2 8 3 2 8" xfId="6974" xr:uid="{00000000-0005-0000-0000-000076000000}"/>
    <cellStyle name="Calculation 2 8 3 2 8 2" xfId="13811" xr:uid="{37BEE46B-118C-4B6B-AD76-186298310364}"/>
    <cellStyle name="Calculation 2 8 3 2 8 2 2" xfId="36295" xr:uid="{1988FB0A-8C40-4117-B3F4-5631D1F9112D}"/>
    <cellStyle name="Calculation 2 8 3 2 8 2 3" xfId="41732" xr:uid="{0E99F829-2589-49D3-A3DA-F0FFA49658C2}"/>
    <cellStyle name="Calculation 2 8 3 2 8 3" xfId="18911" xr:uid="{387126B9-C1E4-481F-815D-ADFDC2AD0F45}"/>
    <cellStyle name="Calculation 2 8 3 2 8 3 2" xfId="41301" xr:uid="{55C82035-8B2A-4FB3-B538-577FB46F12D3}"/>
    <cellStyle name="Calculation 2 8 3 2 8 3 3" xfId="44462" xr:uid="{86422CD8-DDEC-44AF-9B1A-0B9292A756C4}"/>
    <cellStyle name="Calculation 2 8 3 2 8 4" xfId="23335" xr:uid="{BE7916F6-7431-4F9C-BA4B-E5FC162C78C9}"/>
    <cellStyle name="Calculation 2 8 3 2 8 4 2" xfId="29819" xr:uid="{3467BBBA-6920-46EE-91EA-3E16A2014161}"/>
    <cellStyle name="Calculation 2 8 3 2 8 5" xfId="29175" xr:uid="{984010B3-2D7C-4517-B900-A252CEB486B1}"/>
    <cellStyle name="Calculation 2 8 3 2 9" xfId="6059" xr:uid="{00000000-0005-0000-0000-000076000000}"/>
    <cellStyle name="Calculation 2 8 3 2 9 2" xfId="17996" xr:uid="{C6DD9C54-81B9-4C48-A1C9-5461655FC40D}"/>
    <cellStyle name="Calculation 2 8 3 2 9 2 2" xfId="40386" xr:uid="{FEF03593-C881-44C8-98D5-D5F7F7EE4B18}"/>
    <cellStyle name="Calculation 2 8 3 2 9 2 3" xfId="45451" xr:uid="{A4F0C0C0-2C0B-493E-911B-D2B8844E5D0A}"/>
    <cellStyle name="Calculation 2 8 3 2 9 3" xfId="22420" xr:uid="{80308E9E-BBD2-4100-AF3F-AA7EFB6632B6}"/>
    <cellStyle name="Calculation 2 8 3 2 9 3 2" xfId="49811" xr:uid="{5E7DA9F6-69C7-4CBC-B684-8B89244C2635}"/>
    <cellStyle name="Calculation 2 8 3 2 9 4" xfId="52322" xr:uid="{122AFC57-9C43-4D64-AEB0-D5EA8888EE37}"/>
    <cellStyle name="Calculation 2 8 3 3" xfId="2988" xr:uid="{00000000-0005-0000-0000-000075000000}"/>
    <cellStyle name="Calculation 2 8 3 3 2" xfId="9897" xr:uid="{4110D228-CED6-4E2D-89BF-4F8934162EBC}"/>
    <cellStyle name="Calculation 2 8 3 3 2 2" xfId="32420" xr:uid="{3FFA10B7-02C3-4199-9D9F-0619AE804944}"/>
    <cellStyle name="Calculation 2 8 3 3 2 3" xfId="26035" xr:uid="{27C86A89-4F80-4331-BE48-FFA12BA498B5}"/>
    <cellStyle name="Calculation 2 8 3 3 3" xfId="15335" xr:uid="{2F2ACEB6-1DF4-4F69-83AD-0343548CC5E6}"/>
    <cellStyle name="Calculation 2 8 3 3 3 2" xfId="37767" xr:uid="{C8819C31-248F-41A9-91E0-06EA25AA19B3}"/>
    <cellStyle name="Calculation 2 8 3 3 3 3" xfId="50122" xr:uid="{247635C8-ED45-4848-A1C1-AFC36EEC4563}"/>
    <cellStyle name="Calculation 2 8 3 3 4" xfId="14039" xr:uid="{2CEA8074-076D-4D15-9A46-8D1812595EA1}"/>
    <cellStyle name="Calculation 2 8 3 3 4 2" xfId="32649" xr:uid="{98D0B75B-7EB1-4425-96AC-AA266FC2E221}"/>
    <cellStyle name="Calculation 2 8 3 3 5" xfId="48995" xr:uid="{2812F0B7-66B6-436D-B666-997EAC2FE4C7}"/>
    <cellStyle name="Calculation 2 8 3 4" xfId="4701" xr:uid="{00000000-0005-0000-0000-000075000000}"/>
    <cellStyle name="Calculation 2 8 3 4 2" xfId="11599" xr:uid="{2A5B34EC-9315-4C3B-9856-3FA260C15719}"/>
    <cellStyle name="Calculation 2 8 3 4 2 2" xfId="34085" xr:uid="{E6BAD061-8750-44B1-B32E-EB7B0B9F3504}"/>
    <cellStyle name="Calculation 2 8 3 4 2 3" xfId="37780" xr:uid="{9486220C-4511-4B63-94F7-CA5AD683EA76}"/>
    <cellStyle name="Calculation 2 8 3 4 3" xfId="16638" xr:uid="{32D2DD7E-13F0-4311-8705-2987B3E2794F}"/>
    <cellStyle name="Calculation 2 8 3 4 3 2" xfId="39028" xr:uid="{46449948-85CA-45D9-B926-86244235D6CC}"/>
    <cellStyle name="Calculation 2 8 3 4 3 3" xfId="44128" xr:uid="{8D89E8C2-F711-4A7F-9200-017AB83DA80E}"/>
    <cellStyle name="Calculation 2 8 3 4 4" xfId="14487" xr:uid="{932C862C-84D7-4127-872B-BD6288F6F867}"/>
    <cellStyle name="Calculation 2 8 3 4 4 2" xfId="46159" xr:uid="{31A481AD-EF58-4D4E-B6FD-F59466A1146C}"/>
    <cellStyle name="Calculation 2 8 3 4 5" xfId="48768" xr:uid="{B18E461B-511A-40F1-AE14-2CCAFAF896A5}"/>
    <cellStyle name="Calculation 2 8 3 5" xfId="2422" xr:uid="{00000000-0005-0000-0000-000075000000}"/>
    <cellStyle name="Calculation 2 8 3 5 2" xfId="9331" xr:uid="{E5B76821-DB1A-4A6A-AC5A-206848D7D1C0}"/>
    <cellStyle name="Calculation 2 8 3 5 2 2" xfId="31900" xr:uid="{E3C23D86-3382-41C9-AD60-FF9C8237D59B}"/>
    <cellStyle name="Calculation 2 8 3 5 2 3" xfId="27651" xr:uid="{F13DF50B-B6CB-40F7-9C26-2B81BFC4D2D5}"/>
    <cellStyle name="Calculation 2 8 3 5 3" xfId="14963" xr:uid="{D4C3E1B0-890C-40FC-B371-13A61E8030E2}"/>
    <cellStyle name="Calculation 2 8 3 5 3 2" xfId="37414" xr:uid="{F529C43F-D12C-41D7-84DC-0583BDB31C5F}"/>
    <cellStyle name="Calculation 2 8 3 5 3 3" xfId="47174" xr:uid="{7969C2FD-142A-4414-8716-896C44BBD75B}"/>
    <cellStyle name="Calculation 2 8 3 5 4" xfId="20028" xr:uid="{C0BC728C-2482-4E71-B6F9-920BBEADC307}"/>
    <cellStyle name="Calculation 2 8 3 5 4 2" xfId="38331" xr:uid="{F1DC6B5C-BDA4-4564-A567-463CC4F318B6}"/>
    <cellStyle name="Calculation 2 8 3 5 5" xfId="31906" xr:uid="{20FA4960-D252-493D-B7A8-09716A2984D9}"/>
    <cellStyle name="Calculation 2 8 3 6" xfId="3129" xr:uid="{00000000-0005-0000-0000-000075000000}"/>
    <cellStyle name="Calculation 2 8 3 6 2" xfId="10038" xr:uid="{A79DF985-3576-48CB-99EF-21742A9C411B}"/>
    <cellStyle name="Calculation 2 8 3 6 2 2" xfId="32546" xr:uid="{E94C0D1F-A12A-40CE-A4B0-32CE3C18CF7F}"/>
    <cellStyle name="Calculation 2 8 3 6 2 3" xfId="26266" xr:uid="{741861C3-85A8-4491-90D1-417E6817BC4C}"/>
    <cellStyle name="Calculation 2 8 3 6 3" xfId="15416" xr:uid="{E665D29D-C609-4380-BA4B-D73A8AEE341D}"/>
    <cellStyle name="Calculation 2 8 3 6 3 2" xfId="37842" xr:uid="{06F2F6E1-31D9-4C39-89DA-BDCC60390979}"/>
    <cellStyle name="Calculation 2 8 3 6 3 3" xfId="53679" xr:uid="{2F7F60A8-D02D-43CA-B399-1341322421A9}"/>
    <cellStyle name="Calculation 2 8 3 6 4" xfId="14919" xr:uid="{DB9D969D-A21D-4056-99F3-78EAC2EBCF49}"/>
    <cellStyle name="Calculation 2 8 3 6 4 2" xfId="44141" xr:uid="{1BE06DCC-2605-4610-AAEF-667E90F99601}"/>
    <cellStyle name="Calculation 2 8 3 6 5" xfId="51774" xr:uid="{E19229A8-4390-479D-A3CD-D2D4825C70E1}"/>
    <cellStyle name="Calculation 2 8 3 7" xfId="4937" xr:uid="{00000000-0005-0000-0000-000075000000}"/>
    <cellStyle name="Calculation 2 8 3 7 2" xfId="11832" xr:uid="{429ADA8C-72A3-43F5-B2CF-6BAC39356898}"/>
    <cellStyle name="Calculation 2 8 3 7 2 2" xfId="34318" xr:uid="{455346D4-763D-436C-894E-5A9B3841C39E}"/>
    <cellStyle name="Calculation 2 8 3 7 2 3" xfId="24271" xr:uid="{5417AA66-D7D1-4C22-A8F6-ABF18B56A845}"/>
    <cellStyle name="Calculation 2 8 3 7 3" xfId="16874" xr:uid="{4ADB9DC2-B633-4F49-BA1E-91CC6DD9EE1D}"/>
    <cellStyle name="Calculation 2 8 3 7 3 2" xfId="39264" xr:uid="{C887BE48-AF44-4E08-8293-53A45ECB07D1}"/>
    <cellStyle name="Calculation 2 8 3 7 3 3" xfId="45228" xr:uid="{72708F56-0BBB-4468-B1F1-34391755327B}"/>
    <cellStyle name="Calculation 2 8 3 7 4" xfId="21298" xr:uid="{04F37C25-B33A-4E63-B0DB-5F34DB2D9991}"/>
    <cellStyle name="Calculation 2 8 3 7 4 2" xfId="46529" xr:uid="{EE5D9AE7-BB9F-4AB6-A408-D3809682DA2F}"/>
    <cellStyle name="Calculation 2 8 3 7 5" xfId="48511" xr:uid="{4F44AACB-C0C2-48E6-AB13-68C85D929724}"/>
    <cellStyle name="Calculation 2 8 3 8" xfId="7311" xr:uid="{01CA25EA-BABE-491B-8FD6-CD05ED878996}"/>
    <cellStyle name="Calculation 2 8 3 8 2" xfId="29999" xr:uid="{A6005295-492A-49F7-ACAA-751122055A10}"/>
    <cellStyle name="Calculation 2 8 3 8 3" xfId="50633" xr:uid="{C2E07B9E-D719-45F6-84C9-B149AC471A5F}"/>
    <cellStyle name="Calculation 2 8 3 9" xfId="15705" xr:uid="{06BD4882-3D01-486C-8392-DC3A2714A46B}"/>
    <cellStyle name="Calculation 2 8 3 9 2" xfId="38118" xr:uid="{89A9826B-28B6-4074-9411-629062024CD1}"/>
    <cellStyle name="Calculation 2 8 3 9 3" xfId="47740" xr:uid="{B0B9433F-F217-40F2-B789-7FE664896308}"/>
    <cellStyle name="Calculation 2 8 4" xfId="1044" xr:uid="{00000000-0005-0000-0000-000077000000}"/>
    <cellStyle name="Calculation 2 8 4 10" xfId="20127" xr:uid="{2A38ABFC-4F51-4880-AC2F-8AB0B4435285}"/>
    <cellStyle name="Calculation 2 8 4 10 2" xfId="28290" xr:uid="{F059D078-8386-458D-B00A-9234465330FF}"/>
    <cellStyle name="Calculation 2 8 4 11" xfId="50009" xr:uid="{900BB120-5CE0-4A5C-BF2F-F8530B834F2D}"/>
    <cellStyle name="Calculation 2 8 4 2" xfId="1934" xr:uid="{00000000-0005-0000-0000-000078000000}"/>
    <cellStyle name="Calculation 2 8 4 2 10" xfId="14604" xr:uid="{877FC729-1158-466E-89CB-9765F9FEF73C}"/>
    <cellStyle name="Calculation 2 8 4 2 10 2" xfId="37065" xr:uid="{C4DC81EF-D12D-4187-BB40-F6578576D711}"/>
    <cellStyle name="Calculation 2 8 4 2 10 3" xfId="48314" xr:uid="{AD78D67C-BE1F-411B-A59D-253AEA747657}"/>
    <cellStyle name="Calculation 2 8 4 2 11" xfId="21249" xr:uid="{AD871391-D7C4-4815-80D4-E9EE9538B674}"/>
    <cellStyle name="Calculation 2 8 4 2 11 2" xfId="43484" xr:uid="{449C702A-5856-46A6-898D-212BAE02577E}"/>
    <cellStyle name="Calculation 2 8 4 2 11 3" xfId="51561" xr:uid="{0A1EB679-74D6-4F9E-8EC9-F2194EA6B35C}"/>
    <cellStyle name="Calculation 2 8 4 2 12" xfId="19450" xr:uid="{AB9999D1-FEBA-4E0F-92D1-AE2972C71993}"/>
    <cellStyle name="Calculation 2 8 4 2 12 2" xfId="28461" xr:uid="{2EDF3120-82F6-4BE6-A717-7EE7212CEBAB}"/>
    <cellStyle name="Calculation 2 8 4 2 13" xfId="52662" xr:uid="{74AC973A-F232-4B97-8858-B63A35BC042F}"/>
    <cellStyle name="Calculation 2 8 4 2 2" xfId="4031" xr:uid="{00000000-0005-0000-0000-000078000000}"/>
    <cellStyle name="Calculation 2 8 4 2 2 2" xfId="10935" xr:uid="{60257209-F89A-4A23-8781-E51E74D94B02}"/>
    <cellStyle name="Calculation 2 8 4 2 2 2 2" xfId="33421" xr:uid="{44A8AA40-E9A7-4EB0-B4A8-52631E9A00A4}"/>
    <cellStyle name="Calculation 2 8 4 2 2 2 3" xfId="50793" xr:uid="{E01F2AF3-C5E4-4401-BBB4-562A555D6A50}"/>
    <cellStyle name="Calculation 2 8 4 2 2 3" xfId="16055" xr:uid="{A927AC46-C237-4EB9-9B9E-52ECD5D8ABC7}"/>
    <cellStyle name="Calculation 2 8 4 2 2 3 2" xfId="38456" xr:uid="{380F32D6-C00D-49D7-90A4-B0ECE2480195}"/>
    <cellStyle name="Calculation 2 8 4 2 2 3 3" xfId="51028" xr:uid="{F4E682C8-DC61-4196-931E-3C0C8DE9F59D}"/>
    <cellStyle name="Calculation 2 8 4 2 2 4" xfId="15049" xr:uid="{E0CEBF2A-9C8B-4CAC-8BAA-F5604D95F253}"/>
    <cellStyle name="Calculation 2 8 4 2 2 4 2" xfId="47382" xr:uid="{4A9B668E-6B74-46BA-9445-08C981359E1A}"/>
    <cellStyle name="Calculation 2 8 4 2 2 5" xfId="43997" xr:uid="{3B21EF8A-B0FA-444F-BFA1-C6486BFFF1F0}"/>
    <cellStyle name="Calculation 2 8 4 2 3" xfId="5406" xr:uid="{00000000-0005-0000-0000-000078000000}"/>
    <cellStyle name="Calculation 2 8 4 2 3 2" xfId="12297" xr:uid="{F1C65918-DF7B-4DF8-8EC4-8175DE595843}"/>
    <cellStyle name="Calculation 2 8 4 2 3 2 2" xfId="34782" xr:uid="{64B7D545-7169-4DE8-9FB4-74DA19C15346}"/>
    <cellStyle name="Calculation 2 8 4 2 3 2 3" xfId="27805" xr:uid="{1CD3F6DD-58DA-4158-A87B-A00347DEB6BB}"/>
    <cellStyle name="Calculation 2 8 4 2 3 3" xfId="17343" xr:uid="{16F0AE70-3BE0-45C1-9298-CE87EC9ED65C}"/>
    <cellStyle name="Calculation 2 8 4 2 3 3 2" xfId="39733" xr:uid="{692481ED-E5E1-42DB-9371-242EF14FE1A8}"/>
    <cellStyle name="Calculation 2 8 4 2 3 3 3" xfId="32014" xr:uid="{25D63052-B339-4708-B4C1-8E4AE86A5AE8}"/>
    <cellStyle name="Calculation 2 8 4 2 3 4" xfId="21767" xr:uid="{A6D48335-4569-4AC5-943C-5F9FDD36B94B}"/>
    <cellStyle name="Calculation 2 8 4 2 3 4 2" xfId="44791" xr:uid="{4111D9DA-2E1F-4314-903F-5DE5598F6225}"/>
    <cellStyle name="Calculation 2 8 4 2 3 5" xfId="52190" xr:uid="{16A38534-6FC1-486E-A3DD-01D4D09771EB}"/>
    <cellStyle name="Calculation 2 8 4 2 4" xfId="5819" xr:uid="{00000000-0005-0000-0000-000078000000}"/>
    <cellStyle name="Calculation 2 8 4 2 4 2" xfId="12702" xr:uid="{03EEF7A7-705F-492C-B1E3-0C75068D3C2C}"/>
    <cellStyle name="Calculation 2 8 4 2 4 2 2" xfId="35187" xr:uid="{EA00A31A-5ED4-4CB4-BEAB-5AF7B7B10528}"/>
    <cellStyle name="Calculation 2 8 4 2 4 2 3" xfId="43890" xr:uid="{FE99DD3C-707E-4923-BD6F-98DF22FEC83B}"/>
    <cellStyle name="Calculation 2 8 4 2 4 3" xfId="17756" xr:uid="{A685462C-17F5-4B5A-9233-D860FB4FBF39}"/>
    <cellStyle name="Calculation 2 8 4 2 4 3 2" xfId="40146" xr:uid="{B9FE941E-343C-4425-BC89-84472359454C}"/>
    <cellStyle name="Calculation 2 8 4 2 4 3 3" xfId="27024" xr:uid="{2F5D0DB4-699B-4BED-A69C-2C04B33A7355}"/>
    <cellStyle name="Calculation 2 8 4 2 4 4" xfId="22180" xr:uid="{0078C475-7639-4F6D-A2FA-6ACE8D65E494}"/>
    <cellStyle name="Calculation 2 8 4 2 4 4 2" xfId="45380" xr:uid="{86DAAC87-FC13-4267-BB35-DCF3AEBE1C53}"/>
    <cellStyle name="Calculation 2 8 4 2 4 5" xfId="51471" xr:uid="{AB7C7C43-7AEE-415E-8A72-0D7CA2EDFE6F}"/>
    <cellStyle name="Calculation 2 8 4 2 5" xfId="6163" xr:uid="{00000000-0005-0000-0000-000078000000}"/>
    <cellStyle name="Calculation 2 8 4 2 5 2" xfId="13040" xr:uid="{2E36608C-C42F-4755-93AA-8F766933DC79}"/>
    <cellStyle name="Calculation 2 8 4 2 5 2 2" xfId="35524" xr:uid="{0CA64CE2-738A-4F7D-8DA8-3854C90D4997}"/>
    <cellStyle name="Calculation 2 8 4 2 5 2 3" xfId="30843" xr:uid="{7F176AD7-B70B-47BC-9372-B405274D5963}"/>
    <cellStyle name="Calculation 2 8 4 2 5 3" xfId="18100" xr:uid="{24C48279-2279-467F-8E61-E864DE488FC5}"/>
    <cellStyle name="Calculation 2 8 4 2 5 3 2" xfId="40490" xr:uid="{1F94D9C3-AF0B-4181-BA98-41197FAF05C4}"/>
    <cellStyle name="Calculation 2 8 4 2 5 3 3" xfId="27291" xr:uid="{B3E40BB6-9B3A-4294-B376-0518BB62CD80}"/>
    <cellStyle name="Calculation 2 8 4 2 5 4" xfId="22524" xr:uid="{DB74D37A-DCE1-4C5D-BB32-043D842FB5A1}"/>
    <cellStyle name="Calculation 2 8 4 2 5 4 2" xfId="50769" xr:uid="{6EE79476-ED8F-405A-909B-85705D7F78D4}"/>
    <cellStyle name="Calculation 2 8 4 2 5 5" xfId="44279" xr:uid="{3EF23913-CFC2-403D-8E68-4FEF3C6C2B29}"/>
    <cellStyle name="Calculation 2 8 4 2 6" xfId="6536" xr:uid="{00000000-0005-0000-0000-000078000000}"/>
    <cellStyle name="Calculation 2 8 4 2 6 2" xfId="13405" xr:uid="{8B0BD70C-57AF-47A1-A524-8E9019A6F288}"/>
    <cellStyle name="Calculation 2 8 4 2 6 2 2" xfId="35889" xr:uid="{10335228-DA42-4D3F-872E-0F0E0C34C7AF}"/>
    <cellStyle name="Calculation 2 8 4 2 6 2 3" xfId="46838" xr:uid="{2236DF59-F20F-44C2-BA97-10EDCF098FFC}"/>
    <cellStyle name="Calculation 2 8 4 2 6 3" xfId="18473" xr:uid="{5B181612-1DA6-4A46-BF12-1D35B84BAAB3}"/>
    <cellStyle name="Calculation 2 8 4 2 6 3 2" xfId="40863" xr:uid="{A019002A-8B42-4E0C-9DD0-74D2A356338D}"/>
    <cellStyle name="Calculation 2 8 4 2 6 3 3" xfId="45905" xr:uid="{7CB7FF4A-9BCB-4CBC-A522-79B1B94B53B8}"/>
    <cellStyle name="Calculation 2 8 4 2 6 4" xfId="22897" xr:uid="{D93CB385-20B6-49D2-9453-09A073562CB7}"/>
    <cellStyle name="Calculation 2 8 4 2 6 4 2" xfId="50512" xr:uid="{BEDF223E-C33F-4D1D-A0D6-C3E8D3847CCD}"/>
    <cellStyle name="Calculation 2 8 4 2 6 5" xfId="46386" xr:uid="{34BA803A-AA79-41AA-9BD7-4F0015E7D9EE}"/>
    <cellStyle name="Calculation 2 8 4 2 7" xfId="4943" xr:uid="{00000000-0005-0000-0000-000078000000}"/>
    <cellStyle name="Calculation 2 8 4 2 7 2" xfId="11838" xr:uid="{BEDB5A1F-39FA-407C-9ABB-D46EB25E4F7C}"/>
    <cellStyle name="Calculation 2 8 4 2 7 2 2" xfId="34324" xr:uid="{A95482E6-C072-41C7-B581-1B7F5DB4274A}"/>
    <cellStyle name="Calculation 2 8 4 2 7 2 3" xfId="44221" xr:uid="{69A85F02-DAA2-4C25-B9CE-09E4A26B87D1}"/>
    <cellStyle name="Calculation 2 8 4 2 7 3" xfId="16880" xr:uid="{3EEB9CF1-276E-4278-AAF2-349751723183}"/>
    <cellStyle name="Calculation 2 8 4 2 7 3 2" xfId="39270" xr:uid="{AD826607-2604-488A-95B3-06DD63777D6C}"/>
    <cellStyle name="Calculation 2 8 4 2 7 3 3" xfId="24394" xr:uid="{5C9DC788-EC8E-4B75-BB2B-E9160E5B08BB}"/>
    <cellStyle name="Calculation 2 8 4 2 7 4" xfId="21304" xr:uid="{B7C7A8C5-BB31-4142-82B4-9FF632C5AAB2}"/>
    <cellStyle name="Calculation 2 8 4 2 7 4 2" xfId="49214" xr:uid="{A71DE61D-7C94-45B0-961A-58A0CE98768F}"/>
    <cellStyle name="Calculation 2 8 4 2 7 5" xfId="32661" xr:uid="{9131292F-28AA-4225-AF79-3AB2D9B7B736}"/>
    <cellStyle name="Calculation 2 8 4 2 8" xfId="7020" xr:uid="{00000000-0005-0000-0000-000078000000}"/>
    <cellStyle name="Calculation 2 8 4 2 8 2" xfId="13857" xr:uid="{86568B3D-7F97-4B4F-9A2D-F970A12509E5}"/>
    <cellStyle name="Calculation 2 8 4 2 8 2 2" xfId="36341" xr:uid="{27DB1D7A-721E-487F-A251-803F1492E458}"/>
    <cellStyle name="Calculation 2 8 4 2 8 2 3" xfId="45166" xr:uid="{29AE1093-F67A-4E27-A0C5-6C8199B7D690}"/>
    <cellStyle name="Calculation 2 8 4 2 8 3" xfId="18957" xr:uid="{5717A6E7-7650-47B6-AC4D-E079DFCF17F9}"/>
    <cellStyle name="Calculation 2 8 4 2 8 3 2" xfId="41347" xr:uid="{B12D074B-90FD-40CB-AEDD-C0DEDF60C370}"/>
    <cellStyle name="Calculation 2 8 4 2 8 3 3" xfId="30063" xr:uid="{8B570074-BD56-4BF5-BA66-719E6F483EFB}"/>
    <cellStyle name="Calculation 2 8 4 2 8 4" xfId="23381" xr:uid="{37D7F608-3EBD-4361-817F-32E5BB8C48CD}"/>
    <cellStyle name="Calculation 2 8 4 2 8 4 2" xfId="49107" xr:uid="{0FAFB7BA-825F-453F-8CF1-F0303FF85A4D}"/>
    <cellStyle name="Calculation 2 8 4 2 8 5" xfId="49487" xr:uid="{162A8E24-41DE-47F4-9670-E2BD96F7C146}"/>
    <cellStyle name="Calculation 2 8 4 2 9" xfId="7136" xr:uid="{00000000-0005-0000-0000-000078000000}"/>
    <cellStyle name="Calculation 2 8 4 2 9 2" xfId="19073" xr:uid="{8A93EF29-DEF1-41C5-9AF2-D392B54AE1B6}"/>
    <cellStyle name="Calculation 2 8 4 2 9 2 2" xfId="41463" xr:uid="{EB81B00A-1B3C-4F9E-9072-FDFD275F6B32}"/>
    <cellStyle name="Calculation 2 8 4 2 9 2 3" xfId="43817" xr:uid="{1CF64CF6-1FBE-4580-9F27-748A4E184B70}"/>
    <cellStyle name="Calculation 2 8 4 2 9 3" xfId="23497" xr:uid="{8A56F10A-A084-466E-A701-722C71C9EA97}"/>
    <cellStyle name="Calculation 2 8 4 2 9 3 2" xfId="45431" xr:uid="{ED7BAEDD-F07D-4ED9-9BDD-93B0E9E6A38A}"/>
    <cellStyle name="Calculation 2 8 4 2 9 4" xfId="48994" xr:uid="{8A89358E-D3F1-41C2-872C-09ECEC060848}"/>
    <cellStyle name="Calculation 2 8 4 3" xfId="3165" xr:uid="{00000000-0005-0000-0000-000077000000}"/>
    <cellStyle name="Calculation 2 8 4 3 2" xfId="10074" xr:uid="{F97835AA-0AE5-4AB4-9A94-00C177BBB972}"/>
    <cellStyle name="Calculation 2 8 4 3 2 2" xfId="32581" xr:uid="{7F18FCC3-A48D-492D-8315-4AC36DEE654D}"/>
    <cellStyle name="Calculation 2 8 4 3 2 3" xfId="38183" xr:uid="{10A198CE-360A-4314-A35F-7D9CD0AC535B}"/>
    <cellStyle name="Calculation 2 8 4 3 3" xfId="15452" xr:uid="{893C61BF-15EA-4F4C-835D-B0C909E4BBCD}"/>
    <cellStyle name="Calculation 2 8 4 3 3 2" xfId="37878" xr:uid="{9711916E-EFD5-4A21-A98D-7F9210CB9330}"/>
    <cellStyle name="Calculation 2 8 4 3 3 3" xfId="52679" xr:uid="{E16816A6-6EA0-4629-8311-2C1A0DE6BD9B}"/>
    <cellStyle name="Calculation 2 8 4 3 4" xfId="21228" xr:uid="{16237009-81FB-44AB-A46F-AB1E2ECE3940}"/>
    <cellStyle name="Calculation 2 8 4 3 4 2" xfId="38141" xr:uid="{95F27F87-E301-4CE8-B84C-6E355AAE15E4}"/>
    <cellStyle name="Calculation 2 8 4 3 5" xfId="30638" xr:uid="{98D1BD26-3344-4114-B69A-8A13D31B70CA}"/>
    <cellStyle name="Calculation 2 8 4 4" xfId="4818" xr:uid="{00000000-0005-0000-0000-000077000000}"/>
    <cellStyle name="Calculation 2 8 4 4 2" xfId="11715" xr:uid="{D2C5257F-D523-4F83-9BEA-33BCEE8ACE68}"/>
    <cellStyle name="Calculation 2 8 4 4 2 2" xfId="34201" xr:uid="{8F95965E-45FC-43FB-B3D5-0363262DA384}"/>
    <cellStyle name="Calculation 2 8 4 4 2 3" xfId="24777" xr:uid="{7E46671B-FFF6-4523-9CE2-AA5C48F96175}"/>
    <cellStyle name="Calculation 2 8 4 4 3" xfId="16755" xr:uid="{E642E7D3-5A11-455F-8B42-AF36BD293390}"/>
    <cellStyle name="Calculation 2 8 4 4 3 2" xfId="39145" xr:uid="{1807D2E7-875A-43EF-B86F-81F24094BAE6}"/>
    <cellStyle name="Calculation 2 8 4 4 3 3" xfId="44943" xr:uid="{3DA4F722-A4D8-42F1-9CC3-38AF03DDAC55}"/>
    <cellStyle name="Calculation 2 8 4 4 4" xfId="14808" xr:uid="{975E4977-95EE-4E25-A33A-F25911DA29B8}"/>
    <cellStyle name="Calculation 2 8 4 4 4 2" xfId="49603" xr:uid="{EBE59756-35E8-4A1D-AD60-87F3E882D634}"/>
    <cellStyle name="Calculation 2 8 4 4 5" xfId="47112" xr:uid="{0F67CBDA-E05C-4499-BDBD-7494A566272A}"/>
    <cellStyle name="Calculation 2 8 4 5" xfId="5424" xr:uid="{00000000-0005-0000-0000-000077000000}"/>
    <cellStyle name="Calculation 2 8 4 5 2" xfId="12314" xr:uid="{7969F154-59B4-43BE-99C0-81E2DAA47037}"/>
    <cellStyle name="Calculation 2 8 4 5 2 2" xfId="34799" xr:uid="{ED19D444-0F12-4B37-80BA-8B64412D5556}"/>
    <cellStyle name="Calculation 2 8 4 5 2 3" xfId="26050" xr:uid="{630EBC75-7DC2-423E-95F1-90D5F597901C}"/>
    <cellStyle name="Calculation 2 8 4 5 3" xfId="17361" xr:uid="{E15A1264-55C0-4E55-8FDD-CF8E90AE8FA9}"/>
    <cellStyle name="Calculation 2 8 4 5 3 2" xfId="39751" xr:uid="{10AAB881-4BB0-45E9-9A47-68A50CAD8EC0}"/>
    <cellStyle name="Calculation 2 8 4 5 3 3" xfId="38664" xr:uid="{7D48747F-E1E2-4B6D-A90F-01FCCDF5C940}"/>
    <cellStyle name="Calculation 2 8 4 5 4" xfId="21785" xr:uid="{DA900FF9-C111-480E-AE0F-CD18A1BFFE0A}"/>
    <cellStyle name="Calculation 2 8 4 5 4 2" xfId="50961" xr:uid="{7A7219CF-BFBC-4AAE-90C7-DE242435160C}"/>
    <cellStyle name="Calculation 2 8 4 5 5" xfId="29504" xr:uid="{706DEB55-4CB3-4C0D-87C5-486995334529}"/>
    <cellStyle name="Calculation 2 8 4 6" xfId="5765" xr:uid="{00000000-0005-0000-0000-000077000000}"/>
    <cellStyle name="Calculation 2 8 4 6 2" xfId="12648" xr:uid="{617F4D2C-C9B2-4B5A-9A1B-89D02D6F0493}"/>
    <cellStyle name="Calculation 2 8 4 6 2 2" xfId="35133" xr:uid="{6E16BA92-74AF-44A4-B1E6-C1E9B6346819}"/>
    <cellStyle name="Calculation 2 8 4 6 2 3" xfId="43106" xr:uid="{7441D83A-20E9-496B-8645-BE984AA407EB}"/>
    <cellStyle name="Calculation 2 8 4 6 3" xfId="17702" xr:uid="{94A925E1-60D7-4F69-BC2B-F01336458D7F}"/>
    <cellStyle name="Calculation 2 8 4 6 3 2" xfId="40092" xr:uid="{29691E90-DE92-4BFE-B1A5-F9E93C126FE3}"/>
    <cellStyle name="Calculation 2 8 4 6 3 3" xfId="41595" xr:uid="{AA5EB410-F0D7-4E19-857E-A5CF1849F1DB}"/>
    <cellStyle name="Calculation 2 8 4 6 4" xfId="22126" xr:uid="{DD8BBFEA-6A4A-4A33-9E2B-CF1E00EA58FF}"/>
    <cellStyle name="Calculation 2 8 4 6 4 2" xfId="52460" xr:uid="{DFB8A0D0-357D-4B85-B5A1-071BA0C962D6}"/>
    <cellStyle name="Calculation 2 8 4 6 5" xfId="29328" xr:uid="{3E9B7D54-250C-4F5B-97C5-00ACB4EDF843}"/>
    <cellStyle name="Calculation 2 8 4 7" xfId="2791" xr:uid="{00000000-0005-0000-0000-000077000000}"/>
    <cellStyle name="Calculation 2 8 4 7 2" xfId="9700" xr:uid="{4BF74DB9-E373-468C-8405-52714ADABCA8}"/>
    <cellStyle name="Calculation 2 8 4 7 2 2" xfId="32244" xr:uid="{E69C3FF6-8C55-47FB-8438-68C3FFE409A8}"/>
    <cellStyle name="Calculation 2 8 4 7 2 3" xfId="46044" xr:uid="{F1108B42-E38C-4D76-8491-F82F927A6D21}"/>
    <cellStyle name="Calculation 2 8 4 7 3" xfId="15201" xr:uid="{A5229CD9-A0D0-45A5-A845-7D61382229D3}"/>
    <cellStyle name="Calculation 2 8 4 7 3 2" xfId="37641" xr:uid="{1348CDB9-C565-490C-BD28-89D9887262C6}"/>
    <cellStyle name="Calculation 2 8 4 7 3 3" xfId="51918" xr:uid="{BA4A6A5E-32FA-41CC-8804-B3F9FFAFFBDF}"/>
    <cellStyle name="Calculation 2 8 4 7 4" xfId="20077" xr:uid="{D062628B-0B1E-4167-855F-8BE3502C2FB5}"/>
    <cellStyle name="Calculation 2 8 4 7 4 2" xfId="43503" xr:uid="{DCF9FFAF-190C-434C-AE03-A2E0FC3A0DCE}"/>
    <cellStyle name="Calculation 2 8 4 7 5" xfId="46740" xr:uid="{8B270462-C9A1-4F6F-8C8E-DDD4A83A2981}"/>
    <cellStyle name="Calculation 2 8 4 8" xfId="8886" xr:uid="{DF33AC09-97B6-405B-8BA0-E3A74EAD5511}"/>
    <cellStyle name="Calculation 2 8 4 8 2" xfId="31466" xr:uid="{10E0A420-2336-4BF2-A55D-C33838313D75}"/>
    <cellStyle name="Calculation 2 8 4 8 3" xfId="47464" xr:uid="{4E6D977D-6626-4460-A6D9-BE5C2BE0ECD3}"/>
    <cellStyle name="Calculation 2 8 4 9" xfId="20700" xr:uid="{2ABDD4DD-AED5-40C1-AB38-21012396AE20}"/>
    <cellStyle name="Calculation 2 8 4 9 2" xfId="42972" xr:uid="{844F95D9-9F3C-44DA-AB07-DEA3BD218D5A}"/>
    <cellStyle name="Calculation 2 8 4 9 3" xfId="47207" xr:uid="{19A1A4BB-8FDF-4F4B-8080-915A61BC44D0}"/>
    <cellStyle name="Calculation 2 8 5" xfId="1228" xr:uid="{00000000-0005-0000-0000-000079000000}"/>
    <cellStyle name="Calculation 2 8 5 10" xfId="8805" xr:uid="{DF9F8474-0439-4E96-90CC-D683CE4E3E48}"/>
    <cellStyle name="Calculation 2 8 5 10 2" xfId="47893" xr:uid="{EDE196E2-098A-49CE-B738-6CB10EBCBB62}"/>
    <cellStyle name="Calculation 2 8 5 11" xfId="38400" xr:uid="{D9C25346-6C95-4C7A-8171-10E1F7A7AB64}"/>
    <cellStyle name="Calculation 2 8 5 2" xfId="2028" xr:uid="{00000000-0005-0000-0000-00007A000000}"/>
    <cellStyle name="Calculation 2 8 5 2 10" xfId="14676" xr:uid="{2DA7279D-F831-4B6B-9E95-696C8F38C78C}"/>
    <cellStyle name="Calculation 2 8 5 2 10 2" xfId="37136" xr:uid="{27570590-A291-40FB-A96C-6E64D5266139}"/>
    <cellStyle name="Calculation 2 8 5 2 10 3" xfId="46294" xr:uid="{79F8322B-DA29-4DAC-B640-65B83B926D80}"/>
    <cellStyle name="Calculation 2 8 5 2 11" xfId="20381" xr:uid="{1CE41E74-CFA4-41D1-B9B6-207EC8AC91D5}"/>
    <cellStyle name="Calculation 2 8 5 2 11 2" xfId="42677" xr:uid="{B6E3D4EF-39C9-47D5-A6FA-51DD3D35214E}"/>
    <cellStyle name="Calculation 2 8 5 2 11 3" xfId="49634" xr:uid="{46C6F1CB-D099-475A-BE30-C7C48D225456}"/>
    <cellStyle name="Calculation 2 8 5 2 12" xfId="20017" xr:uid="{8B634DF6-423F-4EB8-9999-483465C325EA}"/>
    <cellStyle name="Calculation 2 8 5 2 12 2" xfId="30487" xr:uid="{5EC92D8C-AA8B-4D9B-AE72-4132E5327C45}"/>
    <cellStyle name="Calculation 2 8 5 2 13" xfId="47634" xr:uid="{5A3CDC5F-7921-4D72-9F73-364795F64154}"/>
    <cellStyle name="Calculation 2 8 5 2 2" xfId="4123" xr:uid="{00000000-0005-0000-0000-00007A000000}"/>
    <cellStyle name="Calculation 2 8 5 2 2 2" xfId="11027" xr:uid="{E86E1838-16ED-4B6F-AD1C-E5D419FC9091}"/>
    <cellStyle name="Calculation 2 8 5 2 2 2 2" xfId="33513" xr:uid="{50F1356E-71B5-4A7C-AEBE-B2E74504B382}"/>
    <cellStyle name="Calculation 2 8 5 2 2 2 3" xfId="46726" xr:uid="{64F4CBA8-8347-4547-8C10-89E95E3FB129}"/>
    <cellStyle name="Calculation 2 8 5 2 2 3" xfId="16127" xr:uid="{7A63B064-6B69-4F82-8C49-300B9079A2B7}"/>
    <cellStyle name="Calculation 2 8 5 2 2 3 2" xfId="38527" xr:uid="{F888BFA8-3B2E-4228-990A-C48E4FCE1FD4}"/>
    <cellStyle name="Calculation 2 8 5 2 2 3 3" xfId="29319" xr:uid="{EE1B30E1-83D6-4D69-9D85-84089345A37F}"/>
    <cellStyle name="Calculation 2 8 5 2 2 4" xfId="12387" xr:uid="{BBB257F1-85DE-4077-986F-0A78D76F4653}"/>
    <cellStyle name="Calculation 2 8 5 2 2 4 2" xfId="45470" xr:uid="{C18F87FB-A750-4561-B640-6C6893C35AE8}"/>
    <cellStyle name="Calculation 2 8 5 2 2 5" xfId="37928" xr:uid="{5E038209-742B-4C1D-B4BC-90DAFE4CACBD}"/>
    <cellStyle name="Calculation 2 8 5 2 3" xfId="5469" xr:uid="{00000000-0005-0000-0000-00007A000000}"/>
    <cellStyle name="Calculation 2 8 5 2 3 2" xfId="12358" xr:uid="{CBDB231E-C057-4D04-BABC-6236589C3F83}"/>
    <cellStyle name="Calculation 2 8 5 2 3 2 2" xfId="34843" xr:uid="{BAB47F9F-C66A-461C-A0E4-6A5AC2D320E2}"/>
    <cellStyle name="Calculation 2 8 5 2 3 2 3" xfId="43952" xr:uid="{526F1C59-CDCF-44D1-97DB-F32FABBE294B}"/>
    <cellStyle name="Calculation 2 8 5 2 3 3" xfId="17406" xr:uid="{9B2D1053-14B3-432F-9498-1B990CB9BA01}"/>
    <cellStyle name="Calculation 2 8 5 2 3 3 2" xfId="39796" xr:uid="{C8D62C76-CD3E-433E-A922-69914ED6D3A4}"/>
    <cellStyle name="Calculation 2 8 5 2 3 3 3" xfId="24506" xr:uid="{A08F5261-FB06-433E-9DA5-8EFE17CCDC4F}"/>
    <cellStyle name="Calculation 2 8 5 2 3 4" xfId="21830" xr:uid="{AD4EDF4E-FA36-47DA-91B4-85CD7C8AEF56}"/>
    <cellStyle name="Calculation 2 8 5 2 3 4 2" xfId="28204" xr:uid="{81F685EA-EAC7-4E6E-98D3-114F8AC09C88}"/>
    <cellStyle name="Calculation 2 8 5 2 3 5" xfId="45287" xr:uid="{B84DBEAF-28B7-4B6B-974B-6CF13FF58FB5}"/>
    <cellStyle name="Calculation 2 8 5 2 4" xfId="5892" xr:uid="{00000000-0005-0000-0000-00007A000000}"/>
    <cellStyle name="Calculation 2 8 5 2 4 2" xfId="12774" xr:uid="{37AE2674-C0C9-47D4-8BA3-CD78697675F1}"/>
    <cellStyle name="Calculation 2 8 5 2 4 2 2" xfId="35258" xr:uid="{93EED060-0D61-4503-96DF-2F0188DBB10B}"/>
    <cellStyle name="Calculation 2 8 5 2 4 2 3" xfId="27939" xr:uid="{00B22473-4F06-4CD5-A0F3-7BE1F65B053C}"/>
    <cellStyle name="Calculation 2 8 5 2 4 3" xfId="17829" xr:uid="{A5FC5C41-329D-4355-B0B3-972E48FAF47F}"/>
    <cellStyle name="Calculation 2 8 5 2 4 3 2" xfId="40219" xr:uid="{D5CC3AF9-0F18-42CC-BE4A-EA5124B23684}"/>
    <cellStyle name="Calculation 2 8 5 2 4 3 3" xfId="36659" xr:uid="{2B262445-989D-4954-A118-BF7A979191D8}"/>
    <cellStyle name="Calculation 2 8 5 2 4 4" xfId="22253" xr:uid="{69E28C44-0776-4A9F-BD0F-EB355B2D7299}"/>
    <cellStyle name="Calculation 2 8 5 2 4 4 2" xfId="43016" xr:uid="{9886C415-B684-439B-928B-CE5167B86E4A}"/>
    <cellStyle name="Calculation 2 8 5 2 4 5" xfId="51960" xr:uid="{9913041A-C6F8-41CE-9140-59907AE9A189}"/>
    <cellStyle name="Calculation 2 8 5 2 5" xfId="6230" xr:uid="{00000000-0005-0000-0000-00007A000000}"/>
    <cellStyle name="Calculation 2 8 5 2 5 2" xfId="13105" xr:uid="{1B0969D0-29F6-43BF-AC3A-D9A39FDAD592}"/>
    <cellStyle name="Calculation 2 8 5 2 5 2 2" xfId="35589" xr:uid="{4E5D485B-B415-43A2-9B31-33726A8C8B48}"/>
    <cellStyle name="Calculation 2 8 5 2 5 2 3" xfId="49469" xr:uid="{68A9F148-3D55-430C-A9B4-568726AA36D8}"/>
    <cellStyle name="Calculation 2 8 5 2 5 3" xfId="18167" xr:uid="{0644307F-9A4F-4D64-A217-3A97ED5536DF}"/>
    <cellStyle name="Calculation 2 8 5 2 5 3 2" xfId="40557" xr:uid="{8D0C1F7D-286E-416F-AB61-1772BE03AE7D}"/>
    <cellStyle name="Calculation 2 8 5 2 5 3 3" xfId="44935" xr:uid="{D8172B20-9209-4571-80B0-61769A096E43}"/>
    <cellStyle name="Calculation 2 8 5 2 5 4" xfId="22591" xr:uid="{EBE09D08-7448-4730-93E0-50189D941AA1}"/>
    <cellStyle name="Calculation 2 8 5 2 5 4 2" xfId="50240" xr:uid="{6E2C46D6-B4C9-48F7-930B-997092F249EF}"/>
    <cellStyle name="Calculation 2 8 5 2 5 5" xfId="45008" xr:uid="{87B8AFD5-A3B7-4FF1-B200-4D48CDE7F8CC}"/>
    <cellStyle name="Calculation 2 8 5 2 6" xfId="6596" xr:uid="{00000000-0005-0000-0000-00007A000000}"/>
    <cellStyle name="Calculation 2 8 5 2 6 2" xfId="13462" xr:uid="{D54AB5B4-DC6A-4E04-964C-E7E71F141A1A}"/>
    <cellStyle name="Calculation 2 8 5 2 6 2 2" xfId="35946" xr:uid="{5E6EED44-71F6-4C7F-BCA0-F94DADEFEC7F}"/>
    <cellStyle name="Calculation 2 8 5 2 6 2 3" xfId="53073" xr:uid="{B4FF9AC2-69BC-46BA-99FC-B8E33B849188}"/>
    <cellStyle name="Calculation 2 8 5 2 6 3" xfId="18533" xr:uid="{EF8573A0-511A-4259-AB98-AEC27FFDB192}"/>
    <cellStyle name="Calculation 2 8 5 2 6 3 2" xfId="40923" xr:uid="{FA7D2FF8-A795-4A49-B633-6E1B6D68C80B}"/>
    <cellStyle name="Calculation 2 8 5 2 6 3 3" xfId="45687" xr:uid="{1954FD35-26EF-40CA-9D99-D6FDC00E243F}"/>
    <cellStyle name="Calculation 2 8 5 2 6 4" xfId="22957" xr:uid="{462E4D34-B327-4098-812A-2538FD8E1370}"/>
    <cellStyle name="Calculation 2 8 5 2 6 4 2" xfId="47099" xr:uid="{BE3812BD-544B-44AE-B731-9B1149F10000}"/>
    <cellStyle name="Calculation 2 8 5 2 6 5" xfId="53780" xr:uid="{5C3D212F-6170-4C8A-8ECC-7C4A14F03026}"/>
    <cellStyle name="Calculation 2 8 5 2 7" xfId="5265" xr:uid="{00000000-0005-0000-0000-00007A000000}"/>
    <cellStyle name="Calculation 2 8 5 2 7 2" xfId="12157" xr:uid="{CEEA982C-9386-4408-AA80-6B455706F4D8}"/>
    <cellStyle name="Calculation 2 8 5 2 7 2 2" xfId="34642" xr:uid="{02EA9BA3-66FF-4CEA-9847-09C6B26B3C48}"/>
    <cellStyle name="Calculation 2 8 5 2 7 2 3" xfId="44661" xr:uid="{E3C0D139-790D-43C1-A85A-6D9D9AFF4474}"/>
    <cellStyle name="Calculation 2 8 5 2 7 3" xfId="17202" xr:uid="{3032CDF0-E1BD-4624-9875-1BEDF575A23A}"/>
    <cellStyle name="Calculation 2 8 5 2 7 3 2" xfId="39592" xr:uid="{4C84874E-BE73-4EDD-8B8F-BE9D31759CF3}"/>
    <cellStyle name="Calculation 2 8 5 2 7 3 3" xfId="44367" xr:uid="{C9F7A247-BF13-4AB0-8A7B-EDAA9F591893}"/>
    <cellStyle name="Calculation 2 8 5 2 7 4" xfId="21626" xr:uid="{4F69A3FE-20C6-4890-9289-04EBB7002085}"/>
    <cellStyle name="Calculation 2 8 5 2 7 4 2" xfId="29696" xr:uid="{00D43F80-5B2E-4741-8BA2-7B2DCF6DA0BA}"/>
    <cellStyle name="Calculation 2 8 5 2 7 5" xfId="45629" xr:uid="{CE62962E-A875-43BE-9D32-A67A652AF455}"/>
    <cellStyle name="Calculation 2 8 5 2 8" xfId="7066" xr:uid="{00000000-0005-0000-0000-00007A000000}"/>
    <cellStyle name="Calculation 2 8 5 2 8 2" xfId="13902" xr:uid="{E18D454E-CE09-451F-8232-C6CF2F37A9E8}"/>
    <cellStyle name="Calculation 2 8 5 2 8 2 2" xfId="36386" xr:uid="{3C27880F-79E4-440F-B1E3-50A58DC6E71A}"/>
    <cellStyle name="Calculation 2 8 5 2 8 2 3" xfId="25323" xr:uid="{186C58AB-4226-415C-8AB4-20EB9BE450A1}"/>
    <cellStyle name="Calculation 2 8 5 2 8 3" xfId="19003" xr:uid="{D4EBDDBA-F6F2-4D03-9421-ECAD912824CD}"/>
    <cellStyle name="Calculation 2 8 5 2 8 3 2" xfId="41393" xr:uid="{21C668FB-25EE-49AD-9096-9C238DDF2FA7}"/>
    <cellStyle name="Calculation 2 8 5 2 8 3 3" xfId="32627" xr:uid="{BF041967-DE9A-4F7F-BFC5-270676E27CFC}"/>
    <cellStyle name="Calculation 2 8 5 2 8 4" xfId="23427" xr:uid="{CDD5A347-8B45-47C7-9657-D689CAE7D70A}"/>
    <cellStyle name="Calculation 2 8 5 2 8 4 2" xfId="53375" xr:uid="{A849DCEA-E2B2-4AAD-8732-12B45C706D08}"/>
    <cellStyle name="Calculation 2 8 5 2 8 5" xfId="45411" xr:uid="{369B7E8B-AAEE-4B74-A0D2-82D315147F3D}"/>
    <cellStyle name="Calculation 2 8 5 2 9" xfId="7181" xr:uid="{00000000-0005-0000-0000-00007A000000}"/>
    <cellStyle name="Calculation 2 8 5 2 9 2" xfId="19118" xr:uid="{F7BE5767-46B5-4E81-8E56-CAC321C14531}"/>
    <cellStyle name="Calculation 2 8 5 2 9 2 2" xfId="41508" xr:uid="{19EDBCEF-7D08-4F8D-B110-EC5D1E20F542}"/>
    <cellStyle name="Calculation 2 8 5 2 9 2 3" xfId="23913" xr:uid="{04114E0C-192B-4146-A094-B8B702160EAF}"/>
    <cellStyle name="Calculation 2 8 5 2 9 3" xfId="23542" xr:uid="{222C0E1F-6134-4AFC-A3BF-DD911AF1D926}"/>
    <cellStyle name="Calculation 2 8 5 2 9 3 2" xfId="49939" xr:uid="{7AE037BD-7471-4623-B8E4-F37DB24DE539}"/>
    <cellStyle name="Calculation 2 8 5 2 9 4" xfId="44373" xr:uid="{10E4476C-3840-43F1-8ACC-A355A3D12288}"/>
    <cellStyle name="Calculation 2 8 5 3" xfId="3340" xr:uid="{00000000-0005-0000-0000-000079000000}"/>
    <cellStyle name="Calculation 2 8 5 3 2" xfId="10248" xr:uid="{D0A4A33E-7812-435F-ADD1-CB3ABBC1E7A3}"/>
    <cellStyle name="Calculation 2 8 5 3 2 2" xfId="32742" xr:uid="{EB96FC60-4FA1-4C29-ABE1-A925EE9AE939}"/>
    <cellStyle name="Calculation 2 8 5 3 2 3" xfId="51343" xr:uid="{6732E3C1-191E-4595-A52F-9ECEB0B61086}"/>
    <cellStyle name="Calculation 2 8 5 3 3" xfId="15566" xr:uid="{1AED865A-648F-4C96-981E-84BD69129DE2}"/>
    <cellStyle name="Calculation 2 8 5 3 3 2" xfId="37985" xr:uid="{0FA2D433-EC7B-4240-83D3-279B72A3F4A2}"/>
    <cellStyle name="Calculation 2 8 5 3 3 3" xfId="47794" xr:uid="{1F285BA6-4333-4C51-8889-AE951095E2D2}"/>
    <cellStyle name="Calculation 2 8 5 3 4" xfId="15100" xr:uid="{2A3457D0-7D29-456D-8E50-577DEBBAAA6A}"/>
    <cellStyle name="Calculation 2 8 5 3 4 2" xfId="47655" xr:uid="{02718A0E-E753-43D4-99F0-682804607FBC}"/>
    <cellStyle name="Calculation 2 8 5 3 5" xfId="30470" xr:uid="{19801B28-3DC5-4C6E-A437-5AC4B9366928}"/>
    <cellStyle name="Calculation 2 8 5 4" xfId="4928" xr:uid="{00000000-0005-0000-0000-000079000000}"/>
    <cellStyle name="Calculation 2 8 5 4 2" xfId="11823" xr:uid="{BCCBD4FE-EEB8-4142-A958-AD8569F118A5}"/>
    <cellStyle name="Calculation 2 8 5 4 2 2" xfId="34309" xr:uid="{7FDF1DA4-5D9B-421A-B87C-45E2AD3A7B18}"/>
    <cellStyle name="Calculation 2 8 5 4 2 3" xfId="25066" xr:uid="{7DEA15B9-1E64-4D92-848D-1C35A3011F52}"/>
    <cellStyle name="Calculation 2 8 5 4 3" xfId="16865" xr:uid="{6EA56DCF-A48F-4100-883E-FBFEF70CCA1A}"/>
    <cellStyle name="Calculation 2 8 5 4 3 2" xfId="39255" xr:uid="{FB4FF256-BB25-43CF-9AF4-AFAEF59F4621}"/>
    <cellStyle name="Calculation 2 8 5 4 3 3" xfId="45674" xr:uid="{747EA674-F658-4C61-8B9C-6C931CDD15DA}"/>
    <cellStyle name="Calculation 2 8 5 4 4" xfId="21289" xr:uid="{E9780A8D-4551-4D98-BE30-EA19EB14E044}"/>
    <cellStyle name="Calculation 2 8 5 4 4 2" xfId="50096" xr:uid="{009A9DB0-5921-43CF-9319-A0CDACA637CD}"/>
    <cellStyle name="Calculation 2 8 5 4 5" xfId="46627" xr:uid="{B8912E62-2223-4099-91C5-C4392CE19863}"/>
    <cellStyle name="Calculation 2 8 5 5" xfId="5349" xr:uid="{00000000-0005-0000-0000-000079000000}"/>
    <cellStyle name="Calculation 2 8 5 5 2" xfId="12241" xr:uid="{B6ADBED7-70AD-4AD3-8786-2E18BB390969}"/>
    <cellStyle name="Calculation 2 8 5 5 2 2" xfId="34726" xr:uid="{340740E3-5A69-490B-8BF5-7825FB27D3F9}"/>
    <cellStyle name="Calculation 2 8 5 5 2 3" xfId="24485" xr:uid="{4FAE4636-1733-44EE-926A-0C2173953638}"/>
    <cellStyle name="Calculation 2 8 5 5 3" xfId="17286" xr:uid="{A5087008-DB76-42F0-957D-568889D51A37}"/>
    <cellStyle name="Calculation 2 8 5 5 3 2" xfId="39676" xr:uid="{A437ABC7-428A-442A-9E39-4680789A3DEF}"/>
    <cellStyle name="Calculation 2 8 5 5 3 3" xfId="42568" xr:uid="{A199149C-6AD3-4682-AFBE-ED18F720CE12}"/>
    <cellStyle name="Calculation 2 8 5 5 4" xfId="21710" xr:uid="{325A05EA-FA62-4309-9805-9FD0115979DD}"/>
    <cellStyle name="Calculation 2 8 5 5 4 2" xfId="44752" xr:uid="{00AA7414-D71C-4CB7-945E-35B957927378}"/>
    <cellStyle name="Calculation 2 8 5 5 5" xfId="49747" xr:uid="{A4AE12A7-B05F-4F0E-926D-2AAE2038ABD6}"/>
    <cellStyle name="Calculation 2 8 5 6" xfId="6188" xr:uid="{00000000-0005-0000-0000-000079000000}"/>
    <cellStyle name="Calculation 2 8 5 6 2" xfId="13063" xr:uid="{14B6B3CF-F05A-48BA-956D-48BEC4BC0DD2}"/>
    <cellStyle name="Calculation 2 8 5 6 2 2" xfId="35547" xr:uid="{1BD7394D-234D-411B-BCFD-BC734B5A71E5}"/>
    <cellStyle name="Calculation 2 8 5 6 2 3" xfId="48079" xr:uid="{559EFB02-DD66-44F1-8C12-2DB519727A23}"/>
    <cellStyle name="Calculation 2 8 5 6 3" xfId="18125" xr:uid="{489FCCB4-4EA7-4F07-931C-C0705145D56F}"/>
    <cellStyle name="Calculation 2 8 5 6 3 2" xfId="40515" xr:uid="{12811B69-3955-420E-9E25-70163CBCCD32}"/>
    <cellStyle name="Calculation 2 8 5 6 3 3" xfId="30517" xr:uid="{606FCA78-9028-4F64-82DC-E65F16964CE0}"/>
    <cellStyle name="Calculation 2 8 5 6 4" xfId="22549" xr:uid="{1032462B-7D68-4C8F-946D-AAABF8E78ADD}"/>
    <cellStyle name="Calculation 2 8 5 6 4 2" xfId="51856" xr:uid="{8A16ADD3-3C81-4F53-8295-77A4CEB7CA87}"/>
    <cellStyle name="Calculation 2 8 5 6 5" xfId="53127" xr:uid="{4151CEB9-F7D1-4D78-A551-4575CC95DDFA}"/>
    <cellStyle name="Calculation 2 8 5 7" xfId="4730" xr:uid="{00000000-0005-0000-0000-000079000000}"/>
    <cellStyle name="Calculation 2 8 5 7 2" xfId="11628" xr:uid="{FA50212C-9027-4893-8CEF-92E602AA8F65}"/>
    <cellStyle name="Calculation 2 8 5 7 2 2" xfId="34114" xr:uid="{6B39A85C-41FB-4021-AB17-82C2C7123C95}"/>
    <cellStyle name="Calculation 2 8 5 7 2 3" xfId="28314" xr:uid="{68A5D51D-CD64-41AB-9B8E-8B4BAA3FB040}"/>
    <cellStyle name="Calculation 2 8 5 7 3" xfId="16667" xr:uid="{468D6D2E-3E1B-4946-B3FB-F6BCC157DAE8}"/>
    <cellStyle name="Calculation 2 8 5 7 3 2" xfId="39057" xr:uid="{FB927DF7-2945-43D5-9238-C8294C545D17}"/>
    <cellStyle name="Calculation 2 8 5 7 3 3" xfId="38168" xr:uid="{792AD633-AD2B-4E64-AABB-AD89B8B59FB2}"/>
    <cellStyle name="Calculation 2 8 5 7 4" xfId="19714" xr:uid="{2A84E8DF-ED2B-4E68-B0E6-9B8421548D6E}"/>
    <cellStyle name="Calculation 2 8 5 7 4 2" xfId="42860" xr:uid="{B3953658-975A-4588-8FE3-557C6A45F3FC}"/>
    <cellStyle name="Calculation 2 8 5 7 5" xfId="51103" xr:uid="{C9AB7082-456C-424F-BC05-2FB79A630FD4}"/>
    <cellStyle name="Calculation 2 8 5 8" xfId="14103" xr:uid="{EC0D9B3B-A41F-413B-8DA3-CA5B34935B05}"/>
    <cellStyle name="Calculation 2 8 5 8 2" xfId="36581" xr:uid="{DCB6EB97-CAAF-48C7-BF63-B2D04F0F9EBA}"/>
    <cellStyle name="Calculation 2 8 5 8 3" xfId="53623" xr:uid="{BC54FB95-4412-4435-9080-F52EF802DB72}"/>
    <cellStyle name="Calculation 2 8 5 9" xfId="21100" xr:uid="{CE9D90A3-5ACF-4EAC-BF90-7BFB56238611}"/>
    <cellStyle name="Calculation 2 8 5 9 2" xfId="43347" xr:uid="{E6D17A54-A25B-4F54-BB49-EE942F1EC98C}"/>
    <cellStyle name="Calculation 2 8 5 9 3" xfId="51116" xr:uid="{92D9607E-814E-463F-82DA-33F66913CFF2}"/>
    <cellStyle name="Calculation 2 8 6" xfId="1390" xr:uid="{00000000-0005-0000-0000-00007B000000}"/>
    <cellStyle name="Calculation 2 8 6 10" xfId="15274" xr:uid="{EC5DE301-6DCA-4C5A-8189-F79A4AF3C2F1}"/>
    <cellStyle name="Calculation 2 8 6 10 2" xfId="49357" xr:uid="{9CDB764A-E7D4-448C-B881-0676BA5A6E5A}"/>
    <cellStyle name="Calculation 2 8 6 11" xfId="47437" xr:uid="{49969815-5787-4187-857A-103B9769CFED}"/>
    <cellStyle name="Calculation 2 8 6 2" xfId="2119" xr:uid="{00000000-0005-0000-0000-00007C000000}"/>
    <cellStyle name="Calculation 2 8 6 2 10" xfId="14748" xr:uid="{95D28830-411A-4E57-9F94-6A5441B527C8}"/>
    <cellStyle name="Calculation 2 8 6 2 10 2" xfId="37206" xr:uid="{93761960-897A-4CE4-B295-EB92E91D6416}"/>
    <cellStyle name="Calculation 2 8 6 2 10 3" xfId="53473" xr:uid="{F341672C-1844-437A-A180-496F346120FD}"/>
    <cellStyle name="Calculation 2 8 6 2 11" xfId="20955" xr:uid="{30557BAD-1E2C-4F04-986A-B2A8568FAA6D}"/>
    <cellStyle name="Calculation 2 8 6 2 11 2" xfId="43210" xr:uid="{17F64796-11B1-413E-9C8B-33D96A9312A1}"/>
    <cellStyle name="Calculation 2 8 6 2 11 3" xfId="29379" xr:uid="{FFE1FCAD-3BB1-4D7D-B2CA-2F4918178A52}"/>
    <cellStyle name="Calculation 2 8 6 2 12" xfId="20483" xr:uid="{EB2D8730-EF12-4DFF-9D70-BAB763642373}"/>
    <cellStyle name="Calculation 2 8 6 2 12 2" xfId="37546" xr:uid="{8896ED82-EDFE-40C8-8D19-737BF49C8F4F}"/>
    <cellStyle name="Calculation 2 8 6 2 13" xfId="50150" xr:uid="{0A3ADC2C-7605-4CBD-B35C-06AAC1F7A966}"/>
    <cellStyle name="Calculation 2 8 6 2 2" xfId="4212" xr:uid="{00000000-0005-0000-0000-00007C000000}"/>
    <cellStyle name="Calculation 2 8 6 2 2 2" xfId="11116" xr:uid="{77FE6E2A-98C6-4071-8941-4601DF370E7A}"/>
    <cellStyle name="Calculation 2 8 6 2 2 2 2" xfId="33602" xr:uid="{C4EAEA1C-1DE2-4CC3-928F-2266D78F9D86}"/>
    <cellStyle name="Calculation 2 8 6 2 2 2 3" xfId="49017" xr:uid="{DBAB3638-AB1F-4EB1-A8A9-44DA2F5B3CFD}"/>
    <cellStyle name="Calculation 2 8 6 2 2 3" xfId="16205" xr:uid="{CD322677-AA20-4B47-944D-2DB81C5856BB}"/>
    <cellStyle name="Calculation 2 8 6 2 2 3 2" xfId="38604" xr:uid="{E247F3F5-BE1A-4033-A519-611BD1E95D51}"/>
    <cellStyle name="Calculation 2 8 6 2 2 3 3" xfId="38416" xr:uid="{4D4B06F7-BDD6-4754-B02C-C5C109FC3824}"/>
    <cellStyle name="Calculation 2 8 6 2 2 4" xfId="15477" xr:uid="{C4ADEC57-BC33-4A47-A08C-0B82C1404C4C}"/>
    <cellStyle name="Calculation 2 8 6 2 2 4 2" xfId="47335" xr:uid="{6BE27681-647F-4073-A296-E71AFC2FC1C9}"/>
    <cellStyle name="Calculation 2 8 6 2 2 5" xfId="49713" xr:uid="{E4E422C0-7E8A-4F3C-896F-5190EB727E8F}"/>
    <cellStyle name="Calculation 2 8 6 2 3" xfId="5538" xr:uid="{00000000-0005-0000-0000-00007C000000}"/>
    <cellStyle name="Calculation 2 8 6 2 3 2" xfId="12427" xr:uid="{1509448A-3530-4DAD-A8D5-F3246C0C5FA6}"/>
    <cellStyle name="Calculation 2 8 6 2 3 2 2" xfId="34912" xr:uid="{D85FB0C0-2882-41FF-8D43-F3ADED6BACCC}"/>
    <cellStyle name="Calculation 2 8 6 2 3 2 3" xfId="44556" xr:uid="{289D23D5-0B18-4E3E-87ED-39CEFACF2A91}"/>
    <cellStyle name="Calculation 2 8 6 2 3 3" xfId="17475" xr:uid="{33E6C1D0-C999-4870-B446-46549474D641}"/>
    <cellStyle name="Calculation 2 8 6 2 3 3 2" xfId="39865" xr:uid="{300DD647-15CB-45ED-8E09-EC01292A96EF}"/>
    <cellStyle name="Calculation 2 8 6 2 3 3 3" xfId="25985" xr:uid="{C1CBF641-5A43-4F75-94EC-218D4E6091CC}"/>
    <cellStyle name="Calculation 2 8 6 2 3 4" xfId="21899" xr:uid="{B6E3A7EC-245F-40A5-94F1-16F7D883B43C}"/>
    <cellStyle name="Calculation 2 8 6 2 3 4 2" xfId="38208" xr:uid="{F322D1D7-1DA5-4EE4-BE72-DAD7F23678C9}"/>
    <cellStyle name="Calculation 2 8 6 2 3 5" xfId="47189" xr:uid="{A4A762D9-F90F-4B0B-A16C-B51A16E625A5}"/>
    <cellStyle name="Calculation 2 8 6 2 4" xfId="5960" xr:uid="{00000000-0005-0000-0000-00007C000000}"/>
    <cellStyle name="Calculation 2 8 6 2 4 2" xfId="12841" xr:uid="{4769B875-CD8E-46B2-A8E9-2BF591B6F2CC}"/>
    <cellStyle name="Calculation 2 8 6 2 4 2 2" xfId="35325" xr:uid="{1E653376-A959-4BE4-AF1B-83A2453FC1C6}"/>
    <cellStyle name="Calculation 2 8 6 2 4 2 3" xfId="52598" xr:uid="{BF49A4BD-1312-4069-83EC-EF7F84C421F9}"/>
    <cellStyle name="Calculation 2 8 6 2 4 3" xfId="17897" xr:uid="{4081F96A-4946-4D99-95DC-2723B9F68FE1}"/>
    <cellStyle name="Calculation 2 8 6 2 4 3 2" xfId="40287" xr:uid="{9DDEE453-478F-47CD-979C-D3A7D523FB1E}"/>
    <cellStyle name="Calculation 2 8 6 2 4 3 3" xfId="29666" xr:uid="{ECEBFD12-8E55-478C-95BC-B3DEE005B86B}"/>
    <cellStyle name="Calculation 2 8 6 2 4 4" xfId="22321" xr:uid="{2726F9F3-8BAE-415B-A230-56DD0D90A3EA}"/>
    <cellStyle name="Calculation 2 8 6 2 4 4 2" xfId="45994" xr:uid="{9027AEAE-D48A-4EE5-91A7-7145915345F6}"/>
    <cellStyle name="Calculation 2 8 6 2 4 5" xfId="47548" xr:uid="{291F5182-394B-4823-8A3B-5DEA26A45E63}"/>
    <cellStyle name="Calculation 2 8 6 2 5" xfId="6300" xr:uid="{00000000-0005-0000-0000-00007C000000}"/>
    <cellStyle name="Calculation 2 8 6 2 5 2" xfId="13172" xr:uid="{37025E10-FD6C-4E4F-A474-5A7BCC852142}"/>
    <cellStyle name="Calculation 2 8 6 2 5 2 2" xfId="35656" xr:uid="{E14A8EBE-5058-4D2B-8F87-E32B6060F275}"/>
    <cellStyle name="Calculation 2 8 6 2 5 2 3" xfId="44545" xr:uid="{F1DA2DFE-CC97-43E6-9BF2-A6C6CEC7D812}"/>
    <cellStyle name="Calculation 2 8 6 2 5 3" xfId="18237" xr:uid="{685C51A0-D933-45C6-97EB-D26BF6EFBE22}"/>
    <cellStyle name="Calculation 2 8 6 2 5 3 2" xfId="40627" xr:uid="{623F768A-C0A1-4E29-AB49-CF120842A931}"/>
    <cellStyle name="Calculation 2 8 6 2 5 3 3" xfId="30306" xr:uid="{DA33A51C-06E9-4039-A9EF-DF40F70526E2}"/>
    <cellStyle name="Calculation 2 8 6 2 5 4" xfId="22661" xr:uid="{F13177A1-5A28-4BB1-A312-989D9C63BBD9}"/>
    <cellStyle name="Calculation 2 8 6 2 5 4 2" xfId="52313" xr:uid="{DDDAA9CF-ECD8-412B-B2B0-52B7BEF12A9A}"/>
    <cellStyle name="Calculation 2 8 6 2 5 5" xfId="48924" xr:uid="{37467F0B-9FD9-47C7-9CFB-C79E7C4AF819}"/>
    <cellStyle name="Calculation 2 8 6 2 6" xfId="6655" xr:uid="{00000000-0005-0000-0000-00007C000000}"/>
    <cellStyle name="Calculation 2 8 6 2 6 2" xfId="13521" xr:uid="{BDAC214D-5552-4784-855A-E526A29E4CC4}"/>
    <cellStyle name="Calculation 2 8 6 2 6 2 2" xfId="36005" xr:uid="{7042100E-10A8-4EEE-92AE-3E467C711D56}"/>
    <cellStyle name="Calculation 2 8 6 2 6 2 3" xfId="46739" xr:uid="{CD14750C-D61C-4261-AF13-91FE5EFD698C}"/>
    <cellStyle name="Calculation 2 8 6 2 6 3" xfId="18592" xr:uid="{F19DC7AF-2260-4C02-8F41-C770298EC38E}"/>
    <cellStyle name="Calculation 2 8 6 2 6 3 2" xfId="40982" xr:uid="{CFE75927-3504-4C7D-B8C5-E551E517530A}"/>
    <cellStyle name="Calculation 2 8 6 2 6 3 3" xfId="41601" xr:uid="{3ED7215E-DA6E-49A5-AC28-5CC584EA55EE}"/>
    <cellStyle name="Calculation 2 8 6 2 6 4" xfId="23016" xr:uid="{6B541975-9144-48D8-BFB0-F68D9D2D79F5}"/>
    <cellStyle name="Calculation 2 8 6 2 6 4 2" xfId="47058" xr:uid="{7C970E95-F10D-484C-8E50-5B53AB342F35}"/>
    <cellStyle name="Calculation 2 8 6 2 6 5" xfId="50230" xr:uid="{92B18F9F-E69E-42C3-B2E9-EC9E815A0DFE}"/>
    <cellStyle name="Calculation 2 8 6 2 7" xfId="6605" xr:uid="{00000000-0005-0000-0000-00007C000000}"/>
    <cellStyle name="Calculation 2 8 6 2 7 2" xfId="13471" xr:uid="{3A2F1FA4-ABB2-4826-951A-E48869C6283E}"/>
    <cellStyle name="Calculation 2 8 6 2 7 2 2" xfId="35955" xr:uid="{46A29EEB-949E-4B24-8DFB-2489E79A33BA}"/>
    <cellStyle name="Calculation 2 8 6 2 7 2 3" xfId="49002" xr:uid="{BFA5DC25-229C-4044-8080-E2702F71DA12}"/>
    <cellStyle name="Calculation 2 8 6 2 7 3" xfId="18542" xr:uid="{DA8D10A1-5B0E-4680-9BA9-E364466AE982}"/>
    <cellStyle name="Calculation 2 8 6 2 7 3 2" xfId="40932" xr:uid="{4A5D6BCE-C5C3-4151-9C62-6DF047583DC9}"/>
    <cellStyle name="Calculation 2 8 6 2 7 3 3" xfId="27107" xr:uid="{878DCDC3-D0D3-4D69-9230-BF0D65222059}"/>
    <cellStyle name="Calculation 2 8 6 2 7 4" xfId="22966" xr:uid="{67C88EF2-CE6F-4157-807F-D9A8981FE566}"/>
    <cellStyle name="Calculation 2 8 6 2 7 4 2" xfId="29226" xr:uid="{96E8BA36-8075-4C34-AAEC-0B035D75D07D}"/>
    <cellStyle name="Calculation 2 8 6 2 7 5" xfId="53795" xr:uid="{7405D208-B3DD-4BD5-B3AE-5D0ECE94BE0E}"/>
    <cellStyle name="Calculation 2 8 6 2 8" xfId="7110" xr:uid="{00000000-0005-0000-0000-00007C000000}"/>
    <cellStyle name="Calculation 2 8 6 2 8 2" xfId="13946" xr:uid="{F30A3BA1-9684-4321-B942-3B5D75B64150}"/>
    <cellStyle name="Calculation 2 8 6 2 8 2 2" xfId="36430" xr:uid="{CEBE7505-2833-4AC5-A813-A2846449B632}"/>
    <cellStyle name="Calculation 2 8 6 2 8 2 3" xfId="47998" xr:uid="{68F28556-5370-4C76-B389-8ACD0A127A6C}"/>
    <cellStyle name="Calculation 2 8 6 2 8 3" xfId="19047" xr:uid="{097AEC28-147A-4ED6-AF21-622C0B96E177}"/>
    <cellStyle name="Calculation 2 8 6 2 8 3 2" xfId="41437" xr:uid="{FD0D2D05-BA88-488C-883B-1F1C7EA205F9}"/>
    <cellStyle name="Calculation 2 8 6 2 8 3 3" xfId="31537" xr:uid="{53DF986B-8D39-416E-B640-E21A924DA752}"/>
    <cellStyle name="Calculation 2 8 6 2 8 4" xfId="23471" xr:uid="{216AB83A-2FC2-46F4-B28E-3CAAC0BF5A9C}"/>
    <cellStyle name="Calculation 2 8 6 2 8 4 2" xfId="52693" xr:uid="{4C0C76A0-53DC-498E-853F-44B3C693E2CC}"/>
    <cellStyle name="Calculation 2 8 6 2 8 5" xfId="52325" xr:uid="{63153177-3E7D-4CFB-95F8-509CBAC67D81}"/>
    <cellStyle name="Calculation 2 8 6 2 9" xfId="7225" xr:uid="{00000000-0005-0000-0000-00007C000000}"/>
    <cellStyle name="Calculation 2 8 6 2 9 2" xfId="19162" xr:uid="{80B3EBE5-BFE9-4346-B8A7-C9927D788935}"/>
    <cellStyle name="Calculation 2 8 6 2 9 2 2" xfId="41552" xr:uid="{75EE07F6-DEE3-449B-B37A-210DF11E6D36}"/>
    <cellStyle name="Calculation 2 8 6 2 9 2 3" xfId="43473" xr:uid="{D7A8B173-9CE6-4365-B7C7-42B2CEF028FE}"/>
    <cellStyle name="Calculation 2 8 6 2 9 3" xfId="23586" xr:uid="{D3ECF585-0FEF-4B9C-AB23-22DEF9E6F8B0}"/>
    <cellStyle name="Calculation 2 8 6 2 9 3 2" xfId="28884" xr:uid="{C6FFFDB1-8C8A-4704-8096-DCD599B54BB5}"/>
    <cellStyle name="Calculation 2 8 6 2 9 4" xfId="44470" xr:uid="{11A5063C-9C54-40DB-9013-A9C2ECDE3A5A}"/>
    <cellStyle name="Calculation 2 8 6 3" xfId="3492" xr:uid="{00000000-0005-0000-0000-00007B000000}"/>
    <cellStyle name="Calculation 2 8 6 3 2" xfId="10399" xr:uid="{42B785EB-E4D4-4690-B4B9-592357862280}"/>
    <cellStyle name="Calculation 2 8 6 3 2 2" xfId="32886" xr:uid="{B082F58C-498D-47DF-82B8-70C91E826438}"/>
    <cellStyle name="Calculation 2 8 6 3 2 3" xfId="51676" xr:uid="{BEC635F9-C488-4B74-8B71-E371F1B88430}"/>
    <cellStyle name="Calculation 2 8 6 3 3" xfId="15670" xr:uid="{7A66461D-B2BD-4978-A6C5-D8E97141F1AD}"/>
    <cellStyle name="Calculation 2 8 6 3 3 2" xfId="38086" xr:uid="{2162E4DE-B778-4F03-93EE-067CC358A565}"/>
    <cellStyle name="Calculation 2 8 6 3 3 3" xfId="48105" xr:uid="{6BAC9006-CC03-4E5B-BAA3-4F898F8B3232}"/>
    <cellStyle name="Calculation 2 8 6 3 4" xfId="14635" xr:uid="{CAEBC583-7272-4B20-AA80-220EBF41AD80}"/>
    <cellStyle name="Calculation 2 8 6 3 4 2" xfId="50817" xr:uid="{A659D234-B7CE-4FC8-85BF-3C024C2E068E}"/>
    <cellStyle name="Calculation 2 8 6 3 5" xfId="49845" xr:uid="{166DB4BD-CA96-457B-84B2-18DEB35604FC}"/>
    <cellStyle name="Calculation 2 8 6 4" xfId="5027" xr:uid="{00000000-0005-0000-0000-00007B000000}"/>
    <cellStyle name="Calculation 2 8 6 4 2" xfId="11921" xr:uid="{DA170CCD-A996-4996-ACF1-CBD896B0371B}"/>
    <cellStyle name="Calculation 2 8 6 4 2 2" xfId="34407" xr:uid="{98872EE0-4248-449A-969F-D67A01004E11}"/>
    <cellStyle name="Calculation 2 8 6 4 2 3" xfId="45506" xr:uid="{040B2E78-DCB7-40E0-8968-CB2E4A41ABCF}"/>
    <cellStyle name="Calculation 2 8 6 4 3" xfId="16964" xr:uid="{2C827E4F-704B-4A61-9129-FF89F83BC60B}"/>
    <cellStyle name="Calculation 2 8 6 4 3 2" xfId="39354" xr:uid="{9ABD759F-3C0C-4BFB-BB67-0DA94F2EE102}"/>
    <cellStyle name="Calculation 2 8 6 4 3 3" xfId="28266" xr:uid="{115297E2-36FA-4234-80F5-9CF42560DFF2}"/>
    <cellStyle name="Calculation 2 8 6 4 4" xfId="21388" xr:uid="{34B09455-2240-4CB9-A109-0E1EBFCA06AF}"/>
    <cellStyle name="Calculation 2 8 6 4 4 2" xfId="48843" xr:uid="{B6798CCF-9889-4707-BA0F-75DEDAEFA66F}"/>
    <cellStyle name="Calculation 2 8 6 4 5" xfId="28584" xr:uid="{D9614531-FB0A-448F-9DDB-1751B990C083}"/>
    <cellStyle name="Calculation 2 8 6 5" xfId="5489" xr:uid="{00000000-0005-0000-0000-00007B000000}"/>
    <cellStyle name="Calculation 2 8 6 5 2" xfId="12378" xr:uid="{17AD53D4-E197-4244-AF54-F25697C787C2}"/>
    <cellStyle name="Calculation 2 8 6 5 2 2" xfId="34863" xr:uid="{155E4150-09E5-4E49-82B0-DD412CE0664C}"/>
    <cellStyle name="Calculation 2 8 6 5 2 3" xfId="27300" xr:uid="{95205299-D7B5-40D6-B700-7EF9DAB44692}"/>
    <cellStyle name="Calculation 2 8 6 5 3" xfId="17426" xr:uid="{EB3FE0C3-B6C9-489B-A1D5-F27DC249833A}"/>
    <cellStyle name="Calculation 2 8 6 5 3 2" xfId="39816" xr:uid="{21330967-2B3B-4DFA-B390-DABDDB9D7BDA}"/>
    <cellStyle name="Calculation 2 8 6 5 3 3" xfId="43999" xr:uid="{9A6485A3-6FA5-42BE-9617-E34CFBF81AFC}"/>
    <cellStyle name="Calculation 2 8 6 5 4" xfId="21850" xr:uid="{544E16BB-7630-4FC6-A272-6E59694D0FBC}"/>
    <cellStyle name="Calculation 2 8 6 5 4 2" xfId="45414" xr:uid="{03C1104E-9EC1-40A5-BBD6-AFA19DCFB5E1}"/>
    <cellStyle name="Calculation 2 8 6 5 5" xfId="51991" xr:uid="{2C92227A-87F1-4BAA-8F79-CF7C5F8D1A5F}"/>
    <cellStyle name="Calculation 2 8 6 6" xfId="6050" xr:uid="{00000000-0005-0000-0000-00007B000000}"/>
    <cellStyle name="Calculation 2 8 6 6 2" xfId="12929" xr:uid="{CC51050A-404D-45C3-8734-89AC0B747D3F}"/>
    <cellStyle name="Calculation 2 8 6 6 2 2" xfId="35413" xr:uid="{A489D0AE-A823-4E81-97CA-D8199C4C7376}"/>
    <cellStyle name="Calculation 2 8 6 6 2 3" xfId="47143" xr:uid="{E3998CC1-7978-4CCA-8D29-A5604F19F902}"/>
    <cellStyle name="Calculation 2 8 6 6 3" xfId="17987" xr:uid="{07E08CB2-A26E-4C7D-BB66-739225D6DAD1}"/>
    <cellStyle name="Calculation 2 8 6 6 3 2" xfId="40377" xr:uid="{9EBBC4A8-C63C-425E-B737-C54951109EA6}"/>
    <cellStyle name="Calculation 2 8 6 6 3 3" xfId="27513" xr:uid="{4EBD7806-29FE-4CD6-9385-B7F0DB65D1ED}"/>
    <cellStyle name="Calculation 2 8 6 6 4" xfId="22411" xr:uid="{B5411312-3C47-40E7-AD10-9B1DF6E81462}"/>
    <cellStyle name="Calculation 2 8 6 6 4 2" xfId="52697" xr:uid="{1BDC6050-34FD-43B8-AC41-7B98A5A6A6DE}"/>
    <cellStyle name="Calculation 2 8 6 6 5" xfId="48914" xr:uid="{824A1D7B-C7D1-4B99-9143-BCF41BDB27C0}"/>
    <cellStyle name="Calculation 2 8 6 7" xfId="5694" xr:uid="{00000000-0005-0000-0000-00007B000000}"/>
    <cellStyle name="Calculation 2 8 6 7 2" xfId="12578" xr:uid="{1A212591-C5C2-4D4F-8FF7-CE92FACBF0B0}"/>
    <cellStyle name="Calculation 2 8 6 7 2 2" xfId="35063" xr:uid="{5DDD2ACC-F39F-4A5A-8BCF-F6CF7A9445BE}"/>
    <cellStyle name="Calculation 2 8 6 7 2 3" xfId="45072" xr:uid="{46E247AF-70EA-428F-897B-BFBDC57675D9}"/>
    <cellStyle name="Calculation 2 8 6 7 3" xfId="17631" xr:uid="{ED334271-6F6D-49E5-BA0E-637DD6BB298A}"/>
    <cellStyle name="Calculation 2 8 6 7 3 2" xfId="40021" xr:uid="{3E18022B-C7CF-476B-8C61-8D554A4C57F1}"/>
    <cellStyle name="Calculation 2 8 6 7 3 3" xfId="43793" xr:uid="{EB93E766-CF89-43FE-8A68-0D8B4F706876}"/>
    <cellStyle name="Calculation 2 8 6 7 4" xfId="22055" xr:uid="{FE24E578-48F7-4DE2-ACBB-AE44A1076A69}"/>
    <cellStyle name="Calculation 2 8 6 7 4 2" xfId="47041" xr:uid="{A15827D0-3A0F-4EDD-9CDE-3203548315A0}"/>
    <cellStyle name="Calculation 2 8 6 7 5" xfId="47752" xr:uid="{60D574F3-3504-40C8-BF2E-F95A4D3FEC68}"/>
    <cellStyle name="Calculation 2 8 6 8" xfId="14209" xr:uid="{D9D2977F-3608-4A7B-8261-3760ED0A1A18}"/>
    <cellStyle name="Calculation 2 8 6 8 2" xfId="36684" xr:uid="{46B71A89-44E3-4BE5-9050-C6F5EEC36397}"/>
    <cellStyle name="Calculation 2 8 6 8 3" xfId="48461" xr:uid="{71640E46-857A-4BBD-BF1B-9A4656072275}"/>
    <cellStyle name="Calculation 2 8 6 9" xfId="20265" xr:uid="{06B46BE0-C9D5-4D96-A218-E0C230A8FE68}"/>
    <cellStyle name="Calculation 2 8 6 9 2" xfId="42567" xr:uid="{E3D824E8-E1E9-4F87-88DA-73707C924B89}"/>
    <cellStyle name="Calculation 2 8 6 9 3" xfId="49289" xr:uid="{FCF96CA7-BE78-4BAC-AF43-83B10DA1B522}"/>
    <cellStyle name="Calculation 2 8 7" xfId="1662" xr:uid="{00000000-0005-0000-0000-00007D000000}"/>
    <cellStyle name="Calculation 2 8 7 10" xfId="14376" xr:uid="{37586872-843F-4B03-A742-1F717B4BC251}"/>
    <cellStyle name="Calculation 2 8 7 10 2" xfId="36844" xr:uid="{BF4FE223-AF26-4396-B0EA-C73D7A3C5F25}"/>
    <cellStyle name="Calculation 2 8 7 10 3" xfId="49762" xr:uid="{3BA6B615-FC11-45D4-9B0A-2D13317DE8C4}"/>
    <cellStyle name="Calculation 2 8 7 11" xfId="20171" xr:uid="{F6588B8A-7C7E-439D-B5C1-DCBFDA21C509}"/>
    <cellStyle name="Calculation 2 8 7 11 2" xfId="42482" xr:uid="{B361E7BC-39B7-4BCF-989C-EA6BD3F68242}"/>
    <cellStyle name="Calculation 2 8 7 11 3" xfId="29919" xr:uid="{B7B3F335-E90A-4347-94ED-8EF54879137C}"/>
    <cellStyle name="Calculation 2 8 7 12" xfId="15799" xr:uid="{88467B6A-B08C-458B-A6A7-9D3416CBCF19}"/>
    <cellStyle name="Calculation 2 8 7 12 2" xfId="50941" xr:uid="{2A1A2777-6FDA-4F20-B5F1-6FFA9E670710}"/>
    <cellStyle name="Calculation 2 8 7 13" xfId="32519" xr:uid="{0AA1BE1C-DF30-45F3-875F-1845F84842A7}"/>
    <cellStyle name="Calculation 2 8 7 2" xfId="3760" xr:uid="{00000000-0005-0000-0000-00007D000000}"/>
    <cellStyle name="Calculation 2 8 7 2 2" xfId="10664" xr:uid="{1A4CBA8C-9A55-4588-BA0C-C139E1C05F72}"/>
    <cellStyle name="Calculation 2 8 7 2 2 2" xfId="33150" xr:uid="{2AB3C7C4-4D31-47B2-9F22-23D1295D44EB}"/>
    <cellStyle name="Calculation 2 8 7 2 2 3" xfId="50430" xr:uid="{06DEB2C4-F204-40FE-BA29-24AA76830F61}"/>
    <cellStyle name="Calculation 2 8 7 2 3" xfId="15841" xr:uid="{E0972E01-D6C5-457C-A1C2-46FD42F84A7A}"/>
    <cellStyle name="Calculation 2 8 7 2 3 2" xfId="38249" xr:uid="{884674D4-94AE-4735-9F88-EC44EB4F4DDD}"/>
    <cellStyle name="Calculation 2 8 7 2 3 3" xfId="52941" xr:uid="{0D780A45-A154-4E52-A28D-D3D979DC9634}"/>
    <cellStyle name="Calculation 2 8 7 2 4" xfId="20444" xr:uid="{AB8EDBD9-F32B-4C97-A578-C72DDF0EC025}"/>
    <cellStyle name="Calculation 2 8 7 2 4 2" xfId="48693" xr:uid="{976D5617-C54D-4890-87F9-D795A301D0BC}"/>
    <cellStyle name="Calculation 2 8 7 2 5" xfId="29213" xr:uid="{B2A340B5-C77D-46A0-AEC5-E59BA988EA30}"/>
    <cellStyle name="Calculation 2 8 7 3" xfId="5195" xr:uid="{00000000-0005-0000-0000-00007D000000}"/>
    <cellStyle name="Calculation 2 8 7 3 2" xfId="12088" xr:uid="{828A7705-8D45-46FF-A267-71A30ED49702}"/>
    <cellStyle name="Calculation 2 8 7 3 2 2" xfId="34574" xr:uid="{9DD24EC3-9DE4-4C19-BF42-231AA5C2C85B}"/>
    <cellStyle name="Calculation 2 8 7 3 2 3" xfId="45672" xr:uid="{B30CBF78-F0B5-4720-88AA-FF3FF9FCE4C8}"/>
    <cellStyle name="Calculation 2 8 7 3 3" xfId="17132" xr:uid="{99C10750-1362-44BE-A7E5-38C4C37A55E9}"/>
    <cellStyle name="Calculation 2 8 7 3 3 2" xfId="39522" xr:uid="{F7467684-2405-43D2-9183-ED0A8D48BD91}"/>
    <cellStyle name="Calculation 2 8 7 3 3 3" xfId="24457" xr:uid="{C3995841-30AB-47F5-BAF7-61AE9380D692}"/>
    <cellStyle name="Calculation 2 8 7 3 4" xfId="21556" xr:uid="{457B907F-4C77-42C6-83D7-A9A11A119FAE}"/>
    <cellStyle name="Calculation 2 8 7 3 4 2" xfId="52194" xr:uid="{4820CEFB-CAD3-4227-AF28-DDAD53085026}"/>
    <cellStyle name="Calculation 2 8 7 3 5" xfId="52389" xr:uid="{290AAE99-F556-4AC3-9EE3-4CBC0FA156BB}"/>
    <cellStyle name="Calculation 2 8 7 4" xfId="5099" xr:uid="{00000000-0005-0000-0000-00007D000000}"/>
    <cellStyle name="Calculation 2 8 7 4 2" xfId="11992" xr:uid="{A95F5A8F-C95D-4976-B3BA-A753A244B67F}"/>
    <cellStyle name="Calculation 2 8 7 4 2 2" xfId="34478" xr:uid="{18E2EDF1-6ECD-43C6-BFEA-AA1BD9D3F0EA}"/>
    <cellStyle name="Calculation 2 8 7 4 2 3" xfId="45883" xr:uid="{9CCA4A68-9F12-47E0-880F-C9835E0A2656}"/>
    <cellStyle name="Calculation 2 8 7 4 3" xfId="17036" xr:uid="{91657BCB-DA3F-412D-9978-29CC41F820A9}"/>
    <cellStyle name="Calculation 2 8 7 4 3 2" xfId="39426" xr:uid="{A70755D3-FAB3-4BFC-BAA5-E0E18AAD00F8}"/>
    <cellStyle name="Calculation 2 8 7 4 3 3" xfId="37111" xr:uid="{1C2F6417-BE0A-4ECE-A1E0-37EAEAA0CE05}"/>
    <cellStyle name="Calculation 2 8 7 4 4" xfId="21460" xr:uid="{DCB71B4F-6A72-4E88-A1C9-95CB714962FC}"/>
    <cellStyle name="Calculation 2 8 7 4 4 2" xfId="29795" xr:uid="{59AAF552-7E6F-44B4-8FF9-D50B7E8558F4}"/>
    <cellStyle name="Calculation 2 8 7 4 5" xfId="51872" xr:uid="{3CD74FFB-EECC-48AC-8342-CC192D699561}"/>
    <cellStyle name="Calculation 2 8 7 5" xfId="5968" xr:uid="{00000000-0005-0000-0000-00007D000000}"/>
    <cellStyle name="Calculation 2 8 7 5 2" xfId="12849" xr:uid="{8A8C5952-5455-4661-8F8A-C659FFBAE579}"/>
    <cellStyle name="Calculation 2 8 7 5 2 2" xfId="35333" xr:uid="{C9A17531-E853-4035-8ED4-124E5D51FD28}"/>
    <cellStyle name="Calculation 2 8 7 5 2 3" xfId="52292" xr:uid="{E79A9C28-2AA9-42DB-A6CC-29B5178638A3}"/>
    <cellStyle name="Calculation 2 8 7 5 3" xfId="17905" xr:uid="{74B5BEF9-54A9-4F69-9E29-13880A031DD2}"/>
    <cellStyle name="Calculation 2 8 7 5 3 2" xfId="40295" xr:uid="{BF0B47E7-4491-4936-B36D-AC3AF2F2DDF4}"/>
    <cellStyle name="Calculation 2 8 7 5 3 3" xfId="24011" xr:uid="{5B17AA63-6C21-4251-8CB2-8F0D69232FFD}"/>
    <cellStyle name="Calculation 2 8 7 5 4" xfId="22329" xr:uid="{94A9636D-03A9-4C65-B93E-B411C464133F}"/>
    <cellStyle name="Calculation 2 8 7 5 4 2" xfId="46031" xr:uid="{0FDD64BA-7992-4DE5-AD80-D95F68B58113}"/>
    <cellStyle name="Calculation 2 8 7 5 5" xfId="51235" xr:uid="{A3BB5804-DC6C-4A9D-85CB-ADF1B1DE6E6B}"/>
    <cellStyle name="Calculation 2 8 7 6" xfId="4609" xr:uid="{00000000-0005-0000-0000-00007D000000}"/>
    <cellStyle name="Calculation 2 8 7 6 2" xfId="11510" xr:uid="{E7791046-169C-4875-B783-8A27CC5D0433}"/>
    <cellStyle name="Calculation 2 8 7 6 2 2" xfId="33996" xr:uid="{289F7AED-4CE6-4E4F-BEE5-2DD9EA104551}"/>
    <cellStyle name="Calculation 2 8 7 6 2 3" xfId="28679" xr:uid="{42C39112-CB1C-4F3B-8D91-B7897E1F7FF5}"/>
    <cellStyle name="Calculation 2 8 7 6 3" xfId="16546" xr:uid="{29870959-0B6C-4FD0-A2B8-F25DF7D21FDD}"/>
    <cellStyle name="Calculation 2 8 7 6 3 2" xfId="38936" xr:uid="{8A78C4AF-3471-44A9-BE1E-F58E0E08EBBA}"/>
    <cellStyle name="Calculation 2 8 7 6 3 3" xfId="24510" xr:uid="{92BBF16D-4AEE-46D2-8BCE-A8C1C18D29DD}"/>
    <cellStyle name="Calculation 2 8 7 6 4" xfId="16015" xr:uid="{4A4F2E95-33E7-473C-B475-F22F37A6F14C}"/>
    <cellStyle name="Calculation 2 8 7 6 4 2" xfId="50164" xr:uid="{FE5CBB93-252E-4361-887E-2CDC64F0408A}"/>
    <cellStyle name="Calculation 2 8 7 6 5" xfId="46258" xr:uid="{DFADA98E-29F3-446E-B3AC-5F4BE1A75F1B}"/>
    <cellStyle name="Calculation 2 8 7 7" xfId="6718" xr:uid="{00000000-0005-0000-0000-00007D000000}"/>
    <cellStyle name="Calculation 2 8 7 7 2" xfId="13580" xr:uid="{B2D2F82B-78B8-4919-BD00-04E7DB9F6F25}"/>
    <cellStyle name="Calculation 2 8 7 7 2 2" xfId="36064" xr:uid="{893D343A-151B-4758-9FA9-BEB051F13865}"/>
    <cellStyle name="Calculation 2 8 7 7 2 3" xfId="53264" xr:uid="{0041029A-6173-4378-9F62-D7AB000F7F21}"/>
    <cellStyle name="Calculation 2 8 7 7 3" xfId="18655" xr:uid="{DB10B550-20CD-4D53-8180-4F13B30AE2BB}"/>
    <cellStyle name="Calculation 2 8 7 7 3 2" xfId="41045" xr:uid="{2CBD33F7-4E61-4A8D-BBAE-FA0C8A758B5E}"/>
    <cellStyle name="Calculation 2 8 7 7 3 3" xfId="44192" xr:uid="{083E7425-9BC5-4D99-9C6C-640E1391317B}"/>
    <cellStyle name="Calculation 2 8 7 7 4" xfId="23079" xr:uid="{5CF928DB-80BD-496B-87C6-16079E6917AC}"/>
    <cellStyle name="Calculation 2 8 7 7 4 2" xfId="46767" xr:uid="{EA2F4DC1-2053-42AF-BC04-07420D26BB3A}"/>
    <cellStyle name="Calculation 2 8 7 7 5" xfId="49322" xr:uid="{703A830B-2C4F-421A-A7F0-AE00A71C0A32}"/>
    <cellStyle name="Calculation 2 8 7 8" xfId="4610" xr:uid="{00000000-0005-0000-0000-00007D000000}"/>
    <cellStyle name="Calculation 2 8 7 8 2" xfId="11511" xr:uid="{889DBC59-A907-4916-A83A-C1738786FD6C}"/>
    <cellStyle name="Calculation 2 8 7 8 2 2" xfId="33997" xr:uid="{8DAEB3BA-CFE3-4BF8-B896-9FA3CE265D44}"/>
    <cellStyle name="Calculation 2 8 7 8 2 3" xfId="27954" xr:uid="{9E7B8485-6370-4E2E-99B8-C93A03CE485C}"/>
    <cellStyle name="Calculation 2 8 7 8 3" xfId="16547" xr:uid="{51CD823C-A181-43EE-A802-F2105D3BA27C}"/>
    <cellStyle name="Calculation 2 8 7 8 3 2" xfId="38937" xr:uid="{564EA86A-BDED-4101-A540-BAE14968C747}"/>
    <cellStyle name="Calculation 2 8 7 8 3 3" xfId="27116" xr:uid="{514A4948-8B27-4A41-BAA2-CF0FCDA703D4}"/>
    <cellStyle name="Calculation 2 8 7 8 4" xfId="14482" xr:uid="{9EF79F7C-D90F-4EEC-9BD0-8BB38BE93C7B}"/>
    <cellStyle name="Calculation 2 8 7 8 4 2" xfId="28974" xr:uid="{4DB116C1-928C-4D5B-A32D-83EC229A67F5}"/>
    <cellStyle name="Calculation 2 8 7 8 5" xfId="29290" xr:uid="{4EA517CF-E64C-4143-B971-0E726D66D44B}"/>
    <cellStyle name="Calculation 2 8 7 9" xfId="6877" xr:uid="{00000000-0005-0000-0000-00007D000000}"/>
    <cellStyle name="Calculation 2 8 7 9 2" xfId="18814" xr:uid="{84FF018A-D84E-41B4-B53A-CF033702CB24}"/>
    <cellStyle name="Calculation 2 8 7 9 2 2" xfId="41204" xr:uid="{C6D554AC-CF65-4834-967C-9568A8AB347E}"/>
    <cellStyle name="Calculation 2 8 7 9 2 3" xfId="45724" xr:uid="{FB98BBD6-FA0D-4335-9446-EB958EEA32F5}"/>
    <cellStyle name="Calculation 2 8 7 9 3" xfId="23238" xr:uid="{AD9C6552-EB96-40A0-9D8E-E07260C2E9C1}"/>
    <cellStyle name="Calculation 2 8 7 9 3 2" xfId="54063" xr:uid="{E5D8421C-9574-4546-A96E-DFFE28B1C79F}"/>
    <cellStyle name="Calculation 2 8 7 9 4" xfId="46290" xr:uid="{F325B86C-1196-4C60-8A59-14F08BD7EDC2}"/>
    <cellStyle name="Calculation 2 8 8" xfId="2609" xr:uid="{00000000-0005-0000-0000-000072000000}"/>
    <cellStyle name="Calculation 2 8 8 2" xfId="9518" xr:uid="{363CC716-DE27-46F3-8ADA-7324F78C214F}"/>
    <cellStyle name="Calculation 2 8 8 2 2" xfId="32070" xr:uid="{792E2E17-306D-4404-8A08-F43DAC50F41E}"/>
    <cellStyle name="Calculation 2 8 8 2 3" xfId="52208" xr:uid="{6F54FB96-C2E5-4F72-93E0-7B1DD38C899E}"/>
    <cellStyle name="Calculation 2 8 8 3" xfId="15087" xr:uid="{EF5EE0BC-79ED-4606-9F5E-0314770A96C3}"/>
    <cellStyle name="Calculation 2 8 8 3 2" xfId="37532" xr:uid="{6040532D-DB39-4737-A6B2-8826BCE71117}"/>
    <cellStyle name="Calculation 2 8 8 3 3" xfId="47330" xr:uid="{E0D6A733-7A17-4ECB-9AA1-832F187183BF}"/>
    <cellStyle name="Calculation 2 8 8 4" xfId="19720" xr:uid="{55A3B90E-5129-4B9E-90DD-D381FF068325}"/>
    <cellStyle name="Calculation 2 8 8 4 2" xfId="31890" xr:uid="{07D12ECD-5286-4817-BEAC-5207547045DB}"/>
    <cellStyle name="Calculation 2 8 8 5" xfId="51526" xr:uid="{23447055-620F-4C65-8898-2296C85113DC}"/>
    <cellStyle name="Calculation 2 8 9" xfId="4440" xr:uid="{00000000-0005-0000-0000-000072000000}"/>
    <cellStyle name="Calculation 2 8 9 2" xfId="11342" xr:uid="{2CBCF3C3-C559-4ED7-8BE0-380E6FE10F9C}"/>
    <cellStyle name="Calculation 2 8 9 2 2" xfId="33828" xr:uid="{BC9DE0EF-BBC4-4E78-B11C-8901A5B30512}"/>
    <cellStyle name="Calculation 2 8 9 2 3" xfId="25000" xr:uid="{5DFDB216-6827-45D9-9C86-090A4D6AC798}"/>
    <cellStyle name="Calculation 2 8 9 3" xfId="16377" xr:uid="{8AC02906-DEE7-4808-8C97-49A4EA96664E}"/>
    <cellStyle name="Calculation 2 8 9 3 2" xfId="38767" xr:uid="{1EC81974-B251-4C4B-86F1-AF37C73D17F0}"/>
    <cellStyle name="Calculation 2 8 9 3 3" xfId="27764" xr:uid="{FA04D6DA-9F91-4163-88F0-DE9D52796B96}"/>
    <cellStyle name="Calculation 2 8 9 4" xfId="15931" xr:uid="{74BA633E-5830-4DC8-B676-0B6E82A11825}"/>
    <cellStyle name="Calculation 2 8 9 4 2" xfId="29709" xr:uid="{F4F14864-A7ED-40FB-98AC-E03197E80B6D}"/>
    <cellStyle name="Calculation 2 8 9 5" xfId="53954" xr:uid="{F866CD47-5F91-419F-9377-D6FDF1F2F0AF}"/>
    <cellStyle name="Calculation 2 9" xfId="424" xr:uid="{00000000-0005-0000-0000-00007E000000}"/>
    <cellStyle name="Calculation 2 9 10" xfId="4373" xr:uid="{00000000-0005-0000-0000-00007E000000}"/>
    <cellStyle name="Calculation 2 9 10 2" xfId="11275" xr:uid="{414B426E-B251-4A31-A8EA-ECD207D6FDFB}"/>
    <cellStyle name="Calculation 2 9 10 2 2" xfId="33761" xr:uid="{5F370894-9435-4C8D-87D4-9736730FED32}"/>
    <cellStyle name="Calculation 2 9 10 2 3" xfId="43788" xr:uid="{B2E877BE-0816-438D-BFF3-DB8F3E9AC4EC}"/>
    <cellStyle name="Calculation 2 9 10 3" xfId="16310" xr:uid="{A81A034C-64AE-43AD-9535-B7FDA7D0A302}"/>
    <cellStyle name="Calculation 2 9 10 3 2" xfId="38700" xr:uid="{F881225E-BDCC-436D-AA3E-634AE110A632}"/>
    <cellStyle name="Calculation 2 9 10 3 3" xfId="43368" xr:uid="{55442035-D7E4-4E2D-8A23-DE630B0B1E34}"/>
    <cellStyle name="Calculation 2 9 10 4" xfId="19439" xr:uid="{E1F88128-8512-4D40-A4F5-093695ECB4E3}"/>
    <cellStyle name="Calculation 2 9 10 4 2" xfId="24737" xr:uid="{CF1DE575-CC28-4D6C-8C4C-F52F46C89397}"/>
    <cellStyle name="Calculation 2 9 10 5" xfId="51298" xr:uid="{8640ECAD-39EB-43AB-94E9-0F8AECF1F2F9}"/>
    <cellStyle name="Calculation 2 9 11" xfId="2334" xr:uid="{00000000-0005-0000-0000-00007E000000}"/>
    <cellStyle name="Calculation 2 9 11 2" xfId="9243" xr:uid="{22771C92-DE25-44BE-9890-EEE5C3F1F85B}"/>
    <cellStyle name="Calculation 2 9 11 2 2" xfId="31818" xr:uid="{8A2DFA7E-7D0C-4CE5-B031-8684ECCF25AE}"/>
    <cellStyle name="Calculation 2 9 11 2 3" xfId="52245" xr:uid="{0B7DE120-C06A-43D5-B7EF-2CA423576EC8}"/>
    <cellStyle name="Calculation 2 9 11 3" xfId="14894" xr:uid="{034E9E75-3DD8-4B5F-88ED-8B9961DB934A}"/>
    <cellStyle name="Calculation 2 9 11 3 2" xfId="37348" xr:uid="{D395A3B7-2CA5-4689-BBCC-D51817B2BFBE}"/>
    <cellStyle name="Calculation 2 9 11 3 3" xfId="48049" xr:uid="{6F9DA3F8-C333-4D5C-983F-E81BE8CB0737}"/>
    <cellStyle name="Calculation 2 9 11 4" xfId="8122" xr:uid="{3F898366-2C5E-45EF-AAEA-6388F5895417}"/>
    <cellStyle name="Calculation 2 9 11 4 2" xfId="37682" xr:uid="{CBFEA9BE-11D2-4BFD-87F2-01BE62E8627A}"/>
    <cellStyle name="Calculation 2 9 11 5" xfId="51366" xr:uid="{ACC0B06C-9E4E-490C-A9D7-6179CEC11FC5}"/>
    <cellStyle name="Calculation 2 9 12" xfId="6812" xr:uid="{00000000-0005-0000-0000-00007E000000}"/>
    <cellStyle name="Calculation 2 9 12 2" xfId="13660" xr:uid="{BAE595D9-B530-452E-AEEA-E388ABEBE660}"/>
    <cellStyle name="Calculation 2 9 12 2 2" xfId="36144" xr:uid="{A7C683F9-65F5-489F-9CC0-605C5891C300}"/>
    <cellStyle name="Calculation 2 9 12 2 3" xfId="49333" xr:uid="{BA7C66CB-EADC-4588-A8CD-A4973124D31F}"/>
    <cellStyle name="Calculation 2 9 12 3" xfId="18749" xr:uid="{1803A837-0857-41DB-9573-39194089151F}"/>
    <cellStyle name="Calculation 2 9 12 3 2" xfId="41139" xr:uid="{105E2FA9-B975-42D6-BFF3-99916CD6762F}"/>
    <cellStyle name="Calculation 2 9 12 3 3" xfId="26182" xr:uid="{1F276B29-F3EC-46E6-BA82-5E048010E98D}"/>
    <cellStyle name="Calculation 2 9 12 4" xfId="23173" xr:uid="{5B9C0F35-3DCB-4B1D-A761-5B218281241C}"/>
    <cellStyle name="Calculation 2 9 12 4 2" xfId="48891" xr:uid="{233904D9-20C2-42B5-8921-8153C6361CF8}"/>
    <cellStyle name="Calculation 2 9 12 5" xfId="54121" xr:uid="{0EE291D5-C3E8-4B71-BECB-E1A1706A2169}"/>
    <cellStyle name="Calculation 2 9 13" xfId="13963" xr:uid="{804E8B42-A78C-454A-A591-D03D790EB94B}"/>
    <cellStyle name="Calculation 2 9 13 2" xfId="36447" xr:uid="{C72FB378-2767-4FBC-9AE6-191541E0A567}"/>
    <cellStyle name="Calculation 2 9 13 3" xfId="50125" xr:uid="{9BD4178D-061C-4C80-9896-92C19DA45462}"/>
    <cellStyle name="Calculation 2 9 14" xfId="20748" xr:uid="{D11841EF-4D6D-47CE-A6A7-C61439361841}"/>
    <cellStyle name="Calculation 2 9 14 2" xfId="43017" xr:uid="{78464C51-491A-4AE4-AD99-DB11A39CA760}"/>
    <cellStyle name="Calculation 2 9 14 3" xfId="30923" xr:uid="{459537C0-1AAE-46B8-9E96-69889987ABFF}"/>
    <cellStyle name="Calculation 2 9 15" xfId="21075" xr:uid="{14E2C56E-D08D-48EB-ADE2-3F327E26C806}"/>
    <cellStyle name="Calculation 2 9 15 2" xfId="47831" xr:uid="{EA586BA8-7184-4985-B71E-E0B4867869F5}"/>
    <cellStyle name="Calculation 2 9 16" xfId="45985" xr:uid="{DF275A33-5F74-4D80-AE92-90831010DED0}"/>
    <cellStyle name="Calculation 2 9 2" xfId="580" xr:uid="{00000000-0005-0000-0000-00007F000000}"/>
    <cellStyle name="Calculation 2 9 2 10" xfId="19804" xr:uid="{58208BF5-C5A0-4135-886C-12A0CBB8FC99}"/>
    <cellStyle name="Calculation 2 9 2 10 2" xfId="27604" xr:uid="{C1EE17C3-3BD7-49CC-B380-759F06E344DB}"/>
    <cellStyle name="Calculation 2 9 2 11" xfId="29044" xr:uid="{74B4054C-28BB-46A1-8D9E-A8B60F15F3E8}"/>
    <cellStyle name="Calculation 2 9 2 2" xfId="1714" xr:uid="{00000000-0005-0000-0000-000080000000}"/>
    <cellStyle name="Calculation 2 9 2 2 10" xfId="14415" xr:uid="{9A8AA871-1F89-4BED-A697-B5A472EE5511}"/>
    <cellStyle name="Calculation 2 9 2 2 10 2" xfId="36881" xr:uid="{9674D792-F1FF-4BFA-9589-6D73490CD0C7}"/>
    <cellStyle name="Calculation 2 9 2 2 10 3" xfId="49102" xr:uid="{2A69E040-490E-442A-9DEC-A65A1C62AED8}"/>
    <cellStyle name="Calculation 2 9 2 2 11" xfId="20904" xr:uid="{7B2B6664-CCA3-4670-BB78-63193EEA39DD}"/>
    <cellStyle name="Calculation 2 9 2 2 11 2" xfId="43165" xr:uid="{500A8DB5-0C9D-442A-90F8-EEAFEA458364}"/>
    <cellStyle name="Calculation 2 9 2 2 11 3" xfId="49255" xr:uid="{E209A2E9-DE2A-4C9B-AC85-3325E4190B88}"/>
    <cellStyle name="Calculation 2 9 2 2 12" xfId="16244" xr:uid="{85B6D1D7-0717-4BAA-94B1-1ECEE3BDA2A1}"/>
    <cellStyle name="Calculation 2 9 2 2 12 2" xfId="38475" xr:uid="{0596AC72-671E-425B-9045-BAE435AB8B76}"/>
    <cellStyle name="Calculation 2 9 2 2 13" xfId="53513" xr:uid="{22798441-1546-4E2F-9972-26EB619581E8}"/>
    <cellStyle name="Calculation 2 9 2 2 2" xfId="3812" xr:uid="{00000000-0005-0000-0000-000080000000}"/>
    <cellStyle name="Calculation 2 9 2 2 2 2" xfId="10716" xr:uid="{538F0344-09FC-49D6-8DE2-69A094B44EBD}"/>
    <cellStyle name="Calculation 2 9 2 2 2 2 2" xfId="33202" xr:uid="{E8F76E27-2A4D-41E3-8A44-13A7ACF16820}"/>
    <cellStyle name="Calculation 2 9 2 2 2 2 3" xfId="47259" xr:uid="{6F13ED22-2ED8-4F20-B101-9D0B46B718EA}"/>
    <cellStyle name="Calculation 2 9 2 2 2 3" xfId="15872" xr:uid="{192E106B-E53C-41C6-8BD8-0734E245728A}"/>
    <cellStyle name="Calculation 2 9 2 2 2 3 2" xfId="38278" xr:uid="{4B81279B-1780-49E8-80E1-1642C9349F4D}"/>
    <cellStyle name="Calculation 2 9 2 2 2 3 3" xfId="44889" xr:uid="{FA0892F0-8065-42CE-B3AC-4F2F08CFD30F}"/>
    <cellStyle name="Calculation 2 9 2 2 2 4" xfId="15270" xr:uid="{F11F0BF5-EF2A-4ABB-8704-BE3D188962A5}"/>
    <cellStyle name="Calculation 2 9 2 2 2 4 2" xfId="50104" xr:uid="{C579025A-7B0E-4321-8174-082EE2226D53}"/>
    <cellStyle name="Calculation 2 9 2 2 2 5" xfId="47252" xr:uid="{3EFBBED9-6C9D-412D-A006-113583179667}"/>
    <cellStyle name="Calculation 2 9 2 2 3" xfId="5228" xr:uid="{00000000-0005-0000-0000-000080000000}"/>
    <cellStyle name="Calculation 2 9 2 2 3 2" xfId="12120" xr:uid="{CB28F4A0-683D-4C14-BA0F-E4D4990AD69E}"/>
    <cellStyle name="Calculation 2 9 2 2 3 2 2" xfId="34605" xr:uid="{B9C85803-5A29-4F83-A1E2-715FDFEF2E84}"/>
    <cellStyle name="Calculation 2 9 2 2 3 2 3" xfId="27220" xr:uid="{C39392FD-5A89-481F-BE28-1CACBFDEE8BA}"/>
    <cellStyle name="Calculation 2 9 2 2 3 3" xfId="17165" xr:uid="{C10ABE24-E86E-40BF-A32D-B2FE0085753D}"/>
    <cellStyle name="Calculation 2 9 2 2 3 3 2" xfId="39555" xr:uid="{6C99F861-D711-4C18-885C-8E0E30812D2F}"/>
    <cellStyle name="Calculation 2 9 2 2 3 3 3" xfId="28369" xr:uid="{88F2079D-45C8-4EC4-BF83-CD1C7646081E}"/>
    <cellStyle name="Calculation 2 9 2 2 3 4" xfId="21589" xr:uid="{95079724-92C6-4ACC-8F20-AAEEA8BF4AD3}"/>
    <cellStyle name="Calculation 2 9 2 2 3 4 2" xfId="46827" xr:uid="{A46D59BE-61A0-463A-9C43-E696BD7F4364}"/>
    <cellStyle name="Calculation 2 9 2 2 3 5" xfId="53881" xr:uid="{D4DA3183-EE97-4C24-AA92-E9DE95F260B3}"/>
    <cellStyle name="Calculation 2 9 2 2 4" xfId="5640" xr:uid="{00000000-0005-0000-0000-000080000000}"/>
    <cellStyle name="Calculation 2 9 2 2 4 2" xfId="12524" xr:uid="{C0D6F4B1-4AF8-4FA9-9499-9B5419D10C5F}"/>
    <cellStyle name="Calculation 2 9 2 2 4 2 2" xfId="35009" xr:uid="{05F2D13B-FEC8-4F15-8539-DB46D949AC93}"/>
    <cellStyle name="Calculation 2 9 2 2 4 2 3" xfId="45796" xr:uid="{03CFDC11-FD8B-408A-966A-EEC56DDCB06D}"/>
    <cellStyle name="Calculation 2 9 2 2 4 3" xfId="17577" xr:uid="{EAF33B2B-7143-4D04-855E-E4ED223CA043}"/>
    <cellStyle name="Calculation 2 9 2 2 4 3 2" xfId="39967" xr:uid="{152FE6CC-1AC6-40F6-B8F8-59E3DA43B576}"/>
    <cellStyle name="Calculation 2 9 2 2 4 3 3" xfId="38347" xr:uid="{71912E7E-5D01-473D-BA84-34836D9C7F70}"/>
    <cellStyle name="Calculation 2 9 2 2 4 4" xfId="22001" xr:uid="{DA3FB378-8657-49BB-937B-D47108B46F29}"/>
    <cellStyle name="Calculation 2 9 2 2 4 4 2" xfId="50158" xr:uid="{02ECB1FD-3E80-403B-92C2-F9679E368E3F}"/>
    <cellStyle name="Calculation 2 9 2 2 4 5" xfId="53205" xr:uid="{D7C904E0-8352-4C72-967F-9A52814CB7A1}"/>
    <cellStyle name="Calculation 2 9 2 2 5" xfId="2338" xr:uid="{00000000-0005-0000-0000-000080000000}"/>
    <cellStyle name="Calculation 2 9 2 2 5 2" xfId="9247" xr:uid="{2B6F0262-1E10-4F67-BCE6-AA6E269F1941}"/>
    <cellStyle name="Calculation 2 9 2 2 5 2 2" xfId="31822" xr:uid="{1C24C0DA-B4C5-44D3-AB85-B001E3053A46}"/>
    <cellStyle name="Calculation 2 9 2 2 5 2 3" xfId="49943" xr:uid="{012C563A-C18C-4C4A-9AAA-7FFEB430EBA7}"/>
    <cellStyle name="Calculation 2 9 2 2 5 3" xfId="14898" xr:uid="{B5828535-5FD5-4036-A62C-2512660EE3D2}"/>
    <cellStyle name="Calculation 2 9 2 2 5 3 2" xfId="37352" xr:uid="{BB2D1231-1BB5-4576-9A5F-098CEF4AAB64}"/>
    <cellStyle name="Calculation 2 9 2 2 5 3 3" xfId="24237" xr:uid="{AA8C15B7-CEA6-479E-BF19-741A20CFCFC6}"/>
    <cellStyle name="Calculation 2 9 2 2 5 4" xfId="20365" xr:uid="{4F123CEC-8514-46F8-834B-68BAC1F103CC}"/>
    <cellStyle name="Calculation 2 9 2 2 5 4 2" xfId="27879" xr:uid="{FC861E51-7874-47A1-BDFF-77CC4BEDED19}"/>
    <cellStyle name="Calculation 2 9 2 2 5 5" xfId="47955" xr:uid="{ED585527-8077-4113-AEF7-B9D5E0E8AEEC}"/>
    <cellStyle name="Calculation 2 9 2 2 6" xfId="6379" xr:uid="{00000000-0005-0000-0000-000080000000}"/>
    <cellStyle name="Calculation 2 9 2 2 6 2" xfId="13251" xr:uid="{FCD9ECB1-8143-4E6B-989A-60814F616430}"/>
    <cellStyle name="Calculation 2 9 2 2 6 2 2" xfId="35735" xr:uid="{A6F19910-3105-4360-88DC-D9E4A1E5ECC6}"/>
    <cellStyle name="Calculation 2 9 2 2 6 2 3" xfId="50333" xr:uid="{0147AFA0-CDD3-43C1-80CE-BE01EFBD888B}"/>
    <cellStyle name="Calculation 2 9 2 2 6 3" xfId="18316" xr:uid="{F92F5441-6A1C-4387-BF13-BFEC8443971B}"/>
    <cellStyle name="Calculation 2 9 2 2 6 3 2" xfId="40706" xr:uid="{A4F99B2D-BC53-4C36-A19C-806C6C42A1C4}"/>
    <cellStyle name="Calculation 2 9 2 2 6 3 3" xfId="29742" xr:uid="{F9FF4E5C-0434-4D4D-ABD2-33175FB7B542}"/>
    <cellStyle name="Calculation 2 9 2 2 6 4" xfId="22740" xr:uid="{294CE528-B0EF-40C6-8118-ABD8762C9BF3}"/>
    <cellStyle name="Calculation 2 9 2 2 6 4 2" xfId="24124" xr:uid="{DC9260C7-4C08-4C97-A5FA-0564C8F1E880}"/>
    <cellStyle name="Calculation 2 9 2 2 6 5" xfId="25231" xr:uid="{B93DD416-51E9-4A79-9B51-6B0A608CA14E}"/>
    <cellStyle name="Calculation 2 9 2 2 7" xfId="6344" xr:uid="{00000000-0005-0000-0000-000080000000}"/>
    <cellStyle name="Calculation 2 9 2 2 7 2" xfId="13216" xr:uid="{FF643CAD-ECCB-4451-97BC-F9E7334E3F0E}"/>
    <cellStyle name="Calculation 2 9 2 2 7 2 2" xfId="35700" xr:uid="{DEDFABEC-883F-4E88-842E-B03057008E3D}"/>
    <cellStyle name="Calculation 2 9 2 2 7 2 3" xfId="46161" xr:uid="{BAC5F91D-2741-45A6-92E1-05F18E11C388}"/>
    <cellStyle name="Calculation 2 9 2 2 7 3" xfId="18281" xr:uid="{A21D98D6-16E8-429A-B6F6-9543B16FC5A1}"/>
    <cellStyle name="Calculation 2 9 2 2 7 3 2" xfId="40671" xr:uid="{60555FC1-7487-4687-B540-C557F26A0974}"/>
    <cellStyle name="Calculation 2 9 2 2 7 3 3" xfId="25148" xr:uid="{18878F30-78DC-445C-AAC2-9299EC614FD1}"/>
    <cellStyle name="Calculation 2 9 2 2 7 4" xfId="22705" xr:uid="{5115D36E-146E-4AA5-951E-14F17C160DB3}"/>
    <cellStyle name="Calculation 2 9 2 2 7 4 2" xfId="49621" xr:uid="{E6FBCC96-B6DB-4304-9FC1-615D439D6FD2}"/>
    <cellStyle name="Calculation 2 9 2 2 7 5" xfId="52527" xr:uid="{AEF16EC0-D06C-4F28-9A5B-B00E2B69C9D3}"/>
    <cellStyle name="Calculation 2 9 2 2 8" xfId="6896" xr:uid="{00000000-0005-0000-0000-000080000000}"/>
    <cellStyle name="Calculation 2 9 2 2 8 2" xfId="13734" xr:uid="{8959E79D-18C6-4A18-94E9-D0865B67F788}"/>
    <cellStyle name="Calculation 2 9 2 2 8 2 2" xfId="36218" xr:uid="{BBB2124F-AD83-4E36-A539-599F5E383FA4}"/>
    <cellStyle name="Calculation 2 9 2 2 8 2 3" xfId="51389" xr:uid="{9B9874D2-CE42-4156-B1AD-59D950872DA8}"/>
    <cellStyle name="Calculation 2 9 2 2 8 3" xfId="18833" xr:uid="{7B42426F-6F0C-4708-A66A-B5A9BDB54BCE}"/>
    <cellStyle name="Calculation 2 9 2 2 8 3 2" xfId="41223" xr:uid="{0421CD63-B21C-4DDC-B071-D0C1384C7A24}"/>
    <cellStyle name="Calculation 2 9 2 2 8 3 3" xfId="28612" xr:uid="{59E60F43-E9B0-4755-AF35-F887D50B30D1}"/>
    <cellStyle name="Calculation 2 9 2 2 8 4" xfId="23257" xr:uid="{6BCEEDEC-4C50-4073-AAE0-4148AE717B86}"/>
    <cellStyle name="Calculation 2 9 2 2 8 4 2" xfId="28787" xr:uid="{102A279A-5468-4E18-9A71-409BC9E92254}"/>
    <cellStyle name="Calculation 2 9 2 2 8 5" xfId="47042" xr:uid="{D45F708C-3B28-4841-A835-5FA6CD9021C0}"/>
    <cellStyle name="Calculation 2 9 2 2 9" xfId="6838" xr:uid="{00000000-0005-0000-0000-000080000000}"/>
    <cellStyle name="Calculation 2 9 2 2 9 2" xfId="18775" xr:uid="{CCC2672B-43D0-44EF-9815-9C8FA68B733E}"/>
    <cellStyle name="Calculation 2 9 2 2 9 2 2" xfId="41165" xr:uid="{5749181D-DC2C-43E9-A0B5-902839F00F51}"/>
    <cellStyle name="Calculation 2 9 2 2 9 2 3" xfId="43376" xr:uid="{35DDEFA9-AC44-4371-816E-79140A81EA8E}"/>
    <cellStyle name="Calculation 2 9 2 2 9 3" xfId="23199" xr:uid="{E436F141-DD2E-4512-96A8-7DB23D5D4ABC}"/>
    <cellStyle name="Calculation 2 9 2 2 9 3 2" xfId="53017" xr:uid="{FF0F2274-6FE5-4938-9C83-243212F20E3C}"/>
    <cellStyle name="Calculation 2 9 2 2 9 4" xfId="50350" xr:uid="{4106ACA7-738F-49A6-8A8F-D577D415B48D}"/>
    <cellStyle name="Calculation 2 9 2 3" xfId="2728" xr:uid="{00000000-0005-0000-0000-00007F000000}"/>
    <cellStyle name="Calculation 2 9 2 3 2" xfId="9637" xr:uid="{238A6D1E-C977-44E4-B852-9067DA746F76}"/>
    <cellStyle name="Calculation 2 9 2 3 2 2" xfId="32185" xr:uid="{93B573A1-D4C9-470A-B343-B10800D72180}"/>
    <cellStyle name="Calculation 2 9 2 3 2 3" xfId="47037" xr:uid="{C8DB64DE-E567-4A4C-B32F-CC94C5F5698E}"/>
    <cellStyle name="Calculation 2 9 2 3 3" xfId="15155" xr:uid="{985A8BAD-BE5B-4BDA-833E-4C2371150403}"/>
    <cellStyle name="Calculation 2 9 2 3 3 2" xfId="37595" xr:uid="{500E93D4-C556-4BEF-A0BB-83A870EC374F}"/>
    <cellStyle name="Calculation 2 9 2 3 3 3" xfId="49521" xr:uid="{8DAB8373-A38F-453C-AF2C-058EB587D6D1}"/>
    <cellStyle name="Calculation 2 9 2 3 4" xfId="19495" xr:uid="{0FC1167D-0E71-496A-875A-B5BFA8B4BDE4}"/>
    <cellStyle name="Calculation 2 9 2 3 4 2" xfId="29639" xr:uid="{2C641B5E-BAC2-4356-9E9F-E5F06C879742}"/>
    <cellStyle name="Calculation 2 9 2 3 5" xfId="49644" xr:uid="{61E41250-6320-4B1C-99C1-86F099D3A987}"/>
    <cellStyle name="Calculation 2 9 2 4" xfId="4519" xr:uid="{00000000-0005-0000-0000-00007F000000}"/>
    <cellStyle name="Calculation 2 9 2 4 2" xfId="11421" xr:uid="{6A22D46E-799C-4B97-9F62-222C7D3AA886}"/>
    <cellStyle name="Calculation 2 9 2 4 2 2" xfId="33907" xr:uid="{2FD867CD-1E11-4B61-9AB7-A7774C80BE1E}"/>
    <cellStyle name="Calculation 2 9 2 4 2 3" xfId="28821" xr:uid="{2BFBA862-9984-48E8-AD73-AE43B1E7488B}"/>
    <cellStyle name="Calculation 2 9 2 4 3" xfId="16456" xr:uid="{8152C005-8074-43D9-B3E5-F2DC0569756A}"/>
    <cellStyle name="Calculation 2 9 2 4 3 2" xfId="38846" xr:uid="{EBA99A0C-69CA-4E30-9643-45AE1A079CCB}"/>
    <cellStyle name="Calculation 2 9 2 4 3 3" xfId="25752" xr:uid="{51AF2B85-4488-46AE-8101-FD2A24005B51}"/>
    <cellStyle name="Calculation 2 9 2 4 4" xfId="15261" xr:uid="{876A49EA-71E3-48BC-9F98-30998EF766CC}"/>
    <cellStyle name="Calculation 2 9 2 4 4 2" xfId="53155" xr:uid="{AB35BB87-EFCF-40A4-AD72-D32E4046679C}"/>
    <cellStyle name="Calculation 2 9 2 4 5" xfId="50917" xr:uid="{39480F4E-0783-47FE-95F5-0C19011D2507}"/>
    <cellStyle name="Calculation 2 9 2 5" xfId="2393" xr:uid="{00000000-0005-0000-0000-00007F000000}"/>
    <cellStyle name="Calculation 2 9 2 5 2" xfId="9302" xr:uid="{C65CA7AC-6B9D-466A-95E9-1A7697B8D59B}"/>
    <cellStyle name="Calculation 2 9 2 5 2 2" xfId="31877" xr:uid="{3B1DADDE-B404-4844-BAFD-ECD2C0499AA1}"/>
    <cellStyle name="Calculation 2 9 2 5 2 3" xfId="50947" xr:uid="{5224FF22-131A-4A01-B88C-821469FF1252}"/>
    <cellStyle name="Calculation 2 9 2 5 3" xfId="14941" xr:uid="{98377893-81EB-4680-A3BC-B3C119FB1EFB}"/>
    <cellStyle name="Calculation 2 9 2 5 3 2" xfId="37395" xr:uid="{FEEBB2B2-48C0-4432-8FFF-1925C40DFFB2}"/>
    <cellStyle name="Calculation 2 9 2 5 3 3" xfId="46101" xr:uid="{6CE3AD87-E606-464B-A262-9E1400488DC5}"/>
    <cellStyle name="Calculation 2 9 2 5 4" xfId="20363" xr:uid="{CFAB7666-FBBC-4A19-A682-FB06B2357702}"/>
    <cellStyle name="Calculation 2 9 2 5 4 2" xfId="27840" xr:uid="{05244D20-E989-4690-95B1-C03962CA0D5D}"/>
    <cellStyle name="Calculation 2 9 2 5 5" xfId="47352" xr:uid="{C989CB94-EAD0-411C-BC2C-117D07197489}"/>
    <cellStyle name="Calculation 2 9 2 6" xfId="6110" xr:uid="{00000000-0005-0000-0000-00007F000000}"/>
    <cellStyle name="Calculation 2 9 2 6 2" xfId="12988" xr:uid="{C9286DE1-3670-43F1-9268-C470A8E86F61}"/>
    <cellStyle name="Calculation 2 9 2 6 2 2" xfId="35472" xr:uid="{DFB719A8-14DC-442B-A084-30F93E3FD722}"/>
    <cellStyle name="Calculation 2 9 2 6 2 3" xfId="47104" xr:uid="{B8F0A3D1-424B-4CFF-9BFA-F8B879BF02AE}"/>
    <cellStyle name="Calculation 2 9 2 6 3" xfId="18047" xr:uid="{A22376FF-E03B-4A03-8F67-0C91C9905450}"/>
    <cellStyle name="Calculation 2 9 2 6 3 2" xfId="40437" xr:uid="{F2644E51-5D37-4A1A-9AFE-C9D2F0D044CB}"/>
    <cellStyle name="Calculation 2 9 2 6 3 3" xfId="37786" xr:uid="{57E98BCF-BFE2-4BEF-B681-3EAF5B33AE38}"/>
    <cellStyle name="Calculation 2 9 2 6 4" xfId="22471" xr:uid="{EC787835-D2AF-4542-A6B1-01462E5DC68B}"/>
    <cellStyle name="Calculation 2 9 2 6 4 2" xfId="28258" xr:uid="{BDE24ECB-385F-405C-AE70-73BC4280DEEC}"/>
    <cellStyle name="Calculation 2 9 2 6 5" xfId="43875" xr:uid="{F656A0DE-345D-4914-BDD1-62F4D4CFDE18}"/>
    <cellStyle name="Calculation 2 9 2 7" xfId="4650" xr:uid="{00000000-0005-0000-0000-00007F000000}"/>
    <cellStyle name="Calculation 2 9 2 7 2" xfId="11550" xr:uid="{80649E0C-01F0-48D6-B6FF-8D418CD70CD4}"/>
    <cellStyle name="Calculation 2 9 2 7 2 2" xfId="34036" xr:uid="{BCB25E6D-4E16-4257-A196-6A7ABB8233F8}"/>
    <cellStyle name="Calculation 2 9 2 7 2 3" xfId="44863" xr:uid="{99036AE7-D28A-48F0-B63C-05CC6D25E1B0}"/>
    <cellStyle name="Calculation 2 9 2 7 3" xfId="16587" xr:uid="{6C255A26-16A9-48B8-8993-992D689681B0}"/>
    <cellStyle name="Calculation 2 9 2 7 3 2" xfId="38977" xr:uid="{8EE8C1A2-DCA8-422B-B69C-5A120BFD8CDD}"/>
    <cellStyle name="Calculation 2 9 2 7 3 3" xfId="44989" xr:uid="{0F4B226B-A1F8-410C-9351-C68B7F82E142}"/>
    <cellStyle name="Calculation 2 9 2 7 4" xfId="11968" xr:uid="{E541B2A5-261B-49AB-A304-2592D5CD1D78}"/>
    <cellStyle name="Calculation 2 9 2 7 4 2" xfId="45830" xr:uid="{716A0010-2324-49C3-AA3A-52A4B0C8492B}"/>
    <cellStyle name="Calculation 2 9 2 7 5" xfId="42390" xr:uid="{92DA4455-1DE4-4FAD-8B55-1F6BEE42AB9A}"/>
    <cellStyle name="Calculation 2 9 2 8" xfId="7746" xr:uid="{5BA34DD3-5B05-4212-AA02-5F3BD0FE67A3}"/>
    <cellStyle name="Calculation 2 9 2 8 2" xfId="30395" xr:uid="{14B99772-720E-427E-9490-4C039660D55A}"/>
    <cellStyle name="Calculation 2 9 2 8 3" xfId="52585" xr:uid="{5F0B5711-8464-4095-A8D6-F9267463369B}"/>
    <cellStyle name="Calculation 2 9 2 9" xfId="21083" xr:uid="{27B9E1B7-4E30-42FA-9258-7B3D24ACAEE0}"/>
    <cellStyle name="Calculation 2 9 2 9 2" xfId="43330" xr:uid="{9E975A30-A5E9-428A-A609-C0A3B1E5C2AD}"/>
    <cellStyle name="Calculation 2 9 2 9 3" xfId="28206" xr:uid="{B5E11A1F-7DAA-4B64-908E-24A28E22C7E1}"/>
    <cellStyle name="Calculation 2 9 3" xfId="825" xr:uid="{00000000-0005-0000-0000-000081000000}"/>
    <cellStyle name="Calculation 2 9 3 10" xfId="15146" xr:uid="{67E56E5F-A542-40BF-AB41-B71F5A4ECF30}"/>
    <cellStyle name="Calculation 2 9 3 10 2" xfId="52057" xr:uid="{4DC81DCA-0B89-4DA2-8D5E-B3922B849180}"/>
    <cellStyle name="Calculation 2 9 3 11" xfId="27909" xr:uid="{A315076C-A71A-4413-B1AC-D29F4D5A4F9C}"/>
    <cellStyle name="Calculation 2 9 3 2" xfId="1811" xr:uid="{00000000-0005-0000-0000-000082000000}"/>
    <cellStyle name="Calculation 2 9 3 2 10" xfId="14495" xr:uid="{82467A4F-1FBB-4C42-BACB-A839D82691F2}"/>
    <cellStyle name="Calculation 2 9 3 2 10 2" xfId="36956" xr:uid="{811823A7-6063-4487-9AE5-6044AF3287CB}"/>
    <cellStyle name="Calculation 2 9 3 2 10 3" xfId="46419" xr:uid="{1C8A49F7-7796-444D-9E2C-4EBD7E3201A6}"/>
    <cellStyle name="Calculation 2 9 3 2 11" xfId="20891" xr:uid="{EC0966B3-A157-4013-B6C6-0660F6364FA4}"/>
    <cellStyle name="Calculation 2 9 3 2 11 2" xfId="43153" xr:uid="{1A5C0058-C463-426B-9798-E28C1D3200C5}"/>
    <cellStyle name="Calculation 2 9 3 2 11 3" xfId="52378" xr:uid="{94B50FBF-0DA0-4EBA-B61F-D1A530B24FA7}"/>
    <cellStyle name="Calculation 2 9 3 2 12" xfId="14019" xr:uid="{A62C3D19-C4E4-408A-80BF-2390BB504449}"/>
    <cellStyle name="Calculation 2 9 3 2 12 2" xfId="46014" xr:uid="{314C3368-864D-44C5-B4ED-4ED34E6FFB5B}"/>
    <cellStyle name="Calculation 2 9 3 2 13" xfId="51140" xr:uid="{DEBC21A6-ADDA-4B50-8D9A-5FC48AA9DD9D}"/>
    <cellStyle name="Calculation 2 9 3 2 2" xfId="3909" xr:uid="{00000000-0005-0000-0000-000082000000}"/>
    <cellStyle name="Calculation 2 9 3 2 2 2" xfId="10813" xr:uid="{9EEF7DB4-1EA9-4F3E-9B20-1385EA92AFBE}"/>
    <cellStyle name="Calculation 2 9 3 2 2 2 2" xfId="33299" xr:uid="{4B1A2EA7-04D0-4064-B291-3B4244683B9C}"/>
    <cellStyle name="Calculation 2 9 3 2 2 2 3" xfId="54140" xr:uid="{5C1193E7-F021-45EF-BB80-CE64E4A051BF}"/>
    <cellStyle name="Calculation 2 9 3 2 2 3" xfId="15951" xr:uid="{F47FDB98-4AA8-41BE-A64A-3791ED02B059}"/>
    <cellStyle name="Calculation 2 9 3 2 2 3 2" xfId="38354" xr:uid="{86DDAAEF-C816-4DC0-B646-DB30548C5630}"/>
    <cellStyle name="Calculation 2 9 3 2 2 3 3" xfId="53377" xr:uid="{37582B69-3D13-4554-BC53-7DAAE4F5EEE7}"/>
    <cellStyle name="Calculation 2 9 3 2 2 4" xfId="20183" xr:uid="{160A4E79-5CA4-4F72-BB22-FC86E5B68449}"/>
    <cellStyle name="Calculation 2 9 3 2 2 4 2" xfId="23765" xr:uid="{B24EDDE7-6137-4405-A69E-EBFB0209D8C3}"/>
    <cellStyle name="Calculation 2 9 3 2 2 5" xfId="27689" xr:uid="{FFDF2D86-C6D5-4BB0-A3B1-CE8A919282A1}"/>
    <cellStyle name="Calculation 2 9 3 2 3" xfId="5304" xr:uid="{00000000-0005-0000-0000-000082000000}"/>
    <cellStyle name="Calculation 2 9 3 2 3 2" xfId="12196" xr:uid="{1F4BA654-2844-46B0-8F67-8B5FD00C282A}"/>
    <cellStyle name="Calculation 2 9 3 2 3 2 2" xfId="34681" xr:uid="{879BC294-556A-44D0-A839-4549C5AE6AAD}"/>
    <cellStyle name="Calculation 2 9 3 2 3 2 3" xfId="31880" xr:uid="{56D2F39F-0B07-4F57-A962-224F912D752B}"/>
    <cellStyle name="Calculation 2 9 3 2 3 3" xfId="17241" xr:uid="{E9852382-BEF9-46FC-906B-90751A0C7D42}"/>
    <cellStyle name="Calculation 2 9 3 2 3 3 2" xfId="39631" xr:uid="{655DE5B8-5CD0-409D-9AAC-CB365D581F15}"/>
    <cellStyle name="Calculation 2 9 3 2 3 3 3" xfId="29532" xr:uid="{06C8300D-D224-4629-B080-51A768E384DC}"/>
    <cellStyle name="Calculation 2 9 3 2 3 4" xfId="21665" xr:uid="{7A12E470-6138-443D-80DE-954CC7213847}"/>
    <cellStyle name="Calculation 2 9 3 2 3 4 2" xfId="47847" xr:uid="{28E52475-09A1-4967-ADDA-B1233CE848A1}"/>
    <cellStyle name="Calculation 2 9 3 2 3 5" xfId="53952" xr:uid="{F760CC0C-03CD-4E58-BC0E-267E04EA7C7D}"/>
    <cellStyle name="Calculation 2 9 3 2 4" xfId="5715" xr:uid="{00000000-0005-0000-0000-000082000000}"/>
    <cellStyle name="Calculation 2 9 3 2 4 2" xfId="12599" xr:uid="{407DE7BA-3577-4902-A145-ABC60E141470}"/>
    <cellStyle name="Calculation 2 9 3 2 4 2 2" xfId="35084" xr:uid="{90915F7D-F262-4731-8C4F-54363D42CF5E}"/>
    <cellStyle name="Calculation 2 9 3 2 4 2 3" xfId="44288" xr:uid="{BF6238AD-E52A-42DC-95A0-769C9821092E}"/>
    <cellStyle name="Calculation 2 9 3 2 4 3" xfId="17652" xr:uid="{F0594CA7-A359-4D09-9A89-2D20BBFB26FB}"/>
    <cellStyle name="Calculation 2 9 3 2 4 3 2" xfId="40042" xr:uid="{7DB0F4C1-1B84-4FE1-8D04-D5E2D0C632C8}"/>
    <cellStyle name="Calculation 2 9 3 2 4 3 3" xfId="29276" xr:uid="{D0E212D7-CA26-404D-BB7C-21EF8DAF1851}"/>
    <cellStyle name="Calculation 2 9 3 2 4 4" xfId="22076" xr:uid="{605053D7-3005-4FD1-8E71-D8A2D3BF6381}"/>
    <cellStyle name="Calculation 2 9 3 2 4 4 2" xfId="28937" xr:uid="{5A87AE98-ED23-4481-9215-65854C581D34}"/>
    <cellStyle name="Calculation 2 9 3 2 4 5" xfId="46179" xr:uid="{32EF1370-0497-46F4-8C15-3C8EABE0F7A8}"/>
    <cellStyle name="Calculation 2 9 3 2 5" xfId="6069" xr:uid="{00000000-0005-0000-0000-000082000000}"/>
    <cellStyle name="Calculation 2 9 3 2 5 2" xfId="12947" xr:uid="{F2FF03ED-6A5A-45E3-BC3B-37274EBF6C15}"/>
    <cellStyle name="Calculation 2 9 3 2 5 2 2" xfId="35431" xr:uid="{FF3BF4FC-BCA6-4623-9610-B8990A03701D}"/>
    <cellStyle name="Calculation 2 9 3 2 5 2 3" xfId="52231" xr:uid="{F67BC847-CAC0-4835-81C0-55DD07CE7F52}"/>
    <cellStyle name="Calculation 2 9 3 2 5 3" xfId="18006" xr:uid="{0B672281-B7DA-4631-B3CA-CD334C98477B}"/>
    <cellStyle name="Calculation 2 9 3 2 5 3 2" xfId="40396" xr:uid="{D4BAF2F0-6260-47AD-B172-A9465A1CCF53}"/>
    <cellStyle name="Calculation 2 9 3 2 5 3 3" xfId="42762" xr:uid="{9CAA2776-AEC9-419E-9678-7BB13B29A429}"/>
    <cellStyle name="Calculation 2 9 3 2 5 4" xfId="22430" xr:uid="{85098931-0B7D-48AB-A32C-7D280C54ECC7}"/>
    <cellStyle name="Calculation 2 9 3 2 5 4 2" xfId="44286" xr:uid="{D15B68F9-9812-4353-A2EC-0CE049BB99F1}"/>
    <cellStyle name="Calculation 2 9 3 2 5 5" xfId="49784" xr:uid="{83429337-762B-4E80-9BD1-5A01C28C9809}"/>
    <cellStyle name="Calculation 2 9 3 2 6" xfId="6444" xr:uid="{00000000-0005-0000-0000-000082000000}"/>
    <cellStyle name="Calculation 2 9 3 2 6 2" xfId="13314" xr:uid="{F8F128D8-9861-48D4-9752-94B8BCF28DAB}"/>
    <cellStyle name="Calculation 2 9 3 2 6 2 2" xfId="35798" xr:uid="{9A00548B-6962-4078-BCC0-1BF241745F6E}"/>
    <cellStyle name="Calculation 2 9 3 2 6 2 3" xfId="49668" xr:uid="{E0F050E2-F32C-47C2-B464-D61E30ED4C34}"/>
    <cellStyle name="Calculation 2 9 3 2 6 3" xfId="18381" xr:uid="{151B0958-B00E-466A-A993-7BB13EF4C7F5}"/>
    <cellStyle name="Calculation 2 9 3 2 6 3 2" xfId="40771" xr:uid="{E10857D1-E677-4C85-9793-717A1D28DF43}"/>
    <cellStyle name="Calculation 2 9 3 2 6 3 3" xfId="43561" xr:uid="{BF8C3B93-3460-4C3A-A2F1-B68852F055EE}"/>
    <cellStyle name="Calculation 2 9 3 2 6 4" xfId="22805" xr:uid="{C6A474C8-41C1-45E3-9DE1-962F8EFEABB4}"/>
    <cellStyle name="Calculation 2 9 3 2 6 4 2" xfId="26963" xr:uid="{50BDB498-2928-4C73-8477-AAE5BB9C2C8F}"/>
    <cellStyle name="Calculation 2 9 3 2 6 5" xfId="49652" xr:uid="{73BA6F05-EF5A-4D9F-8665-9C64B33F96D7}"/>
    <cellStyle name="Calculation 2 9 3 2 7" xfId="5830" xr:uid="{00000000-0005-0000-0000-000082000000}"/>
    <cellStyle name="Calculation 2 9 3 2 7 2" xfId="12713" xr:uid="{A99D0A72-1D4B-434C-A06E-A36583FEE4E0}"/>
    <cellStyle name="Calculation 2 9 3 2 7 2 2" xfId="35198" xr:uid="{A841491F-A64F-45D0-A72D-D71BD7975070}"/>
    <cellStyle name="Calculation 2 9 3 2 7 2 3" xfId="26201" xr:uid="{26EFA256-497F-4D31-B51E-DA291A8DA9B2}"/>
    <cellStyle name="Calculation 2 9 3 2 7 3" xfId="17767" xr:uid="{B411D5A0-346E-422D-B16E-DBCF950AC46C}"/>
    <cellStyle name="Calculation 2 9 3 2 7 3 2" xfId="40157" xr:uid="{682A64BE-39C3-4ED3-B3C2-A6E93EAD53AA}"/>
    <cellStyle name="Calculation 2 9 3 2 7 3 3" xfId="43934" xr:uid="{C308D0D0-4DE9-4C2C-B457-1DDD076E9D2B}"/>
    <cellStyle name="Calculation 2 9 3 2 7 4" xfId="22191" xr:uid="{0F576944-93DE-4BF1-84BA-CE8ADEF27F58}"/>
    <cellStyle name="Calculation 2 9 3 2 7 4 2" xfId="48182" xr:uid="{BDC5DFA7-9FB4-47EE-86D4-E31302E8069F}"/>
    <cellStyle name="Calculation 2 9 3 2 7 5" xfId="50132" xr:uid="{B29FB7B3-FF72-40E6-A50A-CD26D5421DE4}"/>
    <cellStyle name="Calculation 2 9 3 2 8" xfId="6944" xr:uid="{00000000-0005-0000-0000-000082000000}"/>
    <cellStyle name="Calculation 2 9 3 2 8 2" xfId="13781" xr:uid="{C3435472-521A-43F0-85D7-0C20259759D3}"/>
    <cellStyle name="Calculation 2 9 3 2 8 2 2" xfId="36265" xr:uid="{BA981B89-BA4D-4530-8C34-FD639C7A9FF2}"/>
    <cellStyle name="Calculation 2 9 3 2 8 2 3" xfId="52803" xr:uid="{9CDF7B63-C0F1-4AE2-B2E9-B65FB9CB3746}"/>
    <cellStyle name="Calculation 2 9 3 2 8 3" xfId="18881" xr:uid="{496A3278-4EFE-45DF-B96A-EBB04A14F885}"/>
    <cellStyle name="Calculation 2 9 3 2 8 3 2" xfId="41271" xr:uid="{4FA81836-9C42-4CE8-A66A-48EDC2CE0AA8}"/>
    <cellStyle name="Calculation 2 9 3 2 8 3 3" xfId="28585" xr:uid="{DA61F706-91CA-453F-9E03-F76AFC0A404D}"/>
    <cellStyle name="Calculation 2 9 3 2 8 4" xfId="23305" xr:uid="{E93950E5-8CB8-4B63-AA5C-868173970B0B}"/>
    <cellStyle name="Calculation 2 9 3 2 8 4 2" xfId="53585" xr:uid="{3A3FA2F9-41B2-4A08-A485-6A81C4A2F03B}"/>
    <cellStyle name="Calculation 2 9 3 2 8 5" xfId="46080" xr:uid="{248196A1-9352-427D-8E89-F8B0FF0A11B5}"/>
    <cellStyle name="Calculation 2 9 3 2 9" xfId="5562" xr:uid="{00000000-0005-0000-0000-000082000000}"/>
    <cellStyle name="Calculation 2 9 3 2 9 2" xfId="17499" xr:uid="{E899F326-08CA-4738-B96C-923A2F0A24C0}"/>
    <cellStyle name="Calculation 2 9 3 2 9 2 2" xfId="39889" xr:uid="{BC6F219C-951C-4445-BECD-10599B0A0310}"/>
    <cellStyle name="Calculation 2 9 3 2 9 2 3" xfId="36712" xr:uid="{34908AAB-881F-4E01-A7E1-B315D0060670}"/>
    <cellStyle name="Calculation 2 9 3 2 9 3" xfId="21923" xr:uid="{DD6B0DC7-BE00-4EF5-B0A6-0CA2D57685AF}"/>
    <cellStyle name="Calculation 2 9 3 2 9 3 2" xfId="48438" xr:uid="{A3A4B2FB-9C4A-4CEC-B5FC-2F22FB87FDB3}"/>
    <cellStyle name="Calculation 2 9 3 2 9 4" xfId="47811" xr:uid="{13F9E51B-1A9E-4154-A9D0-63953E5E8025}"/>
    <cellStyle name="Calculation 2 9 3 3" xfId="2959" xr:uid="{00000000-0005-0000-0000-000081000000}"/>
    <cellStyle name="Calculation 2 9 3 3 2" xfId="9868" xr:uid="{092C8FD7-2473-4334-AB3A-4DAEA6AA381F}"/>
    <cellStyle name="Calculation 2 9 3 3 2 2" xfId="32391" xr:uid="{647701C8-1CBD-493B-85D5-AA0A6179D5E5}"/>
    <cellStyle name="Calculation 2 9 3 3 2 3" xfId="51192" xr:uid="{729CFE22-1983-4396-916C-A0BEBA7EBB09}"/>
    <cellStyle name="Calculation 2 9 3 3 3" xfId="15307" xr:uid="{F1E2784B-855D-41FB-BC7C-5A759F2845DB}"/>
    <cellStyle name="Calculation 2 9 3 3 3 2" xfId="37739" xr:uid="{4BD91ACD-7460-4397-8A85-7FD4982C6237}"/>
    <cellStyle name="Calculation 2 9 3 3 3 3" xfId="28120" xr:uid="{95CB6AA0-A265-4548-A212-07A5E7CA01E7}"/>
    <cellStyle name="Calculation 2 9 3 3 4" xfId="19997" xr:uid="{65A716B6-2AAA-41E7-AD43-781F1512DDF2}"/>
    <cellStyle name="Calculation 2 9 3 3 4 2" xfId="27624" xr:uid="{42B5CB91-3F19-4AF5-BF52-7C89F052A250}"/>
    <cellStyle name="Calculation 2 9 3 3 5" xfId="47593" xr:uid="{D91A54BB-C891-4D9A-B9F2-85061632647B}"/>
    <cellStyle name="Calculation 2 9 3 4" xfId="4669" xr:uid="{00000000-0005-0000-0000-000081000000}"/>
    <cellStyle name="Calculation 2 9 3 4 2" xfId="11567" xr:uid="{2575D341-C3AA-49E3-A3DD-8184A51968AA}"/>
    <cellStyle name="Calculation 2 9 3 4 2 2" xfId="34053" xr:uid="{64F25F3F-A70A-4AA9-9B74-F86480F4596B}"/>
    <cellStyle name="Calculation 2 9 3 4 2 3" xfId="41968" xr:uid="{7FB41107-ACA7-4098-B32E-625B582FA404}"/>
    <cellStyle name="Calculation 2 9 3 4 3" xfId="16606" xr:uid="{D646877E-5A23-4200-AA92-4C0B68D7BD4F}"/>
    <cellStyle name="Calculation 2 9 3 4 3 2" xfId="38996" xr:uid="{18B4B6CF-C4AE-40A7-BEFD-58DF7671B9A6}"/>
    <cellStyle name="Calculation 2 9 3 4 3 3" xfId="45471" xr:uid="{B15DBE48-A6FE-4EB1-B79E-2BA20C6FC217}"/>
    <cellStyle name="Calculation 2 9 3 4 4" xfId="14391" xr:uid="{18A38F02-60F4-4E2F-9F67-7CCBDB106390}"/>
    <cellStyle name="Calculation 2 9 3 4 4 2" xfId="51082" xr:uid="{A08F2C60-126C-473F-B0CE-2389699D392D}"/>
    <cellStyle name="Calculation 2 9 3 4 5" xfId="47427" xr:uid="{DEB65520-622A-42C3-B9A3-AF55A680A51A}"/>
    <cellStyle name="Calculation 2 9 3 5" xfId="4000" xr:uid="{00000000-0005-0000-0000-000081000000}"/>
    <cellStyle name="Calculation 2 9 3 5 2" xfId="10904" xr:uid="{EB91BC8D-38A5-4BE4-8498-17E8F81E440D}"/>
    <cellStyle name="Calculation 2 9 3 5 2 2" xfId="33390" xr:uid="{F371F2A5-C61B-4269-B982-15E5BCCED63C}"/>
    <cellStyle name="Calculation 2 9 3 5 2 3" xfId="48119" xr:uid="{44AC8CD6-8676-4766-AFA3-7477BA12F7C0}"/>
    <cellStyle name="Calculation 2 9 3 5 3" xfId="16024" xr:uid="{F3F25742-BCB1-4B3D-9065-8A9DB682EABD}"/>
    <cellStyle name="Calculation 2 9 3 5 3 2" xfId="38425" xr:uid="{1B1D5D77-CCF9-4E96-A1EE-04581F2B0A3B}"/>
    <cellStyle name="Calculation 2 9 3 5 3 3" xfId="45501" xr:uid="{41149EA4-835E-4DC2-ADF6-2BA8C448B8FE}"/>
    <cellStyle name="Calculation 2 9 3 5 4" xfId="19405" xr:uid="{6605A74A-EF22-4441-8C4C-588CAAB4BBAE}"/>
    <cellStyle name="Calculation 2 9 3 5 4 2" xfId="24620" xr:uid="{27739F14-2DE8-40B9-B90B-47335312CB2F}"/>
    <cellStyle name="Calculation 2 9 3 5 5" xfId="46082" xr:uid="{5AC19A2B-B36B-4904-81BE-78B9DA73B0BD}"/>
    <cellStyle name="Calculation 2 9 3 6" xfId="5086" xr:uid="{00000000-0005-0000-0000-000081000000}"/>
    <cellStyle name="Calculation 2 9 3 6 2" xfId="11979" xr:uid="{30B26697-B003-4A1C-B761-D3FECC51AD42}"/>
    <cellStyle name="Calculation 2 9 3 6 2 2" xfId="34465" xr:uid="{BDC25158-0CCC-4BE5-A70F-6058556E09BF}"/>
    <cellStyle name="Calculation 2 9 3 6 2 3" xfId="24801" xr:uid="{B89D3190-CE7D-4A80-9274-C7B1CD4BF02C}"/>
    <cellStyle name="Calculation 2 9 3 6 3" xfId="17023" xr:uid="{371288C6-3F0B-4068-974F-107DEC657AEF}"/>
    <cellStyle name="Calculation 2 9 3 6 3 2" xfId="39413" xr:uid="{67C83259-ECBE-4626-9BB3-2DDE8836764B}"/>
    <cellStyle name="Calculation 2 9 3 6 3 3" xfId="29540" xr:uid="{46F9C260-4FF4-4E67-9CE8-862B41686FEF}"/>
    <cellStyle name="Calculation 2 9 3 6 4" xfId="21447" xr:uid="{95D4397C-3D5D-4EFA-8965-195356303B63}"/>
    <cellStyle name="Calculation 2 9 3 6 4 2" xfId="48776" xr:uid="{44EA9FC9-B7C3-479D-908C-A3F4E9039744}"/>
    <cellStyle name="Calculation 2 9 3 6 5" xfId="51213" xr:uid="{6E2889F6-82BC-4D8F-BB3B-62045FDDD923}"/>
    <cellStyle name="Calculation 2 9 3 7" xfId="6274" xr:uid="{00000000-0005-0000-0000-000081000000}"/>
    <cellStyle name="Calculation 2 9 3 7 2" xfId="13146" xr:uid="{635E07AC-230F-4FCE-A9AD-5180A6888324}"/>
    <cellStyle name="Calculation 2 9 3 7 2 2" xfId="35630" xr:uid="{6851F3C2-FC9F-421A-BE7C-09C92F258555}"/>
    <cellStyle name="Calculation 2 9 3 7 2 3" xfId="51378" xr:uid="{B3E8915E-4052-471C-88AB-2D13F06EAAF0}"/>
    <cellStyle name="Calculation 2 9 3 7 3" xfId="18211" xr:uid="{CFA395FD-43FA-4AB9-AD44-E209117C9D43}"/>
    <cellStyle name="Calculation 2 9 3 7 3 2" xfId="40601" xr:uid="{06039D81-09D3-46AC-B63E-A4CE40C7B798}"/>
    <cellStyle name="Calculation 2 9 3 7 3 3" xfId="26950" xr:uid="{C4A45155-8F61-4B92-8C69-A1A9C9F9ACA5}"/>
    <cellStyle name="Calculation 2 9 3 7 4" xfId="22635" xr:uid="{FBD6AC32-3402-4CBD-BC23-33DE6F7292CE}"/>
    <cellStyle name="Calculation 2 9 3 7 4 2" xfId="47622" xr:uid="{1C891FB7-7FE3-44F6-B152-6A7D8BFDB19D}"/>
    <cellStyle name="Calculation 2 9 3 7 5" xfId="27666" xr:uid="{8A90D00D-7501-4D5A-B28B-D18A5A0F56E7}"/>
    <cellStyle name="Calculation 2 9 3 8" xfId="8666" xr:uid="{D1F4E09B-8D90-4F62-802E-4F2BB4CBA702}"/>
    <cellStyle name="Calculation 2 9 3 8 2" xfId="31252" xr:uid="{2F6C02C4-ED9E-423C-8CB1-4B54722D508D}"/>
    <cellStyle name="Calculation 2 9 3 8 3" xfId="47518" xr:uid="{741DA45E-642E-475F-91A4-F4251F98B53E}"/>
    <cellStyle name="Calculation 2 9 3 9" xfId="20069" xr:uid="{027DB220-E07B-4101-A5B9-0F71736AE911}"/>
    <cellStyle name="Calculation 2 9 3 9 2" xfId="42389" xr:uid="{CCD5B80D-C095-4AFC-941A-51537AA2E854}"/>
    <cellStyle name="Calculation 2 9 3 9 3" xfId="44066" xr:uid="{9F7D9D06-5976-4B1F-96E0-0B9F1AD9277A}"/>
    <cellStyle name="Calculation 2 9 4" xfId="1011" xr:uid="{00000000-0005-0000-0000-000083000000}"/>
    <cellStyle name="Calculation 2 9 4 10" xfId="7293" xr:uid="{B303E8E0-38F7-4961-973C-964BE63915E9}"/>
    <cellStyle name="Calculation 2 9 4 10 2" xfId="49174" xr:uid="{CE3B685C-E901-41BF-BD7C-6355060E5F98}"/>
    <cellStyle name="Calculation 2 9 4 11" xfId="44492" xr:uid="{0F075BF9-65D0-4D55-9D89-B7C41EC28CF0}"/>
    <cellStyle name="Calculation 2 9 4 2" xfId="1901" xr:uid="{00000000-0005-0000-0000-000084000000}"/>
    <cellStyle name="Calculation 2 9 4 2 10" xfId="14572" xr:uid="{5FC65986-F6FF-4E60-B034-A9191B3041D3}"/>
    <cellStyle name="Calculation 2 9 4 2 10 2" xfId="37033" xr:uid="{CB95DE95-80F8-4666-A0D1-C02BA45BCB91}"/>
    <cellStyle name="Calculation 2 9 4 2 10 3" xfId="30656" xr:uid="{BF6B7354-8973-4629-AEF1-534971E0BF79}"/>
    <cellStyle name="Calculation 2 9 4 2 11" xfId="8899" xr:uid="{41D71B03-09A3-45C3-950F-1C1AB3B751CA}"/>
    <cellStyle name="Calculation 2 9 4 2 11 2" xfId="31478" xr:uid="{6C620849-D0D2-462B-A2CB-AD3EC8E7EA93}"/>
    <cellStyle name="Calculation 2 9 4 2 11 3" xfId="29281" xr:uid="{20F24E01-15DA-43B4-88C8-8209E99B49B1}"/>
    <cellStyle name="Calculation 2 9 4 2 12" xfId="20889" xr:uid="{0DE7DA6A-14A5-45AF-B3DB-4172CAA3F17F}"/>
    <cellStyle name="Calculation 2 9 4 2 12 2" xfId="45567" xr:uid="{BAB94282-868F-4110-B068-63DBFDCA847E}"/>
    <cellStyle name="Calculation 2 9 4 2 13" xfId="53231" xr:uid="{5CD51FF1-4735-4269-B95E-1CF99A82A4E0}"/>
    <cellStyle name="Calculation 2 9 4 2 2" xfId="3999" xr:uid="{00000000-0005-0000-0000-000084000000}"/>
    <cellStyle name="Calculation 2 9 4 2 2 2" xfId="10903" xr:uid="{77F0D5DA-EADD-40AA-BB96-7E75757E5D88}"/>
    <cellStyle name="Calculation 2 9 4 2 2 2 2" xfId="33389" xr:uid="{BCEE6D5C-F7B2-442B-BA9B-89E2A860DDC1}"/>
    <cellStyle name="Calculation 2 9 4 2 2 2 3" xfId="44575" xr:uid="{7CEFFCE2-F166-40E1-9836-DD06296FCA76}"/>
    <cellStyle name="Calculation 2 9 4 2 2 3" xfId="16023" xr:uid="{4F791226-2782-43E1-A7C2-BAB364280C02}"/>
    <cellStyle name="Calculation 2 9 4 2 2 3 2" xfId="38424" xr:uid="{173A8D65-29CB-4D9A-B8B4-E15D85EC19C5}"/>
    <cellStyle name="Calculation 2 9 4 2 2 3 3" xfId="49016" xr:uid="{5E76B6B0-BBE0-4779-9C57-0B3DCC5DC494}"/>
    <cellStyle name="Calculation 2 9 4 2 2 4" xfId="21252" xr:uid="{15CBD5F6-3C32-449F-B0C3-A657D05BC6F8}"/>
    <cellStyle name="Calculation 2 9 4 2 2 4 2" xfId="24452" xr:uid="{32072EB5-123E-4B50-AB1F-335961D5B26D}"/>
    <cellStyle name="Calculation 2 9 4 2 2 5" xfId="49428" xr:uid="{7D91FFE2-5D4F-4683-9DEF-2FCB8504CE9C}"/>
    <cellStyle name="Calculation 2 9 4 2 3" xfId="5373" xr:uid="{00000000-0005-0000-0000-000084000000}"/>
    <cellStyle name="Calculation 2 9 4 2 3 2" xfId="12265" xr:uid="{FA60F81A-05CE-48C6-A669-1918407CD6BD}"/>
    <cellStyle name="Calculation 2 9 4 2 3 2 2" xfId="34750" xr:uid="{99F9CAF6-51F4-48E0-AA79-F8B1B92C5FD1}"/>
    <cellStyle name="Calculation 2 9 4 2 3 2 3" xfId="27763" xr:uid="{593756C5-A920-47B6-B6B2-85C7E8F9F7CD}"/>
    <cellStyle name="Calculation 2 9 4 2 3 3" xfId="17310" xr:uid="{56E06F3E-8827-4181-9494-6C53095BD8F2}"/>
    <cellStyle name="Calculation 2 9 4 2 3 3 2" xfId="39700" xr:uid="{000801F6-12B4-4D3A-896C-3BE7F4F68B3F}"/>
    <cellStyle name="Calculation 2 9 4 2 3 3 3" xfId="30663" xr:uid="{B63747B3-4D16-4E9F-831B-FE84621F3F81}"/>
    <cellStyle name="Calculation 2 9 4 2 3 4" xfId="21734" xr:uid="{7701AC87-6A59-4602-BD7A-087D77F91500}"/>
    <cellStyle name="Calculation 2 9 4 2 3 4 2" xfId="49682" xr:uid="{1EA92F62-9FFB-4FC6-9834-44FD82B5A2F4}"/>
    <cellStyle name="Calculation 2 9 4 2 3 5" xfId="52217" xr:uid="{9DFFEAA1-342C-494E-9F14-CC83874476EB}"/>
    <cellStyle name="Calculation 2 9 4 2 4" xfId="5788" xr:uid="{00000000-0005-0000-0000-000084000000}"/>
    <cellStyle name="Calculation 2 9 4 2 4 2" xfId="12671" xr:uid="{23C1E700-2BEB-4831-B93C-035EDED0B6BF}"/>
    <cellStyle name="Calculation 2 9 4 2 4 2 2" xfId="35156" xr:uid="{D7371E13-5BA6-48E0-92BC-44DBA23D9E9F}"/>
    <cellStyle name="Calculation 2 9 4 2 4 2 3" xfId="26401" xr:uid="{863843FF-2766-4D3E-986B-C5A51D9E38AC}"/>
    <cellStyle name="Calculation 2 9 4 2 4 3" xfId="17725" xr:uid="{918D34F6-4E6C-46EE-BDE2-10FD14FB0B34}"/>
    <cellStyle name="Calculation 2 9 4 2 4 3 2" xfId="40115" xr:uid="{940F3B56-ADB1-4391-BA93-ADA8D3486B66}"/>
    <cellStyle name="Calculation 2 9 4 2 4 3 3" xfId="28714" xr:uid="{F2BCA936-6D2B-41AC-A8A0-38E3EEA99EC1}"/>
    <cellStyle name="Calculation 2 9 4 2 4 4" xfId="22149" xr:uid="{2082E1DF-7A74-49FD-869F-58FD854E8681}"/>
    <cellStyle name="Calculation 2 9 4 2 4 4 2" xfId="38031" xr:uid="{AE402A39-7389-404B-97E6-558D7B9A782E}"/>
    <cellStyle name="Calculation 2 9 4 2 4 5" xfId="26245" xr:uid="{0E02C9EE-1D63-4D5D-9479-47DBA71C7C28}"/>
    <cellStyle name="Calculation 2 9 4 2 5" xfId="6133" xr:uid="{00000000-0005-0000-0000-000084000000}"/>
    <cellStyle name="Calculation 2 9 4 2 5 2" xfId="13010" xr:uid="{3090FC45-9260-41BE-8A4F-26E70FDE7D0B}"/>
    <cellStyle name="Calculation 2 9 4 2 5 2 2" xfId="35494" xr:uid="{9553086B-3D6D-4287-BCE3-26ADC9E5F648}"/>
    <cellStyle name="Calculation 2 9 4 2 5 2 3" xfId="53818" xr:uid="{B4E94C62-FFD8-41AE-84D1-D65DA2D0F38B}"/>
    <cellStyle name="Calculation 2 9 4 2 5 3" xfId="18070" xr:uid="{6CF3150B-5723-470D-848E-9E683721CDC3}"/>
    <cellStyle name="Calculation 2 9 4 2 5 3 2" xfId="40460" xr:uid="{DFCB234E-8558-48DC-895A-94FC550BF1B1}"/>
    <cellStyle name="Calculation 2 9 4 2 5 3 3" xfId="31989" xr:uid="{624E65AC-3A87-43B8-8CDB-68B676622701}"/>
    <cellStyle name="Calculation 2 9 4 2 5 4" xfId="22494" xr:uid="{C0CC0364-E29C-4433-86D0-288052DBEC76}"/>
    <cellStyle name="Calculation 2 9 4 2 5 4 2" xfId="45336" xr:uid="{BCC33B11-E630-41FC-904D-C34B7C564FB6}"/>
    <cellStyle name="Calculation 2 9 4 2 5 5" xfId="48141" xr:uid="{FA631093-860C-4F72-89A6-676E9E9F2A20}"/>
    <cellStyle name="Calculation 2 9 4 2 6" xfId="6506" xr:uid="{00000000-0005-0000-0000-000084000000}"/>
    <cellStyle name="Calculation 2 9 4 2 6 2" xfId="13375" xr:uid="{2AB11DC5-87FA-4856-9927-5C9DD8E90EFD}"/>
    <cellStyle name="Calculation 2 9 4 2 6 2 2" xfId="35859" xr:uid="{D046AB2C-E973-4A3F-A00F-982F728168A9}"/>
    <cellStyle name="Calculation 2 9 4 2 6 2 3" xfId="27586" xr:uid="{CBED99E0-1B6D-42D5-87BA-FD8DD76F6442}"/>
    <cellStyle name="Calculation 2 9 4 2 6 3" xfId="18443" xr:uid="{49038652-9580-4717-9626-BEA4396A4E85}"/>
    <cellStyle name="Calculation 2 9 4 2 6 3 2" xfId="40833" xr:uid="{6F4A80D3-2F88-4D23-A412-A3B302739E05}"/>
    <cellStyle name="Calculation 2 9 4 2 6 3 3" xfId="32133" xr:uid="{49452DF1-C789-45EE-977E-B8F55F983504}"/>
    <cellStyle name="Calculation 2 9 4 2 6 4" xfId="22867" xr:uid="{BE9C6671-ED6A-4A7F-BFD7-154BB5E57656}"/>
    <cellStyle name="Calculation 2 9 4 2 6 4 2" xfId="46756" xr:uid="{81F2A0E7-DCBB-40D0-AD53-148204A008F3}"/>
    <cellStyle name="Calculation 2 9 4 2 6 5" xfId="49619" xr:uid="{2AED5033-7D94-4CC8-8074-6CF2DA978315}"/>
    <cellStyle name="Calculation 2 9 4 2 7" xfId="6615" xr:uid="{00000000-0005-0000-0000-000084000000}"/>
    <cellStyle name="Calculation 2 9 4 2 7 2" xfId="13481" xr:uid="{CF109F95-7BAE-4A7E-A9F7-84B267934B78}"/>
    <cellStyle name="Calculation 2 9 4 2 7 2 2" xfId="35965" xr:uid="{14299412-E6A0-45F1-B70D-49AD7EF44B26}"/>
    <cellStyle name="Calculation 2 9 4 2 7 2 3" xfId="48319" xr:uid="{634618ED-6696-49FE-A68C-06FE15E27318}"/>
    <cellStyle name="Calculation 2 9 4 2 7 3" xfId="18552" xr:uid="{AC43D92E-3A40-4AFB-BCBA-B2A23531DA07}"/>
    <cellStyle name="Calculation 2 9 4 2 7 3 2" xfId="40942" xr:uid="{5D1E2DD8-7C6A-4272-BC09-084955B34A66}"/>
    <cellStyle name="Calculation 2 9 4 2 7 3 3" xfId="42849" xr:uid="{EA48D135-348B-4851-9879-3862A51637D3}"/>
    <cellStyle name="Calculation 2 9 4 2 7 4" xfId="22976" xr:uid="{1FCE1010-B9F7-40A8-A177-838D38777E90}"/>
    <cellStyle name="Calculation 2 9 4 2 7 4 2" xfId="28729" xr:uid="{B455307D-7B2D-47D0-B2AA-1479C77FD30D}"/>
    <cellStyle name="Calculation 2 9 4 2 7 5" xfId="53368" xr:uid="{19C9C332-A3ED-4BFE-BF78-19F4A822DB37}"/>
    <cellStyle name="Calculation 2 9 4 2 8" xfId="6990" xr:uid="{00000000-0005-0000-0000-000084000000}"/>
    <cellStyle name="Calculation 2 9 4 2 8 2" xfId="13827" xr:uid="{4BFF66FB-3ACD-4FCE-AC7D-7DF7BE86C1D3}"/>
    <cellStyle name="Calculation 2 9 4 2 8 2 2" xfId="36311" xr:uid="{6C12E665-0504-405A-873F-E3D4C93FCEE8}"/>
    <cellStyle name="Calculation 2 9 4 2 8 2 3" xfId="44194" xr:uid="{B7190086-F067-4021-AEB0-681DD78DEE4F}"/>
    <cellStyle name="Calculation 2 9 4 2 8 3" xfId="18927" xr:uid="{25F1E61E-538B-4F74-825C-54C0D267C510}"/>
    <cellStyle name="Calculation 2 9 4 2 8 3 2" xfId="41317" xr:uid="{7A353E50-80B4-424C-BC55-28754B900128}"/>
    <cellStyle name="Calculation 2 9 4 2 8 3 3" xfId="45841" xr:uid="{1B36FCBC-DFE3-4986-8A06-F445262B4147}"/>
    <cellStyle name="Calculation 2 9 4 2 8 4" xfId="23351" xr:uid="{1363AE75-E6E3-48B1-9280-3A06C519C3CE}"/>
    <cellStyle name="Calculation 2 9 4 2 8 4 2" xfId="26043" xr:uid="{B1E6A235-C70A-452C-9F2E-BB28A807B3A0}"/>
    <cellStyle name="Calculation 2 9 4 2 8 5" xfId="52070" xr:uid="{90EEE246-9ECB-403C-A748-07CA24D7CFB5}"/>
    <cellStyle name="Calculation 2 9 4 2 9" xfId="6698" xr:uid="{00000000-0005-0000-0000-000084000000}"/>
    <cellStyle name="Calculation 2 9 4 2 9 2" xfId="18635" xr:uid="{C97821A9-3117-4183-97E2-51F067A7D7EC}"/>
    <cellStyle name="Calculation 2 9 4 2 9 2 2" xfId="41025" xr:uid="{C08D9FE2-7702-4D58-9250-C4C886361C2E}"/>
    <cellStyle name="Calculation 2 9 4 2 9 2 3" xfId="42536" xr:uid="{DB723681-A8ED-4F63-901F-1EBFF65F2DCF}"/>
    <cellStyle name="Calculation 2 9 4 2 9 3" xfId="23059" xr:uid="{F0EE04B2-C76A-4563-ABFE-85423FCBC516}"/>
    <cellStyle name="Calculation 2 9 4 2 9 3 2" xfId="50964" xr:uid="{F716B7F6-5AA4-4FE2-8F0A-871D9CBD6849}"/>
    <cellStyle name="Calculation 2 9 4 2 9 4" xfId="32237" xr:uid="{A17DF0D1-D5F2-4937-843D-A331568690E9}"/>
    <cellStyle name="Calculation 2 9 4 3" xfId="3138" xr:uid="{00000000-0005-0000-0000-000083000000}"/>
    <cellStyle name="Calculation 2 9 4 3 2" xfId="10047" xr:uid="{C24CEDFB-60B9-4C6D-9774-68EBC01B09C1}"/>
    <cellStyle name="Calculation 2 9 4 3 2 2" xfId="32554" xr:uid="{8DDDD3A9-9D61-4602-A60D-61F384462BC6}"/>
    <cellStyle name="Calculation 2 9 4 3 2 3" xfId="52586" xr:uid="{AD863A14-6C57-4E48-A10A-98155218D395}"/>
    <cellStyle name="Calculation 2 9 4 3 3" xfId="15425" xr:uid="{201A07D9-64A4-4B2D-8699-714F67937F7A}"/>
    <cellStyle name="Calculation 2 9 4 3 3 2" xfId="37851" xr:uid="{E8D3A82A-9FCF-43D9-8049-DA1394795A85}"/>
    <cellStyle name="Calculation 2 9 4 3 3 3" xfId="50285" xr:uid="{135CFF72-5F9B-47CB-B647-D4DA5BA606E4}"/>
    <cellStyle name="Calculation 2 9 4 3 4" xfId="20985" xr:uid="{E5C22E67-2EB6-48C6-895F-8B1DE2C5CF6B}"/>
    <cellStyle name="Calculation 2 9 4 3 4 2" xfId="27302" xr:uid="{19ADFEFE-AC9C-4A50-8048-51F85645346B}"/>
    <cellStyle name="Calculation 2 9 4 3 5" xfId="53257" xr:uid="{5747B604-64A8-4309-A103-3590E165A98E}"/>
    <cellStyle name="Calculation 2 9 4 4" xfId="4786" xr:uid="{00000000-0005-0000-0000-000083000000}"/>
    <cellStyle name="Calculation 2 9 4 4 2" xfId="11683" xr:uid="{903E0570-39F9-4CCA-8479-36597F9ADABB}"/>
    <cellStyle name="Calculation 2 9 4 4 2 2" xfId="34169" xr:uid="{81218993-6646-4C7D-BA63-F26DB5D5A43D}"/>
    <cellStyle name="Calculation 2 9 4 4 2 3" xfId="25137" xr:uid="{B1D6B631-B6B0-4329-9926-6B5F26ED335A}"/>
    <cellStyle name="Calculation 2 9 4 4 3" xfId="16723" xr:uid="{4359E969-C1A9-4B69-A8CC-7C2F862DA18D}"/>
    <cellStyle name="Calculation 2 9 4 4 3 2" xfId="39113" xr:uid="{6452F2CB-1587-441A-8D10-77C9C0952C28}"/>
    <cellStyle name="Calculation 2 9 4 4 3 3" xfId="44475" xr:uid="{5C6E4EF1-6B70-48DF-B8A1-5E842FC9D657}"/>
    <cellStyle name="Calculation 2 9 4 4 4" xfId="15735" xr:uid="{787FA087-7C92-4A72-B63C-F06CA42904D0}"/>
    <cellStyle name="Calculation 2 9 4 4 4 2" xfId="47498" xr:uid="{06DC048F-26D0-4E85-85B6-C8B089FA592E}"/>
    <cellStyle name="Calculation 2 9 4 4 5" xfId="51546" xr:uid="{ADA0A873-D0CD-4324-AB95-0FDCE5F7A807}"/>
    <cellStyle name="Calculation 2 9 4 5" xfId="4952" xr:uid="{00000000-0005-0000-0000-000083000000}"/>
    <cellStyle name="Calculation 2 9 4 5 2" xfId="11847" xr:uid="{15DD9338-B2AB-4DDB-8EBB-D9F68F242E48}"/>
    <cellStyle name="Calculation 2 9 4 5 2 2" xfId="34333" xr:uid="{C53036DE-3E05-413E-9571-0E726AB87EBF}"/>
    <cellStyle name="Calculation 2 9 4 5 2 3" xfId="43963" xr:uid="{ECFCFE66-9635-4E95-8BBD-F1E78644A9D0}"/>
    <cellStyle name="Calculation 2 9 4 5 3" xfId="16889" xr:uid="{C1867624-AC02-48D8-B0C4-D4E9E4330E2B}"/>
    <cellStyle name="Calculation 2 9 4 5 3 2" xfId="39279" xr:uid="{36068E19-7966-4BE6-89FB-1D47F36DFBCD}"/>
    <cellStyle name="Calculation 2 9 4 5 3 3" xfId="27684" xr:uid="{A8BAF2CE-74F0-424E-BF46-C1EF3643488E}"/>
    <cellStyle name="Calculation 2 9 4 5 4" xfId="21313" xr:uid="{D79F784B-CCEA-442E-93DC-4093FA45F293}"/>
    <cellStyle name="Calculation 2 9 4 5 4 2" xfId="52661" xr:uid="{0908F0D0-84B3-44C2-8161-D1B415805339}"/>
    <cellStyle name="Calculation 2 9 4 5 5" xfId="47554" xr:uid="{1F4F6A51-9023-46B3-8589-C2DC93C7EACB}"/>
    <cellStyle name="Calculation 2 9 4 6" xfId="5842" xr:uid="{00000000-0005-0000-0000-000083000000}"/>
    <cellStyle name="Calculation 2 9 4 6 2" xfId="12724" xr:uid="{59C6CE53-A504-45AA-AC55-189661FEB3D9}"/>
    <cellStyle name="Calculation 2 9 4 6 2 2" xfId="35208" xr:uid="{7FAAA8D5-8B70-4406-8B19-3C7C1B0F7F9D}"/>
    <cellStyle name="Calculation 2 9 4 6 2 3" xfId="44911" xr:uid="{43B25FDB-556C-4C4D-8DA3-D823BA95A2D5}"/>
    <cellStyle name="Calculation 2 9 4 6 3" xfId="17779" xr:uid="{FCAE45E9-B38C-48B3-83EA-EA6B5F9A7721}"/>
    <cellStyle name="Calculation 2 9 4 6 3 2" xfId="40169" xr:uid="{87DF7CF3-CB54-4298-948B-ABBFC376BD6F}"/>
    <cellStyle name="Calculation 2 9 4 6 3 3" xfId="28790" xr:uid="{65BED2E0-27E0-4720-8CD4-5F593211D587}"/>
    <cellStyle name="Calculation 2 9 4 6 4" xfId="22203" xr:uid="{E8C54BED-A21F-4BFC-BB5B-CB148D4BEA61}"/>
    <cellStyle name="Calculation 2 9 4 6 4 2" xfId="29233" xr:uid="{300411E4-BE28-42C6-A5E6-7FE46F7FB6D5}"/>
    <cellStyle name="Calculation 2 9 4 6 5" xfId="44816" xr:uid="{FFBB01DD-6830-4CA5-98C7-68D01D48CDEC}"/>
    <cellStyle name="Calculation 2 9 4 7" xfId="5293" xr:uid="{00000000-0005-0000-0000-000083000000}"/>
    <cellStyle name="Calculation 2 9 4 7 2" xfId="12185" xr:uid="{239CE05A-4B98-4BDE-90B2-DE6AB522727A}"/>
    <cellStyle name="Calculation 2 9 4 7 2 2" xfId="34670" xr:uid="{17683D79-1251-4763-B40A-8CA42EC2D3EA}"/>
    <cellStyle name="Calculation 2 9 4 7 2 3" xfId="29289" xr:uid="{F24637DF-0A45-4BC4-A620-A56A2D16F56D}"/>
    <cellStyle name="Calculation 2 9 4 7 3" xfId="17230" xr:uid="{5C88B279-053D-4855-ACF0-3B5FB750E6A0}"/>
    <cellStyle name="Calculation 2 9 4 7 3 2" xfId="39620" xr:uid="{E07C005C-538E-4E1F-A17B-7C37107D2139}"/>
    <cellStyle name="Calculation 2 9 4 7 3 3" xfId="30403" xr:uid="{E726430F-4BE8-486B-B52E-F96AA2868F6C}"/>
    <cellStyle name="Calculation 2 9 4 7 4" xfId="21654" xr:uid="{53E7EF60-00AA-4B9B-8C45-CE6EB6CD6E72}"/>
    <cellStyle name="Calculation 2 9 4 7 4 2" xfId="52222" xr:uid="{BCAF7FD5-3637-4DF1-B2C6-8648624D55F6}"/>
    <cellStyle name="Calculation 2 9 4 7 5" xfId="46139" xr:uid="{F0066F14-C61D-4651-8958-EC1E96BBA54B}"/>
    <cellStyle name="Calculation 2 9 4 8" xfId="8811" xr:uid="{0D05BF8F-3411-4823-A5C8-A003AE7A222D}"/>
    <cellStyle name="Calculation 2 9 4 8 2" xfId="31392" xr:uid="{D95977CC-D4DD-484D-A77D-04361CC1E8C8}"/>
    <cellStyle name="Calculation 2 9 4 8 3" xfId="49950" xr:uid="{CDA25FDF-4157-4201-B354-A6697D8F8E35}"/>
    <cellStyle name="Calculation 2 9 4 9" xfId="19560" xr:uid="{4709CB40-8DCC-4AD2-B3B1-7AE79F12E476}"/>
    <cellStyle name="Calculation 2 9 4 9 2" xfId="41918" xr:uid="{EA95D04B-CFE2-43C3-A8DE-834503CA0337}"/>
    <cellStyle name="Calculation 2 9 4 9 3" xfId="43572" xr:uid="{F79E98EA-E90E-4620-8831-FAD56A2F55A0}"/>
    <cellStyle name="Calculation 2 9 5" xfId="1195" xr:uid="{00000000-0005-0000-0000-000085000000}"/>
    <cellStyle name="Calculation 2 9 5 10" xfId="14226" xr:uid="{FE1249BA-7EC0-4E66-A1F2-A8F7D5731364}"/>
    <cellStyle name="Calculation 2 9 5 10 2" xfId="29287" xr:uid="{C1FA7C94-8B1E-4E66-817F-4EB4A55D0FE5}"/>
    <cellStyle name="Calculation 2 9 5 11" xfId="44594" xr:uid="{271733C7-ACCC-4514-9772-B256CF518DDD}"/>
    <cellStyle name="Calculation 2 9 5 2" xfId="1996" xr:uid="{00000000-0005-0000-0000-000086000000}"/>
    <cellStyle name="Calculation 2 9 5 2 10" xfId="14644" xr:uid="{26487AE9-72B0-4107-B483-ED39CF3BA9E1}"/>
    <cellStyle name="Calculation 2 9 5 2 10 2" xfId="37104" xr:uid="{E3AAC793-07F9-4220-98E4-3F83632B69DA}"/>
    <cellStyle name="Calculation 2 9 5 2 10 3" xfId="46983" xr:uid="{9742D49B-68C6-4A9C-996B-E773C2CB6216}"/>
    <cellStyle name="Calculation 2 9 5 2 11" xfId="20130" xr:uid="{F6147F81-0A06-45BC-AD3F-FF72592FF1C6}"/>
    <cellStyle name="Calculation 2 9 5 2 11 2" xfId="42444" xr:uid="{2517E52E-524E-445F-BD94-ADFF2D4D3B26}"/>
    <cellStyle name="Calculation 2 9 5 2 11 3" xfId="44939" xr:uid="{2DF0CB6C-D902-48C2-B433-1B01CC55850A}"/>
    <cellStyle name="Calculation 2 9 5 2 12" xfId="19736" xr:uid="{9597C25C-F1B9-4F21-A672-B8FCC734568F}"/>
    <cellStyle name="Calculation 2 9 5 2 12 2" xfId="28057" xr:uid="{0714FBAB-03CB-4971-8F5F-F8B8E1A1B5FA}"/>
    <cellStyle name="Calculation 2 9 5 2 13" xfId="53776" xr:uid="{BFF7535E-51EF-48F8-83E7-66B48BE33AC1}"/>
    <cellStyle name="Calculation 2 9 5 2 2" xfId="4092" xr:uid="{00000000-0005-0000-0000-000086000000}"/>
    <cellStyle name="Calculation 2 9 5 2 2 2" xfId="10996" xr:uid="{FD667B6C-ED42-4D53-B43B-9CC8EDA92E1C}"/>
    <cellStyle name="Calculation 2 9 5 2 2 2 2" xfId="33482" xr:uid="{AAA4568A-1F1F-4085-9311-0F5895F67ADE}"/>
    <cellStyle name="Calculation 2 9 5 2 2 2 3" xfId="45314" xr:uid="{18443237-3A6B-448F-9FED-F16CA820F181}"/>
    <cellStyle name="Calculation 2 9 5 2 2 3" xfId="16096" xr:uid="{39487D37-79BF-4535-B292-121E6D11E747}"/>
    <cellStyle name="Calculation 2 9 5 2 2 3 2" xfId="38496" xr:uid="{9EFED34C-2F7E-478B-AC25-9CA5309B677B}"/>
    <cellStyle name="Calculation 2 9 5 2 2 3 3" xfId="37809" xr:uid="{EA124E6A-8C55-40A8-B833-86819ACB370F}"/>
    <cellStyle name="Calculation 2 9 5 2 2 4" xfId="20269" xr:uid="{CC52FEC4-36FA-4FE4-8BFE-604E62E08E9D}"/>
    <cellStyle name="Calculation 2 9 5 2 2 4 2" xfId="48441" xr:uid="{F3366EB5-B5E2-4D96-9795-51AFF38E33D4}"/>
    <cellStyle name="Calculation 2 9 5 2 2 5" xfId="26008" xr:uid="{9FF1AACC-0FBF-4455-BA9F-54BB0E449372}"/>
    <cellStyle name="Calculation 2 9 5 2 3" xfId="5437" xr:uid="{00000000-0005-0000-0000-000086000000}"/>
    <cellStyle name="Calculation 2 9 5 2 3 2" xfId="12327" xr:uid="{4BE4C016-8E53-4B01-BE7D-BE152BF7012E}"/>
    <cellStyle name="Calculation 2 9 5 2 3 2 2" xfId="34812" xr:uid="{76882F8C-F6ED-471B-B4DC-6AE86D412615}"/>
    <cellStyle name="Calculation 2 9 5 2 3 2 3" xfId="23800" xr:uid="{A6265052-5F3F-4048-BF7B-7E64416394C0}"/>
    <cellStyle name="Calculation 2 9 5 2 3 3" xfId="17374" xr:uid="{CF28A3D4-B1E6-4323-BD7A-ACCAF12E677D}"/>
    <cellStyle name="Calculation 2 9 5 2 3 3 2" xfId="39764" xr:uid="{EB469B06-CFD5-48AD-80C4-51045F1D4608}"/>
    <cellStyle name="Calculation 2 9 5 2 3 3 3" xfId="44927" xr:uid="{8B0B99A0-1A7E-4693-95C8-AF8A6AB574C2}"/>
    <cellStyle name="Calculation 2 9 5 2 3 4" xfId="21798" xr:uid="{EAE1F353-6561-4D65-B514-3E29DE43E78D}"/>
    <cellStyle name="Calculation 2 9 5 2 3 4 2" xfId="46308" xr:uid="{76EB3894-B763-4A02-A215-340088148412}"/>
    <cellStyle name="Calculation 2 9 5 2 3 5" xfId="47855" xr:uid="{70E8F11F-9917-4482-B10E-FA59C1B6D738}"/>
    <cellStyle name="Calculation 2 9 5 2 4" xfId="5860" xr:uid="{00000000-0005-0000-0000-000086000000}"/>
    <cellStyle name="Calculation 2 9 5 2 4 2" xfId="12742" xr:uid="{3C93A898-3826-47E1-A0C3-BFE210708586}"/>
    <cellStyle name="Calculation 2 9 5 2 4 2 2" xfId="35226" xr:uid="{22FC5146-C4ED-42D6-B3ED-86EE01B52C4A}"/>
    <cellStyle name="Calculation 2 9 5 2 4 2 3" xfId="44789" xr:uid="{5E3A1CAF-60EE-4F2F-A918-80AF3B83C510}"/>
    <cellStyle name="Calculation 2 9 5 2 4 3" xfId="17797" xr:uid="{005846C9-B60E-4A60-B33C-26FFB8C8C6E8}"/>
    <cellStyle name="Calculation 2 9 5 2 4 3 2" xfId="40187" xr:uid="{DEA5C6E7-60BA-498A-A700-0BA0D5761C73}"/>
    <cellStyle name="Calculation 2 9 5 2 4 3 3" xfId="28840" xr:uid="{D7B3318B-4D49-4BCC-B900-7698E54ECA9E}"/>
    <cellStyle name="Calculation 2 9 5 2 4 4" xfId="22221" xr:uid="{C463BAC7-0DAB-45C7-B604-BEB0A51A98E0}"/>
    <cellStyle name="Calculation 2 9 5 2 4 4 2" xfId="51071" xr:uid="{E2A1C713-CC3A-4A5C-B406-3F82C0401DAA}"/>
    <cellStyle name="Calculation 2 9 5 2 4 5" xfId="46954" xr:uid="{07F3CB4B-DEA5-46A0-9E9D-A35ABE54B82F}"/>
    <cellStyle name="Calculation 2 9 5 2 5" xfId="6198" xr:uid="{00000000-0005-0000-0000-000086000000}"/>
    <cellStyle name="Calculation 2 9 5 2 5 2" xfId="13073" xr:uid="{5472E4AA-8EBA-46A9-98BB-F54E99420081}"/>
    <cellStyle name="Calculation 2 9 5 2 5 2 2" xfId="35557" xr:uid="{AC085444-9F5A-4DBC-A4C3-6D7EC3169F6B}"/>
    <cellStyle name="Calculation 2 9 5 2 5 2 3" xfId="53338" xr:uid="{C16EF26C-E39F-4F75-9ABB-985A7C370B65}"/>
    <cellStyle name="Calculation 2 9 5 2 5 3" xfId="18135" xr:uid="{094BCCC0-B839-4682-8534-6AE12204E72E}"/>
    <cellStyle name="Calculation 2 9 5 2 5 3 2" xfId="40525" xr:uid="{8682A543-7540-48DA-A34D-E54D607EF1B0}"/>
    <cellStyle name="Calculation 2 9 5 2 5 3 3" xfId="28518" xr:uid="{625078F9-86E0-418A-9840-595B9843B4E7}"/>
    <cellStyle name="Calculation 2 9 5 2 5 4" xfId="22559" xr:uid="{4245BE7F-7D3E-47F5-AF5F-BAB6B1DEC16D}"/>
    <cellStyle name="Calculation 2 9 5 2 5 4 2" xfId="47965" xr:uid="{5F9D68BB-9517-45FC-AA52-649AC803584F}"/>
    <cellStyle name="Calculation 2 9 5 2 5 5" xfId="52447" xr:uid="{3F7CBB10-5887-400D-BC1F-DA97B09FA7E2}"/>
    <cellStyle name="Calculation 2 9 5 2 6" xfId="6566" xr:uid="{00000000-0005-0000-0000-000086000000}"/>
    <cellStyle name="Calculation 2 9 5 2 6 2" xfId="13432" xr:uid="{9EB6D027-66C7-4FBF-B927-757F1FDFB229}"/>
    <cellStyle name="Calculation 2 9 5 2 6 2 2" xfId="35916" xr:uid="{C61E68E5-D2C6-4D7D-996D-6D8DBCA1B9DD}"/>
    <cellStyle name="Calculation 2 9 5 2 6 2 3" xfId="49846" xr:uid="{937FC7D6-2C29-4684-A44B-DE4B6D0B394F}"/>
    <cellStyle name="Calculation 2 9 5 2 6 3" xfId="18503" xr:uid="{B89CE6C9-AB78-460B-85B3-A048849FE951}"/>
    <cellStyle name="Calculation 2 9 5 2 6 3 2" xfId="40893" xr:uid="{3B895EEA-5669-467D-AF26-60ABDB9F7735}"/>
    <cellStyle name="Calculation 2 9 5 2 6 3 3" xfId="45122" xr:uid="{675A7582-4282-4B65-9EC1-244D9140AA3E}"/>
    <cellStyle name="Calculation 2 9 5 2 6 4" xfId="22927" xr:uid="{90C6A68C-00C8-4845-B850-62894022D223}"/>
    <cellStyle name="Calculation 2 9 5 2 6 4 2" xfId="42977" xr:uid="{4E3733D8-E8DE-4D58-815D-31483CF4CC95}"/>
    <cellStyle name="Calculation 2 9 5 2 6 5" xfId="28060" xr:uid="{16F0861B-7024-4A10-BC09-2479A1F68AF7}"/>
    <cellStyle name="Calculation 2 9 5 2 7" xfId="4775" xr:uid="{00000000-0005-0000-0000-000086000000}"/>
    <cellStyle name="Calculation 2 9 5 2 7 2" xfId="11672" xr:uid="{B5588A28-63E4-479D-84B5-E8436C6900A5}"/>
    <cellStyle name="Calculation 2 9 5 2 7 2 2" xfId="34158" xr:uid="{45D7ADBD-740B-433E-8959-609EA8B4A739}"/>
    <cellStyle name="Calculation 2 9 5 2 7 2 3" xfId="41757" xr:uid="{0E9F95D8-218B-42C3-AEB7-221E2D71018A}"/>
    <cellStyle name="Calculation 2 9 5 2 7 3" xfId="16712" xr:uid="{F209CDFF-771C-45C0-A28C-FE1A58F24C1D}"/>
    <cellStyle name="Calculation 2 9 5 2 7 3 2" xfId="39102" xr:uid="{2C2DA487-879B-43B7-AF93-740BA754F1AF}"/>
    <cellStyle name="Calculation 2 9 5 2 7 3 3" xfId="45643" xr:uid="{B5BD0BBB-F1D9-4087-8F8E-543B45EC4549}"/>
    <cellStyle name="Calculation 2 9 5 2 7 4" xfId="19687" xr:uid="{F2841D28-2AEC-44DC-83EE-C8779256EB52}"/>
    <cellStyle name="Calculation 2 9 5 2 7 4 2" xfId="24211" xr:uid="{0B4AE50F-BC9E-4494-9578-178B22189C30}"/>
    <cellStyle name="Calculation 2 9 5 2 7 5" xfId="28616" xr:uid="{68DA3573-656F-4571-8987-4A3F37EDA157}"/>
    <cellStyle name="Calculation 2 9 5 2 8" xfId="7036" xr:uid="{00000000-0005-0000-0000-000086000000}"/>
    <cellStyle name="Calculation 2 9 5 2 8 2" xfId="13872" xr:uid="{5EAEABBC-ECB3-45A6-91F6-3F83E3DDB965}"/>
    <cellStyle name="Calculation 2 9 5 2 8 2 2" xfId="36356" xr:uid="{5AFC2A5E-8521-424E-B0E6-6165FF9256B9}"/>
    <cellStyle name="Calculation 2 9 5 2 8 2 3" xfId="27644" xr:uid="{776B64DB-A4BF-4717-82C4-1966D504A6E0}"/>
    <cellStyle name="Calculation 2 9 5 2 8 3" xfId="18973" xr:uid="{804DD48B-0854-4F5E-BDD0-527553BEA39A}"/>
    <cellStyle name="Calculation 2 9 5 2 8 3 2" xfId="41363" xr:uid="{A239D86C-0006-4052-BF70-CF13B4FA657D}"/>
    <cellStyle name="Calculation 2 9 5 2 8 3 3" xfId="28328" xr:uid="{A98F5E93-63C7-4513-97F7-88B2985F0667}"/>
    <cellStyle name="Calculation 2 9 5 2 8 4" xfId="23397" xr:uid="{67236168-1C80-4686-ADF5-D69619329829}"/>
    <cellStyle name="Calculation 2 9 5 2 8 4 2" xfId="49277" xr:uid="{7F44009F-3B92-40A7-AE92-2990A64EB1D1}"/>
    <cellStyle name="Calculation 2 9 5 2 8 5" xfId="23804" xr:uid="{7C0DA66A-D090-4055-A2EA-70D386E85D92}"/>
    <cellStyle name="Calculation 2 9 5 2 9" xfId="7151" xr:uid="{00000000-0005-0000-0000-000086000000}"/>
    <cellStyle name="Calculation 2 9 5 2 9 2" xfId="19088" xr:uid="{F13408F0-2D99-4663-81BD-5FC16CC0C059}"/>
    <cellStyle name="Calculation 2 9 5 2 9 2 2" xfId="41478" xr:uid="{76CA4E98-88C5-4A26-B0E2-DC0038E46611}"/>
    <cellStyle name="Calculation 2 9 5 2 9 2 3" xfId="29585" xr:uid="{D84380DA-F050-427E-A163-A835C002691A}"/>
    <cellStyle name="Calculation 2 9 5 2 9 3" xfId="23512" xr:uid="{E43A5A09-10A0-4623-A07B-73B27015D3A2}"/>
    <cellStyle name="Calculation 2 9 5 2 9 3 2" xfId="47545" xr:uid="{C3EE3B3D-215E-4364-BA4E-525EB27EC211}"/>
    <cellStyle name="Calculation 2 9 5 2 9 4" xfId="46454" xr:uid="{70853553-2867-4CD0-B99B-BEB3DA8C2C92}"/>
    <cellStyle name="Calculation 2 9 5 3" xfId="3311" xr:uid="{00000000-0005-0000-0000-000085000000}"/>
    <cellStyle name="Calculation 2 9 5 3 2" xfId="10219" xr:uid="{7F09A1C3-58E7-461E-8DB3-792F9154DF86}"/>
    <cellStyle name="Calculation 2 9 5 3 2 2" xfId="32713" xr:uid="{A9FF9DDB-AA4A-4121-A13B-A65C112A2FE3}"/>
    <cellStyle name="Calculation 2 9 5 3 2 3" xfId="29824" xr:uid="{29F37896-3A32-4016-825C-96D9B4267F5A}"/>
    <cellStyle name="Calculation 2 9 5 3 3" xfId="15537" xr:uid="{4EDBB851-77B1-4214-8469-9389781F8301}"/>
    <cellStyle name="Calculation 2 9 5 3 3 2" xfId="37956" xr:uid="{00F95AAF-9A5F-437C-9501-52912EA608C0}"/>
    <cellStyle name="Calculation 2 9 5 3 3 3" xfId="27617" xr:uid="{8725C6B0-EFF5-4532-95D2-69C6FB032BC1}"/>
    <cellStyle name="Calculation 2 9 5 3 4" xfId="19383" xr:uid="{5DC4FF12-B516-4AE4-8887-9CCCD7CEBC9B}"/>
    <cellStyle name="Calculation 2 9 5 3 4 2" xfId="27864" xr:uid="{E9F992F2-091E-464B-B598-7DF9C2EA08A9}"/>
    <cellStyle name="Calculation 2 9 5 3 5" xfId="51270" xr:uid="{8DD011BC-C7D6-4012-B035-FC9FEFADF4A0}"/>
    <cellStyle name="Calculation 2 9 5 4" xfId="4897" xr:uid="{00000000-0005-0000-0000-000085000000}"/>
    <cellStyle name="Calculation 2 9 5 4 2" xfId="11792" xr:uid="{CD1CE828-875C-4276-8015-DE85332EF716}"/>
    <cellStyle name="Calculation 2 9 5 4 2 2" xfId="34278" xr:uid="{3108C2A7-82D2-4FE9-A2CB-7DC8391C7263}"/>
    <cellStyle name="Calculation 2 9 5 4 2 3" xfId="30193" xr:uid="{A8FD639B-5484-4D91-A7C4-166CA3C905E7}"/>
    <cellStyle name="Calculation 2 9 5 4 3" xfId="16834" xr:uid="{5AE4FB38-FD03-441B-8B2F-AE0549699032}"/>
    <cellStyle name="Calculation 2 9 5 4 3 2" xfId="39224" xr:uid="{305DF709-F37D-48C5-A462-8EC31B77AE30}"/>
    <cellStyle name="Calculation 2 9 5 4 3 3" xfId="43367" xr:uid="{47CCD7D1-E85D-4831-A4FA-A4BE6F6782ED}"/>
    <cellStyle name="Calculation 2 9 5 4 4" xfId="19298" xr:uid="{A2AB2AAB-7F96-4A7C-B2CC-3E19A310DF17}"/>
    <cellStyle name="Calculation 2 9 5 4 4 2" xfId="24610" xr:uid="{3E50727D-55DC-4994-8D65-D5FD54B192CA}"/>
    <cellStyle name="Calculation 2 9 5 4 5" xfId="52840" xr:uid="{89379815-B3A6-4518-AD2A-DFFFFF54AD97}"/>
    <cellStyle name="Calculation 2 9 5 5" xfId="5205" xr:uid="{00000000-0005-0000-0000-000085000000}"/>
    <cellStyle name="Calculation 2 9 5 5 2" xfId="12098" xr:uid="{BCDE2B2F-C058-410C-9159-D78945693E0F}"/>
    <cellStyle name="Calculation 2 9 5 5 2 2" xfId="34584" xr:uid="{41BD7EB0-DA31-4CEE-AC24-19B0470340D3}"/>
    <cellStyle name="Calculation 2 9 5 5 2 3" xfId="37276" xr:uid="{9F22A830-0F5B-4337-B59F-5B0CC248B215}"/>
    <cellStyle name="Calculation 2 9 5 5 3" xfId="17142" xr:uid="{0664CDBD-1097-4FE6-9F01-DF9237CE8FEF}"/>
    <cellStyle name="Calculation 2 9 5 5 3 2" xfId="39532" xr:uid="{D723B870-D1EF-413C-AB3A-03367050D5F4}"/>
    <cellStyle name="Calculation 2 9 5 5 3 3" xfId="41690" xr:uid="{C2B3938D-F218-4DF2-8D48-B4E69D0F9D9E}"/>
    <cellStyle name="Calculation 2 9 5 5 4" xfId="21566" xr:uid="{38CD7637-571B-495C-A37E-9299C347071D}"/>
    <cellStyle name="Calculation 2 9 5 5 4 2" xfId="29704" xr:uid="{A12CBDCE-F482-4C24-9D21-41737EE19679}"/>
    <cellStyle name="Calculation 2 9 5 5 5" xfId="50903" xr:uid="{EB289581-D0D5-46E7-8194-F6E8AE161F8E}"/>
    <cellStyle name="Calculation 2 9 5 6" xfId="6363" xr:uid="{00000000-0005-0000-0000-000085000000}"/>
    <cellStyle name="Calculation 2 9 5 6 2" xfId="13235" xr:uid="{9CB307D5-43E0-4F1B-BD70-6E407A53B2E8}"/>
    <cellStyle name="Calculation 2 9 5 6 2 2" xfId="35719" xr:uid="{7CE2422B-5AD3-443B-A3A3-68252A812998}"/>
    <cellStyle name="Calculation 2 9 5 6 2 3" xfId="49191" xr:uid="{CD880337-14E4-4F7B-B460-6FE451B4E147}"/>
    <cellStyle name="Calculation 2 9 5 6 3" xfId="18300" xr:uid="{BED97948-6360-423E-AD1E-5A194EE020D7}"/>
    <cellStyle name="Calculation 2 9 5 6 3 2" xfId="40690" xr:uid="{254EE166-842F-45EE-9891-57FCB0FEC7C5}"/>
    <cellStyle name="Calculation 2 9 5 6 3 3" xfId="44831" xr:uid="{092C7070-6D37-42D9-B227-D4AA560156B8}"/>
    <cellStyle name="Calculation 2 9 5 6 4" xfId="22724" xr:uid="{0D31646B-3E4C-44EF-B350-5FC6FEAFF45D}"/>
    <cellStyle name="Calculation 2 9 5 6 4 2" xfId="51898" xr:uid="{014D7419-9DDF-41F9-8FF3-1D0111F8DA4E}"/>
    <cellStyle name="Calculation 2 9 5 6 5" xfId="47172" xr:uid="{8DD239CC-2C6D-4E6E-B74D-D927B6B1C13F}"/>
    <cellStyle name="Calculation 2 9 5 7" xfId="6856" xr:uid="{00000000-0005-0000-0000-000085000000}"/>
    <cellStyle name="Calculation 2 9 5 7 2" xfId="13698" xr:uid="{2E71FEED-88E8-4546-8E12-F5878E3D88F4}"/>
    <cellStyle name="Calculation 2 9 5 7 2 2" xfId="36182" xr:uid="{C061C101-CA21-4F0F-8AAE-0A3C48E2166F}"/>
    <cellStyle name="Calculation 2 9 5 7 2 3" xfId="53165" xr:uid="{518D5AEE-7AFA-47BE-9EA3-FD6D273F87C3}"/>
    <cellStyle name="Calculation 2 9 5 7 3" xfId="18793" xr:uid="{40FA62E6-04F1-43AA-9544-31DD11699650}"/>
    <cellStyle name="Calculation 2 9 5 7 3 2" xfId="41183" xr:uid="{CBF7AC89-2894-49FE-A148-55794D1BE1AC}"/>
    <cellStyle name="Calculation 2 9 5 7 3 3" xfId="43346" xr:uid="{2C3357CF-A695-4AA0-B7DF-C1748F02B806}"/>
    <cellStyle name="Calculation 2 9 5 7 4" xfId="23217" xr:uid="{1AAFBDE3-131D-4E54-906B-701968BFD041}"/>
    <cellStyle name="Calculation 2 9 5 7 4 2" xfId="46334" xr:uid="{8F22A5B5-E0D1-4E10-9955-4A4172B921E9}"/>
    <cellStyle name="Calculation 2 9 5 7 5" xfId="29005" xr:uid="{9734779C-4939-42BD-8C31-4FBCC1A63A70}"/>
    <cellStyle name="Calculation 2 9 5 8" xfId="14071" xr:uid="{1FC22EF5-75BB-4B56-9161-A6075F6BD66E}"/>
    <cellStyle name="Calculation 2 9 5 8 2" xfId="36549" xr:uid="{CC831F6B-D23B-4CC6-B5FF-F3F937923877}"/>
    <cellStyle name="Calculation 2 9 5 8 3" xfId="24022" xr:uid="{66378F62-9B32-4F96-8A69-D2F1CE23B9E8}"/>
    <cellStyle name="Calculation 2 9 5 9" xfId="20694" xr:uid="{2805778E-F904-4CB9-8793-11A73AE77370}"/>
    <cellStyle name="Calculation 2 9 5 9 2" xfId="42966" xr:uid="{A33859EB-50A3-4DAB-8AB3-7CEFA3F7C0C5}"/>
    <cellStyle name="Calculation 2 9 5 9 3" xfId="53740" xr:uid="{519FD9EF-B155-4885-A558-4D77E2204DB1}"/>
    <cellStyle name="Calculation 2 9 6" xfId="1357" xr:uid="{00000000-0005-0000-0000-000087000000}"/>
    <cellStyle name="Calculation 2 9 6 10" xfId="19652" xr:uid="{3F38F558-D4D8-47A2-A3F2-510FEEB7C9CA}"/>
    <cellStyle name="Calculation 2 9 6 10 2" xfId="28766" xr:uid="{659D72AA-6EC9-4F68-A597-D99391E37023}"/>
    <cellStyle name="Calculation 2 9 6 11" xfId="29098" xr:uid="{034365FC-4AE4-4FE9-8F89-2B5B9F9FA0FC}"/>
    <cellStyle name="Calculation 2 9 6 2" xfId="2086" xr:uid="{00000000-0005-0000-0000-000088000000}"/>
    <cellStyle name="Calculation 2 9 6 2 10" xfId="14716" xr:uid="{38EAADCA-17F9-40FB-BC48-5B6FFB11347B}"/>
    <cellStyle name="Calculation 2 9 6 2 10 2" xfId="37174" xr:uid="{19621FB9-08D5-450E-A282-161D548ECCE1}"/>
    <cellStyle name="Calculation 2 9 6 2 10 3" xfId="42186" xr:uid="{6C8444E8-82A0-4362-88BE-DB814E47442A}"/>
    <cellStyle name="Calculation 2 9 6 2 11" xfId="20344" xr:uid="{2D5BFDF5-1417-4143-8A66-2C31295C171E}"/>
    <cellStyle name="Calculation 2 9 6 2 11 2" xfId="42642" xr:uid="{0B8BD2D6-21EE-46F4-97A8-41406D408799}"/>
    <cellStyle name="Calculation 2 9 6 2 11 3" xfId="53483" xr:uid="{54B4F316-29FC-4EAF-8C9A-241BED0313D0}"/>
    <cellStyle name="Calculation 2 9 6 2 12" xfId="21194" xr:uid="{40A3FC1B-697A-4AC0-91DB-5698AC01867A}"/>
    <cellStyle name="Calculation 2 9 6 2 12 2" xfId="51962" xr:uid="{B97D9DB7-7A8C-4227-B49F-680700E90E3A}"/>
    <cellStyle name="Calculation 2 9 6 2 13" xfId="46041" xr:uid="{134DBBA9-65AC-4B66-AB9C-264C923A6122}"/>
    <cellStyle name="Calculation 2 9 6 2 2" xfId="4181" xr:uid="{00000000-0005-0000-0000-000088000000}"/>
    <cellStyle name="Calculation 2 9 6 2 2 2" xfId="11085" xr:uid="{54EFD0E8-61C9-4D40-8E5D-4965A5F12498}"/>
    <cellStyle name="Calculation 2 9 6 2 2 2 2" xfId="33571" xr:uid="{262F28CE-82DF-4ED3-9246-81315AC97701}"/>
    <cellStyle name="Calculation 2 9 6 2 2 2 3" xfId="49419" xr:uid="{F2014134-1A6C-4357-8CB1-6A94C425CFE5}"/>
    <cellStyle name="Calculation 2 9 6 2 2 3" xfId="16174" xr:uid="{D8B449F8-E61D-4C6D-AEFA-48C80643E2A7}"/>
    <cellStyle name="Calculation 2 9 6 2 2 3 2" xfId="38573" xr:uid="{523A597D-B4DA-4F4F-A542-0B8BDC08F7F3}"/>
    <cellStyle name="Calculation 2 9 6 2 2 3 3" xfId="44361" xr:uid="{9692B592-3C02-47F9-AEA4-323325624914}"/>
    <cellStyle name="Calculation 2 9 6 2 2 4" xfId="15251" xr:uid="{9BEF5A81-D744-43FA-B07C-2CB307727D03}"/>
    <cellStyle name="Calculation 2 9 6 2 2 4 2" xfId="51723" xr:uid="{101B3CC9-B88F-4D48-9056-026460F7927C}"/>
    <cellStyle name="Calculation 2 9 6 2 2 5" xfId="49822" xr:uid="{F60F1950-C4DB-4B4B-88EF-856C7FEE4B36}"/>
    <cellStyle name="Calculation 2 9 6 2 3" xfId="5507" xr:uid="{00000000-0005-0000-0000-000088000000}"/>
    <cellStyle name="Calculation 2 9 6 2 3 2" xfId="12396" xr:uid="{825F2B97-9CAF-4922-B412-F7EAECE647EA}"/>
    <cellStyle name="Calculation 2 9 6 2 3 2 2" xfId="34881" xr:uid="{68F8B94B-5D90-473D-A76F-0B6304C467F1}"/>
    <cellStyle name="Calculation 2 9 6 2 3 2 3" xfId="27851" xr:uid="{6A1CF268-2743-4050-A3B2-95019D547335}"/>
    <cellStyle name="Calculation 2 9 6 2 3 3" xfId="17444" xr:uid="{10ECFEF0-58BB-4B67-B44D-EDEB14FFED53}"/>
    <cellStyle name="Calculation 2 9 6 2 3 3 2" xfId="39834" xr:uid="{623B734F-F130-4AF8-9437-652E21BB5FA4}"/>
    <cellStyle name="Calculation 2 9 6 2 3 3 3" xfId="37806" xr:uid="{BA9B30BB-D22F-4A65-AB69-0B48E09C670B}"/>
    <cellStyle name="Calculation 2 9 6 2 3 4" xfId="21868" xr:uid="{189F336B-2E43-47B5-AF34-2E6D064669E6}"/>
    <cellStyle name="Calculation 2 9 6 2 3 4 2" xfId="47673" xr:uid="{304BD541-B6C9-4EB2-8DAE-5A66FA975DDE}"/>
    <cellStyle name="Calculation 2 9 6 2 3 5" xfId="48425" xr:uid="{24A94C39-7579-44E2-8E00-3CE12BACA11A}"/>
    <cellStyle name="Calculation 2 9 6 2 4" xfId="5928" xr:uid="{00000000-0005-0000-0000-000088000000}"/>
    <cellStyle name="Calculation 2 9 6 2 4 2" xfId="12809" xr:uid="{F1E707F2-FDF3-4F4A-B917-6450F77C14C4}"/>
    <cellStyle name="Calculation 2 9 6 2 4 2 2" xfId="35293" xr:uid="{DF3A4F2C-89CF-4386-9194-66B7711747D0}"/>
    <cellStyle name="Calculation 2 9 6 2 4 2 3" xfId="46976" xr:uid="{8D9C7700-BC64-4692-8C55-8BA44A91326D}"/>
    <cellStyle name="Calculation 2 9 6 2 4 3" xfId="17865" xr:uid="{A385779A-D4FA-4031-852A-FD16FD971D4F}"/>
    <cellStyle name="Calculation 2 9 6 2 4 3 2" xfId="40255" xr:uid="{F72B8487-7DEF-4633-A1F4-05CC10112311}"/>
    <cellStyle name="Calculation 2 9 6 2 4 3 3" xfId="28420" xr:uid="{A8CB561E-D77F-42EA-B25C-1A397A7A783D}"/>
    <cellStyle name="Calculation 2 9 6 2 4 4" xfId="22289" xr:uid="{008A5B52-06C6-46A2-A7CC-3D650195D2DD}"/>
    <cellStyle name="Calculation 2 9 6 2 4 4 2" xfId="47308" xr:uid="{D1EDCD80-33D0-490A-A589-E38490861165}"/>
    <cellStyle name="Calculation 2 9 6 2 4 5" xfId="53528" xr:uid="{7523C808-FC8A-4479-8028-0D635F388D01}"/>
    <cellStyle name="Calculation 2 9 6 2 5" xfId="6268" xr:uid="{00000000-0005-0000-0000-000088000000}"/>
    <cellStyle name="Calculation 2 9 6 2 5 2" xfId="13140" xr:uid="{11EE72B5-E71F-4AC2-A3E5-220CC20E5864}"/>
    <cellStyle name="Calculation 2 9 6 2 5 2 2" xfId="35624" xr:uid="{961C8AD6-7410-4C39-A648-EEF030F8635C}"/>
    <cellStyle name="Calculation 2 9 6 2 5 2 3" xfId="31473" xr:uid="{D26F4B71-F25E-40D0-865B-5F3A4A6EAAC3}"/>
    <cellStyle name="Calculation 2 9 6 2 5 3" xfId="18205" xr:uid="{DD00B4E2-1F60-41D7-BC82-F5BFA24FD704}"/>
    <cellStyle name="Calculation 2 9 6 2 5 3 2" xfId="40595" xr:uid="{33E4B934-BD5C-415C-9B7F-B039CF4E8D5F}"/>
    <cellStyle name="Calculation 2 9 6 2 5 3 3" xfId="31476" xr:uid="{9FEDF463-E14A-4FB3-9DA6-E531829CF364}"/>
    <cellStyle name="Calculation 2 9 6 2 5 4" xfId="22629" xr:uid="{9AD6DBE4-DF55-4515-9A8E-E766A8F69FEF}"/>
    <cellStyle name="Calculation 2 9 6 2 5 4 2" xfId="28018" xr:uid="{89724C56-7E64-4B47-BCED-28D83EE5D895}"/>
    <cellStyle name="Calculation 2 9 6 2 5 5" xfId="46523" xr:uid="{90664966-B4E3-47F0-9469-FA3A49B5FB50}"/>
    <cellStyle name="Calculation 2 9 6 2 6" xfId="6625" xr:uid="{00000000-0005-0000-0000-000088000000}"/>
    <cellStyle name="Calculation 2 9 6 2 6 2" xfId="13491" xr:uid="{7BFC302F-CB20-4427-81A9-C95A9AC73AF6}"/>
    <cellStyle name="Calculation 2 9 6 2 6 2 2" xfId="35975" xr:uid="{55524F72-37E0-4C0A-BF20-8627C8930423}"/>
    <cellStyle name="Calculation 2 9 6 2 6 2 3" xfId="51862" xr:uid="{2FB0C3BF-2DD7-46D2-80D3-0C02F72862FF}"/>
    <cellStyle name="Calculation 2 9 6 2 6 3" xfId="18562" xr:uid="{CAF3FF1E-E9A2-4D29-980D-CAEB607C04CE}"/>
    <cellStyle name="Calculation 2 9 6 2 6 3 2" xfId="40952" xr:uid="{A4822B63-10A2-459D-B0C0-9EC60AC50FC4}"/>
    <cellStyle name="Calculation 2 9 6 2 6 3 3" xfId="45400" xr:uid="{D1B0064A-B807-4822-8C49-25045724D7CD}"/>
    <cellStyle name="Calculation 2 9 6 2 6 4" xfId="22986" xr:uid="{CB6D5DD2-2AD2-4686-B5CA-2E1EAE89D7A5}"/>
    <cellStyle name="Calculation 2 9 6 2 6 4 2" xfId="45424" xr:uid="{FF755D21-DC08-4349-9945-424BF8D1F154}"/>
    <cellStyle name="Calculation 2 9 6 2 6 5" xfId="52847" xr:uid="{AB9D61B9-6764-47C3-8A68-7CC14ED1AEC0}"/>
    <cellStyle name="Calculation 2 9 6 2 7" xfId="6689" xr:uid="{00000000-0005-0000-0000-000088000000}"/>
    <cellStyle name="Calculation 2 9 6 2 7 2" xfId="13555" xr:uid="{4A8FC9C2-BBDA-46CA-BC13-8F34E988A918}"/>
    <cellStyle name="Calculation 2 9 6 2 7 2 2" xfId="36039" xr:uid="{8C1EAF77-4956-4E4D-AFF8-E9AF99998937}"/>
    <cellStyle name="Calculation 2 9 6 2 7 2 3" xfId="46354" xr:uid="{ED9AAB09-7785-4A29-ADA0-57BFCF7354BE}"/>
    <cellStyle name="Calculation 2 9 6 2 7 3" xfId="18626" xr:uid="{F81B62EE-3AFC-4BDE-A85A-784203983738}"/>
    <cellStyle name="Calculation 2 9 6 2 7 3 2" xfId="41016" xr:uid="{E15B6011-4E8C-4E9A-BE92-78DDDB9D7E97}"/>
    <cellStyle name="Calculation 2 9 6 2 7 3 3" xfId="27975" xr:uid="{F72AA2DC-F7B6-48D3-B5D9-7A7F6FDA5A4A}"/>
    <cellStyle name="Calculation 2 9 6 2 7 4" xfId="23050" xr:uid="{E4538305-BA87-4FAA-AE40-D04708BF5440}"/>
    <cellStyle name="Calculation 2 9 6 2 7 4 2" xfId="49217" xr:uid="{66A5D889-2D3C-49DD-A5BB-6CB36C4E9E3A}"/>
    <cellStyle name="Calculation 2 9 6 2 7 5" xfId="49940" xr:uid="{5E62D74B-8C77-47AB-88AC-10B6B42307FE}"/>
    <cellStyle name="Calculation 2 9 6 2 8" xfId="7080" xr:uid="{00000000-0005-0000-0000-000088000000}"/>
    <cellStyle name="Calculation 2 9 6 2 8 2" xfId="13916" xr:uid="{940B08C0-1F8F-4EA7-81BF-0A7320204EE5}"/>
    <cellStyle name="Calculation 2 9 6 2 8 2 2" xfId="36400" xr:uid="{55686D66-7918-4ABC-ACF9-8EFFAA577F58}"/>
    <cellStyle name="Calculation 2 9 6 2 8 2 3" xfId="51225" xr:uid="{A3026F01-90AB-4864-9D95-D2263C057E83}"/>
    <cellStyle name="Calculation 2 9 6 2 8 3" xfId="19017" xr:uid="{00369F55-B1B0-4CBF-8405-73085A7750EB}"/>
    <cellStyle name="Calculation 2 9 6 2 8 3 2" xfId="41407" xr:uid="{0AB66430-71A6-4C20-8A9D-6E79FF1940D5}"/>
    <cellStyle name="Calculation 2 9 6 2 8 3 3" xfId="38154" xr:uid="{9122A74D-F141-467D-B0E4-47234A93ACFB}"/>
    <cellStyle name="Calculation 2 9 6 2 8 4" xfId="23441" xr:uid="{D9CCCF38-E81D-430E-B7C6-7C529742E9F7}"/>
    <cellStyle name="Calculation 2 9 6 2 8 4 2" xfId="45571" xr:uid="{775E7ECD-4D96-4962-A7F7-5A85AE2F2493}"/>
    <cellStyle name="Calculation 2 9 6 2 8 5" xfId="52988" xr:uid="{3E4E49A1-6EB8-4E47-A0A5-21F43202AF39}"/>
    <cellStyle name="Calculation 2 9 6 2 9" xfId="7195" xr:uid="{00000000-0005-0000-0000-000088000000}"/>
    <cellStyle name="Calculation 2 9 6 2 9 2" xfId="19132" xr:uid="{1A00AE26-EE1D-4663-A7AD-D968F1080D10}"/>
    <cellStyle name="Calculation 2 9 6 2 9 2 2" xfId="41522" xr:uid="{160327CF-82F6-45B0-91BE-40EBAD1341C3}"/>
    <cellStyle name="Calculation 2 9 6 2 9 2 3" xfId="27637" xr:uid="{7D26C9B0-7650-4267-B19A-38A05C9AC8C3}"/>
    <cellStyle name="Calculation 2 9 6 2 9 3" xfId="23556" xr:uid="{D5665B64-3A4C-4A41-849E-9D6E2F843DF8}"/>
    <cellStyle name="Calculation 2 9 6 2 9 3 2" xfId="29008" xr:uid="{BCDC7EAF-64E9-4593-94A9-EF8DCBF04BE1}"/>
    <cellStyle name="Calculation 2 9 6 2 9 4" xfId="26244" xr:uid="{CD206401-2416-4975-8769-FB749FCC8235}"/>
    <cellStyle name="Calculation 2 9 6 3" xfId="3463" xr:uid="{00000000-0005-0000-0000-000087000000}"/>
    <cellStyle name="Calculation 2 9 6 3 2" xfId="10371" xr:uid="{934094A8-83F2-4B96-B491-CDCCBB642989}"/>
    <cellStyle name="Calculation 2 9 6 3 2 2" xfId="32858" xr:uid="{B03B6786-9409-475C-868F-F8157B6AE459}"/>
    <cellStyle name="Calculation 2 9 6 3 2 3" xfId="46851" xr:uid="{C8F4CE7B-B946-48ED-B420-D49A31CBE66D}"/>
    <cellStyle name="Calculation 2 9 6 3 3" xfId="15641" xr:uid="{64BAF8DC-34CF-44AA-874E-B7B060D73ABB}"/>
    <cellStyle name="Calculation 2 9 6 3 3 2" xfId="38057" xr:uid="{72228050-5D99-45E8-99E3-0DC109806865}"/>
    <cellStyle name="Calculation 2 9 6 3 3 3" xfId="38336" xr:uid="{9E0BD420-19B1-4F84-AB86-B866DE868C1F}"/>
    <cellStyle name="Calculation 2 9 6 3 4" xfId="15373" xr:uid="{6A489B76-59FD-4060-8EC3-76B7189F311E}"/>
    <cellStyle name="Calculation 2 9 6 3 4 2" xfId="52465" xr:uid="{0B6CFCEA-5EBA-49B8-8700-D18F97A00CE0}"/>
    <cellStyle name="Calculation 2 9 6 3 5" xfId="46757" xr:uid="{E3EF99DB-FA1F-4D96-BA6A-96A0FDB52034}"/>
    <cellStyle name="Calculation 2 9 6 4" xfId="4995" xr:uid="{00000000-0005-0000-0000-000087000000}"/>
    <cellStyle name="Calculation 2 9 6 4 2" xfId="11889" xr:uid="{7697DC22-9112-46AE-B2E9-F7F2C9C10BFD}"/>
    <cellStyle name="Calculation 2 9 6 4 2 2" xfId="34375" xr:uid="{8DC0FF72-E019-4B2A-9965-3EB86AB9712E}"/>
    <cellStyle name="Calculation 2 9 6 4 2 3" xfId="45813" xr:uid="{952C01C9-0C6B-4060-8168-E892B87EFEA7}"/>
    <cellStyle name="Calculation 2 9 6 4 3" xfId="16932" xr:uid="{BBDE85C1-A309-42F8-A261-0EE49ABF7E42}"/>
    <cellStyle name="Calculation 2 9 6 4 3 2" xfId="39322" xr:uid="{FB7C9199-BB4B-47D2-B5D5-A7321D6E546B}"/>
    <cellStyle name="Calculation 2 9 6 4 3 3" xfId="45348" xr:uid="{9F206F57-69DB-4B27-B60E-AA6E62021DE8}"/>
    <cellStyle name="Calculation 2 9 6 4 4" xfId="21356" xr:uid="{99E747EF-9C64-43D4-BD34-4E775A57092A}"/>
    <cellStyle name="Calculation 2 9 6 4 4 2" xfId="43735" xr:uid="{8D61EC4A-AA28-4C35-BDA2-9AF238A14BF4}"/>
    <cellStyle name="Calculation 2 9 6 4 5" xfId="50103" xr:uid="{93C0D0EF-B8E6-4463-80FD-E09463F73B9E}"/>
    <cellStyle name="Calculation 2 9 6 5" xfId="6015" xr:uid="{00000000-0005-0000-0000-000087000000}"/>
    <cellStyle name="Calculation 2 9 6 5 2" xfId="12896" xr:uid="{B960F9F6-C097-42E2-8737-DB16D8A8ACA3}"/>
    <cellStyle name="Calculation 2 9 6 5 2 2" xfId="35380" xr:uid="{F492843B-EC92-4AB2-A743-823A8889F2D3}"/>
    <cellStyle name="Calculation 2 9 6 5 2 3" xfId="52615" xr:uid="{28C0635E-5A81-4A9B-BD03-8934E4BBF88F}"/>
    <cellStyle name="Calculation 2 9 6 5 3" xfId="17952" xr:uid="{6835CCCE-A6EA-494D-82A7-6D3A1ACF0CEA}"/>
    <cellStyle name="Calculation 2 9 6 5 3 2" xfId="40342" xr:uid="{46A6CEDC-4A0F-47B0-8112-ACCC23E09CFD}"/>
    <cellStyle name="Calculation 2 9 6 5 3 3" xfId="23964" xr:uid="{8E12A561-4D56-4432-A973-B36AE8DC8AEC}"/>
    <cellStyle name="Calculation 2 9 6 5 4" xfId="22376" xr:uid="{1A35FF8F-7559-4920-BAB7-EC44F6B29E2F}"/>
    <cellStyle name="Calculation 2 9 6 5 4 2" xfId="49626" xr:uid="{067EB206-8FC0-449B-8CE9-4CD3C8E0DF19}"/>
    <cellStyle name="Calculation 2 9 6 5 5" xfId="52211" xr:uid="{957CA7EA-D6A2-45F8-BA42-9567B48F169E}"/>
    <cellStyle name="Calculation 2 9 6 6" xfId="4766" xr:uid="{00000000-0005-0000-0000-000087000000}"/>
    <cellStyle name="Calculation 2 9 6 6 2" xfId="11664" xr:uid="{C87FC160-2ABA-4EE1-8B4E-89508425A192}"/>
    <cellStyle name="Calculation 2 9 6 6 2 2" xfId="34150" xr:uid="{07E3C209-6AFA-433E-8EAE-083A109010A3}"/>
    <cellStyle name="Calculation 2 9 6 6 2 3" xfId="28712" xr:uid="{48E6AC42-1FF8-46AE-9FAC-507E0A1D51D3}"/>
    <cellStyle name="Calculation 2 9 6 6 3" xfId="16703" xr:uid="{7BFC62FD-8D1B-4AF3-AB4D-873628DDE065}"/>
    <cellStyle name="Calculation 2 9 6 6 3 2" xfId="39093" xr:uid="{271CBC4A-4D26-4133-BD87-EA6AB6D1F8E8}"/>
    <cellStyle name="Calculation 2 9 6 6 3 3" xfId="37686" xr:uid="{8591B123-9A53-4B52-889E-7A021FB7B8F1}"/>
    <cellStyle name="Calculation 2 9 6 6 4" xfId="15287" xr:uid="{CE9F7EAC-A3D9-45CE-9167-4025E0A9C8EA}"/>
    <cellStyle name="Calculation 2 9 6 6 4 2" xfId="44886" xr:uid="{867D1B6F-C6C2-4566-B2C0-CC0ED5108E8A}"/>
    <cellStyle name="Calculation 2 9 6 6 5" xfId="32198" xr:uid="{DE057EAD-2649-49D5-A181-878642DB6E49}"/>
    <cellStyle name="Calculation 2 9 6 7" xfId="5082" xr:uid="{00000000-0005-0000-0000-000087000000}"/>
    <cellStyle name="Calculation 2 9 6 7 2" xfId="11975" xr:uid="{25C12443-74C9-48EC-9333-1B2296C48AF1}"/>
    <cellStyle name="Calculation 2 9 6 7 2 2" xfId="34461" xr:uid="{79C4D69C-ED99-4CD9-AA88-A9279F8F8A32}"/>
    <cellStyle name="Calculation 2 9 6 7 2 3" xfId="43981" xr:uid="{C780FA26-568A-4ED5-9286-9E489548A630}"/>
    <cellStyle name="Calculation 2 9 6 7 3" xfId="17019" xr:uid="{6F144CC2-5CBF-42AF-9171-37D47E251BD6}"/>
    <cellStyle name="Calculation 2 9 6 7 3 2" xfId="39409" xr:uid="{60FE0051-F234-4A7C-A446-101FE3889BF6}"/>
    <cellStyle name="Calculation 2 9 6 7 3 3" xfId="44760" xr:uid="{04977586-E350-4E5B-81D7-CBB46A602FB5}"/>
    <cellStyle name="Calculation 2 9 6 7 4" xfId="21443" xr:uid="{A131A464-8BBD-411C-BBD0-21F22BCE7496}"/>
    <cellStyle name="Calculation 2 9 6 7 4 2" xfId="49637" xr:uid="{AFBAC983-3A74-4857-B660-C7558C6680D2}"/>
    <cellStyle name="Calculation 2 9 6 7 5" xfId="27875" xr:uid="{4D84D3A6-CB15-4CDD-A2FD-2AF5FAA60381}"/>
    <cellStyle name="Calculation 2 9 6 8" xfId="14176" xr:uid="{D37EC692-11AA-40C9-9799-B622B19DB0E7}"/>
    <cellStyle name="Calculation 2 9 6 8 2" xfId="36652" xr:uid="{EE477DC4-B09F-41F1-98D8-FC8DC5CAB2DC}"/>
    <cellStyle name="Calculation 2 9 6 8 3" xfId="46528" xr:uid="{A2CEBC5B-F165-4E1E-8D84-77D241F6241F}"/>
    <cellStyle name="Calculation 2 9 6 9" xfId="15999" xr:uid="{D872359E-DFE1-4EB2-B174-749FEDEC0120}"/>
    <cellStyle name="Calculation 2 9 6 9 2" xfId="38402" xr:uid="{ADA01970-CAEC-4A3E-84DF-951510E0FAA2}"/>
    <cellStyle name="Calculation 2 9 6 9 3" xfId="51025" xr:uid="{FCBE7764-0BC4-4911-B3FA-5993AF7CBE06}"/>
    <cellStyle name="Calculation 2 9 7" xfId="1630" xr:uid="{00000000-0005-0000-0000-000089000000}"/>
    <cellStyle name="Calculation 2 9 7 10" xfId="14344" xr:uid="{0F50056A-B452-4F7D-96A8-ABB148818069}"/>
    <cellStyle name="Calculation 2 9 7 10 2" xfId="36812" xr:uid="{E6C5BF46-ED39-42F5-9C51-1E596748B036}"/>
    <cellStyle name="Calculation 2 9 7 10 3" xfId="50540" xr:uid="{F737780D-CFD7-4C8B-B94D-4ADD9629AA07}"/>
    <cellStyle name="Calculation 2 9 7 11" xfId="19791" xr:uid="{7060389E-1765-4637-8C1C-BEA00F81E20F}"/>
    <cellStyle name="Calculation 2 9 7 11 2" xfId="42129" xr:uid="{0D2AD6E4-A835-471A-B707-8624721F61D7}"/>
    <cellStyle name="Calculation 2 9 7 11 3" xfId="31973" xr:uid="{BFD0BC93-65F7-4A30-B6E0-CB95B6B4A319}"/>
    <cellStyle name="Calculation 2 9 7 12" xfId="19459" xr:uid="{94B2CCE3-D726-4442-8CFE-79EF63A54B0B}"/>
    <cellStyle name="Calculation 2 9 7 12 2" xfId="28394" xr:uid="{484DB058-D559-4F96-847D-D4F272349A0E}"/>
    <cellStyle name="Calculation 2 9 7 13" xfId="48096" xr:uid="{C77A3049-4EBC-4629-BC0F-8B15120A7124}"/>
    <cellStyle name="Calculation 2 9 7 2" xfId="3730" xr:uid="{00000000-0005-0000-0000-000089000000}"/>
    <cellStyle name="Calculation 2 9 7 2 2" xfId="10634" xr:uid="{7D766016-B926-45D2-BFDD-547B4BD0FEE4}"/>
    <cellStyle name="Calculation 2 9 7 2 2 2" xfId="33120" xr:uid="{FCC2A4D6-D1ED-4A75-852F-11AF48734BCB}"/>
    <cellStyle name="Calculation 2 9 7 2 2 3" xfId="46538" xr:uid="{84D9C313-E00E-44C2-908E-43C2C401E4B6}"/>
    <cellStyle name="Calculation 2 9 7 2 3" xfId="15811" xr:uid="{67E65028-0DB8-4E16-AF30-1BE03E5E219F}"/>
    <cellStyle name="Calculation 2 9 7 2 3 2" xfId="38219" xr:uid="{757B5C0C-7B59-4DB7-8DAC-B00F3155D157}"/>
    <cellStyle name="Calculation 2 9 7 2 3 3" xfId="49659" xr:uid="{A583D7C5-26DF-4EED-A17B-2CD94877A22E}"/>
    <cellStyle name="Calculation 2 9 7 2 4" xfId="15573" xr:uid="{A248553F-136A-48E2-9B76-4884A98E8374}"/>
    <cellStyle name="Calculation 2 9 7 2 4 2" xfId="44168" xr:uid="{DE33AA35-1AD7-4067-96D1-6BCCA9F40013}"/>
    <cellStyle name="Calculation 2 9 7 2 5" xfId="52235" xr:uid="{2047995C-542D-4334-B07F-C64506D9D370}"/>
    <cellStyle name="Calculation 2 9 7 3" xfId="5163" xr:uid="{00000000-0005-0000-0000-000089000000}"/>
    <cellStyle name="Calculation 2 9 7 3 2" xfId="12056" xr:uid="{99EBBF87-1768-4AF7-A338-39FBDF5019B5}"/>
    <cellStyle name="Calculation 2 9 7 3 2 2" xfId="34542" xr:uid="{17AB3494-1BA8-4FBF-868F-89CADDF694A3}"/>
    <cellStyle name="Calculation 2 9 7 3 2 3" xfId="44440" xr:uid="{F3BE3B09-C764-4F76-84CA-553AEFA21483}"/>
    <cellStyle name="Calculation 2 9 7 3 3" xfId="17100" xr:uid="{84245533-E1D3-4157-A479-7D3465C8DA37}"/>
    <cellStyle name="Calculation 2 9 7 3 3 2" xfId="39490" xr:uid="{DEEBE6E3-4AD2-4D22-9530-652E64CA653F}"/>
    <cellStyle name="Calculation 2 9 7 3 3 3" xfId="28576" xr:uid="{30FF1757-5BE8-4FC9-B64B-07E9D9CBCC7E}"/>
    <cellStyle name="Calculation 2 9 7 3 4" xfId="21524" xr:uid="{08AE3ACB-41CD-48BA-BE42-C338B4345097}"/>
    <cellStyle name="Calculation 2 9 7 3 4 2" xfId="53395" xr:uid="{A09216AB-4D89-48D0-A2F3-C611F566595B}"/>
    <cellStyle name="Calculation 2 9 7 3 5" xfId="47691" xr:uid="{97E9B378-E781-49F0-BE99-F7EEB670999F}"/>
    <cellStyle name="Calculation 2 9 7 4" xfId="4755" xr:uid="{00000000-0005-0000-0000-000089000000}"/>
    <cellStyle name="Calculation 2 9 7 4 2" xfId="11653" xr:uid="{FC68337E-7009-4EFA-8209-C1828174DE2B}"/>
    <cellStyle name="Calculation 2 9 7 4 2 2" xfId="34139" xr:uid="{4DD7413F-D6A6-410B-8825-46BD2819D18D}"/>
    <cellStyle name="Calculation 2 9 7 4 2 3" xfId="30364" xr:uid="{9F1E4F74-66BE-48A1-905B-357AEA68304D}"/>
    <cellStyle name="Calculation 2 9 7 4 3" xfId="16692" xr:uid="{8A27E41B-8CB2-42DB-BDEE-FFCCB79B2D07}"/>
    <cellStyle name="Calculation 2 9 7 4 3 2" xfId="39082" xr:uid="{615D4C02-6DB6-4D90-8BF8-292B43568C89}"/>
    <cellStyle name="Calculation 2 9 7 4 3 3" xfId="23943" xr:uid="{1A100DF2-5D60-4A58-9B9A-14AB33FD0A45}"/>
    <cellStyle name="Calculation 2 9 7 4 4" xfId="14215" xr:uid="{F5744EB8-0B57-41A2-B356-F4C1762332A3}"/>
    <cellStyle name="Calculation 2 9 7 4 4 2" xfId="53820" xr:uid="{7B4799B2-9AEA-4FA4-99E9-CEFC9E36DD24}"/>
    <cellStyle name="Calculation 2 9 7 4 5" xfId="50005" xr:uid="{3CC93641-C7B5-4121-B57A-4B66A228F351}"/>
    <cellStyle name="Calculation 2 9 7 5" xfId="4833" xr:uid="{00000000-0005-0000-0000-000089000000}"/>
    <cellStyle name="Calculation 2 9 7 5 2" xfId="11730" xr:uid="{51895F60-9314-4CC6-BCEA-8857BF1D0504}"/>
    <cellStyle name="Calculation 2 9 7 5 2 2" xfId="34216" xr:uid="{3BF4AC44-10F3-49E5-9F24-756CD41F1EDB}"/>
    <cellStyle name="Calculation 2 9 7 5 2 3" xfId="44198" xr:uid="{69C16505-4306-48CB-B684-2268AAFC0412}"/>
    <cellStyle name="Calculation 2 9 7 5 3" xfId="16770" xr:uid="{0FA40294-D5BD-44F5-B03E-6DD90A8D8D83}"/>
    <cellStyle name="Calculation 2 9 7 5 3 2" xfId="39160" xr:uid="{0EF3820D-D5F2-4211-A590-61D5830E466C}"/>
    <cellStyle name="Calculation 2 9 7 5 3 3" xfId="44509" xr:uid="{A659EF0A-8CC3-41FD-A393-6BC5B84DBFD7}"/>
    <cellStyle name="Calculation 2 9 7 5 4" xfId="16149" xr:uid="{5E2364BD-E3AD-4BCC-AE10-8723776F92A6}"/>
    <cellStyle name="Calculation 2 9 7 5 4 2" xfId="37448" xr:uid="{F81F97A9-9E60-4044-B044-77FDF0F57BC5}"/>
    <cellStyle name="Calculation 2 9 7 5 5" xfId="45628" xr:uid="{27DC5AD3-68AB-4240-A8F0-D7F19AE241B4}"/>
    <cellStyle name="Calculation 2 9 7 6" xfId="2788" xr:uid="{00000000-0005-0000-0000-000089000000}"/>
    <cellStyle name="Calculation 2 9 7 6 2" xfId="9697" xr:uid="{54D0245D-77BE-48F7-BFDA-5AB58814C69B}"/>
    <cellStyle name="Calculation 2 9 7 6 2 2" xfId="32241" xr:uid="{953E92CC-E8DB-4DB3-8081-32572B3908F5}"/>
    <cellStyle name="Calculation 2 9 7 6 2 3" xfId="27134" xr:uid="{23412691-7C6F-4306-8EEC-B8DDC3B1477F}"/>
    <cellStyle name="Calculation 2 9 7 6 3" xfId="15199" xr:uid="{26F7BBCC-49A7-455B-B7F2-83E93602CF24}"/>
    <cellStyle name="Calculation 2 9 7 6 3 2" xfId="37639" xr:uid="{E696A2F8-8971-4B28-A67C-A74D6EE02D36}"/>
    <cellStyle name="Calculation 2 9 7 6 3 3" xfId="46452" xr:uid="{4F30C320-3E49-4F86-8705-D62D2D509BAE}"/>
    <cellStyle name="Calculation 2 9 7 6 4" xfId="20033" xr:uid="{FAB1E0E0-ECF4-476E-9D09-7E69F92BF9FB}"/>
    <cellStyle name="Calculation 2 9 7 6 4 2" xfId="43123" xr:uid="{554AD5C7-CCAD-49E7-9948-D83B5CEC748E}"/>
    <cellStyle name="Calculation 2 9 7 6 5" xfId="53023" xr:uid="{901538C5-5763-4CB8-AAF1-705B094524D2}"/>
    <cellStyle name="Calculation 2 9 7 7" xfId="5081" xr:uid="{00000000-0005-0000-0000-000089000000}"/>
    <cellStyle name="Calculation 2 9 7 7 2" xfId="11974" xr:uid="{9571729E-99AB-4E9F-BDE2-8C13E7C941F1}"/>
    <cellStyle name="Calculation 2 9 7 7 2 2" xfId="34460" xr:uid="{B55AF709-D13D-4004-82BC-A12B3CAB8D26}"/>
    <cellStyle name="Calculation 2 9 7 7 2 3" xfId="27215" xr:uid="{8404E9E9-47ED-4CE6-BCCB-C97BB06E9021}"/>
    <cellStyle name="Calculation 2 9 7 7 3" xfId="17018" xr:uid="{BEA5E3AA-F8B8-4E35-AA29-27EC74EBC643}"/>
    <cellStyle name="Calculation 2 9 7 7 3 2" xfId="39408" xr:uid="{7FBAE9F5-51D5-4272-9BA5-DA6276F15166}"/>
    <cellStyle name="Calculation 2 9 7 7 3 3" xfId="45127" xr:uid="{14E7C5BD-A327-46DC-BAAA-A7DB222ABC6B}"/>
    <cellStyle name="Calculation 2 9 7 7 4" xfId="21442" xr:uid="{4BE0C20D-E2B1-42D8-BD41-8FD8A8C39423}"/>
    <cellStyle name="Calculation 2 9 7 7 4 2" xfId="47937" xr:uid="{C7A1D897-5FEB-40B4-8D5C-30B64226BF50}"/>
    <cellStyle name="Calculation 2 9 7 7 5" xfId="48852" xr:uid="{CDD92350-D3AF-4669-8304-0F2A37300611}"/>
    <cellStyle name="Calculation 2 9 7 8" xfId="4979" xr:uid="{00000000-0005-0000-0000-000089000000}"/>
    <cellStyle name="Calculation 2 9 7 8 2" xfId="11874" xr:uid="{F07D7E7E-D9C7-4D3A-AA32-894A8DDFA6C6}"/>
    <cellStyle name="Calculation 2 9 7 8 2 2" xfId="34360" xr:uid="{9B847A4F-54C3-4AED-B524-D556A3EEC8E5}"/>
    <cellStyle name="Calculation 2 9 7 8 2 3" xfId="44951" xr:uid="{C650583E-24F4-4437-BAE6-9BEF450596A5}"/>
    <cellStyle name="Calculation 2 9 7 8 3" xfId="16916" xr:uid="{719AADD8-A1EE-45B2-90C8-F323E60EF4B8}"/>
    <cellStyle name="Calculation 2 9 7 8 3 2" xfId="39306" xr:uid="{1956E516-608C-493C-8CD2-0D1F69AF6AE5}"/>
    <cellStyle name="Calculation 2 9 7 8 3 3" xfId="29177" xr:uid="{F3CAE336-420C-4AB0-AA00-13977C4189F0}"/>
    <cellStyle name="Calculation 2 9 7 8 4" xfId="21340" xr:uid="{CAD40806-7925-46F9-ADFE-2028BF0B8A9F}"/>
    <cellStyle name="Calculation 2 9 7 8 4 2" xfId="44639" xr:uid="{00267D36-1A26-46F8-B3E4-93D7F02DD4AB}"/>
    <cellStyle name="Calculation 2 9 7 8 5" xfId="49032" xr:uid="{618B7974-5057-4F55-90F2-6C4CB9EC1B0A}"/>
    <cellStyle name="Calculation 2 9 7 9" xfId="6757" xr:uid="{00000000-0005-0000-0000-000089000000}"/>
    <cellStyle name="Calculation 2 9 7 9 2" xfId="18694" xr:uid="{68793CB2-81A4-41BA-82BC-D8337DAF4290}"/>
    <cellStyle name="Calculation 2 9 7 9 2 2" xfId="41084" xr:uid="{E6937E3F-6F86-407E-97BE-A948B308B854}"/>
    <cellStyle name="Calculation 2 9 7 9 2 3" xfId="42325" xr:uid="{EE83A853-7BC3-4DFA-9978-21EC0E2ED8B7}"/>
    <cellStyle name="Calculation 2 9 7 9 3" xfId="23118" xr:uid="{A8896CE3-CFE4-4FE5-A92A-E6135AEC314A}"/>
    <cellStyle name="Calculation 2 9 7 9 3 2" xfId="28483" xr:uid="{A13DEB28-4E85-422F-B8DE-A867179A6990}"/>
    <cellStyle name="Calculation 2 9 7 9 4" xfId="51341" xr:uid="{6B7D8365-AB17-42DD-8BAB-DC3D3FDCF91F}"/>
    <cellStyle name="Calculation 2 9 8" xfId="2581" xr:uid="{00000000-0005-0000-0000-00007E000000}"/>
    <cellStyle name="Calculation 2 9 8 2" xfId="9490" xr:uid="{E8CBAD36-B054-4299-B806-188D0C5FA071}"/>
    <cellStyle name="Calculation 2 9 8 2 2" xfId="32042" xr:uid="{D4137476-4E2B-4F4B-977D-FE5AD51D3D4F}"/>
    <cellStyle name="Calculation 2 9 8 2 3" xfId="50956" xr:uid="{72724228-2244-4604-B238-D538BB2EEDC1}"/>
    <cellStyle name="Calculation 2 9 8 3" xfId="15059" xr:uid="{F7FE5B33-7275-4A8A-A6EB-E8834A207BEC}"/>
    <cellStyle name="Calculation 2 9 8 3 2" xfId="37504" xr:uid="{6E07289F-7C22-4F74-B9E0-B845F72408DD}"/>
    <cellStyle name="Calculation 2 9 8 3 3" xfId="52921" xr:uid="{E70D0568-6973-4216-A526-05E8F78D5AE4}"/>
    <cellStyle name="Calculation 2 9 8 4" xfId="8613" xr:uid="{25151EDF-044B-4E21-8BEF-16662FDDD0EA}"/>
    <cellStyle name="Calculation 2 9 8 4 2" xfId="53654" xr:uid="{1CD72C21-22CB-4A28-B05E-46DBDF18BD09}"/>
    <cellStyle name="Calculation 2 9 8 5" xfId="46064" xr:uid="{89F2572F-05F1-4C49-9C72-F27588FD2458}"/>
    <cellStyle name="Calculation 2 9 9" xfId="4408" xr:uid="{00000000-0005-0000-0000-00007E000000}"/>
    <cellStyle name="Calculation 2 9 9 2" xfId="11310" xr:uid="{768D8574-DE3B-4508-A29B-10859EA66A9D}"/>
    <cellStyle name="Calculation 2 9 9 2 2" xfId="33796" xr:uid="{BD7F34C4-54D9-4336-B7B3-EAA3A46D5F66}"/>
    <cellStyle name="Calculation 2 9 9 2 3" xfId="44385" xr:uid="{49D7B0FA-D09B-4664-B489-960AE3AEE9A3}"/>
    <cellStyle name="Calculation 2 9 9 3" xfId="16345" xr:uid="{208697C0-C152-46D1-8E6C-47E18216F6F8}"/>
    <cellStyle name="Calculation 2 9 9 3 2" xfId="38735" xr:uid="{A18C2352-A670-4828-8DA7-C43C382E414B}"/>
    <cellStyle name="Calculation 2 9 9 3 3" xfId="45747" xr:uid="{ED963C4A-CE2F-4468-B05D-26BB5652F3C7}"/>
    <cellStyle name="Calculation 2 9 9 4" xfId="12937" xr:uid="{EB9513E8-F164-47EC-9B97-C35EC5862954}"/>
    <cellStyle name="Calculation 2 9 9 4 2" xfId="46640" xr:uid="{0B83D2C5-2BBF-48C4-988F-541874B21B0D}"/>
    <cellStyle name="Calculation 2 9 9 5" xfId="44820" xr:uid="{3FCC30ED-5825-4CEE-8165-054949E3D29D}"/>
    <cellStyle name="Check Cell 2" xfId="72" xr:uid="{00000000-0005-0000-0000-00008A000000}"/>
    <cellStyle name="Comma" xfId="1" builtinId="3"/>
    <cellStyle name="Comma 10" xfId="233" xr:uid="{00000000-0005-0000-0000-00008C000000}"/>
    <cellStyle name="Comma 10 2" xfId="2398" xr:uid="{00000000-0005-0000-0000-00008C000000}"/>
    <cellStyle name="Comma 10 2 2" xfId="9307" xr:uid="{B06D6A0B-6DAD-4D7A-8CD0-58F1C998607C}"/>
    <cellStyle name="Comma 10 3" xfId="7401" xr:uid="{21E43BC6-78A4-4B3C-A57A-7FE7FCBD3E61}"/>
    <cellStyle name="Comma 11" xfId="1396" xr:uid="{00000000-0005-0000-0000-00008D000000}"/>
    <cellStyle name="Comma 11 2" xfId="2125" xr:uid="{00000000-0005-0000-0000-00008E000000}"/>
    <cellStyle name="Comma 11 2 2" xfId="4218" xr:uid="{00000000-0005-0000-0000-00008E000000}"/>
    <cellStyle name="Comma 11 2 2 2" xfId="11122" xr:uid="{2A19C954-DAE8-477B-A003-55C8577FB687}"/>
    <cellStyle name="Comma 11 2 2 2 2" xfId="33608" xr:uid="{28238243-0002-43AA-837D-EA0D2C47FD2A}"/>
    <cellStyle name="Comma 11 2 2 3" xfId="27390" xr:uid="{E47CA844-C195-4615-B2E0-37BB90F0FBD3}"/>
    <cellStyle name="Comma 11 2 3" xfId="9044" xr:uid="{B2E822C6-8687-4CBB-AE47-EEE7937EB376}"/>
    <cellStyle name="Comma 11 2 3 2" xfId="31620" xr:uid="{8A9997C4-5402-407D-9159-6BDB0147DA68}"/>
    <cellStyle name="Comma 11 2 4" xfId="25495" xr:uid="{5795E7C1-A905-4AF4-8452-805514F1C613}"/>
    <cellStyle name="Comma 11 3" xfId="3498" xr:uid="{00000000-0005-0000-0000-00008D000000}"/>
    <cellStyle name="Comma 11 3 2" xfId="10405" xr:uid="{51F2AD3D-9FB3-4BB7-801C-5ABFC874DC5F}"/>
    <cellStyle name="Comma 11 3 2 2" xfId="32892" xr:uid="{AE08D9D7-43FE-432D-B774-42F95C62ED58}"/>
    <cellStyle name="Comma 11 3 3" xfId="26712" xr:uid="{5B39E14D-9DC8-4E0E-8222-20E5330D42F0}"/>
    <cellStyle name="Comma 11 4" xfId="8441" xr:uid="{10D26DF9-D5A7-46CB-AEDD-68E476A36535}"/>
    <cellStyle name="Comma 11 4 2" xfId="31029" xr:uid="{F46D73C4-6AE0-4048-B4EC-A4B24A70DBD2}"/>
    <cellStyle name="Comma 11 5" xfId="24821" xr:uid="{B9CA733B-C4E9-4901-B594-0465EEA5F392}"/>
    <cellStyle name="Comma 12" xfId="1398" xr:uid="{00000000-0005-0000-0000-00008F000000}"/>
    <cellStyle name="Comma 12 2" xfId="2127" xr:uid="{00000000-0005-0000-0000-000090000000}"/>
    <cellStyle name="Comma 12 2 2" xfId="4220" xr:uid="{00000000-0005-0000-0000-000090000000}"/>
    <cellStyle name="Comma 12 2 2 2" xfId="11124" xr:uid="{58D87A35-D4A5-4864-95D1-79CB1B2FAC08}"/>
    <cellStyle name="Comma 12 2 2 2 2" xfId="33610" xr:uid="{36784A35-01E0-40ED-9350-888815B2E133}"/>
    <cellStyle name="Comma 12 2 2 3" xfId="27392" xr:uid="{23DE40C4-D7AB-4FE1-9353-88658EC37D20}"/>
    <cellStyle name="Comma 12 2 3" xfId="9046" xr:uid="{413CBF32-7182-4D45-9653-CECDCA2D9A1B}"/>
    <cellStyle name="Comma 12 2 3 2" xfId="31622" xr:uid="{425AB4E4-1608-48E3-8E77-09C3EF92300D}"/>
    <cellStyle name="Comma 12 2 4" xfId="25497" xr:uid="{4C844E8A-0575-46C7-B382-646A79C22565}"/>
    <cellStyle name="Comma 12 3" xfId="3500" xr:uid="{00000000-0005-0000-0000-00008F000000}"/>
    <cellStyle name="Comma 12 3 2" xfId="10407" xr:uid="{EDF71713-6143-40F6-B094-5A9BE77E73AB}"/>
    <cellStyle name="Comma 12 3 2 2" xfId="32894" xr:uid="{7EB9AE6C-0FBB-431A-BC10-3626FA1401D8}"/>
    <cellStyle name="Comma 12 3 3" xfId="26714" xr:uid="{ACB6FC3D-E591-45E0-8517-14B97E322FEC}"/>
    <cellStyle name="Comma 12 4" xfId="8443" xr:uid="{01AF6DF4-6F14-41D8-8EA4-ACDBBBD843D0}"/>
    <cellStyle name="Comma 12 4 2" xfId="31031" xr:uid="{2D229A59-2F3A-4EAC-A3DC-CE895C8A8E31}"/>
    <cellStyle name="Comma 12 5" xfId="24823" xr:uid="{255064B2-1969-45F1-8AAE-91B26C15F870}"/>
    <cellStyle name="Comma 13" xfId="1400" xr:uid="{00000000-0005-0000-0000-000091000000}"/>
    <cellStyle name="Comma 13 2" xfId="2129" xr:uid="{00000000-0005-0000-0000-000092000000}"/>
    <cellStyle name="Comma 13 2 2" xfId="4222" xr:uid="{00000000-0005-0000-0000-000092000000}"/>
    <cellStyle name="Comma 13 2 2 2" xfId="11126" xr:uid="{471786AA-4CCC-4B1F-B9BB-48CE04321761}"/>
    <cellStyle name="Comma 13 2 2 2 2" xfId="33612" xr:uid="{55BD70C9-ADED-4612-8083-303E35FACFD0}"/>
    <cellStyle name="Comma 13 2 2 3" xfId="27394" xr:uid="{C7485BE1-EF0C-480B-A475-4A8128F9F9C1}"/>
    <cellStyle name="Comma 13 2 3" xfId="9048" xr:uid="{0671C8CA-659F-4DDD-978F-437EC0A6BBD7}"/>
    <cellStyle name="Comma 13 2 3 2" xfId="31624" xr:uid="{B7EF063B-5DC5-4B48-BF5D-FD98C100FF8A}"/>
    <cellStyle name="Comma 13 2 4" xfId="25499" xr:uid="{B1ADE951-9F3C-4A97-9EA5-F04D897249C6}"/>
    <cellStyle name="Comma 13 3" xfId="3502" xr:uid="{00000000-0005-0000-0000-000091000000}"/>
    <cellStyle name="Comma 13 3 2" xfId="10409" xr:uid="{C51F6DF2-CC1E-4700-A004-C6739D0A08D1}"/>
    <cellStyle name="Comma 13 3 2 2" xfId="32896" xr:uid="{4C6A611F-3A5E-42A0-8C1F-A71BCCB9A8EC}"/>
    <cellStyle name="Comma 13 3 3" xfId="26716" xr:uid="{6C3CA841-B5CD-47AA-AF14-6B03A81C1EC6}"/>
    <cellStyle name="Comma 13 4" xfId="8445" xr:uid="{7EB54EA1-AD87-4734-B5EF-E09F148253D8}"/>
    <cellStyle name="Comma 13 4 2" xfId="31033" xr:uid="{A818BEF7-1125-43D9-95FC-2BC3745DCDF1}"/>
    <cellStyle name="Comma 13 5" xfId="24825" xr:uid="{B405E660-8577-4EA6-9D36-769B25A94455}"/>
    <cellStyle name="Comma 14" xfId="1402" xr:uid="{00000000-0005-0000-0000-000093000000}"/>
    <cellStyle name="Comma 14 2" xfId="2131" xr:uid="{00000000-0005-0000-0000-000094000000}"/>
    <cellStyle name="Comma 14 2 2" xfId="4224" xr:uid="{00000000-0005-0000-0000-000094000000}"/>
    <cellStyle name="Comma 14 2 2 2" xfId="11128" xr:uid="{1162C863-880E-4710-8DEC-FF8E94165EBD}"/>
    <cellStyle name="Comma 14 2 2 2 2" xfId="33614" xr:uid="{82DED62E-DEBF-4784-94D9-8904394A334B}"/>
    <cellStyle name="Comma 14 2 2 3" xfId="27396" xr:uid="{ED472ADB-CE18-4368-9517-7358EED5BC7E}"/>
    <cellStyle name="Comma 14 2 3" xfId="9050" xr:uid="{4E2CE86D-6899-4F9D-AD51-2EF0F295DCE5}"/>
    <cellStyle name="Comma 14 2 3 2" xfId="31626" xr:uid="{5BA9E9FD-074A-47EE-862D-030651419B2B}"/>
    <cellStyle name="Comma 14 2 4" xfId="25501" xr:uid="{E71C43D8-C716-4103-81CD-43A2FFAF4C58}"/>
    <cellStyle name="Comma 14 3" xfId="3504" xr:uid="{00000000-0005-0000-0000-000093000000}"/>
    <cellStyle name="Comma 14 3 2" xfId="10411" xr:uid="{2B4AFB95-45E9-4EAC-A09A-E449D4B68B16}"/>
    <cellStyle name="Comma 14 3 2 2" xfId="32898" xr:uid="{DC1DF8BF-8E2C-4A8E-AEA7-AE62B2A533B8}"/>
    <cellStyle name="Comma 14 3 3" xfId="26718" xr:uid="{4EFE8FC2-A9AE-436C-8400-B00912B3EFB0}"/>
    <cellStyle name="Comma 14 4" xfId="8447" xr:uid="{CDC56874-270A-446F-BE1C-824125155B37}"/>
    <cellStyle name="Comma 14 4 2" xfId="31035" xr:uid="{53710F6C-35FF-48D7-8CBF-3D1D3530A9B6}"/>
    <cellStyle name="Comma 14 5" xfId="24827" xr:uid="{05569DEB-5D8A-453C-AE83-88B108E2EA8A}"/>
    <cellStyle name="Comma 15" xfId="1513" xr:uid="{00000000-0005-0000-0000-000095000000}"/>
    <cellStyle name="Comma 15 2" xfId="3614" xr:uid="{00000000-0005-0000-0000-000095000000}"/>
    <cellStyle name="Comma 15 2 2" xfId="10518" xr:uid="{E17CB4C5-E583-4AB0-8495-1FEB828D6AD8}"/>
    <cellStyle name="Comma 2" xfId="2" xr:uid="{00000000-0005-0000-0000-000096000000}"/>
    <cellStyle name="Comma 2 2" xfId="14" xr:uid="{00000000-0005-0000-0000-000097000000}"/>
    <cellStyle name="Comma 2 2 2" xfId="35" xr:uid="{00000000-0005-0000-0000-000098000000}"/>
    <cellStyle name="Comma 2 2 2 10" xfId="832" xr:uid="{00000000-0005-0000-0000-000099000000}"/>
    <cellStyle name="Comma 2 2 2 10 2" xfId="2966" xr:uid="{00000000-0005-0000-0000-000099000000}"/>
    <cellStyle name="Comma 2 2 2 10 2 2" xfId="9875" xr:uid="{CEECBA3B-77B0-4C8F-88F9-B9C7D6977BDF}"/>
    <cellStyle name="Comma 2 2 2 10 3" xfId="7946" xr:uid="{45DB4B52-3A2B-4E87-9E2B-7E2C4571746F}"/>
    <cellStyle name="Comma 2 2 2 11" xfId="660" xr:uid="{00000000-0005-0000-0000-00009A000000}"/>
    <cellStyle name="Comma 2 2 2 11 2" xfId="2803" xr:uid="{00000000-0005-0000-0000-00009A000000}"/>
    <cellStyle name="Comma 2 2 2 11 2 2" xfId="9712" xr:uid="{D5E1472B-A95C-4889-94D0-52BFACF129C4}"/>
    <cellStyle name="Comma 2 2 2 11 3" xfId="7785" xr:uid="{96EA8B2E-17D8-4B4B-B073-7F69A78B8279}"/>
    <cellStyle name="Comma 2 2 2 12" xfId="647" xr:uid="{00000000-0005-0000-0000-00009B000000}"/>
    <cellStyle name="Comma 2 2 2 12 2" xfId="2790" xr:uid="{00000000-0005-0000-0000-00009B000000}"/>
    <cellStyle name="Comma 2 2 2 12 2 2" xfId="9699" xr:uid="{6B6BEF03-EE12-4D24-BF83-CD08DC000D0E}"/>
    <cellStyle name="Comma 2 2 2 12 3" xfId="7773" xr:uid="{834CE574-159E-4B1A-BCDD-7BAB9859DEB2}"/>
    <cellStyle name="Comma 2 2 2 2" xfId="116" xr:uid="{00000000-0005-0000-0000-00009C000000}"/>
    <cellStyle name="Comma 2 2 2 2 2" xfId="322" xr:uid="{00000000-0005-0000-0000-00009D000000}"/>
    <cellStyle name="Comma 2 2 2 2 2 2" xfId="2482" xr:uid="{00000000-0005-0000-0000-00009D000000}"/>
    <cellStyle name="Comma 2 2 2 2 2 2 2" xfId="9391" xr:uid="{F6A4869F-1F1B-4C12-B969-171D72762F4A}"/>
    <cellStyle name="Comma 2 2 2 2 2 3" xfId="7485" xr:uid="{43034C94-627F-4AD4-A1A6-E8B71B26EBF5}"/>
    <cellStyle name="Comma 2 2 2 2 3" xfId="486" xr:uid="{00000000-0005-0000-0000-00009E000000}"/>
    <cellStyle name="Comma 2 2 2 2 3 2" xfId="2637" xr:uid="{00000000-0005-0000-0000-00009E000000}"/>
    <cellStyle name="Comma 2 2 2 2 3 2 2" xfId="9546" xr:uid="{275DB5C1-F974-4BDF-A34A-8AAE48DFD6FB}"/>
    <cellStyle name="Comma 2 2 2 2 3 3" xfId="7629" xr:uid="{96ED8217-2FA7-4AF8-A4C9-283F1E1CC8BF}"/>
    <cellStyle name="Comma 2 2 2 2 4" xfId="712" xr:uid="{00000000-0005-0000-0000-00009F000000}"/>
    <cellStyle name="Comma 2 2 2 2 4 2" xfId="2852" xr:uid="{00000000-0005-0000-0000-00009F000000}"/>
    <cellStyle name="Comma 2 2 2 2 4 2 2" xfId="9761" xr:uid="{18B9145B-7316-42A7-9D21-7A4041344184}"/>
    <cellStyle name="Comma 2 2 2 2 4 3" xfId="7834" xr:uid="{A0249EEB-90F9-47FC-A5C0-136A5F81AD62}"/>
    <cellStyle name="Comma 2 2 2 2 5" xfId="903" xr:uid="{00000000-0005-0000-0000-0000A0000000}"/>
    <cellStyle name="Comma 2 2 2 2 5 2" xfId="3032" xr:uid="{00000000-0005-0000-0000-0000A0000000}"/>
    <cellStyle name="Comma 2 2 2 2 5 2 2" xfId="9941" xr:uid="{B727B6C7-3E80-424C-B1B3-F6E7252CDE0B}"/>
    <cellStyle name="Comma 2 2 2 2 5 3" xfId="8004" xr:uid="{60864AD6-9970-4AA1-AC2F-FF98C4402321}"/>
    <cellStyle name="Comma 2 2 2 2 6" xfId="1086" xr:uid="{00000000-0005-0000-0000-0000A1000000}"/>
    <cellStyle name="Comma 2 2 2 2 6 2" xfId="3204" xr:uid="{00000000-0005-0000-0000-0000A1000000}"/>
    <cellStyle name="Comma 2 2 2 2 6 2 2" xfId="10112" xr:uid="{08128B6A-FB42-40C3-96C6-BBAF0D03EE04}"/>
    <cellStyle name="Comma 2 2 2 2 6 3" xfId="8168" xr:uid="{177A2D39-2983-42A2-B59F-AC59C68568B1}"/>
    <cellStyle name="Comma 2 2 2 2 7" xfId="1262" xr:uid="{00000000-0005-0000-0000-0000A2000000}"/>
    <cellStyle name="Comma 2 2 2 2 7 2" xfId="3370" xr:uid="{00000000-0005-0000-0000-0000A2000000}"/>
    <cellStyle name="Comma 2 2 2 2 7 2 2" xfId="10278" xr:uid="{698195FD-0AEC-4EF5-A741-3262FF67BFA7}"/>
    <cellStyle name="Comma 2 2 2 2 7 3" xfId="8328" xr:uid="{69156A3C-E635-41B8-92E1-18A54A4638A7}"/>
    <cellStyle name="Comma 2 2 2 3" xfId="137" xr:uid="{00000000-0005-0000-0000-0000A3000000}"/>
    <cellStyle name="Comma 2 2 2 3 2" xfId="341" xr:uid="{00000000-0005-0000-0000-0000A4000000}"/>
    <cellStyle name="Comma 2 2 2 3 2 2" xfId="2501" xr:uid="{00000000-0005-0000-0000-0000A4000000}"/>
    <cellStyle name="Comma 2 2 2 3 2 2 2" xfId="9410" xr:uid="{297CCF5F-940D-453D-B415-DF863D464213}"/>
    <cellStyle name="Comma 2 2 2 3 2 3" xfId="7504" xr:uid="{66692318-5915-4C00-9FB6-811ED210CA35}"/>
    <cellStyle name="Comma 2 2 2 3 3" xfId="503" xr:uid="{00000000-0005-0000-0000-0000A5000000}"/>
    <cellStyle name="Comma 2 2 2 3 3 2" xfId="2654" xr:uid="{00000000-0005-0000-0000-0000A5000000}"/>
    <cellStyle name="Comma 2 2 2 3 3 2 2" xfId="9563" xr:uid="{3FC63C95-5FB3-430F-A5D3-32DAC83634C7}"/>
    <cellStyle name="Comma 2 2 2 3 3 3" xfId="7646" xr:uid="{F6BB6ED0-CA5B-497D-9A00-E30CED18877E}"/>
    <cellStyle name="Comma 2 2 2 3 4" xfId="731" xr:uid="{00000000-0005-0000-0000-0000A6000000}"/>
    <cellStyle name="Comma 2 2 2 3 4 2" xfId="2871" xr:uid="{00000000-0005-0000-0000-0000A6000000}"/>
    <cellStyle name="Comma 2 2 2 3 4 2 2" xfId="9780" xr:uid="{FDA66E09-9268-417E-B709-66D45944AF7B}"/>
    <cellStyle name="Comma 2 2 2 3 4 3" xfId="7853" xr:uid="{3A0B285E-A6FC-4838-BC8D-0EE46701847D}"/>
    <cellStyle name="Comma 2 2 2 3 5" xfId="922" xr:uid="{00000000-0005-0000-0000-0000A7000000}"/>
    <cellStyle name="Comma 2 2 2 3 5 2" xfId="3051" xr:uid="{00000000-0005-0000-0000-0000A7000000}"/>
    <cellStyle name="Comma 2 2 2 3 5 2 2" xfId="9960" xr:uid="{4A576E30-A408-460F-8D34-8BD30837274B}"/>
    <cellStyle name="Comma 2 2 2 3 5 3" xfId="8023" xr:uid="{4059804B-46B5-4238-A23D-6FB0FE190347}"/>
    <cellStyle name="Comma 2 2 2 3 6" xfId="1105" xr:uid="{00000000-0005-0000-0000-0000A8000000}"/>
    <cellStyle name="Comma 2 2 2 3 6 2" xfId="3223" xr:uid="{00000000-0005-0000-0000-0000A8000000}"/>
    <cellStyle name="Comma 2 2 2 3 6 2 2" xfId="10131" xr:uid="{8592A08A-6FF7-404D-B771-116A563278F0}"/>
    <cellStyle name="Comma 2 2 2 3 6 3" xfId="8187" xr:uid="{C27BC897-7CAE-45AB-9AA0-E78AEC905E98}"/>
    <cellStyle name="Comma 2 2 2 3 7" xfId="1279" xr:uid="{00000000-0005-0000-0000-0000A9000000}"/>
    <cellStyle name="Comma 2 2 2 3 7 2" xfId="3387" xr:uid="{00000000-0005-0000-0000-0000A9000000}"/>
    <cellStyle name="Comma 2 2 2 3 7 2 2" xfId="10295" xr:uid="{EDEB8196-6208-4DC1-9258-E24FBB61B7CB}"/>
    <cellStyle name="Comma 2 2 2 3 7 3" xfId="8345" xr:uid="{7B1C4439-0FDA-4B5F-BFDB-C5ABE0E15A45}"/>
    <cellStyle name="Comma 2 2 2 4" xfId="158" xr:uid="{00000000-0005-0000-0000-0000AA000000}"/>
    <cellStyle name="Comma 2 2 2 4 2" xfId="360" xr:uid="{00000000-0005-0000-0000-0000AB000000}"/>
    <cellStyle name="Comma 2 2 2 4 2 2" xfId="2520" xr:uid="{00000000-0005-0000-0000-0000AB000000}"/>
    <cellStyle name="Comma 2 2 2 4 2 2 2" xfId="9429" xr:uid="{EE77B5A5-00AE-4D64-9164-7DC7344EB933}"/>
    <cellStyle name="Comma 2 2 2 4 2 3" xfId="7523" xr:uid="{DAA1B974-5699-4216-91E3-EEB1265CB2E1}"/>
    <cellStyle name="Comma 2 2 2 4 3" xfId="520" xr:uid="{00000000-0005-0000-0000-0000AC000000}"/>
    <cellStyle name="Comma 2 2 2 4 3 2" xfId="2671" xr:uid="{00000000-0005-0000-0000-0000AC000000}"/>
    <cellStyle name="Comma 2 2 2 4 3 2 2" xfId="9580" xr:uid="{69AD6B8C-40B6-469F-8DF3-D7594082ADA7}"/>
    <cellStyle name="Comma 2 2 2 4 3 3" xfId="7663" xr:uid="{C1861E16-18FD-473D-A0CC-668205ACCDC5}"/>
    <cellStyle name="Comma 2 2 2 4 4" xfId="751" xr:uid="{00000000-0005-0000-0000-0000AD000000}"/>
    <cellStyle name="Comma 2 2 2 4 4 2" xfId="2891" xr:uid="{00000000-0005-0000-0000-0000AD000000}"/>
    <cellStyle name="Comma 2 2 2 4 4 2 2" xfId="9800" xr:uid="{65577DCE-1846-4B3F-ABD8-834A656AC32B}"/>
    <cellStyle name="Comma 2 2 2 4 4 3" xfId="7873" xr:uid="{DCCEEBE4-A5FD-4E29-A502-1DFEB2B59541}"/>
    <cellStyle name="Comma 2 2 2 4 5" xfId="941" xr:uid="{00000000-0005-0000-0000-0000AE000000}"/>
    <cellStyle name="Comma 2 2 2 4 5 2" xfId="3070" xr:uid="{00000000-0005-0000-0000-0000AE000000}"/>
    <cellStyle name="Comma 2 2 2 4 5 2 2" xfId="9979" xr:uid="{BB2B0C97-BE0F-45AE-9ED6-182E106A1172}"/>
    <cellStyle name="Comma 2 2 2 4 5 3" xfId="8042" xr:uid="{4B6447DC-B983-417A-8E94-CF5AB2B0D4B9}"/>
    <cellStyle name="Comma 2 2 2 4 6" xfId="1125" xr:uid="{00000000-0005-0000-0000-0000AF000000}"/>
    <cellStyle name="Comma 2 2 2 4 6 2" xfId="3243" xr:uid="{00000000-0005-0000-0000-0000AF000000}"/>
    <cellStyle name="Comma 2 2 2 4 6 2 2" xfId="10151" xr:uid="{AFE2EEE9-AE00-4C4A-9790-E5D94F4C5246}"/>
    <cellStyle name="Comma 2 2 2 4 6 3" xfId="8207" xr:uid="{A1817815-836B-4613-990A-DCC801D7CAC9}"/>
    <cellStyle name="Comma 2 2 2 4 7" xfId="1296" xr:uid="{00000000-0005-0000-0000-0000B0000000}"/>
    <cellStyle name="Comma 2 2 2 4 7 2" xfId="3404" xr:uid="{00000000-0005-0000-0000-0000B0000000}"/>
    <cellStyle name="Comma 2 2 2 4 7 2 2" xfId="10312" xr:uid="{8E98FF0C-B669-41F0-BA79-9661A740DDE5}"/>
    <cellStyle name="Comma 2 2 2 4 7 3" xfId="8362" xr:uid="{37EE90CF-32C0-4A02-A633-5293195D27FC}"/>
    <cellStyle name="Comma 2 2 2 5" xfId="179" xr:uid="{00000000-0005-0000-0000-0000B1000000}"/>
    <cellStyle name="Comma 2 2 2 5 2" xfId="379" xr:uid="{00000000-0005-0000-0000-0000B2000000}"/>
    <cellStyle name="Comma 2 2 2 5 2 2" xfId="2538" xr:uid="{00000000-0005-0000-0000-0000B2000000}"/>
    <cellStyle name="Comma 2 2 2 5 2 2 2" xfId="9447" xr:uid="{11B557CE-C37F-4057-ABA0-41892A0CEF54}"/>
    <cellStyle name="Comma 2 2 2 5 2 3" xfId="7542" xr:uid="{9655FBD7-0B59-4F32-B09A-48A499D95B38}"/>
    <cellStyle name="Comma 2 2 2 5 3" xfId="537" xr:uid="{00000000-0005-0000-0000-0000B3000000}"/>
    <cellStyle name="Comma 2 2 2 5 3 2" xfId="2688" xr:uid="{00000000-0005-0000-0000-0000B3000000}"/>
    <cellStyle name="Comma 2 2 2 5 3 2 2" xfId="9597" xr:uid="{FDA39C16-EA02-44E4-A3B9-1819BEDB7F42}"/>
    <cellStyle name="Comma 2 2 2 5 3 3" xfId="7680" xr:uid="{F0DDB6CB-20FE-48FD-98B4-0035D6B0B02F}"/>
    <cellStyle name="Comma 2 2 2 5 4" xfId="771" xr:uid="{00000000-0005-0000-0000-0000B4000000}"/>
    <cellStyle name="Comma 2 2 2 5 4 2" xfId="2910" xr:uid="{00000000-0005-0000-0000-0000B4000000}"/>
    <cellStyle name="Comma 2 2 2 5 4 2 2" xfId="9819" xr:uid="{D4C95BDD-B49D-4912-9E83-F04EE73B0A1D}"/>
    <cellStyle name="Comma 2 2 2 5 4 3" xfId="7893" xr:uid="{2BB5F1EB-DA75-4103-B441-BBBD8552EB8C}"/>
    <cellStyle name="Comma 2 2 2 5 5" xfId="960" xr:uid="{00000000-0005-0000-0000-0000B5000000}"/>
    <cellStyle name="Comma 2 2 2 5 5 2" xfId="3089" xr:uid="{00000000-0005-0000-0000-0000B5000000}"/>
    <cellStyle name="Comma 2 2 2 5 5 2 2" xfId="9998" xr:uid="{1308897A-F911-4A2C-88CB-C9A595FF4B51}"/>
    <cellStyle name="Comma 2 2 2 5 5 3" xfId="8061" xr:uid="{41B0F30E-D53F-4533-89A9-3F3839141E5C}"/>
    <cellStyle name="Comma 2 2 2 5 6" xfId="1142" xr:uid="{00000000-0005-0000-0000-0000B6000000}"/>
    <cellStyle name="Comma 2 2 2 5 6 2" xfId="3260" xr:uid="{00000000-0005-0000-0000-0000B6000000}"/>
    <cellStyle name="Comma 2 2 2 5 6 2 2" xfId="10168" xr:uid="{342559D0-2D31-42FD-B0D4-C6A5C9F5ABAB}"/>
    <cellStyle name="Comma 2 2 2 5 6 3" xfId="8224" xr:uid="{24006CFF-7AD3-44A9-8A25-8A77FA39500A}"/>
    <cellStyle name="Comma 2 2 2 5 7" xfId="1313" xr:uid="{00000000-0005-0000-0000-0000B7000000}"/>
    <cellStyle name="Comma 2 2 2 5 7 2" xfId="3421" xr:uid="{00000000-0005-0000-0000-0000B7000000}"/>
    <cellStyle name="Comma 2 2 2 5 7 2 2" xfId="10329" xr:uid="{4160C976-0074-4532-BA27-2708CCD17BBB}"/>
    <cellStyle name="Comma 2 2 2 5 7 3" xfId="8379" xr:uid="{4CD606A2-6F48-475C-8FEC-79A110996828}"/>
    <cellStyle name="Comma 2 2 2 6" xfId="200" xr:uid="{00000000-0005-0000-0000-0000B8000000}"/>
    <cellStyle name="Comma 2 2 2 6 2" xfId="397" xr:uid="{00000000-0005-0000-0000-0000B9000000}"/>
    <cellStyle name="Comma 2 2 2 6 2 2" xfId="2556" xr:uid="{00000000-0005-0000-0000-0000B9000000}"/>
    <cellStyle name="Comma 2 2 2 6 2 2 2" xfId="9465" xr:uid="{989CCBBA-654B-4F4A-B502-7DCCFD80F78B}"/>
    <cellStyle name="Comma 2 2 2 6 2 3" xfId="7560" xr:uid="{BE6AC545-C77A-423C-8F67-39AE8289FFBB}"/>
    <cellStyle name="Comma 2 2 2 6 3" xfId="554" xr:uid="{00000000-0005-0000-0000-0000BA000000}"/>
    <cellStyle name="Comma 2 2 2 6 3 2" xfId="2705" xr:uid="{00000000-0005-0000-0000-0000BA000000}"/>
    <cellStyle name="Comma 2 2 2 6 3 2 2" xfId="9614" xr:uid="{D7813D11-5047-4272-8000-DD38AE846B11}"/>
    <cellStyle name="Comma 2 2 2 6 3 3" xfId="7697" xr:uid="{3CDAF937-E0B3-4CB5-B3A4-471B0A3E3760}"/>
    <cellStyle name="Comma 2 2 2 6 4" xfId="791" xr:uid="{00000000-0005-0000-0000-0000BB000000}"/>
    <cellStyle name="Comma 2 2 2 6 4 2" xfId="2930" xr:uid="{00000000-0005-0000-0000-0000BB000000}"/>
    <cellStyle name="Comma 2 2 2 6 4 2 2" xfId="9839" xr:uid="{5647680F-7CA2-48A7-9530-65D2D3DCDC89}"/>
    <cellStyle name="Comma 2 2 2 6 4 3" xfId="7913" xr:uid="{D0287203-F4A3-4D6F-AD74-802CCE4762CC}"/>
    <cellStyle name="Comma 2 2 2 6 5" xfId="979" xr:uid="{00000000-0005-0000-0000-0000BC000000}"/>
    <cellStyle name="Comma 2 2 2 6 5 2" xfId="3108" xr:uid="{00000000-0005-0000-0000-0000BC000000}"/>
    <cellStyle name="Comma 2 2 2 6 5 2 2" xfId="10017" xr:uid="{47F7F95F-EFA1-4DAF-809F-3CE22AE87213}"/>
    <cellStyle name="Comma 2 2 2 6 5 3" xfId="8080" xr:uid="{FAFD83BE-31FC-4ED1-B739-0C31FA9D13C2}"/>
    <cellStyle name="Comma 2 2 2 6 6" xfId="1162" xr:uid="{00000000-0005-0000-0000-0000BD000000}"/>
    <cellStyle name="Comma 2 2 2 6 6 2" xfId="3280" xr:uid="{00000000-0005-0000-0000-0000BD000000}"/>
    <cellStyle name="Comma 2 2 2 6 6 2 2" xfId="10188" xr:uid="{DF0C2DCA-88D1-4A89-AF63-B10CB8410858}"/>
    <cellStyle name="Comma 2 2 2 6 6 3" xfId="8244" xr:uid="{A6FDBADD-C816-4237-98BD-CA24CEE7C76F}"/>
    <cellStyle name="Comma 2 2 2 6 7" xfId="1330" xr:uid="{00000000-0005-0000-0000-0000BE000000}"/>
    <cellStyle name="Comma 2 2 2 6 7 2" xfId="3438" xr:uid="{00000000-0005-0000-0000-0000BE000000}"/>
    <cellStyle name="Comma 2 2 2 6 7 2 2" xfId="10346" xr:uid="{99FC3A06-8BA1-47B7-BD7B-7ECFB8F46AB8}"/>
    <cellStyle name="Comma 2 2 2 6 7 3" xfId="8396" xr:uid="{742CFA35-5525-4BC4-8F2B-5333F63D4204}"/>
    <cellStyle name="Comma 2 2 2 7" xfId="259" xr:uid="{00000000-0005-0000-0000-0000BF000000}"/>
    <cellStyle name="Comma 2 2 2 7 2" xfId="2423" xr:uid="{00000000-0005-0000-0000-0000BF000000}"/>
    <cellStyle name="Comma 2 2 2 7 2 2" xfId="9332" xr:uid="{32B99989-4249-4FAA-97E5-09D648E38983}"/>
    <cellStyle name="Comma 2 2 2 7 3" xfId="7427" xr:uid="{E94FBD3F-1762-4D44-B3E2-E529E88A6697}"/>
    <cellStyle name="Comma 2 2 2 8" xfId="276" xr:uid="{00000000-0005-0000-0000-0000C0000000}"/>
    <cellStyle name="Comma 2 2 2 8 2" xfId="2440" xr:uid="{00000000-0005-0000-0000-0000C0000000}"/>
    <cellStyle name="Comma 2 2 2 8 2 2" xfId="9349" xr:uid="{AAFF92F8-774F-4D92-B7B5-FCA12ABA449E}"/>
    <cellStyle name="Comma 2 2 2 8 3" xfId="7444" xr:uid="{91E2C426-5C82-4007-8C00-0338B9B2F65A}"/>
    <cellStyle name="Comma 2 2 2 9" xfId="649" xr:uid="{00000000-0005-0000-0000-0000C1000000}"/>
    <cellStyle name="Comma 2 2 2 9 2" xfId="2792" xr:uid="{00000000-0005-0000-0000-0000C1000000}"/>
    <cellStyle name="Comma 2 2 2 9 2 2" xfId="9701" xr:uid="{4E0FC1E3-7E42-41DB-86EE-45AF36409208}"/>
    <cellStyle name="Comma 2 2 2 9 3" xfId="7774" xr:uid="{39D0AF4F-91B9-494F-BF58-9D675F1106E8}"/>
    <cellStyle name="Comma 2 2 3" xfId="242" xr:uid="{00000000-0005-0000-0000-0000C2000000}"/>
    <cellStyle name="Comma 2 2 3 2" xfId="2406" xr:uid="{00000000-0005-0000-0000-0000C2000000}"/>
    <cellStyle name="Comma 2 2 3 2 2" xfId="9315" xr:uid="{BFD0D6C5-3891-428E-A0EE-1BF1CCC616C8}"/>
    <cellStyle name="Comma 2 2 3 3" xfId="7410" xr:uid="{88DF8F48-55CA-44FC-A037-20CDF0AB5E48}"/>
    <cellStyle name="Comma 2 2 4" xfId="291" xr:uid="{00000000-0005-0000-0000-0000C3000000}"/>
    <cellStyle name="Comma 2 2 4 2" xfId="2455" xr:uid="{00000000-0005-0000-0000-0000C3000000}"/>
    <cellStyle name="Comma 2 2 4 2 2" xfId="9364" xr:uid="{FDDC4947-6B1D-4B93-8098-E13F8AF54ABA}"/>
    <cellStyle name="Comma 2 2 4 3" xfId="7459" xr:uid="{C58149E1-1E52-4015-B1AC-889E0984393D}"/>
    <cellStyle name="Comma 2 2 5" xfId="629" xr:uid="{00000000-0005-0000-0000-0000C4000000}"/>
    <cellStyle name="Comma 2 2 5 2" xfId="2772" xr:uid="{00000000-0005-0000-0000-0000C4000000}"/>
    <cellStyle name="Comma 2 2 5 2 2" xfId="9681" xr:uid="{E19A06FF-EC51-4981-A090-E9BAC509B712}"/>
    <cellStyle name="Comma 2 2 5 3" xfId="7756" xr:uid="{E5799FD6-93AF-4E3C-A73B-B855B161D006}"/>
    <cellStyle name="Comma 2 2 6" xfId="790" xr:uid="{00000000-0005-0000-0000-0000C5000000}"/>
    <cellStyle name="Comma 2 2 6 2" xfId="2929" xr:uid="{00000000-0005-0000-0000-0000C5000000}"/>
    <cellStyle name="Comma 2 2 6 2 2" xfId="9838" xr:uid="{A6B43742-06F1-4C5C-A1A0-47C385100FE9}"/>
    <cellStyle name="Comma 2 2 6 3" xfId="7912" xr:uid="{CE0C0C72-F19E-45A5-ABCC-A4B6B58CCB36}"/>
    <cellStyle name="Comma 2 2 7" xfId="965" xr:uid="{00000000-0005-0000-0000-0000C6000000}"/>
    <cellStyle name="Comma 2 2 7 2" xfId="3094" xr:uid="{00000000-0005-0000-0000-0000C6000000}"/>
    <cellStyle name="Comma 2 2 7 2 2" xfId="10003" xr:uid="{BC1684BB-830A-407F-9BEA-3AE71D38DE4A}"/>
    <cellStyle name="Comma 2 2 7 3" xfId="8066" xr:uid="{3B5EB390-7862-4D4C-9E15-4D96FF039C4E}"/>
    <cellStyle name="Comma 2 2 8" xfId="804" xr:uid="{00000000-0005-0000-0000-0000C7000000}"/>
    <cellStyle name="Comma 2 2 8 2" xfId="2942" xr:uid="{00000000-0005-0000-0000-0000C7000000}"/>
    <cellStyle name="Comma 2 2 8 2 2" xfId="9851" xr:uid="{93C08722-7CF1-4AD3-B3C8-50D537017E8E}"/>
    <cellStyle name="Comma 2 2 8 3" xfId="7925" xr:uid="{210730A1-55C7-445F-B6E7-5DF131AAD2D8}"/>
    <cellStyle name="Comma 2 3" xfId="26" xr:uid="{00000000-0005-0000-0000-0000C8000000}"/>
    <cellStyle name="Comma 2 3 10" xfId="634" xr:uid="{00000000-0005-0000-0000-0000C9000000}"/>
    <cellStyle name="Comma 2 3 10 2" xfId="2777" xr:uid="{00000000-0005-0000-0000-0000C9000000}"/>
    <cellStyle name="Comma 2 3 10 2 2" xfId="9686" xr:uid="{2E20FD66-363A-4895-BD2F-301742AE1134}"/>
    <cellStyle name="Comma 2 3 10 3" xfId="7761" xr:uid="{9FA6D01A-E647-4C44-A253-CFE6E6E42AC2}"/>
    <cellStyle name="Comma 2 3 11" xfId="869" xr:uid="{00000000-0005-0000-0000-0000CA000000}"/>
    <cellStyle name="Comma 2 3 11 2" xfId="3000" xr:uid="{00000000-0005-0000-0000-0000CA000000}"/>
    <cellStyle name="Comma 2 3 11 2 2" xfId="9909" xr:uid="{A6EC5349-9A96-4C86-8345-C0100854C697}"/>
    <cellStyle name="Comma 2 3 11 3" xfId="7973" xr:uid="{4A47515E-A633-4F6D-ADD5-8147946B39BF}"/>
    <cellStyle name="Comma 2 3 12" xfId="1103" xr:uid="{00000000-0005-0000-0000-0000CB000000}"/>
    <cellStyle name="Comma 2 3 12 2" xfId="3221" xr:uid="{00000000-0005-0000-0000-0000CB000000}"/>
    <cellStyle name="Comma 2 3 12 2 2" xfId="10129" xr:uid="{49F5C46F-1EC4-45BF-89EE-F4DBFE96F0ED}"/>
    <cellStyle name="Comma 2 3 12 3" xfId="8185" xr:uid="{7205C5C1-EC16-4B1D-899D-328E9753225D}"/>
    <cellStyle name="Comma 2 3 2" xfId="107" xr:uid="{00000000-0005-0000-0000-0000CC000000}"/>
    <cellStyle name="Comma 2 3 2 2" xfId="314" xr:uid="{00000000-0005-0000-0000-0000CD000000}"/>
    <cellStyle name="Comma 2 3 2 2 2" xfId="2475" xr:uid="{00000000-0005-0000-0000-0000CD000000}"/>
    <cellStyle name="Comma 2 3 2 2 2 2" xfId="9384" xr:uid="{8DB69173-DF1E-4C93-91D0-812AEF5F90E5}"/>
    <cellStyle name="Comma 2 3 2 2 3" xfId="7477" xr:uid="{E46F6B66-78E4-41CC-8930-50978DE76936}"/>
    <cellStyle name="Comma 2 3 2 3" xfId="479" xr:uid="{00000000-0005-0000-0000-0000CE000000}"/>
    <cellStyle name="Comma 2 3 2 3 2" xfId="2630" xr:uid="{00000000-0005-0000-0000-0000CE000000}"/>
    <cellStyle name="Comma 2 3 2 3 2 2" xfId="9539" xr:uid="{83EB4D7D-E831-4835-91BC-B5ED0294965A}"/>
    <cellStyle name="Comma 2 3 2 3 3" xfId="7622" xr:uid="{0F719B60-3CD0-43E1-BBC5-4E5D4836737F}"/>
    <cellStyle name="Comma 2 3 2 4" xfId="703" xr:uid="{00000000-0005-0000-0000-0000CF000000}"/>
    <cellStyle name="Comma 2 3 2 4 2" xfId="2843" xr:uid="{00000000-0005-0000-0000-0000CF000000}"/>
    <cellStyle name="Comma 2 3 2 4 2 2" xfId="9752" xr:uid="{CB0542BD-A7C4-49B7-8C1C-AE73E1DD678F}"/>
    <cellStyle name="Comma 2 3 2 4 3" xfId="7825" xr:uid="{177D4DB3-2FCE-4792-AC59-CBA018173DF0}"/>
    <cellStyle name="Comma 2 3 2 5" xfId="895" xr:uid="{00000000-0005-0000-0000-0000D0000000}"/>
    <cellStyle name="Comma 2 3 2 5 2" xfId="3024" xr:uid="{00000000-0005-0000-0000-0000D0000000}"/>
    <cellStyle name="Comma 2 3 2 5 2 2" xfId="9933" xr:uid="{7BEE4460-66A9-4A48-8E2B-98988F947D8B}"/>
    <cellStyle name="Comma 2 3 2 5 3" xfId="7996" xr:uid="{9F044EB1-1F5F-4481-B58B-C107A116AA63}"/>
    <cellStyle name="Comma 2 3 2 6" xfId="1077" xr:uid="{00000000-0005-0000-0000-0000D1000000}"/>
    <cellStyle name="Comma 2 3 2 6 2" xfId="3195" xr:uid="{00000000-0005-0000-0000-0000D1000000}"/>
    <cellStyle name="Comma 2 3 2 6 2 2" xfId="10103" xr:uid="{9CB5D8C1-72CB-4069-9C35-6FA5A447FF3A}"/>
    <cellStyle name="Comma 2 3 2 6 3" xfId="8159" xr:uid="{9FAA4275-C40C-483F-925E-56C539D91B1E}"/>
    <cellStyle name="Comma 2 3 2 7" xfId="1255" xr:uid="{00000000-0005-0000-0000-0000D2000000}"/>
    <cellStyle name="Comma 2 3 2 7 2" xfId="3363" xr:uid="{00000000-0005-0000-0000-0000D2000000}"/>
    <cellStyle name="Comma 2 3 2 7 2 2" xfId="10271" xr:uid="{56E3A946-B194-4E85-97DB-2B7DDF9042DA}"/>
    <cellStyle name="Comma 2 3 2 7 3" xfId="8321" xr:uid="{A5706A18-E71E-4A80-B85C-81E1A9EDAE28}"/>
    <cellStyle name="Comma 2 3 3" xfId="128" xr:uid="{00000000-0005-0000-0000-0000D3000000}"/>
    <cellStyle name="Comma 2 3 3 2" xfId="333" xr:uid="{00000000-0005-0000-0000-0000D4000000}"/>
    <cellStyle name="Comma 2 3 3 2 2" xfId="2493" xr:uid="{00000000-0005-0000-0000-0000D4000000}"/>
    <cellStyle name="Comma 2 3 3 2 2 2" xfId="9402" xr:uid="{9472CD46-A829-4F2A-A827-96543A2472C3}"/>
    <cellStyle name="Comma 2 3 3 2 3" xfId="7496" xr:uid="{B8AB1CB3-A136-47A6-A19C-24FABEA904AD}"/>
    <cellStyle name="Comma 2 3 3 3" xfId="496" xr:uid="{00000000-0005-0000-0000-0000D5000000}"/>
    <cellStyle name="Comma 2 3 3 3 2" xfId="2647" xr:uid="{00000000-0005-0000-0000-0000D5000000}"/>
    <cellStyle name="Comma 2 3 3 3 2 2" xfId="9556" xr:uid="{6BC62EC0-2363-454C-B16F-63B435FBA08C}"/>
    <cellStyle name="Comma 2 3 3 3 3" xfId="7639" xr:uid="{6F8A3F5A-7F6C-4D47-AF43-02047D8DB875}"/>
    <cellStyle name="Comma 2 3 3 4" xfId="723" xr:uid="{00000000-0005-0000-0000-0000D6000000}"/>
    <cellStyle name="Comma 2 3 3 4 2" xfId="2863" xr:uid="{00000000-0005-0000-0000-0000D6000000}"/>
    <cellStyle name="Comma 2 3 3 4 2 2" xfId="9772" xr:uid="{0C4327FD-6755-4DB8-BF30-B27FD749F67B}"/>
    <cellStyle name="Comma 2 3 3 4 3" xfId="7845" xr:uid="{B24F3174-B05F-40A9-87E1-D5629AAAF84E}"/>
    <cellStyle name="Comma 2 3 3 5" xfId="914" xr:uid="{00000000-0005-0000-0000-0000D7000000}"/>
    <cellStyle name="Comma 2 3 3 5 2" xfId="3043" xr:uid="{00000000-0005-0000-0000-0000D7000000}"/>
    <cellStyle name="Comma 2 3 3 5 2 2" xfId="9952" xr:uid="{D3C7AB91-B198-4637-989C-F0DEF00C6213}"/>
    <cellStyle name="Comma 2 3 3 5 3" xfId="8015" xr:uid="{4A82D44A-A3E0-4D66-B992-2D0FC0F19D76}"/>
    <cellStyle name="Comma 2 3 3 6" xfId="1096" xr:uid="{00000000-0005-0000-0000-0000D8000000}"/>
    <cellStyle name="Comma 2 3 3 6 2" xfId="3214" xr:uid="{00000000-0005-0000-0000-0000D8000000}"/>
    <cellStyle name="Comma 2 3 3 6 2 2" xfId="10122" xr:uid="{A16EF9DC-F04A-4C32-A8FD-A222CAB3FC1E}"/>
    <cellStyle name="Comma 2 3 3 6 3" xfId="8178" xr:uid="{810EEE25-0C5B-4375-A313-0829E4487887}"/>
    <cellStyle name="Comma 2 3 3 7" xfId="1272" xr:uid="{00000000-0005-0000-0000-0000D9000000}"/>
    <cellStyle name="Comma 2 3 3 7 2" xfId="3380" xr:uid="{00000000-0005-0000-0000-0000D9000000}"/>
    <cellStyle name="Comma 2 3 3 7 2 2" xfId="10288" xr:uid="{FB6DD74D-73FA-401E-9B7C-29A713FA47ED}"/>
    <cellStyle name="Comma 2 3 3 7 3" xfId="8338" xr:uid="{6F92B530-6753-4CB8-9502-FC3F0F40ADE2}"/>
    <cellStyle name="Comma 2 3 4" xfId="149" xr:uid="{00000000-0005-0000-0000-0000DA000000}"/>
    <cellStyle name="Comma 2 3 4 2" xfId="352" xr:uid="{00000000-0005-0000-0000-0000DB000000}"/>
    <cellStyle name="Comma 2 3 4 2 2" xfId="2512" xr:uid="{00000000-0005-0000-0000-0000DB000000}"/>
    <cellStyle name="Comma 2 3 4 2 2 2" xfId="9421" xr:uid="{67E15542-A0EC-4ACF-B1BB-EA923D420DC3}"/>
    <cellStyle name="Comma 2 3 4 2 3" xfId="7515" xr:uid="{A0A3531C-BD7F-4F69-8F25-7D9C99EC82D0}"/>
    <cellStyle name="Comma 2 3 4 3" xfId="513" xr:uid="{00000000-0005-0000-0000-0000DC000000}"/>
    <cellStyle name="Comma 2 3 4 3 2" xfId="2664" xr:uid="{00000000-0005-0000-0000-0000DC000000}"/>
    <cellStyle name="Comma 2 3 4 3 2 2" xfId="9573" xr:uid="{78FD5D2E-40AB-4201-A390-F2B6529252B9}"/>
    <cellStyle name="Comma 2 3 4 3 3" xfId="7656" xr:uid="{24760623-7FAF-459E-A8A0-F5447DCAC94D}"/>
    <cellStyle name="Comma 2 3 4 4" xfId="743" xr:uid="{00000000-0005-0000-0000-0000DD000000}"/>
    <cellStyle name="Comma 2 3 4 4 2" xfId="2883" xr:uid="{00000000-0005-0000-0000-0000DD000000}"/>
    <cellStyle name="Comma 2 3 4 4 2 2" xfId="9792" xr:uid="{17A0AF12-7761-41DA-8913-66DF149171D9}"/>
    <cellStyle name="Comma 2 3 4 4 3" xfId="7865" xr:uid="{0C7A1C74-A5EE-42FB-820A-8418956D0BA7}"/>
    <cellStyle name="Comma 2 3 4 5" xfId="933" xr:uid="{00000000-0005-0000-0000-0000DE000000}"/>
    <cellStyle name="Comma 2 3 4 5 2" xfId="3062" xr:uid="{00000000-0005-0000-0000-0000DE000000}"/>
    <cellStyle name="Comma 2 3 4 5 2 2" xfId="9971" xr:uid="{564EA900-D83D-416B-8006-77328094FDF5}"/>
    <cellStyle name="Comma 2 3 4 5 3" xfId="8034" xr:uid="{5D355813-19E6-4ECD-B367-26AE3D3F7316}"/>
    <cellStyle name="Comma 2 3 4 6" xfId="1116" xr:uid="{00000000-0005-0000-0000-0000DF000000}"/>
    <cellStyle name="Comma 2 3 4 6 2" xfId="3234" xr:uid="{00000000-0005-0000-0000-0000DF000000}"/>
    <cellStyle name="Comma 2 3 4 6 2 2" xfId="10142" xr:uid="{759E49B2-2A94-4912-BE4F-9925709941AF}"/>
    <cellStyle name="Comma 2 3 4 6 3" xfId="8198" xr:uid="{374400F5-F376-4018-AAB1-EC0286A60299}"/>
    <cellStyle name="Comma 2 3 4 7" xfId="1289" xr:uid="{00000000-0005-0000-0000-0000E0000000}"/>
    <cellStyle name="Comma 2 3 4 7 2" xfId="3397" xr:uid="{00000000-0005-0000-0000-0000E0000000}"/>
    <cellStyle name="Comma 2 3 4 7 2 2" xfId="10305" xr:uid="{C9B8D9A1-5EF0-4531-A1F9-24779D93CFFB}"/>
    <cellStyle name="Comma 2 3 4 7 3" xfId="8355" xr:uid="{FC6AAFC1-DBB6-4290-93BE-A41F27EC2FD3}"/>
    <cellStyle name="Comma 2 3 5" xfId="170" xr:uid="{00000000-0005-0000-0000-0000E1000000}"/>
    <cellStyle name="Comma 2 3 5 2" xfId="371" xr:uid="{00000000-0005-0000-0000-0000E2000000}"/>
    <cellStyle name="Comma 2 3 5 2 2" xfId="2531" xr:uid="{00000000-0005-0000-0000-0000E2000000}"/>
    <cellStyle name="Comma 2 3 5 2 2 2" xfId="9440" xr:uid="{93810750-31C7-4DF2-94AE-6C0FB4328AE9}"/>
    <cellStyle name="Comma 2 3 5 2 3" xfId="7534" xr:uid="{BF7D54CB-6218-48B3-AEE4-9493C447CAD4}"/>
    <cellStyle name="Comma 2 3 5 3" xfId="530" xr:uid="{00000000-0005-0000-0000-0000E3000000}"/>
    <cellStyle name="Comma 2 3 5 3 2" xfId="2681" xr:uid="{00000000-0005-0000-0000-0000E3000000}"/>
    <cellStyle name="Comma 2 3 5 3 2 2" xfId="9590" xr:uid="{6802E761-C0BD-4B6A-BE3A-1E9E30D0C3C0}"/>
    <cellStyle name="Comma 2 3 5 3 3" xfId="7673" xr:uid="{066537A8-B083-4E27-A575-9FFA33225663}"/>
    <cellStyle name="Comma 2 3 5 4" xfId="763" xr:uid="{00000000-0005-0000-0000-0000E4000000}"/>
    <cellStyle name="Comma 2 3 5 4 2" xfId="2902" xr:uid="{00000000-0005-0000-0000-0000E4000000}"/>
    <cellStyle name="Comma 2 3 5 4 2 2" xfId="9811" xr:uid="{82271AFF-DC95-4442-AEEB-74C2F298B81A}"/>
    <cellStyle name="Comma 2 3 5 4 3" xfId="7885" xr:uid="{64EA6AA2-811C-44A8-A1DA-2C4DF204AC6D}"/>
    <cellStyle name="Comma 2 3 5 5" xfId="952" xr:uid="{00000000-0005-0000-0000-0000E5000000}"/>
    <cellStyle name="Comma 2 3 5 5 2" xfId="3081" xr:uid="{00000000-0005-0000-0000-0000E5000000}"/>
    <cellStyle name="Comma 2 3 5 5 2 2" xfId="9990" xr:uid="{65BC8B88-B43D-446D-B433-D2584043D5C9}"/>
    <cellStyle name="Comma 2 3 5 5 3" xfId="8053" xr:uid="{6D986805-6A3F-4535-9141-DEA7AD3C42F6}"/>
    <cellStyle name="Comma 2 3 5 6" xfId="1135" xr:uid="{00000000-0005-0000-0000-0000E6000000}"/>
    <cellStyle name="Comma 2 3 5 6 2" xfId="3253" xr:uid="{00000000-0005-0000-0000-0000E6000000}"/>
    <cellStyle name="Comma 2 3 5 6 2 2" xfId="10161" xr:uid="{7E5923B1-872F-4652-B672-FB3EF7B8F138}"/>
    <cellStyle name="Comma 2 3 5 6 3" xfId="8217" xr:uid="{4C9F1D75-6714-4896-B6E4-0B8A7567B88D}"/>
    <cellStyle name="Comma 2 3 5 7" xfId="1306" xr:uid="{00000000-0005-0000-0000-0000E7000000}"/>
    <cellStyle name="Comma 2 3 5 7 2" xfId="3414" xr:uid="{00000000-0005-0000-0000-0000E7000000}"/>
    <cellStyle name="Comma 2 3 5 7 2 2" xfId="10322" xr:uid="{97011E0B-733C-43B9-B8D4-819B24E73F86}"/>
    <cellStyle name="Comma 2 3 5 7 3" xfId="8372" xr:uid="{1A8CB391-6D3B-415A-A23E-44B33AAE09D5}"/>
    <cellStyle name="Comma 2 3 6" xfId="191" xr:uid="{00000000-0005-0000-0000-0000E8000000}"/>
    <cellStyle name="Comma 2 3 6 2" xfId="390" xr:uid="{00000000-0005-0000-0000-0000E9000000}"/>
    <cellStyle name="Comma 2 3 6 2 2" xfId="2549" xr:uid="{00000000-0005-0000-0000-0000E9000000}"/>
    <cellStyle name="Comma 2 3 6 2 2 2" xfId="9458" xr:uid="{31A33EE8-3DBB-48A8-94FD-35674CDBDAF6}"/>
    <cellStyle name="Comma 2 3 6 2 3" xfId="7553" xr:uid="{66EC0F6E-CD8F-4A62-8A0C-ED6ED386B348}"/>
    <cellStyle name="Comma 2 3 6 3" xfId="547" xr:uid="{00000000-0005-0000-0000-0000EA000000}"/>
    <cellStyle name="Comma 2 3 6 3 2" xfId="2698" xr:uid="{00000000-0005-0000-0000-0000EA000000}"/>
    <cellStyle name="Comma 2 3 6 3 2 2" xfId="9607" xr:uid="{CFAB9D2A-EC67-4F91-923B-32562621FCA2}"/>
    <cellStyle name="Comma 2 3 6 3 3" xfId="7690" xr:uid="{0BA61A3B-723F-4C79-81D1-5BE76945AA43}"/>
    <cellStyle name="Comma 2 3 6 4" xfId="783" xr:uid="{00000000-0005-0000-0000-0000EB000000}"/>
    <cellStyle name="Comma 2 3 6 4 2" xfId="2922" xr:uid="{00000000-0005-0000-0000-0000EB000000}"/>
    <cellStyle name="Comma 2 3 6 4 2 2" xfId="9831" xr:uid="{0F55A009-C262-4614-B296-BF1CCAEAB6E6}"/>
    <cellStyle name="Comma 2 3 6 4 3" xfId="7905" xr:uid="{31C8726C-73C9-4215-A182-7AE9B27C36D8}"/>
    <cellStyle name="Comma 2 3 6 5" xfId="971" xr:uid="{00000000-0005-0000-0000-0000EC000000}"/>
    <cellStyle name="Comma 2 3 6 5 2" xfId="3100" xr:uid="{00000000-0005-0000-0000-0000EC000000}"/>
    <cellStyle name="Comma 2 3 6 5 2 2" xfId="10009" xr:uid="{DEE53E59-1AEA-4A48-AF59-C797154ED4A2}"/>
    <cellStyle name="Comma 2 3 6 5 3" xfId="8072" xr:uid="{45AF2E70-5198-47E3-B72A-040A7473B679}"/>
    <cellStyle name="Comma 2 3 6 6" xfId="1154" xr:uid="{00000000-0005-0000-0000-0000ED000000}"/>
    <cellStyle name="Comma 2 3 6 6 2" xfId="3272" xr:uid="{00000000-0005-0000-0000-0000ED000000}"/>
    <cellStyle name="Comma 2 3 6 6 2 2" xfId="10180" xr:uid="{7D85CF96-9C0A-4810-9673-4638A305CAB6}"/>
    <cellStyle name="Comma 2 3 6 6 3" xfId="8236" xr:uid="{8087C338-62F6-482C-B59E-57D719DAEC57}"/>
    <cellStyle name="Comma 2 3 6 7" xfId="1323" xr:uid="{00000000-0005-0000-0000-0000EE000000}"/>
    <cellStyle name="Comma 2 3 6 7 2" xfId="3431" xr:uid="{00000000-0005-0000-0000-0000EE000000}"/>
    <cellStyle name="Comma 2 3 6 7 2 2" xfId="10339" xr:uid="{E053F8E7-00C8-48A3-91B6-D169245062F2}"/>
    <cellStyle name="Comma 2 3 6 7 3" xfId="8389" xr:uid="{7DE91C03-EABE-40F9-AFF4-25D75A1D286A}"/>
    <cellStyle name="Comma 2 3 7" xfId="251" xr:uid="{00000000-0005-0000-0000-0000EF000000}"/>
    <cellStyle name="Comma 2 3 7 2" xfId="2415" xr:uid="{00000000-0005-0000-0000-0000EF000000}"/>
    <cellStyle name="Comma 2 3 7 2 2" xfId="9324" xr:uid="{926BAC50-5D4C-4919-9834-14865DED0724}"/>
    <cellStyle name="Comma 2 3 7 3" xfId="7419" xr:uid="{540A151A-3D8F-41F0-A4EF-941D7959C06F}"/>
    <cellStyle name="Comma 2 3 8" xfId="282" xr:uid="{00000000-0005-0000-0000-0000F0000000}"/>
    <cellStyle name="Comma 2 3 8 2" xfId="2446" xr:uid="{00000000-0005-0000-0000-0000F0000000}"/>
    <cellStyle name="Comma 2 3 8 2 2" xfId="9355" xr:uid="{F4B03733-C4EE-4D76-9D70-56AE0CF51BFB}"/>
    <cellStyle name="Comma 2 3 8 3" xfId="7450" xr:uid="{C070A3C7-7FA9-43BC-88D6-41BD228B9492}"/>
    <cellStyle name="Comma 2 3 9" xfId="640" xr:uid="{00000000-0005-0000-0000-0000F1000000}"/>
    <cellStyle name="Comma 2 3 9 2" xfId="2783" xr:uid="{00000000-0005-0000-0000-0000F1000000}"/>
    <cellStyle name="Comma 2 3 9 2 2" xfId="9692" xr:uid="{AA2FCA3F-EFCA-4CE7-9F1A-8AB35FD2588A}"/>
    <cellStyle name="Comma 2 3 9 3" xfId="7767" xr:uid="{9A91A8EA-ACA5-4EBC-8709-C1826AA41F18}"/>
    <cellStyle name="Comma 2 4" xfId="234" xr:uid="{00000000-0005-0000-0000-0000F2000000}"/>
    <cellStyle name="Comma 2 4 2" xfId="2399" xr:uid="{00000000-0005-0000-0000-0000F2000000}"/>
    <cellStyle name="Comma 2 4 2 2" xfId="9308" xr:uid="{44C5271A-C512-421E-A073-8F7C2FAA3347}"/>
    <cellStyle name="Comma 2 4 3" xfId="7402" xr:uid="{F9E75C46-BF32-4305-9CA8-23F634A31171}"/>
    <cellStyle name="Comma 2 5" xfId="384" xr:uid="{00000000-0005-0000-0000-0000F3000000}"/>
    <cellStyle name="Comma 2 5 2" xfId="2543" xr:uid="{00000000-0005-0000-0000-0000F3000000}"/>
    <cellStyle name="Comma 2 5 2 2" xfId="9452" xr:uid="{4773D6B7-5972-4C27-B3A9-EE4371A9ADAD}"/>
    <cellStyle name="Comma 2 5 3" xfId="7547" xr:uid="{AF4A0D5B-BD87-47A4-A849-23F635697B91}"/>
    <cellStyle name="Comma 2 6" xfId="621" xr:uid="{00000000-0005-0000-0000-0000F4000000}"/>
    <cellStyle name="Comma 2 6 2" xfId="2764" xr:uid="{00000000-0005-0000-0000-0000F4000000}"/>
    <cellStyle name="Comma 2 6 2 2" xfId="9673" xr:uid="{3A7258F9-3222-4CCA-8C76-BD4B85615E5F}"/>
    <cellStyle name="Comma 2 6 3" xfId="7748" xr:uid="{B121ADB0-183E-4046-AEFD-ADB0A3F36C88}"/>
    <cellStyle name="Comma 2 7" xfId="655" xr:uid="{00000000-0005-0000-0000-0000F5000000}"/>
    <cellStyle name="Comma 2 7 2" xfId="2798" xr:uid="{00000000-0005-0000-0000-0000F5000000}"/>
    <cellStyle name="Comma 2 7 2 2" xfId="9707" xr:uid="{6E4540B7-746F-49A9-B77D-208DC3E65D0E}"/>
    <cellStyle name="Comma 2 7 3" xfId="7780" xr:uid="{121AA858-85D8-470B-972B-2DCEE955848B}"/>
    <cellStyle name="Comma 2 8" xfId="671" xr:uid="{00000000-0005-0000-0000-0000F6000000}"/>
    <cellStyle name="Comma 2 8 2" xfId="2814" xr:uid="{00000000-0005-0000-0000-0000F6000000}"/>
    <cellStyle name="Comma 2 8 2 2" xfId="9723" xr:uid="{B5E7EEAF-CE7F-4508-A347-393CF3280636}"/>
    <cellStyle name="Comma 2 8 3" xfId="7796" xr:uid="{15E833E2-F685-4095-A825-72905FBDC99B}"/>
    <cellStyle name="Comma 2 9" xfId="1124" xr:uid="{00000000-0005-0000-0000-0000F7000000}"/>
    <cellStyle name="Comma 2 9 2" xfId="3242" xr:uid="{00000000-0005-0000-0000-0000F7000000}"/>
    <cellStyle name="Comma 2 9 2 2" xfId="10150" xr:uid="{70014474-7BC1-42F1-8051-1C9619D38A1C}"/>
    <cellStyle name="Comma 2 9 3" xfId="8206" xr:uid="{D6EB1C39-F1B1-43D3-A69E-89EB8F077F8B}"/>
    <cellStyle name="Comma 3" xfId="3" xr:uid="{00000000-0005-0000-0000-0000F8000000}"/>
    <cellStyle name="Comma 3 2" xfId="21" xr:uid="{00000000-0005-0000-0000-0000F9000000}"/>
    <cellStyle name="Comma 3 2 2" xfId="248" xr:uid="{00000000-0005-0000-0000-0000FA000000}"/>
    <cellStyle name="Comma 3 2 2 2" xfId="2412" xr:uid="{00000000-0005-0000-0000-0000FA000000}"/>
    <cellStyle name="Comma 3 2 2 2 2" xfId="9321" xr:uid="{D1AE2F73-152A-419E-92DE-9277A9A265DB}"/>
    <cellStyle name="Comma 3 2 2 3" xfId="7416" xr:uid="{A0DAB9AB-019E-4300-B4F3-3403CEF55876}"/>
    <cellStyle name="Comma 3 2 3" xfId="286" xr:uid="{00000000-0005-0000-0000-0000FB000000}"/>
    <cellStyle name="Comma 3 2 3 2" xfId="2450" xr:uid="{00000000-0005-0000-0000-0000FB000000}"/>
    <cellStyle name="Comma 3 2 3 2 2" xfId="9359" xr:uid="{BCEFF5BE-A9AF-4A0B-B56D-2140D39C4957}"/>
    <cellStyle name="Comma 3 2 3 3" xfId="7454" xr:uid="{BDC37154-43F4-4DE0-B70F-5FFAD97D7E8E}"/>
    <cellStyle name="Comma 3 2 4" xfId="636" xr:uid="{00000000-0005-0000-0000-0000FC000000}"/>
    <cellStyle name="Comma 3 2 4 2" xfId="2779" xr:uid="{00000000-0005-0000-0000-0000FC000000}"/>
    <cellStyle name="Comma 3 2 4 2 2" xfId="9688" xr:uid="{F5E39CD2-C5AF-4F5D-95A1-DC452DDCCA01}"/>
    <cellStyle name="Comma 3 2 4 3" xfId="7763" xr:uid="{6752CAC2-593D-4A31-8343-5BB1F3E08879}"/>
    <cellStyle name="Comma 3 2 5" xfId="776" xr:uid="{00000000-0005-0000-0000-0000FD000000}"/>
    <cellStyle name="Comma 3 2 5 2" xfId="2915" xr:uid="{00000000-0005-0000-0000-0000FD000000}"/>
    <cellStyle name="Comma 3 2 5 2 2" xfId="9824" xr:uid="{44BF74BE-135E-47F7-89D4-20B13ED8ACFD}"/>
    <cellStyle name="Comma 3 2 5 3" xfId="7898" xr:uid="{58BF03FE-2FF5-4E89-BB3B-8CFCD1B47249}"/>
    <cellStyle name="Comma 3 2 6" xfId="736" xr:uid="{00000000-0005-0000-0000-0000FE000000}"/>
    <cellStyle name="Comma 3 2 6 2" xfId="2876" xr:uid="{00000000-0005-0000-0000-0000FE000000}"/>
    <cellStyle name="Comma 3 2 6 2 2" xfId="9785" xr:uid="{A60885AF-7652-400E-894D-4E9FFA54132C}"/>
    <cellStyle name="Comma 3 2 6 3" xfId="7858" xr:uid="{B59ACCD4-5945-49D2-9648-FF324A4F5D5C}"/>
    <cellStyle name="Comma 3 2 7" xfId="876" xr:uid="{00000000-0005-0000-0000-0000FF000000}"/>
    <cellStyle name="Comma 3 2 7 2" xfId="3006" xr:uid="{00000000-0005-0000-0000-0000FF000000}"/>
    <cellStyle name="Comma 3 2 7 2 2" xfId="9915" xr:uid="{DE3C254A-DC9D-4649-80BC-FEA6A24C6E54}"/>
    <cellStyle name="Comma 3 2 7 3" xfId="7979" xr:uid="{1B953ED7-D2A7-417A-9D8B-0EC4BB0C001A}"/>
    <cellStyle name="Comma 3 3" xfId="235" xr:uid="{00000000-0005-0000-0000-000000010000}"/>
    <cellStyle name="Comma 3 3 2" xfId="2400" xr:uid="{00000000-0005-0000-0000-000000010000}"/>
    <cellStyle name="Comma 3 3 2 2" xfId="9309" xr:uid="{29AD56A4-81F4-4281-A6F7-4C25A728B476}"/>
    <cellStyle name="Comma 3 3 3" xfId="7403" xr:uid="{32349866-43CF-4945-BCE6-AFFFEBBC4183}"/>
    <cellStyle name="Comma 3 4" xfId="365" xr:uid="{00000000-0005-0000-0000-000001010000}"/>
    <cellStyle name="Comma 3 4 2" xfId="2525" xr:uid="{00000000-0005-0000-0000-000001010000}"/>
    <cellStyle name="Comma 3 4 2 2" xfId="9434" xr:uid="{A6A56ACD-EB05-4561-8267-4A158EC1C3F3}"/>
    <cellStyle name="Comma 3 4 3" xfId="7528" xr:uid="{1F318786-8935-499C-AA21-2A97955AD90F}"/>
    <cellStyle name="Comma 3 5" xfId="622" xr:uid="{00000000-0005-0000-0000-000002010000}"/>
    <cellStyle name="Comma 3 5 2" xfId="2765" xr:uid="{00000000-0005-0000-0000-000002010000}"/>
    <cellStyle name="Comma 3 5 2 2" xfId="9674" xr:uid="{B3902C31-1F4B-4B19-A8AE-CC8EC80E2B51}"/>
    <cellStyle name="Comma 3 5 3" xfId="7749" xr:uid="{C3E0294D-0907-44BB-8925-4759E872F24F}"/>
    <cellStyle name="Comma 3 6" xfId="635" xr:uid="{00000000-0005-0000-0000-000003010000}"/>
    <cellStyle name="Comma 3 6 2" xfId="2778" xr:uid="{00000000-0005-0000-0000-000003010000}"/>
    <cellStyle name="Comma 3 6 2 2" xfId="9687" xr:uid="{1ACA576E-783E-41AF-8233-870E7F98D541}"/>
    <cellStyle name="Comma 3 6 3" xfId="7762" xr:uid="{3EF60679-2E47-4B71-9437-8D910E693453}"/>
    <cellStyle name="Comma 3 7" xfId="680" xr:uid="{00000000-0005-0000-0000-000004010000}"/>
    <cellStyle name="Comma 3 7 2" xfId="2823" xr:uid="{00000000-0005-0000-0000-000004010000}"/>
    <cellStyle name="Comma 3 7 2 2" xfId="9732" xr:uid="{9AC7C677-ED33-432A-BD6B-16A263A921F8}"/>
    <cellStyle name="Comma 3 7 3" xfId="7805" xr:uid="{2BA07764-48E0-432E-B62A-33A272656D0D}"/>
    <cellStyle name="Comma 3 8" xfId="1104" xr:uid="{00000000-0005-0000-0000-000005010000}"/>
    <cellStyle name="Comma 3 8 2" xfId="3222" xr:uid="{00000000-0005-0000-0000-000005010000}"/>
    <cellStyle name="Comma 3 8 2 2" xfId="10130" xr:uid="{1C62678F-8F89-4615-BB50-96D88B6C833D}"/>
    <cellStyle name="Comma 3 8 3" xfId="8186" xr:uid="{BE4F967D-BB3C-435C-BD02-549AF11C2E1B}"/>
    <cellStyle name="Comma 4" xfId="4" xr:uid="{00000000-0005-0000-0000-000006010000}"/>
    <cellStyle name="Comma 4 2" xfId="15" xr:uid="{00000000-0005-0000-0000-000007010000}"/>
    <cellStyle name="Comma 4 2 2" xfId="36" xr:uid="{00000000-0005-0000-0000-000008010000}"/>
    <cellStyle name="Comma 4 2 2 10" xfId="819" xr:uid="{00000000-0005-0000-0000-000009010000}"/>
    <cellStyle name="Comma 4 2 2 10 2" xfId="2955" xr:uid="{00000000-0005-0000-0000-000009010000}"/>
    <cellStyle name="Comma 4 2 2 10 2 2" xfId="9864" xr:uid="{CE4D94E8-DC0A-4EDA-96C9-1A38E18BEEDE}"/>
    <cellStyle name="Comma 4 2 2 10 3" xfId="7939" xr:uid="{01FF9235-DCCB-4404-83A9-E00A17D8EF89}"/>
    <cellStyle name="Comma 4 2 2 11" xfId="661" xr:uid="{00000000-0005-0000-0000-00000A010000}"/>
    <cellStyle name="Comma 4 2 2 11 2" xfId="2804" xr:uid="{00000000-0005-0000-0000-00000A010000}"/>
    <cellStyle name="Comma 4 2 2 11 2 2" xfId="9713" xr:uid="{8B02073D-E09D-4CA6-A830-93F7DA196EDA}"/>
    <cellStyle name="Comma 4 2 2 11 3" xfId="7786" xr:uid="{96CC566C-27A4-40A9-B573-BBAFEEBAFD9A}"/>
    <cellStyle name="Comma 4 2 2 12" xfId="921" xr:uid="{00000000-0005-0000-0000-00000B010000}"/>
    <cellStyle name="Comma 4 2 2 12 2" xfId="3050" xr:uid="{00000000-0005-0000-0000-00000B010000}"/>
    <cellStyle name="Comma 4 2 2 12 2 2" xfId="9959" xr:uid="{DD73FB73-00EE-444F-B3EE-97C979E12E58}"/>
    <cellStyle name="Comma 4 2 2 12 3" xfId="8022" xr:uid="{521F0666-2FED-46FC-9DD4-CFCAD430C16E}"/>
    <cellStyle name="Comma 4 2 2 2" xfId="117" xr:uid="{00000000-0005-0000-0000-00000C010000}"/>
    <cellStyle name="Comma 4 2 2 2 2" xfId="323" xr:uid="{00000000-0005-0000-0000-00000D010000}"/>
    <cellStyle name="Comma 4 2 2 2 2 2" xfId="2483" xr:uid="{00000000-0005-0000-0000-00000D010000}"/>
    <cellStyle name="Comma 4 2 2 2 2 2 2" xfId="9392" xr:uid="{AC268C6B-EA06-424A-BDE3-1B3E639CE315}"/>
    <cellStyle name="Comma 4 2 2 2 2 3" xfId="7486" xr:uid="{52142919-1ACF-493D-B781-2F025179811C}"/>
    <cellStyle name="Comma 4 2 2 2 3" xfId="487" xr:uid="{00000000-0005-0000-0000-00000E010000}"/>
    <cellStyle name="Comma 4 2 2 2 3 2" xfId="2638" xr:uid="{00000000-0005-0000-0000-00000E010000}"/>
    <cellStyle name="Comma 4 2 2 2 3 2 2" xfId="9547" xr:uid="{75B7B860-C592-473C-B6C1-0F90BCC24589}"/>
    <cellStyle name="Comma 4 2 2 2 3 3" xfId="7630" xr:uid="{75664428-1B19-4440-9849-4C854D786DC6}"/>
    <cellStyle name="Comma 4 2 2 2 4" xfId="713" xr:uid="{00000000-0005-0000-0000-00000F010000}"/>
    <cellStyle name="Comma 4 2 2 2 4 2" xfId="2853" xr:uid="{00000000-0005-0000-0000-00000F010000}"/>
    <cellStyle name="Comma 4 2 2 2 4 2 2" xfId="9762" xr:uid="{EE407B0C-A3FE-4311-80F3-D5979535D1F0}"/>
    <cellStyle name="Comma 4 2 2 2 4 3" xfId="7835" xr:uid="{CC28F6AD-A011-4E3F-A07C-965A44AD9BA3}"/>
    <cellStyle name="Comma 4 2 2 2 5" xfId="904" xr:uid="{00000000-0005-0000-0000-000010010000}"/>
    <cellStyle name="Comma 4 2 2 2 5 2" xfId="3033" xr:uid="{00000000-0005-0000-0000-000010010000}"/>
    <cellStyle name="Comma 4 2 2 2 5 2 2" xfId="9942" xr:uid="{60EC0D20-F4AC-4611-9520-56C9F9BDBFA7}"/>
    <cellStyle name="Comma 4 2 2 2 5 3" xfId="8005" xr:uid="{DFD1D667-D74E-48BB-992A-4E2F856FFFC9}"/>
    <cellStyle name="Comma 4 2 2 2 6" xfId="1087" xr:uid="{00000000-0005-0000-0000-000011010000}"/>
    <cellStyle name="Comma 4 2 2 2 6 2" xfId="3205" xr:uid="{00000000-0005-0000-0000-000011010000}"/>
    <cellStyle name="Comma 4 2 2 2 6 2 2" xfId="10113" xr:uid="{7A775349-0503-4227-8042-614A91891A4D}"/>
    <cellStyle name="Comma 4 2 2 2 6 3" xfId="8169" xr:uid="{98245285-090B-4AAA-B43F-91EF26BE83E7}"/>
    <cellStyle name="Comma 4 2 2 2 7" xfId="1263" xr:uid="{00000000-0005-0000-0000-000012010000}"/>
    <cellStyle name="Comma 4 2 2 2 7 2" xfId="3371" xr:uid="{00000000-0005-0000-0000-000012010000}"/>
    <cellStyle name="Comma 4 2 2 2 7 2 2" xfId="10279" xr:uid="{30CBDF24-8268-4F5C-AE7E-0503454EF7AD}"/>
    <cellStyle name="Comma 4 2 2 2 7 3" xfId="8329" xr:uid="{A3926687-08A7-4ACD-8E4A-C049C820B6A5}"/>
    <cellStyle name="Comma 4 2 2 3" xfId="138" xr:uid="{00000000-0005-0000-0000-000013010000}"/>
    <cellStyle name="Comma 4 2 2 3 2" xfId="342" xr:uid="{00000000-0005-0000-0000-000014010000}"/>
    <cellStyle name="Comma 4 2 2 3 2 2" xfId="2502" xr:uid="{00000000-0005-0000-0000-000014010000}"/>
    <cellStyle name="Comma 4 2 2 3 2 2 2" xfId="9411" xr:uid="{D6579613-0C15-4514-8AD7-3A3F13DC8310}"/>
    <cellStyle name="Comma 4 2 2 3 2 3" xfId="7505" xr:uid="{AED00FE1-F9C4-46D8-A394-37574C594ACD}"/>
    <cellStyle name="Comma 4 2 2 3 3" xfId="504" xr:uid="{00000000-0005-0000-0000-000015010000}"/>
    <cellStyle name="Comma 4 2 2 3 3 2" xfId="2655" xr:uid="{00000000-0005-0000-0000-000015010000}"/>
    <cellStyle name="Comma 4 2 2 3 3 2 2" xfId="9564" xr:uid="{7A35F47B-23A4-4922-8279-625D8F7DD826}"/>
    <cellStyle name="Comma 4 2 2 3 3 3" xfId="7647" xr:uid="{A931AFC1-64E0-4C37-8BD0-F75A757CB970}"/>
    <cellStyle name="Comma 4 2 2 3 4" xfId="732" xr:uid="{00000000-0005-0000-0000-000016010000}"/>
    <cellStyle name="Comma 4 2 2 3 4 2" xfId="2872" xr:uid="{00000000-0005-0000-0000-000016010000}"/>
    <cellStyle name="Comma 4 2 2 3 4 2 2" xfId="9781" xr:uid="{2C0F7223-C02F-43ED-8007-183F0D17A9E6}"/>
    <cellStyle name="Comma 4 2 2 3 4 3" xfId="7854" xr:uid="{7F2FA676-0458-41D7-A562-C77580AF2224}"/>
    <cellStyle name="Comma 4 2 2 3 5" xfId="923" xr:uid="{00000000-0005-0000-0000-000017010000}"/>
    <cellStyle name="Comma 4 2 2 3 5 2" xfId="3052" xr:uid="{00000000-0005-0000-0000-000017010000}"/>
    <cellStyle name="Comma 4 2 2 3 5 2 2" xfId="9961" xr:uid="{A86305C9-9B11-4F14-A650-2C6F83883167}"/>
    <cellStyle name="Comma 4 2 2 3 5 3" xfId="8024" xr:uid="{C64BBB31-E60D-421F-A938-CD02E687BD91}"/>
    <cellStyle name="Comma 4 2 2 3 6" xfId="1106" xr:uid="{00000000-0005-0000-0000-000018010000}"/>
    <cellStyle name="Comma 4 2 2 3 6 2" xfId="3224" xr:uid="{00000000-0005-0000-0000-000018010000}"/>
    <cellStyle name="Comma 4 2 2 3 6 2 2" xfId="10132" xr:uid="{AEF2E015-F7AD-4873-B711-9DF96CADA390}"/>
    <cellStyle name="Comma 4 2 2 3 6 3" xfId="8188" xr:uid="{2A0F22D3-C9DD-49AB-9625-E8088D43E253}"/>
    <cellStyle name="Comma 4 2 2 3 7" xfId="1280" xr:uid="{00000000-0005-0000-0000-000019010000}"/>
    <cellStyle name="Comma 4 2 2 3 7 2" xfId="3388" xr:uid="{00000000-0005-0000-0000-000019010000}"/>
    <cellStyle name="Comma 4 2 2 3 7 2 2" xfId="10296" xr:uid="{1C48D95A-7651-4BD1-A24A-0355235C262E}"/>
    <cellStyle name="Comma 4 2 2 3 7 3" xfId="8346" xr:uid="{5632C144-3D4E-4EC7-9A21-C92F9F48A352}"/>
    <cellStyle name="Comma 4 2 2 4" xfId="159" xr:uid="{00000000-0005-0000-0000-00001A010000}"/>
    <cellStyle name="Comma 4 2 2 4 2" xfId="361" xr:uid="{00000000-0005-0000-0000-00001B010000}"/>
    <cellStyle name="Comma 4 2 2 4 2 2" xfId="2521" xr:uid="{00000000-0005-0000-0000-00001B010000}"/>
    <cellStyle name="Comma 4 2 2 4 2 2 2" xfId="9430" xr:uid="{5E25BEAE-9CCD-4F87-ABBD-DAD4899530B4}"/>
    <cellStyle name="Comma 4 2 2 4 2 3" xfId="7524" xr:uid="{0B7B99C5-CE9E-4543-8C67-0594EB1BD0E7}"/>
    <cellStyle name="Comma 4 2 2 4 3" xfId="521" xr:uid="{00000000-0005-0000-0000-00001C010000}"/>
    <cellStyle name="Comma 4 2 2 4 3 2" xfId="2672" xr:uid="{00000000-0005-0000-0000-00001C010000}"/>
    <cellStyle name="Comma 4 2 2 4 3 2 2" xfId="9581" xr:uid="{F031375E-7FAF-45E6-9667-ED7821169D4E}"/>
    <cellStyle name="Comma 4 2 2 4 3 3" xfId="7664" xr:uid="{291589EF-32E3-45BA-A053-8498BB802030}"/>
    <cellStyle name="Comma 4 2 2 4 4" xfId="752" xr:uid="{00000000-0005-0000-0000-00001D010000}"/>
    <cellStyle name="Comma 4 2 2 4 4 2" xfId="2892" xr:uid="{00000000-0005-0000-0000-00001D010000}"/>
    <cellStyle name="Comma 4 2 2 4 4 2 2" xfId="9801" xr:uid="{9BA86419-656A-47F5-AC94-32D764670DE4}"/>
    <cellStyle name="Comma 4 2 2 4 4 3" xfId="7874" xr:uid="{A5342D00-CADD-496B-AC92-EEA306240856}"/>
    <cellStyle name="Comma 4 2 2 4 5" xfId="942" xr:uid="{00000000-0005-0000-0000-00001E010000}"/>
    <cellStyle name="Comma 4 2 2 4 5 2" xfId="3071" xr:uid="{00000000-0005-0000-0000-00001E010000}"/>
    <cellStyle name="Comma 4 2 2 4 5 2 2" xfId="9980" xr:uid="{F430CC31-0211-4E57-9B65-DE78F2E026E9}"/>
    <cellStyle name="Comma 4 2 2 4 5 3" xfId="8043" xr:uid="{9E4D0007-A3B7-4761-9294-C044742C6BCA}"/>
    <cellStyle name="Comma 4 2 2 4 6" xfId="1126" xr:uid="{00000000-0005-0000-0000-00001F010000}"/>
    <cellStyle name="Comma 4 2 2 4 6 2" xfId="3244" xr:uid="{00000000-0005-0000-0000-00001F010000}"/>
    <cellStyle name="Comma 4 2 2 4 6 2 2" xfId="10152" xr:uid="{96E78B94-80D5-4BB8-B5CA-C6FF8B816997}"/>
    <cellStyle name="Comma 4 2 2 4 6 3" xfId="8208" xr:uid="{F9271D56-B2BD-4325-917A-A0BE5AE1DF07}"/>
    <cellStyle name="Comma 4 2 2 4 7" xfId="1297" xr:uid="{00000000-0005-0000-0000-000020010000}"/>
    <cellStyle name="Comma 4 2 2 4 7 2" xfId="3405" xr:uid="{00000000-0005-0000-0000-000020010000}"/>
    <cellStyle name="Comma 4 2 2 4 7 2 2" xfId="10313" xr:uid="{CA951F87-5161-47D1-A971-F6BA6D7D3A32}"/>
    <cellStyle name="Comma 4 2 2 4 7 3" xfId="8363" xr:uid="{AB131709-9EEE-4630-9594-025ADCC58C2A}"/>
    <cellStyle name="Comma 4 2 2 5" xfId="180" xr:uid="{00000000-0005-0000-0000-000021010000}"/>
    <cellStyle name="Comma 4 2 2 5 2" xfId="380" xr:uid="{00000000-0005-0000-0000-000022010000}"/>
    <cellStyle name="Comma 4 2 2 5 2 2" xfId="2539" xr:uid="{00000000-0005-0000-0000-000022010000}"/>
    <cellStyle name="Comma 4 2 2 5 2 2 2" xfId="9448" xr:uid="{D4DE7737-45CE-4E28-BE03-7C6230133110}"/>
    <cellStyle name="Comma 4 2 2 5 2 3" xfId="7543" xr:uid="{4FFA627E-6B0B-437A-BD5F-58B406BAABD2}"/>
    <cellStyle name="Comma 4 2 2 5 3" xfId="538" xr:uid="{00000000-0005-0000-0000-000023010000}"/>
    <cellStyle name="Comma 4 2 2 5 3 2" xfId="2689" xr:uid="{00000000-0005-0000-0000-000023010000}"/>
    <cellStyle name="Comma 4 2 2 5 3 2 2" xfId="9598" xr:uid="{BD3425C7-3D73-4365-850E-C54E9093A692}"/>
    <cellStyle name="Comma 4 2 2 5 3 3" xfId="7681" xr:uid="{BBF03159-A02B-4FF7-95A4-3CE35F868C91}"/>
    <cellStyle name="Comma 4 2 2 5 4" xfId="772" xr:uid="{00000000-0005-0000-0000-000024010000}"/>
    <cellStyle name="Comma 4 2 2 5 4 2" xfId="2911" xr:uid="{00000000-0005-0000-0000-000024010000}"/>
    <cellStyle name="Comma 4 2 2 5 4 2 2" xfId="9820" xr:uid="{BAD8F0E7-84F4-4409-AA4A-37E0E142C596}"/>
    <cellStyle name="Comma 4 2 2 5 4 3" xfId="7894" xr:uid="{70C1CE41-9F7D-41DE-8FAC-290B11DAB310}"/>
    <cellStyle name="Comma 4 2 2 5 5" xfId="961" xr:uid="{00000000-0005-0000-0000-000025010000}"/>
    <cellStyle name="Comma 4 2 2 5 5 2" xfId="3090" xr:uid="{00000000-0005-0000-0000-000025010000}"/>
    <cellStyle name="Comma 4 2 2 5 5 2 2" xfId="9999" xr:uid="{3976597C-9B55-414B-BEC5-EC48C818F39B}"/>
    <cellStyle name="Comma 4 2 2 5 5 3" xfId="8062" xr:uid="{D25A42F5-B40D-47BF-856A-D8EF279E3599}"/>
    <cellStyle name="Comma 4 2 2 5 6" xfId="1143" xr:uid="{00000000-0005-0000-0000-000026010000}"/>
    <cellStyle name="Comma 4 2 2 5 6 2" xfId="3261" xr:uid="{00000000-0005-0000-0000-000026010000}"/>
    <cellStyle name="Comma 4 2 2 5 6 2 2" xfId="10169" xr:uid="{DB67CED1-EAAD-4E9E-8500-B1EEFCDA4400}"/>
    <cellStyle name="Comma 4 2 2 5 6 3" xfId="8225" xr:uid="{E4E04CBC-0E28-49BC-A5A0-F5DD8755120D}"/>
    <cellStyle name="Comma 4 2 2 5 7" xfId="1314" xr:uid="{00000000-0005-0000-0000-000027010000}"/>
    <cellStyle name="Comma 4 2 2 5 7 2" xfId="3422" xr:uid="{00000000-0005-0000-0000-000027010000}"/>
    <cellStyle name="Comma 4 2 2 5 7 2 2" xfId="10330" xr:uid="{4B3288C0-EACA-4C74-BD37-4CCEEB9C8F2A}"/>
    <cellStyle name="Comma 4 2 2 5 7 3" xfId="8380" xr:uid="{6A7301E4-A973-4BEE-BF7C-C3A32377D0DE}"/>
    <cellStyle name="Comma 4 2 2 6" xfId="201" xr:uid="{00000000-0005-0000-0000-000028010000}"/>
    <cellStyle name="Comma 4 2 2 6 2" xfId="398" xr:uid="{00000000-0005-0000-0000-000029010000}"/>
    <cellStyle name="Comma 4 2 2 6 2 2" xfId="2557" xr:uid="{00000000-0005-0000-0000-000029010000}"/>
    <cellStyle name="Comma 4 2 2 6 2 2 2" xfId="9466" xr:uid="{EF82057D-F8C0-4E6E-AA32-BFF80426BA3D}"/>
    <cellStyle name="Comma 4 2 2 6 2 3" xfId="7561" xr:uid="{2993E098-2503-44D9-A6D4-10196D9D7644}"/>
    <cellStyle name="Comma 4 2 2 6 3" xfId="555" xr:uid="{00000000-0005-0000-0000-00002A010000}"/>
    <cellStyle name="Comma 4 2 2 6 3 2" xfId="2706" xr:uid="{00000000-0005-0000-0000-00002A010000}"/>
    <cellStyle name="Comma 4 2 2 6 3 2 2" xfId="9615" xr:uid="{51FD1F5C-4EC1-4839-9749-E6F66D480D79}"/>
    <cellStyle name="Comma 4 2 2 6 3 3" xfId="7698" xr:uid="{0162BE8A-BB44-4A59-AEB2-47C482FB9BFE}"/>
    <cellStyle name="Comma 4 2 2 6 4" xfId="792" xr:uid="{00000000-0005-0000-0000-00002B010000}"/>
    <cellStyle name="Comma 4 2 2 6 4 2" xfId="2931" xr:uid="{00000000-0005-0000-0000-00002B010000}"/>
    <cellStyle name="Comma 4 2 2 6 4 2 2" xfId="9840" xr:uid="{13577DA6-81AE-4B91-8DA9-FBD589CF5C03}"/>
    <cellStyle name="Comma 4 2 2 6 4 3" xfId="7914" xr:uid="{40357B85-09ED-43E5-BE40-EC198EA7A2AF}"/>
    <cellStyle name="Comma 4 2 2 6 5" xfId="980" xr:uid="{00000000-0005-0000-0000-00002C010000}"/>
    <cellStyle name="Comma 4 2 2 6 5 2" xfId="3109" xr:uid="{00000000-0005-0000-0000-00002C010000}"/>
    <cellStyle name="Comma 4 2 2 6 5 2 2" xfId="10018" xr:uid="{E7B0473E-D26C-4AE3-A8B2-1078F63ABFC8}"/>
    <cellStyle name="Comma 4 2 2 6 5 3" xfId="8081" xr:uid="{6AAB9552-E00E-4153-8954-26D0D82B0DE4}"/>
    <cellStyle name="Comma 4 2 2 6 6" xfId="1163" xr:uid="{00000000-0005-0000-0000-00002D010000}"/>
    <cellStyle name="Comma 4 2 2 6 6 2" xfId="3281" xr:uid="{00000000-0005-0000-0000-00002D010000}"/>
    <cellStyle name="Comma 4 2 2 6 6 2 2" xfId="10189" xr:uid="{A7916924-4EA2-4CA3-9845-B962E7DD96E0}"/>
    <cellStyle name="Comma 4 2 2 6 6 3" xfId="8245" xr:uid="{B50B2EAB-6659-4342-A8D9-553BBD63C025}"/>
    <cellStyle name="Comma 4 2 2 6 7" xfId="1331" xr:uid="{00000000-0005-0000-0000-00002E010000}"/>
    <cellStyle name="Comma 4 2 2 6 7 2" xfId="3439" xr:uid="{00000000-0005-0000-0000-00002E010000}"/>
    <cellStyle name="Comma 4 2 2 6 7 2 2" xfId="10347" xr:uid="{4CEAB08D-90AA-4F45-814E-2790E0D2542B}"/>
    <cellStyle name="Comma 4 2 2 6 7 3" xfId="8397" xr:uid="{E34EB4DA-0998-4A12-9886-1995B5F9C368}"/>
    <cellStyle name="Comma 4 2 2 7" xfId="260" xr:uid="{00000000-0005-0000-0000-00002F010000}"/>
    <cellStyle name="Comma 4 2 2 7 2" xfId="2424" xr:uid="{00000000-0005-0000-0000-00002F010000}"/>
    <cellStyle name="Comma 4 2 2 7 2 2" xfId="9333" xr:uid="{EBB8DDB3-090E-45B3-BE1E-70D89E4FD5A6}"/>
    <cellStyle name="Comma 4 2 2 7 3" xfId="7428" xr:uid="{F6B7F48F-9603-42B5-B2C6-6FFA84A4A741}"/>
    <cellStyle name="Comma 4 2 2 8" xfId="275" xr:uid="{00000000-0005-0000-0000-000030010000}"/>
    <cellStyle name="Comma 4 2 2 8 2" xfId="2439" xr:uid="{00000000-0005-0000-0000-000030010000}"/>
    <cellStyle name="Comma 4 2 2 8 2 2" xfId="9348" xr:uid="{9FE73595-1858-45CF-A4A0-0EFA370B73DA}"/>
    <cellStyle name="Comma 4 2 2 8 3" xfId="7443" xr:uid="{CFCED738-2A23-49CF-87F8-066877C0B3AA}"/>
    <cellStyle name="Comma 4 2 2 9" xfId="650" xr:uid="{00000000-0005-0000-0000-000031010000}"/>
    <cellStyle name="Comma 4 2 2 9 2" xfId="2793" xr:uid="{00000000-0005-0000-0000-000031010000}"/>
    <cellStyle name="Comma 4 2 2 9 2 2" xfId="9702" xr:uid="{C2C635F7-59DD-4894-9FF0-1A3496A417FD}"/>
    <cellStyle name="Comma 4 2 2 9 3" xfId="7775" xr:uid="{131C08B3-4988-403C-A8F5-0AF9E52EEBD9}"/>
    <cellStyle name="Comma 4 2 3" xfId="243" xr:uid="{00000000-0005-0000-0000-000032010000}"/>
    <cellStyle name="Comma 4 2 3 2" xfId="2407" xr:uid="{00000000-0005-0000-0000-000032010000}"/>
    <cellStyle name="Comma 4 2 3 2 2" xfId="9316" xr:uid="{53B8E9CE-E5FD-42DE-9C63-3D583656652B}"/>
    <cellStyle name="Comma 4 2 3 3" xfId="7411" xr:uid="{DA7C89A6-F6ED-4794-8280-ABFAAAACF18F}"/>
    <cellStyle name="Comma 4 2 4" xfId="290" xr:uid="{00000000-0005-0000-0000-000033010000}"/>
    <cellStyle name="Comma 4 2 4 2" xfId="2454" xr:uid="{00000000-0005-0000-0000-000033010000}"/>
    <cellStyle name="Comma 4 2 4 2 2" xfId="9363" xr:uid="{956D1423-05FA-4AF4-B5B8-061A2DFE5BCE}"/>
    <cellStyle name="Comma 4 2 4 3" xfId="7458" xr:uid="{F1B35DBB-B166-4A92-BCA1-52227E81382B}"/>
    <cellStyle name="Comma 4 2 5" xfId="630" xr:uid="{00000000-0005-0000-0000-000034010000}"/>
    <cellStyle name="Comma 4 2 5 2" xfId="2773" xr:uid="{00000000-0005-0000-0000-000034010000}"/>
    <cellStyle name="Comma 4 2 5 2 2" xfId="9682" xr:uid="{9DD41B42-2D6A-439F-B7E7-9CAAFF19F2D1}"/>
    <cellStyle name="Comma 4 2 5 3" xfId="7757" xr:uid="{8DF600DC-CE0A-48E9-AF4E-C6525367720C}"/>
    <cellStyle name="Comma 4 2 6" xfId="770" xr:uid="{00000000-0005-0000-0000-000035010000}"/>
    <cellStyle name="Comma 4 2 6 2" xfId="2909" xr:uid="{00000000-0005-0000-0000-000035010000}"/>
    <cellStyle name="Comma 4 2 6 2 2" xfId="9818" xr:uid="{CFC9135D-FD75-4801-BBFD-E0D8B3434284}"/>
    <cellStyle name="Comma 4 2 6 3" xfId="7892" xr:uid="{FDAD5B87-DA19-4786-A17B-3C2D1845E59A}"/>
    <cellStyle name="Comma 4 2 7" xfId="946" xr:uid="{00000000-0005-0000-0000-000036010000}"/>
    <cellStyle name="Comma 4 2 7 2" xfId="3075" xr:uid="{00000000-0005-0000-0000-000036010000}"/>
    <cellStyle name="Comma 4 2 7 2 2" xfId="9984" xr:uid="{778A28B0-9860-4287-8F97-9A828746D5B4}"/>
    <cellStyle name="Comma 4 2 7 3" xfId="8047" xr:uid="{EA33301E-8EDC-48A8-8BB9-F50E7A262E86}"/>
    <cellStyle name="Comma 4 2 8" xfId="677" xr:uid="{00000000-0005-0000-0000-000037010000}"/>
    <cellStyle name="Comma 4 2 8 2" xfId="2820" xr:uid="{00000000-0005-0000-0000-000037010000}"/>
    <cellStyle name="Comma 4 2 8 2 2" xfId="9729" xr:uid="{1E6ED886-89B9-4016-9D1B-7B181509E56B}"/>
    <cellStyle name="Comma 4 2 8 3" xfId="7802" xr:uid="{E97E634B-8793-4C67-87FE-9FE5932FE767}"/>
    <cellStyle name="Comma 4 3" xfId="27" xr:uid="{00000000-0005-0000-0000-000038010000}"/>
    <cellStyle name="Comma 4 3 10" xfId="627" xr:uid="{00000000-0005-0000-0000-000039010000}"/>
    <cellStyle name="Comma 4 3 10 2" xfId="2770" xr:uid="{00000000-0005-0000-0000-000039010000}"/>
    <cellStyle name="Comma 4 3 10 2 2" xfId="9679" xr:uid="{52E86858-BFD3-49DC-80FA-6244F595C12D}"/>
    <cellStyle name="Comma 4 3 10 3" xfId="7754" xr:uid="{7341ABB4-9650-4287-9099-2F666D809191}"/>
    <cellStyle name="Comma 4 3 11" xfId="867" xr:uid="{00000000-0005-0000-0000-00003A010000}"/>
    <cellStyle name="Comma 4 3 11 2" xfId="2998" xr:uid="{00000000-0005-0000-0000-00003A010000}"/>
    <cellStyle name="Comma 4 3 11 2 2" xfId="9907" xr:uid="{B2A6BE01-7822-40B7-AFAC-9EC2265D998D}"/>
    <cellStyle name="Comma 4 3 11 3" xfId="7971" xr:uid="{58F7DDF1-1DFD-456F-9B0A-7D9F9F5FC22F}"/>
    <cellStyle name="Comma 4 3 12" xfId="1084" xr:uid="{00000000-0005-0000-0000-00003B010000}"/>
    <cellStyle name="Comma 4 3 12 2" xfId="3202" xr:uid="{00000000-0005-0000-0000-00003B010000}"/>
    <cellStyle name="Comma 4 3 12 2 2" xfId="10110" xr:uid="{69A11E5E-3018-4EE7-ADE2-ED322DC90D84}"/>
    <cellStyle name="Comma 4 3 12 3" xfId="8166" xr:uid="{56AD9791-FCE3-4DCD-AE92-49B240706DC3}"/>
    <cellStyle name="Comma 4 3 2" xfId="108" xr:uid="{00000000-0005-0000-0000-00003C010000}"/>
    <cellStyle name="Comma 4 3 2 2" xfId="315" xr:uid="{00000000-0005-0000-0000-00003D010000}"/>
    <cellStyle name="Comma 4 3 2 2 2" xfId="2476" xr:uid="{00000000-0005-0000-0000-00003D010000}"/>
    <cellStyle name="Comma 4 3 2 2 2 2" xfId="9385" xr:uid="{EEF3D5E2-11FF-431A-9F10-3AEF50A9CDC4}"/>
    <cellStyle name="Comma 4 3 2 2 3" xfId="7478" xr:uid="{0BBA1A9A-9CB7-49FC-B7AA-89F498CD8B11}"/>
    <cellStyle name="Comma 4 3 2 3" xfId="480" xr:uid="{00000000-0005-0000-0000-00003E010000}"/>
    <cellStyle name="Comma 4 3 2 3 2" xfId="2631" xr:uid="{00000000-0005-0000-0000-00003E010000}"/>
    <cellStyle name="Comma 4 3 2 3 2 2" xfId="9540" xr:uid="{AE2FCE3F-2AB3-4FE0-BF39-A8C2D4BE4486}"/>
    <cellStyle name="Comma 4 3 2 3 3" xfId="7623" xr:uid="{CA97AE3B-FAAC-4319-8F79-5E16C93EC794}"/>
    <cellStyle name="Comma 4 3 2 4" xfId="704" xr:uid="{00000000-0005-0000-0000-00003F010000}"/>
    <cellStyle name="Comma 4 3 2 4 2" xfId="2844" xr:uid="{00000000-0005-0000-0000-00003F010000}"/>
    <cellStyle name="Comma 4 3 2 4 2 2" xfId="9753" xr:uid="{835B5FBB-80D8-4DDE-8E56-65E8FEDC15FA}"/>
    <cellStyle name="Comma 4 3 2 4 3" xfId="7826" xr:uid="{E6A45850-7839-44B7-95EC-306CA51A49A7}"/>
    <cellStyle name="Comma 4 3 2 5" xfId="896" xr:uid="{00000000-0005-0000-0000-000040010000}"/>
    <cellStyle name="Comma 4 3 2 5 2" xfId="3025" xr:uid="{00000000-0005-0000-0000-000040010000}"/>
    <cellStyle name="Comma 4 3 2 5 2 2" xfId="9934" xr:uid="{2A015C44-0DC1-4BE4-876A-D215372E4927}"/>
    <cellStyle name="Comma 4 3 2 5 3" xfId="7997" xr:uid="{6C491C53-9C89-46C1-9113-15F9EEFC53F3}"/>
    <cellStyle name="Comma 4 3 2 6" xfId="1078" xr:uid="{00000000-0005-0000-0000-000041010000}"/>
    <cellStyle name="Comma 4 3 2 6 2" xfId="3196" xr:uid="{00000000-0005-0000-0000-000041010000}"/>
    <cellStyle name="Comma 4 3 2 6 2 2" xfId="10104" xr:uid="{6EF7A9A5-ABCE-40EC-B580-695055A36E85}"/>
    <cellStyle name="Comma 4 3 2 6 3" xfId="8160" xr:uid="{F66959B8-E31A-4EC8-AF67-84E2E6A72751}"/>
    <cellStyle name="Comma 4 3 2 7" xfId="1256" xr:uid="{00000000-0005-0000-0000-000042010000}"/>
    <cellStyle name="Comma 4 3 2 7 2" xfId="3364" xr:uid="{00000000-0005-0000-0000-000042010000}"/>
    <cellStyle name="Comma 4 3 2 7 2 2" xfId="10272" xr:uid="{687E7460-A964-4ACA-AB66-9591EDCE316F}"/>
    <cellStyle name="Comma 4 3 2 7 3" xfId="8322" xr:uid="{23F51363-83EE-499F-8CA9-EC24A960886E}"/>
    <cellStyle name="Comma 4 3 3" xfId="129" xr:uid="{00000000-0005-0000-0000-000043010000}"/>
    <cellStyle name="Comma 4 3 3 2" xfId="334" xr:uid="{00000000-0005-0000-0000-000044010000}"/>
    <cellStyle name="Comma 4 3 3 2 2" xfId="2494" xr:uid="{00000000-0005-0000-0000-000044010000}"/>
    <cellStyle name="Comma 4 3 3 2 2 2" xfId="9403" xr:uid="{AAF9C780-55DE-4A9B-A934-490AF0872EA7}"/>
    <cellStyle name="Comma 4 3 3 2 3" xfId="7497" xr:uid="{B82773BA-AF66-44A2-BC1A-2A4DCABF61F9}"/>
    <cellStyle name="Comma 4 3 3 3" xfId="497" xr:uid="{00000000-0005-0000-0000-000045010000}"/>
    <cellStyle name="Comma 4 3 3 3 2" xfId="2648" xr:uid="{00000000-0005-0000-0000-000045010000}"/>
    <cellStyle name="Comma 4 3 3 3 2 2" xfId="9557" xr:uid="{83F2353F-7CC1-49F0-9436-A87DC26089D7}"/>
    <cellStyle name="Comma 4 3 3 3 3" xfId="7640" xr:uid="{9E91429C-4B51-4B0D-8B65-6DC9B488D783}"/>
    <cellStyle name="Comma 4 3 3 4" xfId="724" xr:uid="{00000000-0005-0000-0000-000046010000}"/>
    <cellStyle name="Comma 4 3 3 4 2" xfId="2864" xr:uid="{00000000-0005-0000-0000-000046010000}"/>
    <cellStyle name="Comma 4 3 3 4 2 2" xfId="9773" xr:uid="{337F8EA3-7937-46F0-BD60-331C7C6821DA}"/>
    <cellStyle name="Comma 4 3 3 4 3" xfId="7846" xr:uid="{2A181D58-98D8-415F-B161-BE340E32913C}"/>
    <cellStyle name="Comma 4 3 3 5" xfId="915" xr:uid="{00000000-0005-0000-0000-000047010000}"/>
    <cellStyle name="Comma 4 3 3 5 2" xfId="3044" xr:uid="{00000000-0005-0000-0000-000047010000}"/>
    <cellStyle name="Comma 4 3 3 5 2 2" xfId="9953" xr:uid="{42D7EBC6-847B-4B02-B9E2-8A5DA7C70637}"/>
    <cellStyle name="Comma 4 3 3 5 3" xfId="8016" xr:uid="{AE4E9F0C-EE39-4A9F-ADFF-36EE321F121C}"/>
    <cellStyle name="Comma 4 3 3 6" xfId="1097" xr:uid="{00000000-0005-0000-0000-000048010000}"/>
    <cellStyle name="Comma 4 3 3 6 2" xfId="3215" xr:uid="{00000000-0005-0000-0000-000048010000}"/>
    <cellStyle name="Comma 4 3 3 6 2 2" xfId="10123" xr:uid="{4F8349DA-5B62-4B39-A227-7B39459ED0C8}"/>
    <cellStyle name="Comma 4 3 3 6 3" xfId="8179" xr:uid="{8F97EB5E-DAD4-4157-8980-81566104029B}"/>
    <cellStyle name="Comma 4 3 3 7" xfId="1273" xr:uid="{00000000-0005-0000-0000-000049010000}"/>
    <cellStyle name="Comma 4 3 3 7 2" xfId="3381" xr:uid="{00000000-0005-0000-0000-000049010000}"/>
    <cellStyle name="Comma 4 3 3 7 2 2" xfId="10289" xr:uid="{ACE6A4F1-4DC1-412A-886C-447B99C0B7DD}"/>
    <cellStyle name="Comma 4 3 3 7 3" xfId="8339" xr:uid="{700C0020-A753-4085-BBB7-B6AF75AAEEFB}"/>
    <cellStyle name="Comma 4 3 4" xfId="150" xr:uid="{00000000-0005-0000-0000-00004A010000}"/>
    <cellStyle name="Comma 4 3 4 2" xfId="353" xr:uid="{00000000-0005-0000-0000-00004B010000}"/>
    <cellStyle name="Comma 4 3 4 2 2" xfId="2513" xr:uid="{00000000-0005-0000-0000-00004B010000}"/>
    <cellStyle name="Comma 4 3 4 2 2 2" xfId="9422" xr:uid="{22B92D69-E50B-40DF-8795-F2FA3E5DC3F5}"/>
    <cellStyle name="Comma 4 3 4 2 3" xfId="7516" xr:uid="{D80783E0-A702-401A-9247-294F063E32A7}"/>
    <cellStyle name="Comma 4 3 4 3" xfId="514" xr:uid="{00000000-0005-0000-0000-00004C010000}"/>
    <cellStyle name="Comma 4 3 4 3 2" xfId="2665" xr:uid="{00000000-0005-0000-0000-00004C010000}"/>
    <cellStyle name="Comma 4 3 4 3 2 2" xfId="9574" xr:uid="{EEB7C48F-49D4-4EF5-A7D7-E80D1A06C666}"/>
    <cellStyle name="Comma 4 3 4 3 3" xfId="7657" xr:uid="{29DFEF52-CCCE-4269-8453-6AE8A89C8963}"/>
    <cellStyle name="Comma 4 3 4 4" xfId="744" xr:uid="{00000000-0005-0000-0000-00004D010000}"/>
    <cellStyle name="Comma 4 3 4 4 2" xfId="2884" xr:uid="{00000000-0005-0000-0000-00004D010000}"/>
    <cellStyle name="Comma 4 3 4 4 2 2" xfId="9793" xr:uid="{B102D2DA-E863-4C27-BC34-71AA5359FEDA}"/>
    <cellStyle name="Comma 4 3 4 4 3" xfId="7866" xr:uid="{2A705617-88F8-4CF2-B3E7-3008EA7A3246}"/>
    <cellStyle name="Comma 4 3 4 5" xfId="934" xr:uid="{00000000-0005-0000-0000-00004E010000}"/>
    <cellStyle name="Comma 4 3 4 5 2" xfId="3063" xr:uid="{00000000-0005-0000-0000-00004E010000}"/>
    <cellStyle name="Comma 4 3 4 5 2 2" xfId="9972" xr:uid="{8B369986-D9DF-418F-A9CC-C1DCF82AB4C2}"/>
    <cellStyle name="Comma 4 3 4 5 3" xfId="8035" xr:uid="{38EAED77-9C71-4302-B8FD-DE7F9928AA35}"/>
    <cellStyle name="Comma 4 3 4 6" xfId="1117" xr:uid="{00000000-0005-0000-0000-00004F010000}"/>
    <cellStyle name="Comma 4 3 4 6 2" xfId="3235" xr:uid="{00000000-0005-0000-0000-00004F010000}"/>
    <cellStyle name="Comma 4 3 4 6 2 2" xfId="10143" xr:uid="{CD73900C-F725-470C-95BB-C476C127E82F}"/>
    <cellStyle name="Comma 4 3 4 6 3" xfId="8199" xr:uid="{C343169D-146D-4519-9DF3-EBB9C6214206}"/>
    <cellStyle name="Comma 4 3 4 7" xfId="1290" xr:uid="{00000000-0005-0000-0000-000050010000}"/>
    <cellStyle name="Comma 4 3 4 7 2" xfId="3398" xr:uid="{00000000-0005-0000-0000-000050010000}"/>
    <cellStyle name="Comma 4 3 4 7 2 2" xfId="10306" xr:uid="{6B6882C7-49E1-425C-AFCF-132E306431CE}"/>
    <cellStyle name="Comma 4 3 4 7 3" xfId="8356" xr:uid="{9DE999D1-1A48-42BE-B426-81025FB82E68}"/>
    <cellStyle name="Comma 4 3 5" xfId="171" xr:uid="{00000000-0005-0000-0000-000051010000}"/>
    <cellStyle name="Comma 4 3 5 2" xfId="372" xr:uid="{00000000-0005-0000-0000-000052010000}"/>
    <cellStyle name="Comma 4 3 5 2 2" xfId="2532" xr:uid="{00000000-0005-0000-0000-000052010000}"/>
    <cellStyle name="Comma 4 3 5 2 2 2" xfId="9441" xr:uid="{1E64C1EB-FBDB-4366-B130-07CCF5942B78}"/>
    <cellStyle name="Comma 4 3 5 2 3" xfId="7535" xr:uid="{42052BD2-02F9-4875-9D36-4C45026B2E7C}"/>
    <cellStyle name="Comma 4 3 5 3" xfId="531" xr:uid="{00000000-0005-0000-0000-000053010000}"/>
    <cellStyle name="Comma 4 3 5 3 2" xfId="2682" xr:uid="{00000000-0005-0000-0000-000053010000}"/>
    <cellStyle name="Comma 4 3 5 3 2 2" xfId="9591" xr:uid="{DA544764-B926-475C-B3D4-22944F33307D}"/>
    <cellStyle name="Comma 4 3 5 3 3" xfId="7674" xr:uid="{1F853DCE-6A39-4EDC-9C26-F4B0BDB64DDE}"/>
    <cellStyle name="Comma 4 3 5 4" xfId="764" xr:uid="{00000000-0005-0000-0000-000054010000}"/>
    <cellStyle name="Comma 4 3 5 4 2" xfId="2903" xr:uid="{00000000-0005-0000-0000-000054010000}"/>
    <cellStyle name="Comma 4 3 5 4 2 2" xfId="9812" xr:uid="{7F3355FF-226D-4FB1-B16F-4B45EC7C4919}"/>
    <cellStyle name="Comma 4 3 5 4 3" xfId="7886" xr:uid="{62190877-7B8E-428D-A4A4-05CB058258BE}"/>
    <cellStyle name="Comma 4 3 5 5" xfId="953" xr:uid="{00000000-0005-0000-0000-000055010000}"/>
    <cellStyle name="Comma 4 3 5 5 2" xfId="3082" xr:uid="{00000000-0005-0000-0000-000055010000}"/>
    <cellStyle name="Comma 4 3 5 5 2 2" xfId="9991" xr:uid="{1E587666-8FC1-4548-B9A4-E49492A359C9}"/>
    <cellStyle name="Comma 4 3 5 5 3" xfId="8054" xr:uid="{C8031406-F438-4FCD-97B4-17943D5A76AB}"/>
    <cellStyle name="Comma 4 3 5 6" xfId="1136" xr:uid="{00000000-0005-0000-0000-000056010000}"/>
    <cellStyle name="Comma 4 3 5 6 2" xfId="3254" xr:uid="{00000000-0005-0000-0000-000056010000}"/>
    <cellStyle name="Comma 4 3 5 6 2 2" xfId="10162" xr:uid="{EFB431AB-23EB-43D0-A9CB-99AFF496D558}"/>
    <cellStyle name="Comma 4 3 5 6 3" xfId="8218" xr:uid="{FBD0EB98-F2C1-4C92-8FA4-0A4EE2250358}"/>
    <cellStyle name="Comma 4 3 5 7" xfId="1307" xr:uid="{00000000-0005-0000-0000-000057010000}"/>
    <cellStyle name="Comma 4 3 5 7 2" xfId="3415" xr:uid="{00000000-0005-0000-0000-000057010000}"/>
    <cellStyle name="Comma 4 3 5 7 2 2" xfId="10323" xr:uid="{6A9B296E-3F65-40E8-B004-08EA4285A46B}"/>
    <cellStyle name="Comma 4 3 5 7 3" xfId="8373" xr:uid="{4BF1597B-9DDE-4C2E-AA4D-70DD77931E7E}"/>
    <cellStyle name="Comma 4 3 6" xfId="192" xr:uid="{00000000-0005-0000-0000-000058010000}"/>
    <cellStyle name="Comma 4 3 6 2" xfId="391" xr:uid="{00000000-0005-0000-0000-000059010000}"/>
    <cellStyle name="Comma 4 3 6 2 2" xfId="2550" xr:uid="{00000000-0005-0000-0000-000059010000}"/>
    <cellStyle name="Comma 4 3 6 2 2 2" xfId="9459" xr:uid="{07E87772-B911-439D-BD58-EBEF891EBE28}"/>
    <cellStyle name="Comma 4 3 6 2 3" xfId="7554" xr:uid="{FD188BF5-619D-45C6-9D79-9E00BC090206}"/>
    <cellStyle name="Comma 4 3 6 3" xfId="548" xr:uid="{00000000-0005-0000-0000-00005A010000}"/>
    <cellStyle name="Comma 4 3 6 3 2" xfId="2699" xr:uid="{00000000-0005-0000-0000-00005A010000}"/>
    <cellStyle name="Comma 4 3 6 3 2 2" xfId="9608" xr:uid="{E6A6136B-01B5-41F3-BA22-F1BC0C5D9081}"/>
    <cellStyle name="Comma 4 3 6 3 3" xfId="7691" xr:uid="{A4439D31-F650-46D3-A5EA-44292DCADA26}"/>
    <cellStyle name="Comma 4 3 6 4" xfId="784" xr:uid="{00000000-0005-0000-0000-00005B010000}"/>
    <cellStyle name="Comma 4 3 6 4 2" xfId="2923" xr:uid="{00000000-0005-0000-0000-00005B010000}"/>
    <cellStyle name="Comma 4 3 6 4 2 2" xfId="9832" xr:uid="{068D6A10-8948-4E5C-BFD5-7BDB6E6564A5}"/>
    <cellStyle name="Comma 4 3 6 4 3" xfId="7906" xr:uid="{69860CA5-C863-4C1A-95B8-0C07734CC51F}"/>
    <cellStyle name="Comma 4 3 6 5" xfId="972" xr:uid="{00000000-0005-0000-0000-00005C010000}"/>
    <cellStyle name="Comma 4 3 6 5 2" xfId="3101" xr:uid="{00000000-0005-0000-0000-00005C010000}"/>
    <cellStyle name="Comma 4 3 6 5 2 2" xfId="10010" xr:uid="{FC028F49-5D72-435E-845C-E5A6F6054FDF}"/>
    <cellStyle name="Comma 4 3 6 5 3" xfId="8073" xr:uid="{C31DC05C-75FA-4410-9C77-D29AC81B99B4}"/>
    <cellStyle name="Comma 4 3 6 6" xfId="1155" xr:uid="{00000000-0005-0000-0000-00005D010000}"/>
    <cellStyle name="Comma 4 3 6 6 2" xfId="3273" xr:uid="{00000000-0005-0000-0000-00005D010000}"/>
    <cellStyle name="Comma 4 3 6 6 2 2" xfId="10181" xr:uid="{7A8C3B00-9479-4F9D-9A1F-69EE2F3343D1}"/>
    <cellStyle name="Comma 4 3 6 6 3" xfId="8237" xr:uid="{E171B5CD-F886-45FF-AD52-1342A2DE9301}"/>
    <cellStyle name="Comma 4 3 6 7" xfId="1324" xr:uid="{00000000-0005-0000-0000-00005E010000}"/>
    <cellStyle name="Comma 4 3 6 7 2" xfId="3432" xr:uid="{00000000-0005-0000-0000-00005E010000}"/>
    <cellStyle name="Comma 4 3 6 7 2 2" xfId="10340" xr:uid="{1D687AD5-2794-4252-B4F1-FC46A102C53E}"/>
    <cellStyle name="Comma 4 3 6 7 3" xfId="8390" xr:uid="{FBB0597A-F5E3-4D7D-BB99-AE1EF7E435D7}"/>
    <cellStyle name="Comma 4 3 7" xfId="252" xr:uid="{00000000-0005-0000-0000-00005F010000}"/>
    <cellStyle name="Comma 4 3 7 2" xfId="2416" xr:uid="{00000000-0005-0000-0000-00005F010000}"/>
    <cellStyle name="Comma 4 3 7 2 2" xfId="9325" xr:uid="{FDDD8F62-4D46-4F39-A041-9D04388A7D0C}"/>
    <cellStyle name="Comma 4 3 7 3" xfId="7420" xr:uid="{3512432C-7082-4EBA-BB1F-3628C9F4AABD}"/>
    <cellStyle name="Comma 4 3 8" xfId="281" xr:uid="{00000000-0005-0000-0000-000060010000}"/>
    <cellStyle name="Comma 4 3 8 2" xfId="2445" xr:uid="{00000000-0005-0000-0000-000060010000}"/>
    <cellStyle name="Comma 4 3 8 2 2" xfId="9354" xr:uid="{601B2DBC-883D-4BCC-8510-05122991C268}"/>
    <cellStyle name="Comma 4 3 8 3" xfId="7449" xr:uid="{28D8C96F-D2CC-4705-90DC-230A1B03DF3D}"/>
    <cellStyle name="Comma 4 3 9" xfId="641" xr:uid="{00000000-0005-0000-0000-000061010000}"/>
    <cellStyle name="Comma 4 3 9 2" xfId="2784" xr:uid="{00000000-0005-0000-0000-000061010000}"/>
    <cellStyle name="Comma 4 3 9 2 2" xfId="9693" xr:uid="{01B74378-D6E8-4CE9-9C62-379A8D655B67}"/>
    <cellStyle name="Comma 4 3 9 3" xfId="7768" xr:uid="{6EFB1B7D-44EF-4A8D-B9F6-CD87F9DBC03D}"/>
    <cellStyle name="Comma 4 4" xfId="236" xr:uid="{00000000-0005-0000-0000-000062010000}"/>
    <cellStyle name="Comma 4 4 2" xfId="2401" xr:uid="{00000000-0005-0000-0000-000062010000}"/>
    <cellStyle name="Comma 4 4 2 2" xfId="9310" xr:uid="{7ACCF9CF-20C1-44B1-9664-027BA29F5AEF}"/>
    <cellStyle name="Comma 4 4 3" xfId="7404" xr:uid="{7920B695-909E-42E1-88E8-6EDE69694F8B}"/>
    <cellStyle name="Comma 4 5" xfId="346" xr:uid="{00000000-0005-0000-0000-000063010000}"/>
    <cellStyle name="Comma 4 5 2" xfId="2506" xr:uid="{00000000-0005-0000-0000-000063010000}"/>
    <cellStyle name="Comma 4 5 2 2" xfId="9415" xr:uid="{4B895DF8-9BF3-44FF-B1DC-04F1BF4FB6FC}"/>
    <cellStyle name="Comma 4 5 3" xfId="7509" xr:uid="{4A9A0ABB-6049-447A-915C-10B75ACA0F27}"/>
    <cellStyle name="Comma 4 6" xfId="623" xr:uid="{00000000-0005-0000-0000-000064010000}"/>
    <cellStyle name="Comma 4 6 2" xfId="2766" xr:uid="{00000000-0005-0000-0000-000064010000}"/>
    <cellStyle name="Comma 4 6 2 2" xfId="9675" xr:uid="{BABCFD4A-8177-438E-AB4D-92AFC74FEA32}"/>
    <cellStyle name="Comma 4 6 3" xfId="7750" xr:uid="{6F5E6799-6997-4D84-8EA0-DE662C427282}"/>
    <cellStyle name="Comma 4 7" xfId="628" xr:uid="{00000000-0005-0000-0000-000065010000}"/>
    <cellStyle name="Comma 4 7 2" xfId="2771" xr:uid="{00000000-0005-0000-0000-000065010000}"/>
    <cellStyle name="Comma 4 7 2 2" xfId="9680" xr:uid="{181300D1-988B-4785-A6DF-596254177B46}"/>
    <cellStyle name="Comma 4 7 3" xfId="7755" xr:uid="{185A4E92-AA39-46C8-8FF4-288A8378B07B}"/>
    <cellStyle name="Comma 4 8" xfId="658" xr:uid="{00000000-0005-0000-0000-000066010000}"/>
    <cellStyle name="Comma 4 8 2" xfId="2801" xr:uid="{00000000-0005-0000-0000-000066010000}"/>
    <cellStyle name="Comma 4 8 2 2" xfId="9710" xr:uid="{12CD2647-C5D7-4A60-A36E-3ABE0C8D5E20}"/>
    <cellStyle name="Comma 4 8 3" xfId="7783" xr:uid="{B6470142-E6D4-4C5E-8895-F25B77C7C1F6}"/>
    <cellStyle name="Comma 4 9" xfId="1085" xr:uid="{00000000-0005-0000-0000-000067010000}"/>
    <cellStyle name="Comma 4 9 2" xfId="3203" xr:uid="{00000000-0005-0000-0000-000067010000}"/>
    <cellStyle name="Comma 4 9 2 2" xfId="10111" xr:uid="{E15E151D-17A1-4859-A353-6E8618BEC4D3}"/>
    <cellStyle name="Comma 4 9 3" xfId="8167" xr:uid="{4CB26323-8D8F-4B45-9808-4C8FC250EC51}"/>
    <cellStyle name="Comma 5" xfId="25" xr:uid="{00000000-0005-0000-0000-000068010000}"/>
    <cellStyle name="Comma 5 10" xfId="654" xr:uid="{00000000-0005-0000-0000-000069010000}"/>
    <cellStyle name="Comma 5 10 2" xfId="2797" xr:uid="{00000000-0005-0000-0000-000069010000}"/>
    <cellStyle name="Comma 5 10 2 2" xfId="9706" xr:uid="{417AA99D-6AC0-4C6B-9F31-60CEC12BCAFB}"/>
    <cellStyle name="Comma 5 10 3" xfId="7779" xr:uid="{4BB707FE-7F6E-449C-A9C8-261970DDB150}"/>
    <cellStyle name="Comma 5 11" xfId="871" xr:uid="{00000000-0005-0000-0000-00006A010000}"/>
    <cellStyle name="Comma 5 11 2" xfId="3002" xr:uid="{00000000-0005-0000-0000-00006A010000}"/>
    <cellStyle name="Comma 5 11 2 2" xfId="9911" xr:uid="{6DED12ED-8E91-47E1-90F1-D11E3AD9A5A9}"/>
    <cellStyle name="Comma 5 11 3" xfId="7975" xr:uid="{9B263DBB-61F0-4E46-8DD2-5F0FCC57C11B}"/>
    <cellStyle name="Comma 5 12" xfId="1123" xr:uid="{00000000-0005-0000-0000-00006B010000}"/>
    <cellStyle name="Comma 5 12 2" xfId="3241" xr:uid="{00000000-0005-0000-0000-00006B010000}"/>
    <cellStyle name="Comma 5 12 2 2" xfId="10149" xr:uid="{D0E311E0-C272-43D1-B02F-ABCA666865A0}"/>
    <cellStyle name="Comma 5 12 3" xfId="8205" xr:uid="{9CA23BFD-2131-4F3C-B6A6-F7D4C43AF198}"/>
    <cellStyle name="Comma 5 2" xfId="106" xr:uid="{00000000-0005-0000-0000-00006C010000}"/>
    <cellStyle name="Comma 5 2 2" xfId="313" xr:uid="{00000000-0005-0000-0000-00006D010000}"/>
    <cellStyle name="Comma 5 2 2 2" xfId="2474" xr:uid="{00000000-0005-0000-0000-00006D010000}"/>
    <cellStyle name="Comma 5 2 2 2 2" xfId="9383" xr:uid="{81EBD905-4530-4A23-AEE7-2C4979ABAAF1}"/>
    <cellStyle name="Comma 5 2 2 3" xfId="7476" xr:uid="{C3D36FBD-F7C4-41F1-BF38-AAE8BCAA58F3}"/>
    <cellStyle name="Comma 5 2 3" xfId="478" xr:uid="{00000000-0005-0000-0000-00006E010000}"/>
    <cellStyle name="Comma 5 2 3 2" xfId="2629" xr:uid="{00000000-0005-0000-0000-00006E010000}"/>
    <cellStyle name="Comma 5 2 3 2 2" xfId="9538" xr:uid="{A47F4F53-698E-4A6A-8B4B-E35FB2A41971}"/>
    <cellStyle name="Comma 5 2 3 3" xfId="7621" xr:uid="{9BB95023-C65D-4AAE-8AB1-6282EB9CB838}"/>
    <cellStyle name="Comma 5 2 4" xfId="702" xr:uid="{00000000-0005-0000-0000-00006F010000}"/>
    <cellStyle name="Comma 5 2 4 2" xfId="2842" xr:uid="{00000000-0005-0000-0000-00006F010000}"/>
    <cellStyle name="Comma 5 2 4 2 2" xfId="9751" xr:uid="{F34C380F-5664-4132-9809-74506440481B}"/>
    <cellStyle name="Comma 5 2 4 3" xfId="7824" xr:uid="{C9F3822F-687C-402C-9079-A187A16343D0}"/>
    <cellStyle name="Comma 5 2 5" xfId="894" xr:uid="{00000000-0005-0000-0000-000070010000}"/>
    <cellStyle name="Comma 5 2 5 2" xfId="3023" xr:uid="{00000000-0005-0000-0000-000070010000}"/>
    <cellStyle name="Comma 5 2 5 2 2" xfId="9932" xr:uid="{64B49C1E-DF93-409F-8F00-AE5DB597896D}"/>
    <cellStyle name="Comma 5 2 5 3" xfId="7995" xr:uid="{9723AE55-68A3-4DDE-9109-731E5A482C36}"/>
    <cellStyle name="Comma 5 2 6" xfId="1076" xr:uid="{00000000-0005-0000-0000-000071010000}"/>
    <cellStyle name="Comma 5 2 6 2" xfId="3194" xr:uid="{00000000-0005-0000-0000-000071010000}"/>
    <cellStyle name="Comma 5 2 6 2 2" xfId="10102" xr:uid="{40A6CCA7-FCC7-4F84-B9F0-A9C533CA8E70}"/>
    <cellStyle name="Comma 5 2 6 3" xfId="8158" xr:uid="{0DD8CE5B-A533-4DA8-B35A-335DAD85BA2A}"/>
    <cellStyle name="Comma 5 2 7" xfId="1254" xr:uid="{00000000-0005-0000-0000-000072010000}"/>
    <cellStyle name="Comma 5 2 7 2" xfId="3362" xr:uid="{00000000-0005-0000-0000-000072010000}"/>
    <cellStyle name="Comma 5 2 7 2 2" xfId="10270" xr:uid="{F7AFF930-EF2C-41FB-BEDD-03B04A15A927}"/>
    <cellStyle name="Comma 5 2 7 3" xfId="8320" xr:uid="{A1F546B4-5599-4C7D-9A40-C470826987ED}"/>
    <cellStyle name="Comma 5 3" xfId="127" xr:uid="{00000000-0005-0000-0000-000073010000}"/>
    <cellStyle name="Comma 5 3 2" xfId="332" xr:uid="{00000000-0005-0000-0000-000074010000}"/>
    <cellStyle name="Comma 5 3 2 2" xfId="2492" xr:uid="{00000000-0005-0000-0000-000074010000}"/>
    <cellStyle name="Comma 5 3 2 2 2" xfId="9401" xr:uid="{1A2A1ECE-A26F-4B2F-A4BA-23598CE677C3}"/>
    <cellStyle name="Comma 5 3 2 3" xfId="7495" xr:uid="{910E39FA-95C1-47E4-805B-5C118BD9B0D1}"/>
    <cellStyle name="Comma 5 3 3" xfId="495" xr:uid="{00000000-0005-0000-0000-000075010000}"/>
    <cellStyle name="Comma 5 3 3 2" xfId="2646" xr:uid="{00000000-0005-0000-0000-000075010000}"/>
    <cellStyle name="Comma 5 3 3 2 2" xfId="9555" xr:uid="{D38B9C16-D73E-43E4-9EFB-F885C47560F5}"/>
    <cellStyle name="Comma 5 3 3 3" xfId="7638" xr:uid="{B7C3FEF1-152B-4B83-BE0B-11A7B273284F}"/>
    <cellStyle name="Comma 5 3 4" xfId="722" xr:uid="{00000000-0005-0000-0000-000076010000}"/>
    <cellStyle name="Comma 5 3 4 2" xfId="2862" xr:uid="{00000000-0005-0000-0000-000076010000}"/>
    <cellStyle name="Comma 5 3 4 2 2" xfId="9771" xr:uid="{5A4B70EA-E228-4740-A098-32189E595996}"/>
    <cellStyle name="Comma 5 3 4 3" xfId="7844" xr:uid="{AEA4167E-CFA0-4D20-99E8-27E8ADBCC8E4}"/>
    <cellStyle name="Comma 5 3 5" xfId="913" xr:uid="{00000000-0005-0000-0000-000077010000}"/>
    <cellStyle name="Comma 5 3 5 2" xfId="3042" xr:uid="{00000000-0005-0000-0000-000077010000}"/>
    <cellStyle name="Comma 5 3 5 2 2" xfId="9951" xr:uid="{428B6FE4-AAC3-414E-9A65-0FBBBED745E1}"/>
    <cellStyle name="Comma 5 3 5 3" xfId="8014" xr:uid="{BAA9AB51-B073-49C5-8E40-111B2B06ADDA}"/>
    <cellStyle name="Comma 5 3 6" xfId="1095" xr:uid="{00000000-0005-0000-0000-000078010000}"/>
    <cellStyle name="Comma 5 3 6 2" xfId="3213" xr:uid="{00000000-0005-0000-0000-000078010000}"/>
    <cellStyle name="Comma 5 3 6 2 2" xfId="10121" xr:uid="{56EDAA9D-F70F-4D76-8AB7-1E86CC1532E2}"/>
    <cellStyle name="Comma 5 3 6 3" xfId="8177" xr:uid="{D9C670CE-F5C6-4BBD-A0E7-0B7C95208E8B}"/>
    <cellStyle name="Comma 5 3 7" xfId="1271" xr:uid="{00000000-0005-0000-0000-000079010000}"/>
    <cellStyle name="Comma 5 3 7 2" xfId="3379" xr:uid="{00000000-0005-0000-0000-000079010000}"/>
    <cellStyle name="Comma 5 3 7 2 2" xfId="10287" xr:uid="{797E45A9-A0E5-483F-AF28-E2EF76C01FEC}"/>
    <cellStyle name="Comma 5 3 7 3" xfId="8337" xr:uid="{8A7D9860-8B01-43E4-A122-023D0087BDEE}"/>
    <cellStyle name="Comma 5 4" xfId="148" xr:uid="{00000000-0005-0000-0000-00007A010000}"/>
    <cellStyle name="Comma 5 4 2" xfId="351" xr:uid="{00000000-0005-0000-0000-00007B010000}"/>
    <cellStyle name="Comma 5 4 2 2" xfId="2511" xr:uid="{00000000-0005-0000-0000-00007B010000}"/>
    <cellStyle name="Comma 5 4 2 2 2" xfId="9420" xr:uid="{052A7A49-E1C0-4D82-BA78-BC12FF7A542A}"/>
    <cellStyle name="Comma 5 4 2 3" xfId="7514" xr:uid="{693DEAD2-E54E-4B90-9E48-0D714A0A8BE2}"/>
    <cellStyle name="Comma 5 4 3" xfId="512" xr:uid="{00000000-0005-0000-0000-00007C010000}"/>
    <cellStyle name="Comma 5 4 3 2" xfId="2663" xr:uid="{00000000-0005-0000-0000-00007C010000}"/>
    <cellStyle name="Comma 5 4 3 2 2" xfId="9572" xr:uid="{4CD36553-C97E-451E-8558-7E19ECE4A29D}"/>
    <cellStyle name="Comma 5 4 3 3" xfId="7655" xr:uid="{56EDB8F1-1D5F-453E-8982-373C6F22BEFC}"/>
    <cellStyle name="Comma 5 4 4" xfId="742" xr:uid="{00000000-0005-0000-0000-00007D010000}"/>
    <cellStyle name="Comma 5 4 4 2" xfId="2882" xr:uid="{00000000-0005-0000-0000-00007D010000}"/>
    <cellStyle name="Comma 5 4 4 2 2" xfId="9791" xr:uid="{DCDD62C1-DFF8-437A-A67D-48B0EF78EF95}"/>
    <cellStyle name="Comma 5 4 4 3" xfId="7864" xr:uid="{F3EAEB62-EFCB-4A1D-95E1-8B6B1084401A}"/>
    <cellStyle name="Comma 5 4 5" xfId="932" xr:uid="{00000000-0005-0000-0000-00007E010000}"/>
    <cellStyle name="Comma 5 4 5 2" xfId="3061" xr:uid="{00000000-0005-0000-0000-00007E010000}"/>
    <cellStyle name="Comma 5 4 5 2 2" xfId="9970" xr:uid="{020DFF3C-99E3-43A7-B6DA-040F21F1E365}"/>
    <cellStyle name="Comma 5 4 5 3" xfId="8033" xr:uid="{FE861361-6060-479F-8A4B-8000EEC6054A}"/>
    <cellStyle name="Comma 5 4 6" xfId="1115" xr:uid="{00000000-0005-0000-0000-00007F010000}"/>
    <cellStyle name="Comma 5 4 6 2" xfId="3233" xr:uid="{00000000-0005-0000-0000-00007F010000}"/>
    <cellStyle name="Comma 5 4 6 2 2" xfId="10141" xr:uid="{628F4B51-151E-4CB3-B6CA-A088D97AB8C6}"/>
    <cellStyle name="Comma 5 4 6 3" xfId="8197" xr:uid="{BDAC81B5-A1CE-49E9-A7E6-AE118F223D7F}"/>
    <cellStyle name="Comma 5 4 7" xfId="1288" xr:uid="{00000000-0005-0000-0000-000080010000}"/>
    <cellStyle name="Comma 5 4 7 2" xfId="3396" xr:uid="{00000000-0005-0000-0000-000080010000}"/>
    <cellStyle name="Comma 5 4 7 2 2" xfId="10304" xr:uid="{D6261165-DB38-413E-B53E-82F2A50197DA}"/>
    <cellStyle name="Comma 5 4 7 3" xfId="8354" xr:uid="{9E4BD17D-2A97-4602-8BF1-DB988866B19C}"/>
    <cellStyle name="Comma 5 5" xfId="169" xr:uid="{00000000-0005-0000-0000-000081010000}"/>
    <cellStyle name="Comma 5 5 2" xfId="370" xr:uid="{00000000-0005-0000-0000-000082010000}"/>
    <cellStyle name="Comma 5 5 2 2" xfId="2530" xr:uid="{00000000-0005-0000-0000-000082010000}"/>
    <cellStyle name="Comma 5 5 2 2 2" xfId="9439" xr:uid="{4340D0AD-8112-4049-B41B-57A1B094AD83}"/>
    <cellStyle name="Comma 5 5 2 3" xfId="7533" xr:uid="{FE454790-5EE2-44C3-BDC2-DCAFF45324E5}"/>
    <cellStyle name="Comma 5 5 3" xfId="529" xr:uid="{00000000-0005-0000-0000-000083010000}"/>
    <cellStyle name="Comma 5 5 3 2" xfId="2680" xr:uid="{00000000-0005-0000-0000-000083010000}"/>
    <cellStyle name="Comma 5 5 3 2 2" xfId="9589" xr:uid="{D5606D96-BE37-4CC6-94BD-9D142A801A1B}"/>
    <cellStyle name="Comma 5 5 3 3" xfId="7672" xr:uid="{EAFF4FED-70AC-4A8B-9BB1-7A8FBC9DE43F}"/>
    <cellStyle name="Comma 5 5 4" xfId="762" xr:uid="{00000000-0005-0000-0000-000084010000}"/>
    <cellStyle name="Comma 5 5 4 2" xfId="2901" xr:uid="{00000000-0005-0000-0000-000084010000}"/>
    <cellStyle name="Comma 5 5 4 2 2" xfId="9810" xr:uid="{705BCA0A-489C-478A-8A30-00DE7D0CD578}"/>
    <cellStyle name="Comma 5 5 4 3" xfId="7884" xr:uid="{DE8ECE8E-0A52-4088-B067-BA46B6E12F83}"/>
    <cellStyle name="Comma 5 5 5" xfId="951" xr:uid="{00000000-0005-0000-0000-000085010000}"/>
    <cellStyle name="Comma 5 5 5 2" xfId="3080" xr:uid="{00000000-0005-0000-0000-000085010000}"/>
    <cellStyle name="Comma 5 5 5 2 2" xfId="9989" xr:uid="{FB5EDBA8-C2AA-47C1-9043-3209D06F16B8}"/>
    <cellStyle name="Comma 5 5 5 3" xfId="8052" xr:uid="{67B2BD53-98A7-4B61-91DE-1ED47D29FD1B}"/>
    <cellStyle name="Comma 5 5 6" xfId="1134" xr:uid="{00000000-0005-0000-0000-000086010000}"/>
    <cellStyle name="Comma 5 5 6 2" xfId="3252" xr:uid="{00000000-0005-0000-0000-000086010000}"/>
    <cellStyle name="Comma 5 5 6 2 2" xfId="10160" xr:uid="{33BF684D-3EF4-4C6A-99DF-0E4688660172}"/>
    <cellStyle name="Comma 5 5 6 3" xfId="8216" xr:uid="{54F33156-333B-45B7-9A44-50983BDAC7EE}"/>
    <cellStyle name="Comma 5 5 7" xfId="1305" xr:uid="{00000000-0005-0000-0000-000087010000}"/>
    <cellStyle name="Comma 5 5 7 2" xfId="3413" xr:uid="{00000000-0005-0000-0000-000087010000}"/>
    <cellStyle name="Comma 5 5 7 2 2" xfId="10321" xr:uid="{A8770644-ED0D-4EC3-8EB2-6F2A3120EADC}"/>
    <cellStyle name="Comma 5 5 7 3" xfId="8371" xr:uid="{E5B0D2BE-5208-4EC3-8F64-27287E52D81C}"/>
    <cellStyle name="Comma 5 6" xfId="190" xr:uid="{00000000-0005-0000-0000-000088010000}"/>
    <cellStyle name="Comma 5 6 2" xfId="389" xr:uid="{00000000-0005-0000-0000-000089010000}"/>
    <cellStyle name="Comma 5 6 2 2" xfId="2548" xr:uid="{00000000-0005-0000-0000-000089010000}"/>
    <cellStyle name="Comma 5 6 2 2 2" xfId="9457" xr:uid="{47804CFD-00A6-4848-BC5D-8343798F4B7D}"/>
    <cellStyle name="Comma 5 6 2 3" xfId="7552" xr:uid="{7676F93C-0694-46F0-9CEC-F962A1910330}"/>
    <cellStyle name="Comma 5 6 3" xfId="546" xr:uid="{00000000-0005-0000-0000-00008A010000}"/>
    <cellStyle name="Comma 5 6 3 2" xfId="2697" xr:uid="{00000000-0005-0000-0000-00008A010000}"/>
    <cellStyle name="Comma 5 6 3 2 2" xfId="9606" xr:uid="{2727DDE3-9A55-45F3-9D6A-8D87C53B26B2}"/>
    <cellStyle name="Comma 5 6 3 3" xfId="7689" xr:uid="{1E1874B8-0562-4B11-BFCC-6F4E029A7901}"/>
    <cellStyle name="Comma 5 6 4" xfId="782" xr:uid="{00000000-0005-0000-0000-00008B010000}"/>
    <cellStyle name="Comma 5 6 4 2" xfId="2921" xr:uid="{00000000-0005-0000-0000-00008B010000}"/>
    <cellStyle name="Comma 5 6 4 2 2" xfId="9830" xr:uid="{F40A58E3-272A-429F-9B4A-8E44131C86AA}"/>
    <cellStyle name="Comma 5 6 4 3" xfId="7904" xr:uid="{805CDBF7-CC71-448D-8EE4-A951A5AABC1C}"/>
    <cellStyle name="Comma 5 6 5" xfId="970" xr:uid="{00000000-0005-0000-0000-00008C010000}"/>
    <cellStyle name="Comma 5 6 5 2" xfId="3099" xr:uid="{00000000-0005-0000-0000-00008C010000}"/>
    <cellStyle name="Comma 5 6 5 2 2" xfId="10008" xr:uid="{2E4767FE-9D8C-4B6C-8078-4B1C38F5B146}"/>
    <cellStyle name="Comma 5 6 5 3" xfId="8071" xr:uid="{2D23B8F5-D885-469E-B513-EB375B9D9A59}"/>
    <cellStyle name="Comma 5 6 6" xfId="1153" xr:uid="{00000000-0005-0000-0000-00008D010000}"/>
    <cellStyle name="Comma 5 6 6 2" xfId="3271" xr:uid="{00000000-0005-0000-0000-00008D010000}"/>
    <cellStyle name="Comma 5 6 6 2 2" xfId="10179" xr:uid="{73330C28-6755-45B7-9262-D0D5E6C925F1}"/>
    <cellStyle name="Comma 5 6 6 3" xfId="8235" xr:uid="{A149F5F5-5189-46C6-A591-4B2609764E03}"/>
    <cellStyle name="Comma 5 6 7" xfId="1322" xr:uid="{00000000-0005-0000-0000-00008E010000}"/>
    <cellStyle name="Comma 5 6 7 2" xfId="3430" xr:uid="{00000000-0005-0000-0000-00008E010000}"/>
    <cellStyle name="Comma 5 6 7 2 2" xfId="10338" xr:uid="{AAE03E87-981B-4FF5-A404-82AC5C6503D2}"/>
    <cellStyle name="Comma 5 6 7 3" xfId="8388" xr:uid="{39F3FA90-6032-4A97-A543-648E2903D98C}"/>
    <cellStyle name="Comma 5 7" xfId="250" xr:uid="{00000000-0005-0000-0000-00008F010000}"/>
    <cellStyle name="Comma 5 7 2" xfId="2414" xr:uid="{00000000-0005-0000-0000-00008F010000}"/>
    <cellStyle name="Comma 5 7 2 2" xfId="9323" xr:uid="{43A1F41B-200E-4C91-B2F0-3C77DDE50C19}"/>
    <cellStyle name="Comma 5 7 3" xfId="7418" xr:uid="{DC442C32-F9E9-4FD8-8042-989A230C227F}"/>
    <cellStyle name="Comma 5 8" xfId="283" xr:uid="{00000000-0005-0000-0000-000090010000}"/>
    <cellStyle name="Comma 5 8 2" xfId="2447" xr:uid="{00000000-0005-0000-0000-000090010000}"/>
    <cellStyle name="Comma 5 8 2 2" xfId="9356" xr:uid="{B2F4C4FA-07BA-4E85-AD83-55417D965C8D}"/>
    <cellStyle name="Comma 5 8 3" xfId="7451" xr:uid="{BA2C9A4E-F0AD-43B6-8A99-9A982134443E}"/>
    <cellStyle name="Comma 5 9" xfId="639" xr:uid="{00000000-0005-0000-0000-000091010000}"/>
    <cellStyle name="Comma 5 9 2" xfId="2782" xr:uid="{00000000-0005-0000-0000-000091010000}"/>
    <cellStyle name="Comma 5 9 2 2" xfId="9691" xr:uid="{DC9355AB-E3A9-4BAD-967C-16EEB5516CB5}"/>
    <cellStyle name="Comma 5 9 3" xfId="7766" xr:uid="{D4754F2B-0CDD-4F68-B74C-B665FF62C545}"/>
    <cellStyle name="Comma 6" xfId="42" xr:uid="{00000000-0005-0000-0000-000092010000}"/>
    <cellStyle name="Comma 6 10" xfId="684" xr:uid="{00000000-0005-0000-0000-000093010000}"/>
    <cellStyle name="Comma 6 10 2" xfId="1762" xr:uid="{00000000-0005-0000-0000-000094010000}"/>
    <cellStyle name="Comma 6 10 2 2" xfId="3860" xr:uid="{00000000-0005-0000-0000-000094010000}"/>
    <cellStyle name="Comma 6 10 2 2 2" xfId="10764" xr:uid="{43122EC5-77DA-4A86-A05A-22ED503EA8AF}"/>
    <cellStyle name="Comma 6 10 2 2 2 2" xfId="33250" xr:uid="{FED4A958-168B-484D-90F2-A56ABBBCC1EC}"/>
    <cellStyle name="Comma 6 10 2 2 3" xfId="27059" xr:uid="{C5FE7171-FBC2-4AEF-9AF8-78A7AA8BCEE4}"/>
    <cellStyle name="Comma 6 10 2 3" xfId="8762" xr:uid="{A6753F94-D09A-4FEA-A39B-7FE7026DF95F}"/>
    <cellStyle name="Comma 6 10 2 3 2" xfId="31345" xr:uid="{37ABE92E-FA47-4D70-9E5C-19A4645E88B7}"/>
    <cellStyle name="Comma 6 10 2 4" xfId="25168" xr:uid="{3194C567-9F2A-4A02-A5E7-39CD339817B1}"/>
    <cellStyle name="Comma 6 10 3" xfId="2826" xr:uid="{00000000-0005-0000-0000-000093010000}"/>
    <cellStyle name="Comma 6 10 3 2" xfId="9735" xr:uid="{696824B7-B9CF-4E41-828F-277D4B71D7EC}"/>
    <cellStyle name="Comma 6 10 3 2 2" xfId="32273" xr:uid="{7F6AAAF6-029B-401C-8EB5-A0A5680CB324}"/>
    <cellStyle name="Comma 6 10 3 3" xfId="26121" xr:uid="{03006509-35FE-4BA4-914C-D8A095EABD30}"/>
    <cellStyle name="Comma 6 10 4" xfId="7808" xr:uid="{E83AE6F6-8F68-4789-B288-313EE90F33F8}"/>
    <cellStyle name="Comma 6 10 4 2" xfId="30444" xr:uid="{FBB4ED2C-1B7D-48F7-83EA-64BA9E8E23D2}"/>
    <cellStyle name="Comma 6 10 5" xfId="24195" xr:uid="{DDA13433-857F-469A-B82D-175348AECD11}"/>
    <cellStyle name="Comma 6 11" xfId="665" xr:uid="{00000000-0005-0000-0000-000095010000}"/>
    <cellStyle name="Comma 6 11 2" xfId="1752" xr:uid="{00000000-0005-0000-0000-000096010000}"/>
    <cellStyle name="Comma 6 11 2 2" xfId="3850" xr:uid="{00000000-0005-0000-0000-000096010000}"/>
    <cellStyle name="Comma 6 11 2 2 2" xfId="10754" xr:uid="{F1A19BAE-0350-43E9-BE6F-E78FBDB48E79}"/>
    <cellStyle name="Comma 6 11 2 2 2 2" xfId="33240" xr:uid="{9FD1834A-77C0-4530-8388-5EABDD9798EC}"/>
    <cellStyle name="Comma 6 11 2 2 3" xfId="27050" xr:uid="{CF24E20D-070E-4F60-BDD8-27E656B9A8CA}"/>
    <cellStyle name="Comma 6 11 2 3" xfId="8755" xr:uid="{60E4741A-B0DA-40B0-B48E-BAA7B8B6C77B}"/>
    <cellStyle name="Comma 6 11 2 3 2" xfId="31338" xr:uid="{4050C8EC-5A87-4CBA-B859-0F2CC311BF49}"/>
    <cellStyle name="Comma 6 11 2 4" xfId="25161" xr:uid="{AC946168-B1F7-4334-92A6-372071F67943}"/>
    <cellStyle name="Comma 6 11 3" xfId="2808" xr:uid="{00000000-0005-0000-0000-000095010000}"/>
    <cellStyle name="Comma 6 11 3 2" xfId="9717" xr:uid="{B7DF17F6-40FE-44A7-81F9-7AEC765E9C4D}"/>
    <cellStyle name="Comma 6 11 3 2 2" xfId="32258" xr:uid="{DA4F4865-203F-42C9-9D4F-A932C43D7CBE}"/>
    <cellStyle name="Comma 6 11 3 3" xfId="26106" xr:uid="{11F37AEE-1372-4E8A-8154-D2EC0D01DA39}"/>
    <cellStyle name="Comma 6 11 4" xfId="7790" xr:uid="{4989CEA7-A73B-4616-A7F5-26B1ECD9145A}"/>
    <cellStyle name="Comma 6 11 4 2" xfId="30428" xr:uid="{BE3F19F4-EC12-444A-BC6E-39821CB70F6E}"/>
    <cellStyle name="Comma 6 11 5" xfId="24178" xr:uid="{23AE4A6D-DF29-49C2-9D32-03BED1CAA630}"/>
    <cellStyle name="Comma 6 12" xfId="1052" xr:uid="{00000000-0005-0000-0000-000097010000}"/>
    <cellStyle name="Comma 6 12 2" xfId="1942" xr:uid="{00000000-0005-0000-0000-000098010000}"/>
    <cellStyle name="Comma 6 12 2 2" xfId="4038" xr:uid="{00000000-0005-0000-0000-000098010000}"/>
    <cellStyle name="Comma 6 12 2 2 2" xfId="10942" xr:uid="{DC947545-A326-4DE3-A0B1-D60FA6EE39B7}"/>
    <cellStyle name="Comma 6 12 2 2 2 2" xfId="33428" xr:uid="{D8D091C9-B737-4200-8510-3976C0D34E3D}"/>
    <cellStyle name="Comma 6 12 2 2 3" xfId="27223" xr:uid="{5567CF90-2C8A-4800-AC0D-B5E9F274D01E}"/>
    <cellStyle name="Comma 6 12 2 3" xfId="8902" xr:uid="{B88179CC-05EA-4BD2-8BFE-CF0A9A757C68}"/>
    <cellStyle name="Comma 6 12 2 3 2" xfId="31481" xr:uid="{79CBDAAB-9045-4EF2-A576-8BE7EFD472AB}"/>
    <cellStyle name="Comma 6 12 2 4" xfId="25329" xr:uid="{AD86FD6E-DA91-4D53-AB54-4F3258C474D6}"/>
    <cellStyle name="Comma 6 12 3" xfId="3173" xr:uid="{00000000-0005-0000-0000-000097010000}"/>
    <cellStyle name="Comma 6 12 3 2" xfId="10082" xr:uid="{3F3C2EF6-D063-46E6-8FC4-319141F6C406}"/>
    <cellStyle name="Comma 6 12 3 2 2" xfId="32589" xr:uid="{5B598DF4-3391-4200-BD57-255BF42BB48B}"/>
    <cellStyle name="Comma 6 12 3 3" xfId="26423" xr:uid="{2E217A77-3F91-453B-A878-94CD52704A6D}"/>
    <cellStyle name="Comma 6 12 4" xfId="8137" xr:uid="{943D7CF4-9948-4159-AF20-EEFB9B6387DA}"/>
    <cellStyle name="Comma 6 12 4 2" xfId="30749" xr:uid="{E3B3F49D-C771-4F94-81CC-AB3F210068B3}"/>
    <cellStyle name="Comma 6 12 5" xfId="24520" xr:uid="{14A2386F-81CA-4212-A07C-A3131E744ADA}"/>
    <cellStyle name="Comma 6 13" xfId="1415" xr:uid="{00000000-0005-0000-0000-000099010000}"/>
    <cellStyle name="Comma 6 13 2" xfId="2144" xr:uid="{00000000-0005-0000-0000-00009A010000}"/>
    <cellStyle name="Comma 6 13 2 2" xfId="4237" xr:uid="{00000000-0005-0000-0000-00009A010000}"/>
    <cellStyle name="Comma 6 13 2 2 2" xfId="11141" xr:uid="{147B2F71-F553-43C3-899E-D6279908AA4B}"/>
    <cellStyle name="Comma 6 13 2 2 2 2" xfId="33627" xr:uid="{162E6D70-057E-4140-A2EB-4F78C4C7AAC2}"/>
    <cellStyle name="Comma 6 13 2 2 3" xfId="27409" xr:uid="{77016739-3AA0-4815-B5F8-84465AE67A2D}"/>
    <cellStyle name="Comma 6 13 2 3" xfId="9061" xr:uid="{F4A614A3-E7DD-4924-95E6-B2C8DDAF3B13}"/>
    <cellStyle name="Comma 6 13 2 3 2" xfId="31637" xr:uid="{40E01E61-5078-42CF-A3F4-230F51D6EAE1}"/>
    <cellStyle name="Comma 6 13 2 4" xfId="25514" xr:uid="{17ED80D1-BC8B-46A8-9754-15BF9BD7F330}"/>
    <cellStyle name="Comma 6 13 3" xfId="3516" xr:uid="{00000000-0005-0000-0000-000099010000}"/>
    <cellStyle name="Comma 6 13 3 2" xfId="10423" xr:uid="{D7E56A2D-0F64-4D41-BD0B-FAA4C10FE437}"/>
    <cellStyle name="Comma 6 13 3 2 2" xfId="32910" xr:uid="{B687FEBE-A645-49E0-8FD4-30BF41BA50AB}"/>
    <cellStyle name="Comma 6 13 3 3" xfId="26729" xr:uid="{6F503FE3-A3DB-4D68-BEB2-D33F69FA464C}"/>
    <cellStyle name="Comma 6 13 4" xfId="8458" xr:uid="{79DF910E-812A-49CE-84F0-FFEADFCD9DCB}"/>
    <cellStyle name="Comma 6 13 4 2" xfId="31045" xr:uid="{3372036B-2C26-46CB-9233-60EA21BFC035}"/>
    <cellStyle name="Comma 6 13 5" xfId="24838" xr:uid="{35DE6D5A-2617-4F7E-BF62-2444E1C3589E}"/>
    <cellStyle name="Comma 6 14" xfId="1439" xr:uid="{00000000-0005-0000-0000-00009B010000}"/>
    <cellStyle name="Comma 6 14 2" xfId="2167" xr:uid="{00000000-0005-0000-0000-00009C010000}"/>
    <cellStyle name="Comma 6 14 2 2" xfId="4260" xr:uid="{00000000-0005-0000-0000-00009C010000}"/>
    <cellStyle name="Comma 6 14 2 2 2" xfId="11164" xr:uid="{F4C95AA3-5AE7-41E8-BB00-ADD181DF476E}"/>
    <cellStyle name="Comma 6 14 2 2 2 2" xfId="33650" xr:uid="{DD64C2CB-4A7C-49FF-88B8-840A4B1EBDFE}"/>
    <cellStyle name="Comma 6 14 2 2 3" xfId="27432" xr:uid="{0527807B-CC67-4C0D-BBA5-DD906AB5D6DE}"/>
    <cellStyle name="Comma 6 14 2 3" xfId="9084" xr:uid="{7FB02336-E213-4D0F-865C-E5950796C1AC}"/>
    <cellStyle name="Comma 6 14 2 3 2" xfId="31660" xr:uid="{3EC2CE2C-9DC3-42A5-92A3-7695CD7DD850}"/>
    <cellStyle name="Comma 6 14 2 4" xfId="25537" xr:uid="{6AD34E7D-1FEE-4AB2-B276-871F91A3F91F}"/>
    <cellStyle name="Comma 6 14 3" xfId="3540" xr:uid="{00000000-0005-0000-0000-00009B010000}"/>
    <cellStyle name="Comma 6 14 3 2" xfId="10446" xr:uid="{C9A10672-630E-4B91-A744-EE8799A6A703}"/>
    <cellStyle name="Comma 6 14 3 2 2" xfId="32933" xr:uid="{1B31951F-82D9-4CAF-9012-999D8DEA59BA}"/>
    <cellStyle name="Comma 6 14 3 3" xfId="26753" xr:uid="{7958C6F1-9BCB-4C73-9DD1-007C3B96627C}"/>
    <cellStyle name="Comma 6 14 4" xfId="8482" xr:uid="{84D8BB22-6A93-43DE-9B64-4A6A029730B0}"/>
    <cellStyle name="Comma 6 14 4 2" xfId="31069" xr:uid="{E7F4FED6-B2DE-4734-8E4C-D89178BA191E}"/>
    <cellStyle name="Comma 6 14 5" xfId="24862" xr:uid="{D7A07C30-822B-49C7-8E8D-DAF17E9BAC0F}"/>
    <cellStyle name="Comma 6 15" xfId="1516" xr:uid="{00000000-0005-0000-0000-00009D010000}"/>
    <cellStyle name="Comma 6 15 2" xfId="3617" xr:uid="{00000000-0005-0000-0000-00009D010000}"/>
    <cellStyle name="Comma 6 15 2 2" xfId="10521" xr:uid="{F6D5F37B-DA5B-4039-A824-632089F738A8}"/>
    <cellStyle name="Comma 6 15 2 2 2" xfId="33007" xr:uid="{BC489AC5-0FD8-4038-AD0C-29E237A376F6}"/>
    <cellStyle name="Comma 6 15 2 3" xfId="26829" xr:uid="{6F9DA851-9CC0-4CCF-A704-66C98831674A}"/>
    <cellStyle name="Comma 6 15 3" xfId="8556" xr:uid="{73574C22-A18D-41C7-8EBC-5D08079AFE9B}"/>
    <cellStyle name="Comma 6 15 3 2" xfId="31143" xr:uid="{84B0E1FC-1E81-4460-83DE-553FD84DC70F}"/>
    <cellStyle name="Comma 6 15 4" xfId="24938" xr:uid="{A9D1A145-4343-4A84-9BA2-DD8762C49708}"/>
    <cellStyle name="Comma 6 16" xfId="2277" xr:uid="{00000000-0005-0000-0000-000092010000}"/>
    <cellStyle name="Comma 6 16 2" xfId="9188" xr:uid="{3CBE8600-F71A-44F9-BCD6-D4D5D87413C1}"/>
    <cellStyle name="Comma 6 16 2 2" xfId="31763" xr:uid="{3267C6F7-1183-48C7-B556-8DD728469197}"/>
    <cellStyle name="Comma 6 16 3" xfId="25644" xr:uid="{B66A7242-4961-4D80-91F6-8A8FD4D82928}"/>
    <cellStyle name="Comma 6 17" xfId="7267" xr:uid="{195172EE-130C-4BDE-9397-DEFD1640CF03}"/>
    <cellStyle name="Comma 6 17 2" xfId="29956" xr:uid="{E16E388C-D3AA-4F63-8965-FA6B72433AB2}"/>
    <cellStyle name="Comma 6 18" xfId="23636" xr:uid="{6DDD184F-5450-49A3-BB7D-5385AB712583}"/>
    <cellStyle name="Comma 6 2" xfId="123" xr:uid="{00000000-0005-0000-0000-00009E010000}"/>
    <cellStyle name="Comma 6 2 10" xfId="1536" xr:uid="{00000000-0005-0000-0000-00009F010000}"/>
    <cellStyle name="Comma 6 2 10 2" xfId="3637" xr:uid="{00000000-0005-0000-0000-00009F010000}"/>
    <cellStyle name="Comma 6 2 10 2 2" xfId="10541" xr:uid="{4E956E4E-142F-49EE-BFD5-85E20B5FFBA5}"/>
    <cellStyle name="Comma 6 2 10 2 2 2" xfId="33027" xr:uid="{8DF8A295-857A-452C-A4FF-E1C121B288FB}"/>
    <cellStyle name="Comma 6 2 10 2 3" xfId="26848" xr:uid="{818BBD1F-38EC-4E1C-9EF1-9A4DA9C34007}"/>
    <cellStyle name="Comma 6 2 10 3" xfId="8573" xr:uid="{34232992-FABB-4732-B273-63CCD6EC99AA}"/>
    <cellStyle name="Comma 6 2 10 3 2" xfId="31160" xr:uid="{B2B2B67D-1B5D-468E-8CDB-EBA5A7C233CF}"/>
    <cellStyle name="Comma 6 2 10 4" xfId="24958" xr:uid="{B9685D9F-75BC-438A-817C-194C305D2FCD}"/>
    <cellStyle name="Comma 6 2 11" xfId="2326" xr:uid="{00000000-0005-0000-0000-00009E010000}"/>
    <cellStyle name="Comma 6 2 11 2" xfId="9236" xr:uid="{301DE240-89BF-4A35-8E50-2D58F9B7E5EA}"/>
    <cellStyle name="Comma 6 2 11 2 2" xfId="31811" xr:uid="{5F48EC84-1ADF-49D5-B611-D19B1222502F}"/>
    <cellStyle name="Comma 6 2 11 3" xfId="25685" xr:uid="{8BE04A7F-D853-4612-8252-21CE58AF513C}"/>
    <cellStyle name="Comma 6 2 12" xfId="7316" xr:uid="{FDD77F88-6426-4D22-BDF4-6321744C8393}"/>
    <cellStyle name="Comma 6 2 12 2" xfId="30004" xr:uid="{DD35B001-F862-424E-BA66-DA42482BAB4D}"/>
    <cellStyle name="Comma 6 2 13" xfId="23701" xr:uid="{E1703E2D-50C0-472D-A35A-3D44C1402B44}"/>
    <cellStyle name="Comma 6 2 2" xfId="328" xr:uid="{00000000-0005-0000-0000-0000A0010000}"/>
    <cellStyle name="Comma 6 2 2 2" xfId="1592" xr:uid="{00000000-0005-0000-0000-0000A1010000}"/>
    <cellStyle name="Comma 6 2 2 2 2" xfId="3693" xr:uid="{00000000-0005-0000-0000-0000A1010000}"/>
    <cellStyle name="Comma 6 2 2 2 2 2" xfId="10597" xr:uid="{7846BBD1-BB7C-4C2C-A622-C1B5F63723B3}"/>
    <cellStyle name="Comma 6 2 2 2 2 2 2" xfId="33083" xr:uid="{9CA03B47-D39F-425E-BB84-3E4385F4E938}"/>
    <cellStyle name="Comma 6 2 2 2 2 3" xfId="26904" xr:uid="{96FC6D80-6090-4906-8F9D-6782E74E3A00}"/>
    <cellStyle name="Comma 6 2 2 2 3" xfId="8627" xr:uid="{A56ABDDC-2E64-4855-AA7D-BB44CF39D0A1}"/>
    <cellStyle name="Comma 6 2 2 2 3 2" xfId="31213" xr:uid="{985492CD-6455-419A-B179-537A787ADEDA}"/>
    <cellStyle name="Comma 6 2 2 2 4" xfId="25013" xr:uid="{8F421009-222A-4E45-9FEA-C613FCF8DE8F}"/>
    <cellStyle name="Comma 6 2 2 3" xfId="2488" xr:uid="{00000000-0005-0000-0000-0000A0010000}"/>
    <cellStyle name="Comma 6 2 2 3 2" xfId="9397" xr:uid="{54B7D9EC-AF10-46B1-A63D-013A7BB183ED}"/>
    <cellStyle name="Comma 6 2 2 3 2 2" xfId="31958" xr:uid="{3FE83B37-C1ED-4BB2-B990-C1E9495A77D8}"/>
    <cellStyle name="Comma 6 2 2 3 3" xfId="25822" xr:uid="{80EE9F41-094B-4304-B16D-5D267F94450A}"/>
    <cellStyle name="Comma 6 2 2 4" xfId="7491" xr:uid="{D49E7B42-3E9C-44A7-A2F8-0CCAB9798412}"/>
    <cellStyle name="Comma 6 2 2 4 2" xfId="30160" xr:uid="{620D4B32-DFC2-4CEE-B315-3D98AEAF1C12}"/>
    <cellStyle name="Comma 6 2 2 5" xfId="23881" xr:uid="{944A191B-88AB-4F93-9A2B-D0B0F44378F4}"/>
    <cellStyle name="Comma 6 2 3" xfId="491" xr:uid="{00000000-0005-0000-0000-0000A2010000}"/>
    <cellStyle name="Comma 6 2 3 2" xfId="1677" xr:uid="{00000000-0005-0000-0000-0000A3010000}"/>
    <cellStyle name="Comma 6 2 3 2 2" xfId="3775" xr:uid="{00000000-0005-0000-0000-0000A3010000}"/>
    <cellStyle name="Comma 6 2 3 2 2 2" xfId="10679" xr:uid="{4FF335F0-FF01-4616-82AB-63592E6DDBCB}"/>
    <cellStyle name="Comma 6 2 3 2 2 2 2" xfId="33165" xr:uid="{C5D4F4B2-25A1-4ECE-BEE7-2039178A4F14}"/>
    <cellStyle name="Comma 6 2 3 2 2 3" xfId="26982" xr:uid="{AFD678C0-9F7B-4AE9-8A10-567F555FA1FA}"/>
    <cellStyle name="Comma 6 2 3 2 3" xfId="8692" xr:uid="{D2AFE38E-D2E1-4517-80B8-879B4FE33B92}"/>
    <cellStyle name="Comma 6 2 3 2 3 2" xfId="31277" xr:uid="{11F59AD6-60CF-4DBC-9F7A-26E6DBE55860}"/>
    <cellStyle name="Comma 6 2 3 2 4" xfId="25092" xr:uid="{6FA47F02-E581-47D5-A8B9-1115A2975143}"/>
    <cellStyle name="Comma 6 2 3 3" xfId="2642" xr:uid="{00000000-0005-0000-0000-0000A2010000}"/>
    <cellStyle name="Comma 6 2 3 3 2" xfId="9551" xr:uid="{3851AEA0-5E05-4FDA-A30D-5431EC5DAB74}"/>
    <cellStyle name="Comma 6 2 3 3 2 2" xfId="32101" xr:uid="{73ACB24E-0A49-4C35-A173-214BAA12FC88}"/>
    <cellStyle name="Comma 6 2 3 3 3" xfId="25958" xr:uid="{99B1E37E-E8EE-419B-A24D-571C81932C6D}"/>
    <cellStyle name="Comma 6 2 3 4" xfId="7634" xr:uid="{94064E9A-3AE8-4161-B717-2CEF05A3BB8C}"/>
    <cellStyle name="Comma 6 2 3 4 2" xfId="30292" xr:uid="{97137CA1-1704-44B9-8F20-306DAF87B1A0}"/>
    <cellStyle name="Comma 6 2 3 5" xfId="24023" xr:uid="{3C579C6A-FBA1-4AD0-8727-EC168C05367B}"/>
    <cellStyle name="Comma 6 2 4" xfId="718" xr:uid="{00000000-0005-0000-0000-0000A4010000}"/>
    <cellStyle name="Comma 6 2 4 2" xfId="1774" xr:uid="{00000000-0005-0000-0000-0000A5010000}"/>
    <cellStyle name="Comma 6 2 4 2 2" xfId="3872" xr:uid="{00000000-0005-0000-0000-0000A5010000}"/>
    <cellStyle name="Comma 6 2 4 2 2 2" xfId="10776" xr:uid="{B371C3D9-A5DA-4A0F-8E70-7A9383D5C296}"/>
    <cellStyle name="Comma 6 2 4 2 2 2 2" xfId="33262" xr:uid="{C861DAE7-292E-478A-8B61-6E092F548432}"/>
    <cellStyle name="Comma 6 2 4 2 2 3" xfId="27071" xr:uid="{48EE3962-B28B-40DF-AD03-41C416FF92CB}"/>
    <cellStyle name="Comma 6 2 4 2 3" xfId="8774" xr:uid="{A05C3386-C6E2-4512-B7B6-31473E5E9935}"/>
    <cellStyle name="Comma 6 2 4 2 3 2" xfId="31357" xr:uid="{85F85B43-1A46-4776-9AE3-D46D4493E1BE}"/>
    <cellStyle name="Comma 6 2 4 2 4" xfId="25180" xr:uid="{34B093C6-B8D6-43DA-8808-DCB2C458AA86}"/>
    <cellStyle name="Comma 6 2 4 3" xfId="2858" xr:uid="{00000000-0005-0000-0000-0000A4010000}"/>
    <cellStyle name="Comma 6 2 4 3 2" xfId="9767" xr:uid="{5BF4A1A2-DE6B-4AA8-B322-CAC3C25A279B}"/>
    <cellStyle name="Comma 6 2 4 3 2 2" xfId="32300" xr:uid="{2A3E137D-FC13-48B9-B5F8-98EA977A8E35}"/>
    <cellStyle name="Comma 6 2 4 3 3" xfId="26150" xr:uid="{C298BF56-7028-4377-8F00-26E83D516EF4}"/>
    <cellStyle name="Comma 6 2 4 4" xfId="7840" xr:uid="{6040CFF0-6CBB-4B39-A82B-9E47881D9577}"/>
    <cellStyle name="Comma 6 2 4 4 2" xfId="30472" xr:uid="{6E720B1C-6FE9-4196-869A-773E303DC6D2}"/>
    <cellStyle name="Comma 6 2 4 5" xfId="24225" xr:uid="{958CCB4E-7B65-4DA1-9628-EBCD7F856430}"/>
    <cellStyle name="Comma 6 2 5" xfId="909" xr:uid="{00000000-0005-0000-0000-0000A6010000}"/>
    <cellStyle name="Comma 6 2 5 2" xfId="1863" xr:uid="{00000000-0005-0000-0000-0000A7010000}"/>
    <cellStyle name="Comma 6 2 5 2 2" xfId="3961" xr:uid="{00000000-0005-0000-0000-0000A7010000}"/>
    <cellStyle name="Comma 6 2 5 2 2 2" xfId="10865" xr:uid="{E4FB295D-8D64-4E42-A46F-F44734D3FA18}"/>
    <cellStyle name="Comma 6 2 5 2 2 2 2" xfId="33351" xr:uid="{DD86204B-32CD-4C03-86D9-78B029E9BDA6}"/>
    <cellStyle name="Comma 6 2 5 2 2 3" xfId="27152" xr:uid="{554EF031-9B02-4E30-9864-19C321494B59}"/>
    <cellStyle name="Comma 6 2 5 2 3" xfId="8846" xr:uid="{6D3B458C-7AC5-4586-B973-D3DA757512A7}"/>
    <cellStyle name="Comma 6 2 5 2 3 2" xfId="31427" xr:uid="{9188F6CF-FD78-437A-9569-8729730EBD9F}"/>
    <cellStyle name="Comma 6 2 5 2 4" xfId="25259" xr:uid="{3868E728-9D29-429A-B300-0916AD5B70E3}"/>
    <cellStyle name="Comma 6 2 5 3" xfId="3038" xr:uid="{00000000-0005-0000-0000-0000A6010000}"/>
    <cellStyle name="Comma 6 2 5 3 2" xfId="9947" xr:uid="{10327CD0-50BB-459B-AD99-E6886AEAF840}"/>
    <cellStyle name="Comma 6 2 5 3 2 2" xfId="32466" xr:uid="{5114E841-5DE0-4EC7-922A-7DBF082E2996}"/>
    <cellStyle name="Comma 6 2 5 3 3" xfId="26301" xr:uid="{9FCDB02C-D441-4BA2-981E-6054FF82909E}"/>
    <cellStyle name="Comma 6 2 5 4" xfId="8010" xr:uid="{B26C26CD-6A4B-4BFB-84E8-E2EE8DA7875E}"/>
    <cellStyle name="Comma 6 2 5 4 2" xfId="30631" xr:uid="{EEA19717-6207-49ED-893F-D84510BB07B8}"/>
    <cellStyle name="Comma 6 2 5 5" xfId="24389" xr:uid="{91547035-5107-4E7D-B216-9DED170F3664}"/>
    <cellStyle name="Comma 6 2 6" xfId="1091" xr:uid="{00000000-0005-0000-0000-0000A8010000}"/>
    <cellStyle name="Comma 6 2 6 2" xfId="1958" xr:uid="{00000000-0005-0000-0000-0000A9010000}"/>
    <cellStyle name="Comma 6 2 6 2 2" xfId="4054" xr:uid="{00000000-0005-0000-0000-0000A9010000}"/>
    <cellStyle name="Comma 6 2 6 2 2 2" xfId="10958" xr:uid="{B6B88354-45B9-4F33-BAE1-346332587141}"/>
    <cellStyle name="Comma 6 2 6 2 2 2 2" xfId="33444" xr:uid="{871ECE52-2C74-4959-8F07-488106C36AC1}"/>
    <cellStyle name="Comma 6 2 6 2 2 3" xfId="27239" xr:uid="{A8BDD2AE-F65D-44EE-A78A-E5BCF8D9C7AD}"/>
    <cellStyle name="Comma 6 2 6 2 3" xfId="8916" xr:uid="{EA993D7A-E0B8-4A66-AAE1-72356A3FDE8B}"/>
    <cellStyle name="Comma 6 2 6 2 3 2" xfId="31495" xr:uid="{26701B99-52CB-4FE8-8CAD-00B06CB6E372}"/>
    <cellStyle name="Comma 6 2 6 2 4" xfId="25344" xr:uid="{C5741964-2CF1-498D-8766-A38FD1C02065}"/>
    <cellStyle name="Comma 6 2 6 3" xfId="3209" xr:uid="{00000000-0005-0000-0000-0000A8010000}"/>
    <cellStyle name="Comma 6 2 6 3 2" xfId="10117" xr:uid="{594B2029-EF59-4D33-BEE5-92A5CA9B2210}"/>
    <cellStyle name="Comma 6 2 6 3 2 2" xfId="32621" xr:uid="{D87DD409-2D8A-46F9-A00E-829636ACF5B7}"/>
    <cellStyle name="Comma 6 2 6 3 3" xfId="26452" xr:uid="{C2923B9D-5044-48A4-ADB6-7CA289FBFDCA}"/>
    <cellStyle name="Comma 6 2 6 4" xfId="8173" xr:uid="{61D12449-8BF2-45A1-AADA-B0F299615611}"/>
    <cellStyle name="Comma 6 2 6 4 2" xfId="30784" xr:uid="{009A5F22-9D40-4302-B5AF-8729FC34240E}"/>
    <cellStyle name="Comma 6 2 6 5" xfId="24552" xr:uid="{EAC58C14-CF96-48A9-8464-EFD0DC990862}"/>
    <cellStyle name="Comma 6 2 7" xfId="1267" xr:uid="{00000000-0005-0000-0000-0000AA010000}"/>
    <cellStyle name="Comma 6 2 7 2" xfId="2048" xr:uid="{00000000-0005-0000-0000-0000AB010000}"/>
    <cellStyle name="Comma 6 2 7 2 2" xfId="4143" xr:uid="{00000000-0005-0000-0000-0000AB010000}"/>
    <cellStyle name="Comma 6 2 7 2 2 2" xfId="11047" xr:uid="{6A855ABD-4C7F-4B23-AE2E-33B55388F9CC}"/>
    <cellStyle name="Comma 6 2 7 2 2 2 2" xfId="33533" xr:uid="{93AE8C39-79F0-483C-9543-22467F4F68FF}"/>
    <cellStyle name="Comma 6 2 7 2 2 3" xfId="27321" xr:uid="{9BB6E4A8-BD8C-4A81-898B-93ED95C3EEE0}"/>
    <cellStyle name="Comma 6 2 7 2 3" xfId="8987" xr:uid="{D4004D7A-5F50-4F65-8775-FB096F96FF31}"/>
    <cellStyle name="Comma 6 2 7 2 3 2" xfId="31565" xr:uid="{B9D34D92-B17A-4906-AB86-99B5C7EB5E07}"/>
    <cellStyle name="Comma 6 2 7 2 4" xfId="25428" xr:uid="{6C80F1B9-8A21-4681-AB77-CF0B6F80A605}"/>
    <cellStyle name="Comma 6 2 7 3" xfId="3375" xr:uid="{00000000-0005-0000-0000-0000AA010000}"/>
    <cellStyle name="Comma 6 2 7 3 2" xfId="10283" xr:uid="{9C685C4E-913E-40FD-830A-7EB991AB79B5}"/>
    <cellStyle name="Comma 6 2 7 3 2 2" xfId="32776" xr:uid="{0F084A54-57F0-4260-A7B9-5AE30A8693B8}"/>
    <cellStyle name="Comma 6 2 7 3 3" xfId="26602" xr:uid="{621EA303-485A-4BC5-8621-8D2CDBBB14A6}"/>
    <cellStyle name="Comma 6 2 7 4" xfId="8333" xr:uid="{0083DF95-9FCA-48A4-8A02-7109F02F4880}"/>
    <cellStyle name="Comma 6 2 7 4 2" xfId="30929" xr:uid="{1A7BB413-B343-475E-BC71-959DE2388101}"/>
    <cellStyle name="Comma 6 2 7 5" xfId="24703" xr:uid="{BA45A75E-72E6-469E-BAEF-B899DBFB4750}"/>
    <cellStyle name="Comma 6 2 8" xfId="1452" xr:uid="{00000000-0005-0000-0000-0000AC010000}"/>
    <cellStyle name="Comma 6 2 8 2" xfId="2180" xr:uid="{00000000-0005-0000-0000-0000AD010000}"/>
    <cellStyle name="Comma 6 2 8 2 2" xfId="4273" xr:uid="{00000000-0005-0000-0000-0000AD010000}"/>
    <cellStyle name="Comma 6 2 8 2 2 2" xfId="11177" xr:uid="{E46C23BF-CAEC-4340-9FAD-42DB57CA760D}"/>
    <cellStyle name="Comma 6 2 8 2 2 2 2" xfId="33663" xr:uid="{247AFBF7-AE30-4E9D-91E3-FE0C9D1035D5}"/>
    <cellStyle name="Comma 6 2 8 2 2 3" xfId="27445" xr:uid="{68A2C4DD-D724-4D69-BDEC-D644CA8E4ACB}"/>
    <cellStyle name="Comma 6 2 8 2 3" xfId="9097" xr:uid="{2444FA5D-1947-4B3D-AB0C-C32616E91080}"/>
    <cellStyle name="Comma 6 2 8 2 3 2" xfId="31673" xr:uid="{0EC82EA3-0AED-4FDE-BBB7-E3661D485497}"/>
    <cellStyle name="Comma 6 2 8 2 4" xfId="25550" xr:uid="{13FEDB6D-BD89-4613-8282-AF0BE2717D27}"/>
    <cellStyle name="Comma 6 2 8 3" xfId="3553" xr:uid="{00000000-0005-0000-0000-0000AC010000}"/>
    <cellStyle name="Comma 6 2 8 3 2" xfId="10459" xr:uid="{280F579D-5CAA-40B4-806B-66E5013F7B04}"/>
    <cellStyle name="Comma 6 2 8 3 2 2" xfId="32946" xr:uid="{9A0E46DA-25AE-4C4E-AEDF-1E9AE637FC0A}"/>
    <cellStyle name="Comma 6 2 8 3 3" xfId="26766" xr:uid="{58019FE0-63CC-4F7A-A205-0721150D0A0A}"/>
    <cellStyle name="Comma 6 2 8 4" xfId="8495" xr:uid="{F81ADB6F-DA1D-41C9-BC2A-06F05B6978D1}"/>
    <cellStyle name="Comma 6 2 8 4 2" xfId="31082" xr:uid="{5000620B-2E6F-4AA1-AAF1-7DAE8BA91BE9}"/>
    <cellStyle name="Comma 6 2 8 5" xfId="24875" xr:uid="{55953127-BDDF-4CB4-965F-D44FC7B0F4BA}"/>
    <cellStyle name="Comma 6 2 9" xfId="1478" xr:uid="{00000000-0005-0000-0000-0000AE010000}"/>
    <cellStyle name="Comma 6 2 9 2" xfId="2205" xr:uid="{00000000-0005-0000-0000-0000AF010000}"/>
    <cellStyle name="Comma 6 2 9 2 2" xfId="4298" xr:uid="{00000000-0005-0000-0000-0000AF010000}"/>
    <cellStyle name="Comma 6 2 9 2 2 2" xfId="11202" xr:uid="{2A89C6C1-F5FE-43B2-9A1F-1CA5A5823EBE}"/>
    <cellStyle name="Comma 6 2 9 2 2 2 2" xfId="33688" xr:uid="{8163493A-4B0F-485C-BBE3-BB5B87754AE8}"/>
    <cellStyle name="Comma 6 2 9 2 2 3" xfId="27470" xr:uid="{63315EDF-B154-449C-B368-54071ECE0701}"/>
    <cellStyle name="Comma 6 2 9 2 3" xfId="9118" xr:uid="{F24C9E7A-A1CF-4478-9C8B-E2DB08C77465}"/>
    <cellStyle name="Comma 6 2 9 2 3 2" xfId="31694" xr:uid="{A8A9A793-A728-49B6-8C08-DE7BA279E50F}"/>
    <cellStyle name="Comma 6 2 9 2 4" xfId="25573" xr:uid="{7A2BE697-C79A-488D-9AB4-415F8C1908CD}"/>
    <cellStyle name="Comma 6 2 9 3" xfId="3579" xr:uid="{00000000-0005-0000-0000-0000AE010000}"/>
    <cellStyle name="Comma 6 2 9 3 2" xfId="10484" xr:uid="{B5C64522-15AD-47BC-B891-682826C0C8C5}"/>
    <cellStyle name="Comma 6 2 9 3 2 2" xfId="32971" xr:uid="{CB2F1C41-27A9-47AD-813E-BAC847D870A3}"/>
    <cellStyle name="Comma 6 2 9 3 3" xfId="26792" xr:uid="{675C176B-3736-46E6-8824-0B00A80234B3}"/>
    <cellStyle name="Comma 6 2 9 4" xfId="8520" xr:uid="{08698488-4BAA-43DB-953F-830B00DA09B0}"/>
    <cellStyle name="Comma 6 2 9 4 2" xfId="31107" xr:uid="{3F435CD1-0503-44CC-A23F-AF6D8DBE0309}"/>
    <cellStyle name="Comma 6 2 9 5" xfId="24900" xr:uid="{3E969A5A-4F15-4C4A-89B9-494CB2225D49}"/>
    <cellStyle name="Comma 6 3" xfId="144" xr:uid="{00000000-0005-0000-0000-0000B0010000}"/>
    <cellStyle name="Comma 6 3 10" xfId="1541" xr:uid="{00000000-0005-0000-0000-0000B1010000}"/>
    <cellStyle name="Comma 6 3 10 2" xfId="3642" xr:uid="{00000000-0005-0000-0000-0000B1010000}"/>
    <cellStyle name="Comma 6 3 10 2 2" xfId="10546" xr:uid="{2B717A22-1C03-4568-8B5E-B71E648007F5}"/>
    <cellStyle name="Comma 6 3 10 2 2 2" xfId="33032" xr:uid="{2130E54F-7BF6-4E67-9D6E-1051C574ACE3}"/>
    <cellStyle name="Comma 6 3 10 2 3" xfId="26853" xr:uid="{A83F3C5F-2C3C-4024-B3A3-108B933B2283}"/>
    <cellStyle name="Comma 6 3 10 3" xfId="8578" xr:uid="{16D9A906-C1FD-42C7-9A44-E532E439D6DB}"/>
    <cellStyle name="Comma 6 3 10 3 2" xfId="31165" xr:uid="{B6610764-A06C-470D-B313-EAAB8AF53E58}"/>
    <cellStyle name="Comma 6 3 10 4" xfId="24963" xr:uid="{2387E334-059B-4261-83D4-EB8710930D1F}"/>
    <cellStyle name="Comma 6 3 11" xfId="2339" xr:uid="{00000000-0005-0000-0000-0000B0010000}"/>
    <cellStyle name="Comma 6 3 11 2" xfId="9248" xr:uid="{21B1B519-DCAC-45CD-8B15-10C95E36BB47}"/>
    <cellStyle name="Comma 6 3 11 2 2" xfId="31823" xr:uid="{1C529E94-E3CB-49D2-BD29-E6EB7DDFC3B0}"/>
    <cellStyle name="Comma 6 3 11 3" xfId="25697" xr:uid="{0426370B-103B-43E5-ADFF-85B3D03CDC40}"/>
    <cellStyle name="Comma 6 3 12" xfId="7332" xr:uid="{691C6A86-C2A1-415F-94D6-AC6C96601981}"/>
    <cellStyle name="Comma 6 3 12 2" xfId="30020" xr:uid="{B9EBAE0A-8286-4728-9636-7EFD52D02FC8}"/>
    <cellStyle name="Comma 6 3 13" xfId="23721" xr:uid="{46B34598-445F-4AA3-B569-FD3C451B2558}"/>
    <cellStyle name="Comma 6 3 2" xfId="347" xr:uid="{00000000-0005-0000-0000-0000B2010000}"/>
    <cellStyle name="Comma 6 3 2 2" xfId="1597" xr:uid="{00000000-0005-0000-0000-0000B3010000}"/>
    <cellStyle name="Comma 6 3 2 2 2" xfId="3698" xr:uid="{00000000-0005-0000-0000-0000B3010000}"/>
    <cellStyle name="Comma 6 3 2 2 2 2" xfId="10602" xr:uid="{4A71E944-BB33-48B8-84CC-7A2089E2F6E0}"/>
    <cellStyle name="Comma 6 3 2 2 2 2 2" xfId="33088" xr:uid="{99006007-987E-48F3-9EF0-AC3701CA425D}"/>
    <cellStyle name="Comma 6 3 2 2 2 3" xfId="26909" xr:uid="{E17B3401-C948-45DC-B0D0-709CDA0A014E}"/>
    <cellStyle name="Comma 6 3 2 2 3" xfId="8632" xr:uid="{E945CC1B-99D9-43F0-ADB5-64DB0B79F544}"/>
    <cellStyle name="Comma 6 3 2 2 3 2" xfId="31218" xr:uid="{94F51D4C-0491-4012-96E6-A85BBCA3CC79}"/>
    <cellStyle name="Comma 6 3 2 2 4" xfId="25018" xr:uid="{6923EEEC-F2B3-4DE1-89D5-91DFECEC3987}"/>
    <cellStyle name="Comma 6 3 2 3" xfId="2507" xr:uid="{00000000-0005-0000-0000-0000B2010000}"/>
    <cellStyle name="Comma 6 3 2 3 2" xfId="9416" xr:uid="{CAFD651F-6414-4E94-AC42-82219A682B33}"/>
    <cellStyle name="Comma 6 3 2 3 2 2" xfId="31975" xr:uid="{D526076D-046C-4C2E-94D6-FF57C69E9753}"/>
    <cellStyle name="Comma 6 3 2 3 3" xfId="25838" xr:uid="{0EED3AC0-BD30-4382-95C0-503329A0A6E2}"/>
    <cellStyle name="Comma 6 3 2 4" xfId="7510" xr:uid="{5E133C8B-B56B-45F0-B54C-B07174544C80}"/>
    <cellStyle name="Comma 6 3 2 4 2" xfId="30178" xr:uid="{3A0CC196-49B8-4451-8C0D-37BDC05A8341}"/>
    <cellStyle name="Comma 6 3 2 5" xfId="23898" xr:uid="{AE675D7E-D6FC-4D8D-BA1D-BF59A8DCDB6D}"/>
    <cellStyle name="Comma 6 3 3" xfId="508" xr:uid="{00000000-0005-0000-0000-0000B4010000}"/>
    <cellStyle name="Comma 6 3 3 2" xfId="1682" xr:uid="{00000000-0005-0000-0000-0000B5010000}"/>
    <cellStyle name="Comma 6 3 3 2 2" xfId="3780" xr:uid="{00000000-0005-0000-0000-0000B5010000}"/>
    <cellStyle name="Comma 6 3 3 2 2 2" xfId="10684" xr:uid="{62986807-F887-49CE-805D-F0D90F09BAFC}"/>
    <cellStyle name="Comma 6 3 3 2 2 2 2" xfId="33170" xr:uid="{F8F17CC8-1DCD-4A6F-9688-B85A00823009}"/>
    <cellStyle name="Comma 6 3 3 2 2 3" xfId="26987" xr:uid="{4EAC320F-0270-4363-994D-13D5891EBCBD}"/>
    <cellStyle name="Comma 6 3 3 2 3" xfId="8697" xr:uid="{70FA7E5D-980A-4FE4-A5DB-1C9062BB1AAE}"/>
    <cellStyle name="Comma 6 3 3 2 3 2" xfId="31282" xr:uid="{41439C7A-9C34-4A16-B4E7-A2C960830056}"/>
    <cellStyle name="Comma 6 3 3 2 4" xfId="25097" xr:uid="{61BA2B09-3E38-474F-87F4-3A30297A98A9}"/>
    <cellStyle name="Comma 6 3 3 3" xfId="2659" xr:uid="{00000000-0005-0000-0000-0000B4010000}"/>
    <cellStyle name="Comma 6 3 3 3 2" xfId="9568" xr:uid="{A9AE1845-150C-45B2-91BC-4383739621C6}"/>
    <cellStyle name="Comma 6 3 3 3 2 2" xfId="32118" xr:uid="{01D4F94B-CCC1-4653-BBDA-1B6D4C5E7622}"/>
    <cellStyle name="Comma 6 3 3 3 3" xfId="25974" xr:uid="{E0AF466A-18F2-47A9-9119-A485098690FD}"/>
    <cellStyle name="Comma 6 3 3 4" xfId="7651" xr:uid="{40619879-E609-481B-8210-08FFD6C8BCA4}"/>
    <cellStyle name="Comma 6 3 3 4 2" xfId="30307" xr:uid="{344A74C5-75A2-4F7E-86BE-DB48E292D65E}"/>
    <cellStyle name="Comma 6 3 3 5" xfId="24040" xr:uid="{555AF84D-C411-4493-95FF-B23BFEFF63F2}"/>
    <cellStyle name="Comma 6 3 4" xfId="738" xr:uid="{00000000-0005-0000-0000-0000B6010000}"/>
    <cellStyle name="Comma 6 3 4 2" xfId="1779" xr:uid="{00000000-0005-0000-0000-0000B7010000}"/>
    <cellStyle name="Comma 6 3 4 2 2" xfId="3877" xr:uid="{00000000-0005-0000-0000-0000B7010000}"/>
    <cellStyle name="Comma 6 3 4 2 2 2" xfId="10781" xr:uid="{F78891B5-6B99-4C60-B786-F8498ADDFB11}"/>
    <cellStyle name="Comma 6 3 4 2 2 2 2" xfId="33267" xr:uid="{29F937B1-2AF7-492C-BEAB-84CC02826E79}"/>
    <cellStyle name="Comma 6 3 4 2 2 3" xfId="27076" xr:uid="{DBF0B2EE-2AED-43EC-9BC0-9DC9EA5F33C8}"/>
    <cellStyle name="Comma 6 3 4 2 3" xfId="8779" xr:uid="{A37F393B-7458-494A-990F-919D5086A3DB}"/>
    <cellStyle name="Comma 6 3 4 2 3 2" xfId="31362" xr:uid="{62B927E5-EC75-48F9-8702-2AD6B5789FA3}"/>
    <cellStyle name="Comma 6 3 4 2 4" xfId="25185" xr:uid="{18C678FE-43FF-4EA1-A419-068EEBA20AA4}"/>
    <cellStyle name="Comma 6 3 4 3" xfId="2878" xr:uid="{00000000-0005-0000-0000-0000B6010000}"/>
    <cellStyle name="Comma 6 3 4 3 2" xfId="9787" xr:uid="{CA9C1642-4659-4A90-9F3C-4722C1715FB6}"/>
    <cellStyle name="Comma 6 3 4 3 2 2" xfId="32317" xr:uid="{DD816389-BB06-4360-9F14-3019F1479483}"/>
    <cellStyle name="Comma 6 3 4 3 3" xfId="26169" xr:uid="{DDCBFE63-553B-4B48-85B7-50366B8FB6F3}"/>
    <cellStyle name="Comma 6 3 4 4" xfId="7860" xr:uid="{EA5C07C5-04DC-4D16-B07D-85F14550E7D7}"/>
    <cellStyle name="Comma 6 3 4 4 2" xfId="30491" xr:uid="{698345AB-62CD-4710-A293-20A20F5CBBE5}"/>
    <cellStyle name="Comma 6 3 4 5" xfId="24244" xr:uid="{8F8BDF33-C5DB-4344-B562-CC8C628A214E}"/>
    <cellStyle name="Comma 6 3 5" xfId="928" xr:uid="{00000000-0005-0000-0000-0000B8010000}"/>
    <cellStyle name="Comma 6 3 5 2" xfId="1868" xr:uid="{00000000-0005-0000-0000-0000B9010000}"/>
    <cellStyle name="Comma 6 3 5 2 2" xfId="3966" xr:uid="{00000000-0005-0000-0000-0000B9010000}"/>
    <cellStyle name="Comma 6 3 5 2 2 2" xfId="10870" xr:uid="{617DDB52-4ABE-4E09-87A4-2D2311C74ADC}"/>
    <cellStyle name="Comma 6 3 5 2 2 2 2" xfId="33356" xr:uid="{1266A1B7-7BE1-405B-81BF-5576FD105D6E}"/>
    <cellStyle name="Comma 6 3 5 2 2 3" xfId="27157" xr:uid="{86DCEA27-AA92-4D38-89AF-BAB33D2E90C7}"/>
    <cellStyle name="Comma 6 3 5 2 3" xfId="8851" xr:uid="{ECBBBF56-AA3B-428D-BA61-C96950B34905}"/>
    <cellStyle name="Comma 6 3 5 2 3 2" xfId="31432" xr:uid="{BDEEA292-B19D-4362-9BBC-4C14D9A4DD67}"/>
    <cellStyle name="Comma 6 3 5 2 4" xfId="25264" xr:uid="{98F192DF-DC45-4606-A112-2C793E04BB46}"/>
    <cellStyle name="Comma 6 3 5 3" xfId="3057" xr:uid="{00000000-0005-0000-0000-0000B8010000}"/>
    <cellStyle name="Comma 6 3 5 3 2" xfId="9966" xr:uid="{2FEF1530-8DAB-420E-BC0A-9F809726CBAE}"/>
    <cellStyle name="Comma 6 3 5 3 2 2" xfId="32483" xr:uid="{9CA5E94A-8549-4B1C-A122-FC3D60F130B8}"/>
    <cellStyle name="Comma 6 3 5 3 3" xfId="26319" xr:uid="{7AF7DA64-27F0-4BD8-B010-7BC7CB05D40D}"/>
    <cellStyle name="Comma 6 3 5 4" xfId="8029" xr:uid="{3C9AC3CB-4BFA-4986-A353-D134CCB763F7}"/>
    <cellStyle name="Comma 6 3 5 4 2" xfId="30649" xr:uid="{D4EE207D-F635-415D-B5F4-EC7494F64FF1}"/>
    <cellStyle name="Comma 6 3 5 5" xfId="24407" xr:uid="{683F9AFB-D2E7-4067-8BB6-60A99F8558B3}"/>
    <cellStyle name="Comma 6 3 6" xfId="1111" xr:uid="{00000000-0005-0000-0000-0000BA010000}"/>
    <cellStyle name="Comma 6 3 6 2" xfId="1963" xr:uid="{00000000-0005-0000-0000-0000BB010000}"/>
    <cellStyle name="Comma 6 3 6 2 2" xfId="4059" xr:uid="{00000000-0005-0000-0000-0000BB010000}"/>
    <cellStyle name="Comma 6 3 6 2 2 2" xfId="10963" xr:uid="{7C4965C5-9600-4D3A-B541-5847CF536C28}"/>
    <cellStyle name="Comma 6 3 6 2 2 2 2" xfId="33449" xr:uid="{EA394001-8053-4C7D-A307-095EB362907B}"/>
    <cellStyle name="Comma 6 3 6 2 2 3" xfId="27244" xr:uid="{9D46461E-92B1-4606-AAFC-74881B35CB43}"/>
    <cellStyle name="Comma 6 3 6 2 3" xfId="8921" xr:uid="{84AAC89B-A2FF-45B4-90B0-450EA78F8918}"/>
    <cellStyle name="Comma 6 3 6 2 3 2" xfId="31500" xr:uid="{64C309AF-30AF-4FA6-9D4B-81CC28CDF41E}"/>
    <cellStyle name="Comma 6 3 6 2 4" xfId="25349" xr:uid="{DEDF04DD-1207-4861-8914-3E9E2D1D647B}"/>
    <cellStyle name="Comma 6 3 6 3" xfId="3229" xr:uid="{00000000-0005-0000-0000-0000BA010000}"/>
    <cellStyle name="Comma 6 3 6 3 2" xfId="10137" xr:uid="{E240C493-F660-443F-B4D1-619E82254DA8}"/>
    <cellStyle name="Comma 6 3 6 3 2 2" xfId="32638" xr:uid="{1DF91080-A4F1-4617-8CE2-FBCE7C21283D}"/>
    <cellStyle name="Comma 6 3 6 3 3" xfId="26471" xr:uid="{79A22C47-35A9-4203-8D17-4D86AD2D70C0}"/>
    <cellStyle name="Comma 6 3 6 4" xfId="8193" xr:uid="{724E5D7D-4D0D-4EF5-8092-A722EB53A33A}"/>
    <cellStyle name="Comma 6 3 6 4 2" xfId="30802" xr:uid="{878E8E35-2A4F-42F7-8E5D-0D44D7BD1CF5}"/>
    <cellStyle name="Comma 6 3 6 5" xfId="24571" xr:uid="{662262F2-9EF8-442C-9C7D-4F788F54B007}"/>
    <cellStyle name="Comma 6 3 7" xfId="1284" xr:uid="{00000000-0005-0000-0000-0000BC010000}"/>
    <cellStyle name="Comma 6 3 7 2" xfId="2053" xr:uid="{00000000-0005-0000-0000-0000BD010000}"/>
    <cellStyle name="Comma 6 3 7 2 2" xfId="4148" xr:uid="{00000000-0005-0000-0000-0000BD010000}"/>
    <cellStyle name="Comma 6 3 7 2 2 2" xfId="11052" xr:uid="{E70AD9A9-6288-4096-B92A-FC5F899204F2}"/>
    <cellStyle name="Comma 6 3 7 2 2 2 2" xfId="33538" xr:uid="{BF325986-B588-42CF-8592-5E16C7CC8A3A}"/>
    <cellStyle name="Comma 6 3 7 2 2 3" xfId="27326" xr:uid="{1FE61B7D-73EF-4999-A85C-7E238E312A03}"/>
    <cellStyle name="Comma 6 3 7 2 3" xfId="8992" xr:uid="{F1D914E6-3EFC-4B1D-AAD5-3AE881270690}"/>
    <cellStyle name="Comma 6 3 7 2 3 2" xfId="31570" xr:uid="{A066C2E5-5D52-43CD-BCBB-F77AA105B9D2}"/>
    <cellStyle name="Comma 6 3 7 2 4" xfId="25433" xr:uid="{04ABABC2-DB5E-4293-A55F-1817ADFAE64F}"/>
    <cellStyle name="Comma 6 3 7 3" xfId="3392" xr:uid="{00000000-0005-0000-0000-0000BC010000}"/>
    <cellStyle name="Comma 6 3 7 3 2" xfId="10300" xr:uid="{5FF79C36-54FC-42C5-BCCF-D19E25017DF8}"/>
    <cellStyle name="Comma 6 3 7 3 2 2" xfId="32792" xr:uid="{C598A35B-9850-422D-A247-031C9FEC43D0}"/>
    <cellStyle name="Comma 6 3 7 3 3" xfId="26619" xr:uid="{846D5C3E-6859-4D80-B676-397AB1AE1DE6}"/>
    <cellStyle name="Comma 6 3 7 4" xfId="8350" xr:uid="{276CBF78-7C11-45F3-8CC6-A5A7CAF3510D}"/>
    <cellStyle name="Comma 6 3 7 4 2" xfId="30944" xr:uid="{33DCE950-FD7D-4804-B7C8-EAA86E83E0AA}"/>
    <cellStyle name="Comma 6 3 7 5" xfId="24718" xr:uid="{1E5FDA23-6CAC-44FC-9696-4DD11B32C7A1}"/>
    <cellStyle name="Comma 6 3 8" xfId="1427" xr:uid="{00000000-0005-0000-0000-0000BE010000}"/>
    <cellStyle name="Comma 6 3 8 2" xfId="2155" xr:uid="{00000000-0005-0000-0000-0000BF010000}"/>
    <cellStyle name="Comma 6 3 8 2 2" xfId="4248" xr:uid="{00000000-0005-0000-0000-0000BF010000}"/>
    <cellStyle name="Comma 6 3 8 2 2 2" xfId="11152" xr:uid="{DD86B341-6A5B-41CA-90B9-DDC6946F2150}"/>
    <cellStyle name="Comma 6 3 8 2 2 2 2" xfId="33638" xr:uid="{6584E3AF-B518-4321-AF0C-B9C8EE3A8F3E}"/>
    <cellStyle name="Comma 6 3 8 2 2 3" xfId="27420" xr:uid="{3EAA5456-ECE7-45AB-9861-6A72CB554BFE}"/>
    <cellStyle name="Comma 6 3 8 2 3" xfId="9072" xr:uid="{0A6CAF92-1BDF-4AC7-BE89-BFAB9743E0AA}"/>
    <cellStyle name="Comma 6 3 8 2 3 2" xfId="31648" xr:uid="{372BDE62-C9D4-4224-9D12-5D19643561D3}"/>
    <cellStyle name="Comma 6 3 8 2 4" xfId="25525" xr:uid="{0367E03E-2F7B-42A9-B4F0-C765C28D97E6}"/>
    <cellStyle name="Comma 6 3 8 3" xfId="3528" xr:uid="{00000000-0005-0000-0000-0000BE010000}"/>
    <cellStyle name="Comma 6 3 8 3 2" xfId="10434" xr:uid="{3002E6BD-61C8-4E53-9118-62288F4696D5}"/>
    <cellStyle name="Comma 6 3 8 3 2 2" xfId="32921" xr:uid="{382E0488-A940-42F9-949B-F79581F0BEAE}"/>
    <cellStyle name="Comma 6 3 8 3 3" xfId="26741" xr:uid="{2B97535A-6DB0-4556-967B-FC710FD03475}"/>
    <cellStyle name="Comma 6 3 8 4" xfId="8470" xr:uid="{262671D4-4D64-4A81-9E52-CD63FBE90D55}"/>
    <cellStyle name="Comma 6 3 8 4 2" xfId="31057" xr:uid="{8D76CADE-BE0B-4001-9ABA-C590892E7F13}"/>
    <cellStyle name="Comma 6 3 8 5" xfId="24850" xr:uid="{2051730F-50A4-4801-B11B-9EC62CCA7ED5}"/>
    <cellStyle name="Comma 6 3 9" xfId="1483" xr:uid="{00000000-0005-0000-0000-0000C0010000}"/>
    <cellStyle name="Comma 6 3 9 2" xfId="2210" xr:uid="{00000000-0005-0000-0000-0000C1010000}"/>
    <cellStyle name="Comma 6 3 9 2 2" xfId="4303" xr:uid="{00000000-0005-0000-0000-0000C1010000}"/>
    <cellStyle name="Comma 6 3 9 2 2 2" xfId="11207" xr:uid="{6558360D-05DC-44B2-8E11-09CF56FE9CA6}"/>
    <cellStyle name="Comma 6 3 9 2 2 2 2" xfId="33693" xr:uid="{7BCF3719-813C-4F64-BA12-02B0048D1126}"/>
    <cellStyle name="Comma 6 3 9 2 2 3" xfId="27475" xr:uid="{11D4FEB8-C4C2-4D6B-B26D-34FCACB84E74}"/>
    <cellStyle name="Comma 6 3 9 2 3" xfId="9123" xr:uid="{7700D6D5-FEDA-4AF0-A10A-7F35957EFCF1}"/>
    <cellStyle name="Comma 6 3 9 2 3 2" xfId="31699" xr:uid="{5AC03350-FDA8-4F7C-BDB0-C997E93915EF}"/>
    <cellStyle name="Comma 6 3 9 2 4" xfId="25578" xr:uid="{2AD4134B-3A98-482C-A217-A6D91055CFE8}"/>
    <cellStyle name="Comma 6 3 9 3" xfId="3584" xr:uid="{00000000-0005-0000-0000-0000C0010000}"/>
    <cellStyle name="Comma 6 3 9 3 2" xfId="10489" xr:uid="{E53A83B4-349F-4651-986E-7F17983DEFB7}"/>
    <cellStyle name="Comma 6 3 9 3 2 2" xfId="32976" xr:uid="{923D4D2B-277E-4474-BD32-B53169AD7007}"/>
    <cellStyle name="Comma 6 3 9 3 3" xfId="26797" xr:uid="{CCB18561-FDD1-4602-8558-26C2FB953EA8}"/>
    <cellStyle name="Comma 6 3 9 4" xfId="8525" xr:uid="{68891769-5998-4EC2-9043-5F8E4DE4ADA7}"/>
    <cellStyle name="Comma 6 3 9 4 2" xfId="31112" xr:uid="{6754AEA8-A094-4EBB-98ED-D09EC17F2DFF}"/>
    <cellStyle name="Comma 6 3 9 5" xfId="24905" xr:uid="{B9A7AE9D-81B4-47E5-B191-C6CBE47C6851}"/>
    <cellStyle name="Comma 6 4" xfId="165" xr:uid="{00000000-0005-0000-0000-0000C2010000}"/>
    <cellStyle name="Comma 6 4 10" xfId="1546" xr:uid="{00000000-0005-0000-0000-0000C3010000}"/>
    <cellStyle name="Comma 6 4 10 2" xfId="3647" xr:uid="{00000000-0005-0000-0000-0000C3010000}"/>
    <cellStyle name="Comma 6 4 10 2 2" xfId="10551" xr:uid="{1317DB09-C3AA-4AD9-A33F-E8AE573F1834}"/>
    <cellStyle name="Comma 6 4 10 2 2 2" xfId="33037" xr:uid="{83795765-1A47-4C42-9930-F78A2027FCAC}"/>
    <cellStyle name="Comma 6 4 10 2 3" xfId="26858" xr:uid="{FA670F05-2FF0-40D5-B03D-668FD99857EE}"/>
    <cellStyle name="Comma 6 4 10 3" xfId="8583" xr:uid="{52B906D6-B7E1-4A34-8EE1-5259B9AEDF01}"/>
    <cellStyle name="Comma 6 4 10 3 2" xfId="31170" xr:uid="{1007B4B7-7F2B-443A-88C2-BAB230572565}"/>
    <cellStyle name="Comma 6 4 10 4" xfId="24968" xr:uid="{FE84F9E8-763F-4365-BF4B-66CEA52D3588}"/>
    <cellStyle name="Comma 6 4 11" xfId="2351" xr:uid="{00000000-0005-0000-0000-0000C2010000}"/>
    <cellStyle name="Comma 6 4 11 2" xfId="9260" xr:uid="{6A81CBB3-C5E6-4DBF-9D97-ADAB4E3E5EF6}"/>
    <cellStyle name="Comma 6 4 11 2 2" xfId="31835" xr:uid="{06A63EF4-6CDA-4BB9-A20E-5CA12E88D0C2}"/>
    <cellStyle name="Comma 6 4 11 3" xfId="25707" xr:uid="{B68DF6CF-86BE-484A-918B-83CD22D845B1}"/>
    <cellStyle name="Comma 6 4 12" xfId="7346" xr:uid="{110C6AFD-95A2-4767-AA10-4C28E292B959}"/>
    <cellStyle name="Comma 6 4 12 2" xfId="30032" xr:uid="{BDA3D901-EE3C-4F89-909F-81203B982296}"/>
    <cellStyle name="Comma 6 4 13" xfId="23739" xr:uid="{1126394D-3899-4591-8908-AB7CA4F866D9}"/>
    <cellStyle name="Comma 6 4 2" xfId="366" xr:uid="{00000000-0005-0000-0000-0000C4010000}"/>
    <cellStyle name="Comma 6 4 2 2" xfId="1602" xr:uid="{00000000-0005-0000-0000-0000C5010000}"/>
    <cellStyle name="Comma 6 4 2 2 2" xfId="3703" xr:uid="{00000000-0005-0000-0000-0000C5010000}"/>
    <cellStyle name="Comma 6 4 2 2 2 2" xfId="10607" xr:uid="{A0A667CD-5052-4982-8E9E-E095C05AB698}"/>
    <cellStyle name="Comma 6 4 2 2 2 2 2" xfId="33093" xr:uid="{180F40B9-0FD5-4E2B-8898-9098757C1967}"/>
    <cellStyle name="Comma 6 4 2 2 2 3" xfId="26914" xr:uid="{6938095C-6E77-4CD8-B966-18B01C367AE7}"/>
    <cellStyle name="Comma 6 4 2 2 3" xfId="8637" xr:uid="{5345C926-F0A2-4558-88D6-C69550306BC5}"/>
    <cellStyle name="Comma 6 4 2 2 3 2" xfId="31223" xr:uid="{5881815D-B88D-4C1F-AA47-9256F8D7E460}"/>
    <cellStyle name="Comma 6 4 2 2 4" xfId="25023" xr:uid="{1386A3F0-0945-443D-A26E-72C184E3E429}"/>
    <cellStyle name="Comma 6 4 2 3" xfId="2526" xr:uid="{00000000-0005-0000-0000-0000C4010000}"/>
    <cellStyle name="Comma 6 4 2 3 2" xfId="9435" xr:uid="{36CA4F72-BC30-44BB-A56A-79FA4D5FB102}"/>
    <cellStyle name="Comma 6 4 2 3 2 2" xfId="31992" xr:uid="{F0E481DE-7F6D-43F9-8A53-914FF6A46CA9}"/>
    <cellStyle name="Comma 6 4 2 3 3" xfId="25855" xr:uid="{E2C221A4-AC92-4B71-A676-34558F2FE455}"/>
    <cellStyle name="Comma 6 4 2 4" xfId="7529" xr:uid="{22B68270-15E7-4A52-BB18-46265AD8758B}"/>
    <cellStyle name="Comma 6 4 2 4 2" xfId="30194" xr:uid="{5C9B9CE7-B342-41B4-B44F-69BD4113FD52}"/>
    <cellStyle name="Comma 6 4 2 5" xfId="23914" xr:uid="{471F9E63-C78E-45C6-BEE3-7823675704CC}"/>
    <cellStyle name="Comma 6 4 3" xfId="525" xr:uid="{00000000-0005-0000-0000-0000C6010000}"/>
    <cellStyle name="Comma 6 4 3 2" xfId="1687" xr:uid="{00000000-0005-0000-0000-0000C7010000}"/>
    <cellStyle name="Comma 6 4 3 2 2" xfId="3785" xr:uid="{00000000-0005-0000-0000-0000C7010000}"/>
    <cellStyle name="Comma 6 4 3 2 2 2" xfId="10689" xr:uid="{3401E132-943E-41A7-AA0B-462BC85D886A}"/>
    <cellStyle name="Comma 6 4 3 2 2 2 2" xfId="33175" xr:uid="{A181E28B-B829-446C-8B75-DF5F6BA0883F}"/>
    <cellStyle name="Comma 6 4 3 2 2 3" xfId="26992" xr:uid="{0BD0622E-1FB2-4E48-A8B8-BE5AB3F46995}"/>
    <cellStyle name="Comma 6 4 3 2 3" xfId="8702" xr:uid="{0C9E8E08-3DCF-495B-A5F0-BA7306D92951}"/>
    <cellStyle name="Comma 6 4 3 2 3 2" xfId="31287" xr:uid="{71148C2A-F77B-481F-A6C1-B550DD300690}"/>
    <cellStyle name="Comma 6 4 3 2 4" xfId="25102" xr:uid="{D29D17A0-1DA3-4BC3-9737-DF14B6159607}"/>
    <cellStyle name="Comma 6 4 3 3" xfId="2676" xr:uid="{00000000-0005-0000-0000-0000C6010000}"/>
    <cellStyle name="Comma 6 4 3 3 2" xfId="9585" xr:uid="{E73F24B3-8C00-4CE1-9F67-367545406A67}"/>
    <cellStyle name="Comma 6 4 3 3 2 2" xfId="32135" xr:uid="{BC95BE1D-E7F8-4478-9EA0-00DC2EADD323}"/>
    <cellStyle name="Comma 6 4 3 3 3" xfId="25988" xr:uid="{472770F7-4D1E-41C7-8C10-B8506D2CB721}"/>
    <cellStyle name="Comma 6 4 3 4" xfId="7668" xr:uid="{F7C24E11-55DC-40A9-97DF-DFBD5CA2F76A}"/>
    <cellStyle name="Comma 6 4 3 4 2" xfId="30321" xr:uid="{F72728F4-F70B-4470-8BBD-5584978E51CD}"/>
    <cellStyle name="Comma 6 4 3 5" xfId="24056" xr:uid="{2AF77F24-6236-48E3-BFE1-851D721EC94B}"/>
    <cellStyle name="Comma 6 4 4" xfId="758" xr:uid="{00000000-0005-0000-0000-0000C8010000}"/>
    <cellStyle name="Comma 6 4 4 2" xfId="1784" xr:uid="{00000000-0005-0000-0000-0000C9010000}"/>
    <cellStyle name="Comma 6 4 4 2 2" xfId="3882" xr:uid="{00000000-0005-0000-0000-0000C9010000}"/>
    <cellStyle name="Comma 6 4 4 2 2 2" xfId="10786" xr:uid="{4446FDA3-AC13-4F13-8141-7CE1289BB178}"/>
    <cellStyle name="Comma 6 4 4 2 2 2 2" xfId="33272" xr:uid="{7019D6F2-A13D-4B6E-BBAD-6ECD6B69F404}"/>
    <cellStyle name="Comma 6 4 4 2 2 3" xfId="27081" xr:uid="{D2C81BFE-C8E5-47F0-A8B7-091EBA850141}"/>
    <cellStyle name="Comma 6 4 4 2 3" xfId="8784" xr:uid="{072FBFE7-2C22-47C0-97F0-61AB4F6A1F3D}"/>
    <cellStyle name="Comma 6 4 4 2 3 2" xfId="31367" xr:uid="{3342A677-F55E-4484-A4D2-F72BB2496ED9}"/>
    <cellStyle name="Comma 6 4 4 2 4" xfId="25190" xr:uid="{32279D9D-F42B-4F94-9863-82A3A01B43ED}"/>
    <cellStyle name="Comma 6 4 4 3" xfId="2897" xr:uid="{00000000-0005-0000-0000-0000C8010000}"/>
    <cellStyle name="Comma 6 4 4 3 2" xfId="9806" xr:uid="{BDFDB34B-7026-496E-A260-88ACC0A88798}"/>
    <cellStyle name="Comma 6 4 4 3 2 2" xfId="32334" xr:uid="{6EA3EC78-3345-4D38-8F10-B6F4635DDB73}"/>
    <cellStyle name="Comma 6 4 4 3 3" xfId="26188" xr:uid="{F3B4F1E7-B995-4FD2-BF0B-8386E6BFB0E3}"/>
    <cellStyle name="Comma 6 4 4 4" xfId="7880" xr:uid="{672CFCB7-C572-4DEC-A4FF-FE176A28AEE1}"/>
    <cellStyle name="Comma 6 4 4 4 2" xfId="30510" xr:uid="{A3B4E7C2-DDD5-4582-8BFA-E6ECC132DAF0}"/>
    <cellStyle name="Comma 6 4 4 5" xfId="24259" xr:uid="{CBEF4BF2-4418-42BF-8BCD-7E539CA35EE8}"/>
    <cellStyle name="Comma 6 4 5" xfId="947" xr:uid="{00000000-0005-0000-0000-0000CA010000}"/>
    <cellStyle name="Comma 6 4 5 2" xfId="1873" xr:uid="{00000000-0005-0000-0000-0000CB010000}"/>
    <cellStyle name="Comma 6 4 5 2 2" xfId="3971" xr:uid="{00000000-0005-0000-0000-0000CB010000}"/>
    <cellStyle name="Comma 6 4 5 2 2 2" xfId="10875" xr:uid="{75C0B504-96C2-4417-9405-965A393CD032}"/>
    <cellStyle name="Comma 6 4 5 2 2 2 2" xfId="33361" xr:uid="{8912CC36-ED2E-4683-BDEE-95020586843B}"/>
    <cellStyle name="Comma 6 4 5 2 2 3" xfId="27162" xr:uid="{7CBD9ABD-3C04-4983-86A1-EDD534F436A8}"/>
    <cellStyle name="Comma 6 4 5 2 3" xfId="8856" xr:uid="{FCE581BD-18D3-48BC-A84D-369819017EE1}"/>
    <cellStyle name="Comma 6 4 5 2 3 2" xfId="31437" xr:uid="{95235601-5A59-475A-90D2-E97838CA4BB6}"/>
    <cellStyle name="Comma 6 4 5 2 4" xfId="25269" xr:uid="{454C52F0-41D3-45F9-9C07-D5F2FB12EBF0}"/>
    <cellStyle name="Comma 6 4 5 3" xfId="3076" xr:uid="{00000000-0005-0000-0000-0000CA010000}"/>
    <cellStyle name="Comma 6 4 5 3 2" xfId="9985" xr:uid="{2146325F-D8AE-4D8D-97C1-DBAA6DE69B93}"/>
    <cellStyle name="Comma 6 4 5 3 2 2" xfId="32502" xr:uid="{90B92B32-0BE7-4D32-841B-39508DFF5CFA}"/>
    <cellStyle name="Comma 6 4 5 3 3" xfId="26335" xr:uid="{AB17B183-BAC3-444B-892D-337E6E8B61F1}"/>
    <cellStyle name="Comma 6 4 5 4" xfId="8048" xr:uid="{7D657D03-E039-4943-8BFE-D5A8E4ADAD05}"/>
    <cellStyle name="Comma 6 4 5 4 2" xfId="30666" xr:uid="{4B10BB17-E264-4A49-8C76-E73D7D8E1A03}"/>
    <cellStyle name="Comma 6 4 5 5" xfId="24425" xr:uid="{A8A85C3D-0906-4507-AC8D-874805527E44}"/>
    <cellStyle name="Comma 6 4 6" xfId="1130" xr:uid="{00000000-0005-0000-0000-0000CC010000}"/>
    <cellStyle name="Comma 6 4 6 2" xfId="1968" xr:uid="{00000000-0005-0000-0000-0000CD010000}"/>
    <cellStyle name="Comma 6 4 6 2 2" xfId="4064" xr:uid="{00000000-0005-0000-0000-0000CD010000}"/>
    <cellStyle name="Comma 6 4 6 2 2 2" xfId="10968" xr:uid="{45A68347-2F61-4C35-9481-7A24B0F6ACA6}"/>
    <cellStyle name="Comma 6 4 6 2 2 2 2" xfId="33454" xr:uid="{BE6ED834-0525-4E77-9F6E-D4CBEC696A47}"/>
    <cellStyle name="Comma 6 4 6 2 2 3" xfId="27249" xr:uid="{3834BB22-07FE-40C9-84FD-B35222B1F754}"/>
    <cellStyle name="Comma 6 4 6 2 3" xfId="8926" xr:uid="{4C04CB76-1542-4183-82A0-E94863BD2EB0}"/>
    <cellStyle name="Comma 6 4 6 2 3 2" xfId="31505" xr:uid="{C0AA55A6-94ED-4A45-BC10-38528B32CC90}"/>
    <cellStyle name="Comma 6 4 6 2 4" xfId="25354" xr:uid="{D43C9AFF-8A87-4B1F-9941-3731A116A18D}"/>
    <cellStyle name="Comma 6 4 6 3" xfId="3248" xr:uid="{00000000-0005-0000-0000-0000CC010000}"/>
    <cellStyle name="Comma 6 4 6 3 2" xfId="10156" xr:uid="{ABF79B30-2062-4112-956D-A35485A82516}"/>
    <cellStyle name="Comma 6 4 6 3 2 2" xfId="32655" xr:uid="{907B2BE2-D252-4917-9F48-CC71FFB73727}"/>
    <cellStyle name="Comma 6 4 6 3 3" xfId="26487" xr:uid="{8B46328F-93DA-4392-BD7A-5EC0F2AFAEDE}"/>
    <cellStyle name="Comma 6 4 6 4" xfId="8212" xr:uid="{297D1A2B-9B37-44C3-B099-AAB2C59CE34D}"/>
    <cellStyle name="Comma 6 4 6 4 2" xfId="30820" xr:uid="{C92E8E8A-02E0-448F-BB5D-911196C701AA}"/>
    <cellStyle name="Comma 6 4 6 5" xfId="24589" xr:uid="{54229D9C-53B9-4435-BE80-1F62968836B7}"/>
    <cellStyle name="Comma 6 4 7" xfId="1301" xr:uid="{00000000-0005-0000-0000-0000CE010000}"/>
    <cellStyle name="Comma 6 4 7 2" xfId="2058" xr:uid="{00000000-0005-0000-0000-0000CF010000}"/>
    <cellStyle name="Comma 6 4 7 2 2" xfId="4153" xr:uid="{00000000-0005-0000-0000-0000CF010000}"/>
    <cellStyle name="Comma 6 4 7 2 2 2" xfId="11057" xr:uid="{D300EB25-F89B-43D7-B252-DAE03442FE0E}"/>
    <cellStyle name="Comma 6 4 7 2 2 2 2" xfId="33543" xr:uid="{0B87971A-0049-4E61-89D7-0F26ECB7DC49}"/>
    <cellStyle name="Comma 6 4 7 2 2 3" xfId="27331" xr:uid="{F26E0D7D-ED1B-4573-91E0-9795187EB301}"/>
    <cellStyle name="Comma 6 4 7 2 3" xfId="8997" xr:uid="{F79DF279-3AD6-44CF-9D71-CA2BCED59BD8}"/>
    <cellStyle name="Comma 6 4 7 2 3 2" xfId="31575" xr:uid="{62C9873A-002B-4044-B4D2-0BF6C3797A0B}"/>
    <cellStyle name="Comma 6 4 7 2 4" xfId="25438" xr:uid="{C13D83C3-4F03-4FFE-9CD2-3E7E7E97B2AE}"/>
    <cellStyle name="Comma 6 4 7 3" xfId="3409" xr:uid="{00000000-0005-0000-0000-0000CE010000}"/>
    <cellStyle name="Comma 6 4 7 3 2" xfId="10317" xr:uid="{1BDED9F8-674D-44CE-A8B4-51DE19B682AF}"/>
    <cellStyle name="Comma 6 4 7 3 2 2" xfId="32808" xr:uid="{1F06B7E6-6E3D-4FE4-859E-C3F0ED4F250D}"/>
    <cellStyle name="Comma 6 4 7 3 3" xfId="26634" xr:uid="{275FE84D-F688-40B2-A097-5B365189CC80}"/>
    <cellStyle name="Comma 6 4 7 4" xfId="8367" xr:uid="{1C5B0160-0391-4FE6-ACFF-1BFC743BDA24}"/>
    <cellStyle name="Comma 6 4 7 4 2" xfId="30959" xr:uid="{FE8CCFFF-7F6C-4A36-9B6C-188F5F5205B2}"/>
    <cellStyle name="Comma 6 4 7 5" xfId="24733" xr:uid="{BE2E9FE2-5D97-46B3-9D0B-AB161B17CD51}"/>
    <cellStyle name="Comma 6 4 8" xfId="1456" xr:uid="{00000000-0005-0000-0000-0000D0010000}"/>
    <cellStyle name="Comma 6 4 8 2" xfId="2183" xr:uid="{00000000-0005-0000-0000-0000D1010000}"/>
    <cellStyle name="Comma 6 4 8 2 2" xfId="4276" xr:uid="{00000000-0005-0000-0000-0000D1010000}"/>
    <cellStyle name="Comma 6 4 8 2 2 2" xfId="11180" xr:uid="{70120DCC-62E9-4797-9CC2-09EF7616976A}"/>
    <cellStyle name="Comma 6 4 8 2 2 2 2" xfId="33666" xr:uid="{9AB2DE52-F330-4D95-AA6B-FFC54B4E2C26}"/>
    <cellStyle name="Comma 6 4 8 2 2 3" xfId="27448" xr:uid="{D4F3DF03-0840-447F-8DAF-B120DD04ADBC}"/>
    <cellStyle name="Comma 6 4 8 2 3" xfId="9100" xr:uid="{7F4E7E74-517B-4682-A43A-647D33B92D41}"/>
    <cellStyle name="Comma 6 4 8 2 3 2" xfId="31676" xr:uid="{77141D79-7C80-4EE8-B3D1-BAB31E201EE4}"/>
    <cellStyle name="Comma 6 4 8 2 4" xfId="25553" xr:uid="{565B5229-BDC1-4060-A793-703B5EDB19CD}"/>
    <cellStyle name="Comma 6 4 8 3" xfId="3557" xr:uid="{00000000-0005-0000-0000-0000D0010000}"/>
    <cellStyle name="Comma 6 4 8 3 2" xfId="10463" xr:uid="{E73BE7BF-5670-4578-B2FE-31CA913A0A80}"/>
    <cellStyle name="Comma 6 4 8 3 2 2" xfId="32950" xr:uid="{80EA693F-F660-44AA-8CDC-42EF6C2CA28B}"/>
    <cellStyle name="Comma 6 4 8 3 3" xfId="26770" xr:uid="{EF7ED10F-174E-4D80-9E6B-025AB13B5098}"/>
    <cellStyle name="Comma 6 4 8 4" xfId="8499" xr:uid="{99505D01-1F7D-4C05-BBD9-E12FF1B47721}"/>
    <cellStyle name="Comma 6 4 8 4 2" xfId="31086" xr:uid="{66471652-1D1D-4FF6-A1CF-3B544DDE6405}"/>
    <cellStyle name="Comma 6 4 8 5" xfId="24879" xr:uid="{8C8AAD80-D4E7-4E65-8461-454B8ADB6746}"/>
    <cellStyle name="Comma 6 4 9" xfId="1488" xr:uid="{00000000-0005-0000-0000-0000D2010000}"/>
    <cellStyle name="Comma 6 4 9 2" xfId="2215" xr:uid="{00000000-0005-0000-0000-0000D3010000}"/>
    <cellStyle name="Comma 6 4 9 2 2" xfId="4308" xr:uid="{00000000-0005-0000-0000-0000D3010000}"/>
    <cellStyle name="Comma 6 4 9 2 2 2" xfId="11212" xr:uid="{40756252-118A-4AC1-8F95-5B4706E65E49}"/>
    <cellStyle name="Comma 6 4 9 2 2 2 2" xfId="33698" xr:uid="{6A6C6048-52BD-4F5C-ACAC-5879A76FB2FE}"/>
    <cellStyle name="Comma 6 4 9 2 2 3" xfId="27480" xr:uid="{0B6481CA-804E-451E-B879-814A0BC27025}"/>
    <cellStyle name="Comma 6 4 9 2 3" xfId="9128" xr:uid="{C6B89702-7160-4844-BE28-1828CEB03EEA}"/>
    <cellStyle name="Comma 6 4 9 2 3 2" xfId="31704" xr:uid="{4BD07957-3016-4965-B001-863354D2BA02}"/>
    <cellStyle name="Comma 6 4 9 2 4" xfId="25583" xr:uid="{537AF026-0DAC-42E8-A37B-5ACC2FDB3092}"/>
    <cellStyle name="Comma 6 4 9 3" xfId="3589" xr:uid="{00000000-0005-0000-0000-0000D2010000}"/>
    <cellStyle name="Comma 6 4 9 3 2" xfId="10494" xr:uid="{2F565D61-ED9D-40F3-AE5D-5AA1F44BA214}"/>
    <cellStyle name="Comma 6 4 9 3 2 2" xfId="32981" xr:uid="{9E55288B-81C2-486E-9ABD-9B18A31CFE3A}"/>
    <cellStyle name="Comma 6 4 9 3 3" xfId="26802" xr:uid="{82724831-2BB6-410F-BC8C-007F4CC1B20C}"/>
    <cellStyle name="Comma 6 4 9 4" xfId="8530" xr:uid="{8796B9BA-A56A-47BC-8D91-D15750AAC67C}"/>
    <cellStyle name="Comma 6 4 9 4 2" xfId="31117" xr:uid="{5D92B1E8-1782-4CE5-B274-37985D3A1630}"/>
    <cellStyle name="Comma 6 4 9 5" xfId="24910" xr:uid="{5B55EA33-A106-441F-B06B-246E133F6B8B}"/>
    <cellStyle name="Comma 6 5" xfId="186" xr:uid="{00000000-0005-0000-0000-0000D4010000}"/>
    <cellStyle name="Comma 6 5 10" xfId="1551" xr:uid="{00000000-0005-0000-0000-0000D5010000}"/>
    <cellStyle name="Comma 6 5 10 2" xfId="3652" xr:uid="{00000000-0005-0000-0000-0000D5010000}"/>
    <cellStyle name="Comma 6 5 10 2 2" xfId="10556" xr:uid="{06561400-1433-4545-B714-C99492A41EF5}"/>
    <cellStyle name="Comma 6 5 10 2 2 2" xfId="33042" xr:uid="{4F4E5451-AC08-43DE-9DBC-6A902EFD3975}"/>
    <cellStyle name="Comma 6 5 10 2 3" xfId="26863" xr:uid="{261CD386-8B33-4860-8D43-3FD97E28A553}"/>
    <cellStyle name="Comma 6 5 10 3" xfId="8588" xr:uid="{62AC6559-3114-4C9B-93B2-AD2C1DF307C6}"/>
    <cellStyle name="Comma 6 5 10 3 2" xfId="31175" xr:uid="{235224DD-DDF2-498D-9A7E-1639ED5C4AB9}"/>
    <cellStyle name="Comma 6 5 10 4" xfId="24973" xr:uid="{3791B091-9AD1-44EA-9A18-BF2AB605A09C}"/>
    <cellStyle name="Comma 6 5 11" xfId="2363" xr:uid="{00000000-0005-0000-0000-0000D4010000}"/>
    <cellStyle name="Comma 6 5 11 2" xfId="9272" xr:uid="{9C977A34-B157-4EDA-B740-D95468AB32D6}"/>
    <cellStyle name="Comma 6 5 11 2 2" xfId="31847" xr:uid="{87F5A3EC-E6D4-4966-BE44-21C4F1BEE2D6}"/>
    <cellStyle name="Comma 6 5 11 3" xfId="25719" xr:uid="{839AF9A0-E8D6-4C3C-B8E2-35B6D3B9051E}"/>
    <cellStyle name="Comma 6 5 12" xfId="7362" xr:uid="{BAD8D603-C8AB-45ED-92BF-1CC29747526F}"/>
    <cellStyle name="Comma 6 5 12 2" xfId="30047" xr:uid="{4647E437-86DC-4F2D-9669-60FEF2C77959}"/>
    <cellStyle name="Comma 6 5 13" xfId="23759" xr:uid="{5116D355-08C8-4388-A0AB-5F5181B06B47}"/>
    <cellStyle name="Comma 6 5 2" xfId="385" xr:uid="{00000000-0005-0000-0000-0000D6010000}"/>
    <cellStyle name="Comma 6 5 2 2" xfId="1607" xr:uid="{00000000-0005-0000-0000-0000D7010000}"/>
    <cellStyle name="Comma 6 5 2 2 2" xfId="3708" xr:uid="{00000000-0005-0000-0000-0000D7010000}"/>
    <cellStyle name="Comma 6 5 2 2 2 2" xfId="10612" xr:uid="{F4691E21-0E32-42FA-B2CE-4A8AF56CFD7E}"/>
    <cellStyle name="Comma 6 5 2 2 2 2 2" xfId="33098" xr:uid="{A9EAE76E-7CCF-4D20-82B3-D6E2C9E4B3AA}"/>
    <cellStyle name="Comma 6 5 2 2 2 3" xfId="26919" xr:uid="{50457062-54F6-4671-B2A4-95FCDF5CBEFF}"/>
    <cellStyle name="Comma 6 5 2 2 3" xfId="8642" xr:uid="{1807AC33-7F2E-4040-A238-89A85E14E320}"/>
    <cellStyle name="Comma 6 5 2 2 3 2" xfId="31228" xr:uid="{53490B9B-479D-42FE-ADD3-3038218BA4CC}"/>
    <cellStyle name="Comma 6 5 2 2 4" xfId="25028" xr:uid="{E4CAB82E-B573-421C-A532-A6DCCB5088E2}"/>
    <cellStyle name="Comma 6 5 2 3" xfId="2544" xr:uid="{00000000-0005-0000-0000-0000D6010000}"/>
    <cellStyle name="Comma 6 5 2 3 2" xfId="9453" xr:uid="{7CC03E3F-AF38-4963-83A4-2E51008E0665}"/>
    <cellStyle name="Comma 6 5 2 3 2 2" xfId="32008" xr:uid="{69235A4B-85D1-4511-A914-AF34F2A03B54}"/>
    <cellStyle name="Comma 6 5 2 3 3" xfId="25871" xr:uid="{F293978A-78E5-444D-AA1B-629D456740BA}"/>
    <cellStyle name="Comma 6 5 2 4" xfId="7548" xr:uid="{DAA6E986-96AF-4DE2-84A5-5821C8A10715}"/>
    <cellStyle name="Comma 6 5 2 4 2" xfId="30212" xr:uid="{009E9DC6-5333-4BB2-BE3F-C36D03D483A8}"/>
    <cellStyle name="Comma 6 5 2 5" xfId="23932" xr:uid="{2F88CF76-B4A4-4026-94CD-8D760DD83ABC}"/>
    <cellStyle name="Comma 6 5 3" xfId="542" xr:uid="{00000000-0005-0000-0000-0000D8010000}"/>
    <cellStyle name="Comma 6 5 3 2" xfId="1692" xr:uid="{00000000-0005-0000-0000-0000D9010000}"/>
    <cellStyle name="Comma 6 5 3 2 2" xfId="3790" xr:uid="{00000000-0005-0000-0000-0000D9010000}"/>
    <cellStyle name="Comma 6 5 3 2 2 2" xfId="10694" xr:uid="{685B2326-615E-41E7-AD44-21EE13445503}"/>
    <cellStyle name="Comma 6 5 3 2 2 2 2" xfId="33180" xr:uid="{BA600589-5B2C-4D15-809B-3DC520994574}"/>
    <cellStyle name="Comma 6 5 3 2 2 3" xfId="26997" xr:uid="{B1E442DA-9544-4497-8FE6-3B2D05D0ED72}"/>
    <cellStyle name="Comma 6 5 3 2 3" xfId="8707" xr:uid="{3A7FDB01-DF3E-4A43-A5E3-5F45315F1731}"/>
    <cellStyle name="Comma 6 5 3 2 3 2" xfId="31292" xr:uid="{E5C5E43D-D660-4F72-A7C1-C798EAA35E2F}"/>
    <cellStyle name="Comma 6 5 3 2 4" xfId="25107" xr:uid="{A36C7AC8-1294-4C96-BE56-A0EDE79483E4}"/>
    <cellStyle name="Comma 6 5 3 3" xfId="2693" xr:uid="{00000000-0005-0000-0000-0000D8010000}"/>
    <cellStyle name="Comma 6 5 3 3 2" xfId="9602" xr:uid="{587553C5-697F-46C4-84C3-5B81DCC6F3C5}"/>
    <cellStyle name="Comma 6 5 3 3 2 2" xfId="32151" xr:uid="{34418216-489C-4A27-B683-9EF81974FC00}"/>
    <cellStyle name="Comma 6 5 3 3 3" xfId="26003" xr:uid="{D57A7A71-6A85-4642-84ED-953DCDAB6E47}"/>
    <cellStyle name="Comma 6 5 3 4" xfId="7685" xr:uid="{F763368B-8D13-42C3-9961-B2A737E3DEA2}"/>
    <cellStyle name="Comma 6 5 3 4 2" xfId="30335" xr:uid="{A8260DD3-0FFF-4E1D-A155-BA3B551C9DEE}"/>
    <cellStyle name="Comma 6 5 3 5" xfId="24070" xr:uid="{6D5998D0-0725-4C24-87DD-D5C758A9981D}"/>
    <cellStyle name="Comma 6 5 4" xfId="778" xr:uid="{00000000-0005-0000-0000-0000DA010000}"/>
    <cellStyle name="Comma 6 5 4 2" xfId="1789" xr:uid="{00000000-0005-0000-0000-0000DB010000}"/>
    <cellStyle name="Comma 6 5 4 2 2" xfId="3887" xr:uid="{00000000-0005-0000-0000-0000DB010000}"/>
    <cellStyle name="Comma 6 5 4 2 2 2" xfId="10791" xr:uid="{500540FC-514E-4455-930D-0F7EEB52363D}"/>
    <cellStyle name="Comma 6 5 4 2 2 2 2" xfId="33277" xr:uid="{00586E6A-7EC7-4636-B02A-6BBC7E78E6C1}"/>
    <cellStyle name="Comma 6 5 4 2 2 3" xfId="27086" xr:uid="{B6C219FE-A53F-4E80-A731-8BC32FDB3073}"/>
    <cellStyle name="Comma 6 5 4 2 3" xfId="8789" xr:uid="{5CFDCFA5-2343-43DE-8765-22CA1EB9FA18}"/>
    <cellStyle name="Comma 6 5 4 2 3 2" xfId="31372" xr:uid="{F7133ED4-010D-4CE8-9F00-F941C5557D22}"/>
    <cellStyle name="Comma 6 5 4 2 4" xfId="25195" xr:uid="{6463244C-AD95-4D80-8FC6-436161CF879C}"/>
    <cellStyle name="Comma 6 5 4 3" xfId="2917" xr:uid="{00000000-0005-0000-0000-0000DA010000}"/>
    <cellStyle name="Comma 6 5 4 3 2" xfId="9826" xr:uid="{48B2D981-06D0-4CE6-8438-A55FD1B1EB1F}"/>
    <cellStyle name="Comma 6 5 4 3 2 2" xfId="32351" xr:uid="{6B54FF82-825A-422A-9D12-439F803FE4CB}"/>
    <cellStyle name="Comma 6 5 4 3 3" xfId="26206" xr:uid="{5D59B2BA-EC61-4B8E-A59B-4D3CA338FF2D}"/>
    <cellStyle name="Comma 6 5 4 4" xfId="7900" xr:uid="{8C8D6BF7-D717-4616-9283-6958138627C8}"/>
    <cellStyle name="Comma 6 5 4 4 2" xfId="30528" xr:uid="{A9914D56-F45F-468D-8EB8-7EAE68F03725}"/>
    <cellStyle name="Comma 6 5 4 5" xfId="24277" xr:uid="{8FB66CBF-77B9-49C9-B145-682B2FE4FA30}"/>
    <cellStyle name="Comma 6 5 5" xfId="966" xr:uid="{00000000-0005-0000-0000-0000DC010000}"/>
    <cellStyle name="Comma 6 5 5 2" xfId="1878" xr:uid="{00000000-0005-0000-0000-0000DD010000}"/>
    <cellStyle name="Comma 6 5 5 2 2" xfId="3976" xr:uid="{00000000-0005-0000-0000-0000DD010000}"/>
    <cellStyle name="Comma 6 5 5 2 2 2" xfId="10880" xr:uid="{7A705D1C-B71F-465C-8AF2-B0D2BA7E7C2F}"/>
    <cellStyle name="Comma 6 5 5 2 2 2 2" xfId="33366" xr:uid="{72D79595-ABB4-48BA-A19E-BCEF2CF83125}"/>
    <cellStyle name="Comma 6 5 5 2 2 3" xfId="27167" xr:uid="{E494F76B-9A69-415C-86CF-D708BFAD7053}"/>
    <cellStyle name="Comma 6 5 5 2 3" xfId="8861" xr:uid="{48E27815-94A0-446A-B133-D3F53234A967}"/>
    <cellStyle name="Comma 6 5 5 2 3 2" xfId="31442" xr:uid="{DDC905EE-559F-400E-98F2-779C61DBFBB7}"/>
    <cellStyle name="Comma 6 5 5 2 4" xfId="25274" xr:uid="{944E571A-26AC-4A43-AEAC-319C2AF11192}"/>
    <cellStyle name="Comma 6 5 5 3" xfId="3095" xr:uid="{00000000-0005-0000-0000-0000DC010000}"/>
    <cellStyle name="Comma 6 5 5 3 2" xfId="10004" xr:uid="{44CEFEA3-FCBF-4315-9AE7-578B41C35FC6}"/>
    <cellStyle name="Comma 6 5 5 3 2 2" xfId="32515" xr:uid="{3403B1C3-CBC2-4FE4-BDE9-2A38875F0E2D}"/>
    <cellStyle name="Comma 6 5 5 3 3" xfId="26354" xr:uid="{A9168BD2-791D-4579-BD6E-0A0A0E11B7ED}"/>
    <cellStyle name="Comma 6 5 5 4" xfId="8067" xr:uid="{56DF61AA-023F-4679-A482-653F22FE5FE7}"/>
    <cellStyle name="Comma 6 5 5 4 2" xfId="30684" xr:uid="{4F7126EA-1D10-424C-9CF7-F5152E27BAF9}"/>
    <cellStyle name="Comma 6 5 5 5" xfId="24444" xr:uid="{C6A05408-1CAE-4884-A02E-D270506BBC00}"/>
    <cellStyle name="Comma 6 5 6" xfId="1149" xr:uid="{00000000-0005-0000-0000-0000DE010000}"/>
    <cellStyle name="Comma 6 5 6 2" xfId="1973" xr:uid="{00000000-0005-0000-0000-0000DF010000}"/>
    <cellStyle name="Comma 6 5 6 2 2" xfId="4069" xr:uid="{00000000-0005-0000-0000-0000DF010000}"/>
    <cellStyle name="Comma 6 5 6 2 2 2" xfId="10973" xr:uid="{4FBFF1DA-02FC-4EFF-A7D4-A7109616F4A2}"/>
    <cellStyle name="Comma 6 5 6 2 2 2 2" xfId="33459" xr:uid="{D44704CD-366E-428B-B416-87F18663FB3D}"/>
    <cellStyle name="Comma 6 5 6 2 2 3" xfId="27254" xr:uid="{92C7345E-324F-4794-AA1D-F580915127B3}"/>
    <cellStyle name="Comma 6 5 6 2 3" xfId="8931" xr:uid="{E997A9D8-1A8A-4E5A-9C7D-34FF2BF32581}"/>
    <cellStyle name="Comma 6 5 6 2 3 2" xfId="31510" xr:uid="{6B44E111-999D-4DB9-92AB-2B43F0D43EC5}"/>
    <cellStyle name="Comma 6 5 6 2 4" xfId="25359" xr:uid="{C8508C0F-BCA5-4328-B60D-BFD23B9B7918}"/>
    <cellStyle name="Comma 6 5 6 3" xfId="3267" xr:uid="{00000000-0005-0000-0000-0000DE010000}"/>
    <cellStyle name="Comma 6 5 6 3 2" xfId="10175" xr:uid="{1E438D97-D8DB-4D9F-95DA-9492DFBE4173}"/>
    <cellStyle name="Comma 6 5 6 3 2 2" xfId="32672" xr:uid="{DBC195D7-30FA-402D-93E7-921946FA88E7}"/>
    <cellStyle name="Comma 6 5 6 3 3" xfId="26504" xr:uid="{0E2F6578-AB5A-4109-AB00-EFC5911171A5}"/>
    <cellStyle name="Comma 6 5 6 4" xfId="8231" xr:uid="{80853A64-C13E-408B-8D27-B1B0631215E8}"/>
    <cellStyle name="Comma 6 5 6 4 2" xfId="30836" xr:uid="{6DBE4E0F-FDF2-4364-9582-365E23D907ED}"/>
    <cellStyle name="Comma 6 5 6 5" xfId="24606" xr:uid="{15A6FE46-A24D-4F81-86B9-1ECE0C448F05}"/>
    <cellStyle name="Comma 6 5 7" xfId="1318" xr:uid="{00000000-0005-0000-0000-0000E0010000}"/>
    <cellStyle name="Comma 6 5 7 2" xfId="2063" xr:uid="{00000000-0005-0000-0000-0000E1010000}"/>
    <cellStyle name="Comma 6 5 7 2 2" xfId="4158" xr:uid="{00000000-0005-0000-0000-0000E1010000}"/>
    <cellStyle name="Comma 6 5 7 2 2 2" xfId="11062" xr:uid="{D631ECA1-271E-47F4-A8DA-C14267D139B5}"/>
    <cellStyle name="Comma 6 5 7 2 2 2 2" xfId="33548" xr:uid="{33500BA3-740E-45B6-8743-993EC8C3F775}"/>
    <cellStyle name="Comma 6 5 7 2 2 3" xfId="27336" xr:uid="{6D0E2D74-D105-4CF3-9672-776BBB049686}"/>
    <cellStyle name="Comma 6 5 7 2 3" xfId="9002" xr:uid="{6C0D69D7-C5CD-42CC-92BE-44E4C4EC326C}"/>
    <cellStyle name="Comma 6 5 7 2 3 2" xfId="31580" xr:uid="{0D1FE086-4D9C-4AB3-97F4-90B0523CD3EF}"/>
    <cellStyle name="Comma 6 5 7 2 4" xfId="25443" xr:uid="{176FA7FC-0EDB-442F-A62C-5C1F0941B1D9}"/>
    <cellStyle name="Comma 6 5 7 3" xfId="3426" xr:uid="{00000000-0005-0000-0000-0000E0010000}"/>
    <cellStyle name="Comma 6 5 7 3 2" xfId="10334" xr:uid="{5B0324C7-8961-461E-8DBA-9633970F3880}"/>
    <cellStyle name="Comma 6 5 7 3 2 2" xfId="32823" xr:uid="{2970EA84-D445-4406-B0E5-560E8E6E579C}"/>
    <cellStyle name="Comma 6 5 7 3 3" xfId="26650" xr:uid="{6851D593-0F03-4E91-A1B5-E2E622C8FAFA}"/>
    <cellStyle name="Comma 6 5 7 4" xfId="8384" xr:uid="{3AFC49EB-F323-41E9-A54F-07F230187462}"/>
    <cellStyle name="Comma 6 5 7 4 2" xfId="30974" xr:uid="{D2F43766-4869-4BB0-94CB-BA794A9A16E6}"/>
    <cellStyle name="Comma 6 5 7 5" xfId="24748" xr:uid="{B2551BD0-EC29-42BD-8373-AD0F9DACC904}"/>
    <cellStyle name="Comma 6 5 8" xfId="1455" xr:uid="{00000000-0005-0000-0000-0000E2010000}"/>
    <cellStyle name="Comma 6 5 8 2" xfId="2182" xr:uid="{00000000-0005-0000-0000-0000E3010000}"/>
    <cellStyle name="Comma 6 5 8 2 2" xfId="4275" xr:uid="{00000000-0005-0000-0000-0000E3010000}"/>
    <cellStyle name="Comma 6 5 8 2 2 2" xfId="11179" xr:uid="{7AA09C56-7E37-44E3-8D34-09289B0DC18D}"/>
    <cellStyle name="Comma 6 5 8 2 2 2 2" xfId="33665" xr:uid="{F35788C1-C238-4DDA-9652-C0C13E14A583}"/>
    <cellStyle name="Comma 6 5 8 2 2 3" xfId="27447" xr:uid="{30E77D14-B672-4DF9-90D5-CEDF10A92E32}"/>
    <cellStyle name="Comma 6 5 8 2 3" xfId="9099" xr:uid="{EB2A400C-A932-480B-ACC6-7B718FA79B94}"/>
    <cellStyle name="Comma 6 5 8 2 3 2" xfId="31675" xr:uid="{AAA982A3-E923-46F4-ACE1-E1AA6B430FC9}"/>
    <cellStyle name="Comma 6 5 8 2 4" xfId="25552" xr:uid="{54A28893-6A5B-40DE-802D-E2C30D9C04D5}"/>
    <cellStyle name="Comma 6 5 8 3" xfId="3556" xr:uid="{00000000-0005-0000-0000-0000E2010000}"/>
    <cellStyle name="Comma 6 5 8 3 2" xfId="10462" xr:uid="{39479EF3-7EB1-4038-96EA-620BBF40C45A}"/>
    <cellStyle name="Comma 6 5 8 3 2 2" xfId="32949" xr:uid="{25D43D8B-772C-4539-9AC0-26DC61A59AC0}"/>
    <cellStyle name="Comma 6 5 8 3 3" xfId="26769" xr:uid="{1FA40989-A89E-4B1C-95B6-BBB5A4001693}"/>
    <cellStyle name="Comma 6 5 8 4" xfId="8498" xr:uid="{A2695866-33E3-438A-A1A5-63047442088D}"/>
    <cellStyle name="Comma 6 5 8 4 2" xfId="31085" xr:uid="{CD1DDE6B-C805-492B-B259-D250197A4B36}"/>
    <cellStyle name="Comma 6 5 8 5" xfId="24878" xr:uid="{6038831F-441A-426E-9D0F-D66B72EC99A1}"/>
    <cellStyle name="Comma 6 5 9" xfId="1493" xr:uid="{00000000-0005-0000-0000-0000E4010000}"/>
    <cellStyle name="Comma 6 5 9 2" xfId="2220" xr:uid="{00000000-0005-0000-0000-0000E5010000}"/>
    <cellStyle name="Comma 6 5 9 2 2" xfId="4313" xr:uid="{00000000-0005-0000-0000-0000E5010000}"/>
    <cellStyle name="Comma 6 5 9 2 2 2" xfId="11217" xr:uid="{D0A8E2CB-D467-4B0B-89A0-0BCAB832ED86}"/>
    <cellStyle name="Comma 6 5 9 2 2 2 2" xfId="33703" xr:uid="{96ED3E92-D3F1-49EB-9F79-49DD16A56CBC}"/>
    <cellStyle name="Comma 6 5 9 2 2 3" xfId="27485" xr:uid="{4EE99849-D4E4-4D40-AE2C-964FBDB84A01}"/>
    <cellStyle name="Comma 6 5 9 2 3" xfId="9133" xr:uid="{1FF8C058-1599-4524-8D04-252252729F28}"/>
    <cellStyle name="Comma 6 5 9 2 3 2" xfId="31709" xr:uid="{DC8B4B5E-D194-4093-BA5F-FF053048B9EC}"/>
    <cellStyle name="Comma 6 5 9 2 4" xfId="25588" xr:uid="{F115793F-CE50-45D5-91E8-D9AE2481E7E1}"/>
    <cellStyle name="Comma 6 5 9 3" xfId="3594" xr:uid="{00000000-0005-0000-0000-0000E4010000}"/>
    <cellStyle name="Comma 6 5 9 3 2" xfId="10499" xr:uid="{F4B4D0F4-6D10-430F-AD1E-314DD583EE8B}"/>
    <cellStyle name="Comma 6 5 9 3 2 2" xfId="32986" xr:uid="{10105F05-76F0-4436-8A89-DF8CA1C3BB49}"/>
    <cellStyle name="Comma 6 5 9 3 3" xfId="26807" xr:uid="{770FA98F-3D53-4B5D-A56F-78B363B56434}"/>
    <cellStyle name="Comma 6 5 9 4" xfId="8535" xr:uid="{181B7F5C-4CE5-499F-B33A-D28C031F7CF6}"/>
    <cellStyle name="Comma 6 5 9 4 2" xfId="31122" xr:uid="{EF882A44-8807-4FE3-B2B1-F99249502870}"/>
    <cellStyle name="Comma 6 5 9 5" xfId="24915" xr:uid="{3ED3B4C3-56EA-425B-9282-36FDE79D5988}"/>
    <cellStyle name="Comma 6 6" xfId="207" xr:uid="{00000000-0005-0000-0000-0000E6010000}"/>
    <cellStyle name="Comma 6 6 10" xfId="1556" xr:uid="{00000000-0005-0000-0000-0000E7010000}"/>
    <cellStyle name="Comma 6 6 10 2" xfId="3657" xr:uid="{00000000-0005-0000-0000-0000E7010000}"/>
    <cellStyle name="Comma 6 6 10 2 2" xfId="10561" xr:uid="{C3F10A06-B75D-4053-B745-32317C685CD6}"/>
    <cellStyle name="Comma 6 6 10 2 2 2" xfId="33047" xr:uid="{EB2E4AFF-496C-4E4A-A3FD-B9B4398E8007}"/>
    <cellStyle name="Comma 6 6 10 2 3" xfId="26868" xr:uid="{3D55232C-34AC-41CA-83D8-29D20A3BBD20}"/>
    <cellStyle name="Comma 6 6 10 3" xfId="8593" xr:uid="{F0471CA7-2861-4A2E-A1B4-983875D54E05}"/>
    <cellStyle name="Comma 6 6 10 3 2" xfId="31180" xr:uid="{6FCEB09B-14C3-47B4-B061-ED7132E32CF3}"/>
    <cellStyle name="Comma 6 6 10 4" xfId="24978" xr:uid="{2F809570-FF7D-4097-B980-1C6BE2D04242}"/>
    <cellStyle name="Comma 6 6 11" xfId="2378" xr:uid="{00000000-0005-0000-0000-0000E6010000}"/>
    <cellStyle name="Comma 6 6 11 2" xfId="9287" xr:uid="{F5E0A340-5DD7-4101-8045-B39E93586D25}"/>
    <cellStyle name="Comma 6 6 11 2 2" xfId="31862" xr:uid="{AD8BA513-96B8-415C-99C8-7E767E95DD06}"/>
    <cellStyle name="Comma 6 6 11 3" xfId="25731" xr:uid="{71B84443-24E5-4F41-A679-FF77C2E62B7B}"/>
    <cellStyle name="Comma 6 6 12" xfId="7379" xr:uid="{AFCC0229-4715-4B75-8669-2848EB31F1ED}"/>
    <cellStyle name="Comma 6 6 12 2" xfId="30064" xr:uid="{82BF0BBD-C654-4488-8B24-2A2AEA2B0690}"/>
    <cellStyle name="Comma 6 6 13" xfId="23778" xr:uid="{F6053267-59B8-4937-81E8-BD0D79DECF70}"/>
    <cellStyle name="Comma 6 6 2" xfId="402" xr:uid="{00000000-0005-0000-0000-0000E8010000}"/>
    <cellStyle name="Comma 6 6 2 2" xfId="1612" xr:uid="{00000000-0005-0000-0000-0000E9010000}"/>
    <cellStyle name="Comma 6 6 2 2 2" xfId="3713" xr:uid="{00000000-0005-0000-0000-0000E9010000}"/>
    <cellStyle name="Comma 6 6 2 2 2 2" xfId="10617" xr:uid="{A0BF768C-C7A8-4B1F-95A3-1043F455C997}"/>
    <cellStyle name="Comma 6 6 2 2 2 2 2" xfId="33103" xr:uid="{FEE64C61-1567-4C8C-AD1D-A521EE6509F9}"/>
    <cellStyle name="Comma 6 6 2 2 2 3" xfId="26924" xr:uid="{D43DE373-93CB-4C31-9FF7-A3E4526F7967}"/>
    <cellStyle name="Comma 6 6 2 2 3" xfId="8647" xr:uid="{D4C8E4B5-B0A8-4794-A3AF-96589E6F8411}"/>
    <cellStyle name="Comma 6 6 2 2 3 2" xfId="31233" xr:uid="{987EAE29-2BE9-43B3-9E1B-612C1108E26A}"/>
    <cellStyle name="Comma 6 6 2 2 4" xfId="25033" xr:uid="{F961A0E3-E406-46CE-AE18-19DC09C984A4}"/>
    <cellStyle name="Comma 6 6 2 3" xfId="2561" xr:uid="{00000000-0005-0000-0000-0000E8010000}"/>
    <cellStyle name="Comma 6 6 2 3 2" xfId="9470" xr:uid="{07229618-3238-40B1-94EB-76F2B413FA69}"/>
    <cellStyle name="Comma 6 6 2 3 2 2" xfId="32022" xr:uid="{87B035EA-F45A-4BBD-86BC-FBCDA4EA9256}"/>
    <cellStyle name="Comma 6 6 2 3 3" xfId="25886" xr:uid="{0929AF07-6BF6-436F-B5A7-85E13C772818}"/>
    <cellStyle name="Comma 6 6 2 4" xfId="7565" xr:uid="{83655C36-5218-4417-83EF-D55077CA40D7}"/>
    <cellStyle name="Comma 6 6 2 4 2" xfId="30228" xr:uid="{6498A2A4-51AE-4878-8697-D52C583DBB8D}"/>
    <cellStyle name="Comma 6 6 2 5" xfId="23946" xr:uid="{0EC21222-A78F-43C7-B24A-099AC7EA0077}"/>
    <cellStyle name="Comma 6 6 3" xfId="559" xr:uid="{00000000-0005-0000-0000-0000EA010000}"/>
    <cellStyle name="Comma 6 6 3 2" xfId="1697" xr:uid="{00000000-0005-0000-0000-0000EB010000}"/>
    <cellStyle name="Comma 6 6 3 2 2" xfId="3795" xr:uid="{00000000-0005-0000-0000-0000EB010000}"/>
    <cellStyle name="Comma 6 6 3 2 2 2" xfId="10699" xr:uid="{247928DB-55F0-4F00-8CB8-66B9D1577F46}"/>
    <cellStyle name="Comma 6 6 3 2 2 2 2" xfId="33185" xr:uid="{521922D7-9E75-404C-9FF1-E1B643A51639}"/>
    <cellStyle name="Comma 6 6 3 2 2 3" xfId="27002" xr:uid="{1EF369A6-0BD8-4282-8DF7-5BDF298DB5A1}"/>
    <cellStyle name="Comma 6 6 3 2 3" xfId="8712" xr:uid="{578695DF-D1E4-4311-A6D2-392B711A41D4}"/>
    <cellStyle name="Comma 6 6 3 2 3 2" xfId="31297" xr:uid="{789117FA-7640-4873-B2EC-9118E4711576}"/>
    <cellStyle name="Comma 6 6 3 2 4" xfId="25112" xr:uid="{9818E204-F15E-404A-B56D-4393B64E4929}"/>
    <cellStyle name="Comma 6 6 3 3" xfId="2710" xr:uid="{00000000-0005-0000-0000-0000EA010000}"/>
    <cellStyle name="Comma 6 6 3 3 2" xfId="9619" xr:uid="{21D07F25-FDA7-43AC-ACA8-385AB5B9CB76}"/>
    <cellStyle name="Comma 6 6 3 3 2 2" xfId="32167" xr:uid="{7316E18E-2CE4-4A78-BC47-DBBE6B096B7C}"/>
    <cellStyle name="Comma 6 6 3 3 3" xfId="26019" xr:uid="{03368E77-FCDE-4513-8760-38943208937F}"/>
    <cellStyle name="Comma 6 6 3 4" xfId="7702" xr:uid="{A26ECD67-052C-42DF-8F40-424A8FCFE14E}"/>
    <cellStyle name="Comma 6 6 3 4 2" xfId="30351" xr:uid="{C057C286-483C-44A2-9680-B8DC896021EB}"/>
    <cellStyle name="Comma 6 6 3 5" xfId="24085" xr:uid="{EB398B0F-5BE5-490B-B7E4-606FF30F9711}"/>
    <cellStyle name="Comma 6 6 4" xfId="798" xr:uid="{00000000-0005-0000-0000-0000EC010000}"/>
    <cellStyle name="Comma 6 6 4 2" xfId="1794" xr:uid="{00000000-0005-0000-0000-0000ED010000}"/>
    <cellStyle name="Comma 6 6 4 2 2" xfId="3892" xr:uid="{00000000-0005-0000-0000-0000ED010000}"/>
    <cellStyle name="Comma 6 6 4 2 2 2" xfId="10796" xr:uid="{2AAC5D01-8824-4915-82D5-998060D1F6AA}"/>
    <cellStyle name="Comma 6 6 4 2 2 2 2" xfId="33282" xr:uid="{7E1D0E07-8529-4F7A-B4FB-62D98A00CE94}"/>
    <cellStyle name="Comma 6 6 4 2 2 3" xfId="27091" xr:uid="{8913F940-3072-41FC-B109-7DE60220075A}"/>
    <cellStyle name="Comma 6 6 4 2 3" xfId="8794" xr:uid="{F4A7C211-7FB7-47EE-A9E1-DA4E16B0C6A1}"/>
    <cellStyle name="Comma 6 6 4 2 3 2" xfId="31377" xr:uid="{A99FF9FE-D6AA-44C8-83F2-E672277059E4}"/>
    <cellStyle name="Comma 6 6 4 2 4" xfId="25200" xr:uid="{FB461135-D250-4550-9A2C-B77BBC899449}"/>
    <cellStyle name="Comma 6 6 4 3" xfId="2936" xr:uid="{00000000-0005-0000-0000-0000EC010000}"/>
    <cellStyle name="Comma 6 6 4 3 2" xfId="9845" xr:uid="{490CAAAB-A28C-4B26-ADF9-DEE76D6A067C}"/>
    <cellStyle name="Comma 6 6 4 3 2 2" xfId="32369" xr:uid="{395F32DC-1D25-4771-9114-28EEDA6168F3}"/>
    <cellStyle name="Comma 6 6 4 3 3" xfId="26222" xr:uid="{2827BEC6-A310-4C45-AC32-AC76A94DB076}"/>
    <cellStyle name="Comma 6 6 4 4" xfId="7919" xr:uid="{90FB0A24-9ED5-4FB2-A229-1053684A4AC4}"/>
    <cellStyle name="Comma 6 6 4 4 2" xfId="30546" xr:uid="{4E58E249-47AE-4F48-B384-E84AB1F21E2E}"/>
    <cellStyle name="Comma 6 6 4 5" xfId="24295" xr:uid="{EBAF6067-F9C2-40C7-A658-A5C9EBC4C7C8}"/>
    <cellStyle name="Comma 6 6 5" xfId="985" xr:uid="{00000000-0005-0000-0000-0000EE010000}"/>
    <cellStyle name="Comma 6 6 5 2" xfId="1883" xr:uid="{00000000-0005-0000-0000-0000EF010000}"/>
    <cellStyle name="Comma 6 6 5 2 2" xfId="3981" xr:uid="{00000000-0005-0000-0000-0000EF010000}"/>
    <cellStyle name="Comma 6 6 5 2 2 2" xfId="10885" xr:uid="{770EB28B-F84D-42CE-A0D8-6F119C5AA3F4}"/>
    <cellStyle name="Comma 6 6 5 2 2 2 2" xfId="33371" xr:uid="{1B477197-0322-446F-B9D2-9840A5487E3F}"/>
    <cellStyle name="Comma 6 6 5 2 2 3" xfId="27172" xr:uid="{DAFEA239-2B02-45D9-B8C1-00D0C032FDED}"/>
    <cellStyle name="Comma 6 6 5 2 3" xfId="8866" xr:uid="{2656860E-9A75-435E-A19B-F29158332042}"/>
    <cellStyle name="Comma 6 6 5 2 3 2" xfId="31447" xr:uid="{788E852C-2CD7-498D-B47D-76A00082D0DD}"/>
    <cellStyle name="Comma 6 6 5 2 4" xfId="25279" xr:uid="{2A66D129-D65F-4D9A-B303-5B1E8F74BA5E}"/>
    <cellStyle name="Comma 6 6 5 3" xfId="3114" xr:uid="{00000000-0005-0000-0000-0000EE010000}"/>
    <cellStyle name="Comma 6 6 5 3 2" xfId="10023" xr:uid="{A51A55F0-52D1-40CE-BFCC-58503EE2FDEC}"/>
    <cellStyle name="Comma 6 6 5 3 2 2" xfId="32531" xr:uid="{0FBA805B-B8FF-4603-B6BF-2A4470B56C53}"/>
    <cellStyle name="Comma 6 6 5 3 3" xfId="26371" xr:uid="{1CA912A9-1452-4152-87BC-E7DA2DCEBCD2}"/>
    <cellStyle name="Comma 6 6 5 4" xfId="8086" xr:uid="{87521A2B-55BC-4A8C-9C9A-949E49F162C7}"/>
    <cellStyle name="Comma 6 6 5 4 2" xfId="30701" xr:uid="{12F77262-0398-49A3-9445-C05AD9BBD5E1}"/>
    <cellStyle name="Comma 6 6 5 5" xfId="24462" xr:uid="{9DFA6062-6ED1-4787-9024-2CBA2CB6A395}"/>
    <cellStyle name="Comma 6 6 6" xfId="1169" xr:uid="{00000000-0005-0000-0000-0000F0010000}"/>
    <cellStyle name="Comma 6 6 6 2" xfId="1978" xr:uid="{00000000-0005-0000-0000-0000F1010000}"/>
    <cellStyle name="Comma 6 6 6 2 2" xfId="4074" xr:uid="{00000000-0005-0000-0000-0000F1010000}"/>
    <cellStyle name="Comma 6 6 6 2 2 2" xfId="10978" xr:uid="{6F96A739-59C1-4BAE-A001-C0B78883778B}"/>
    <cellStyle name="Comma 6 6 6 2 2 2 2" xfId="33464" xr:uid="{02E61657-3912-4EF0-9C64-240F19524A2A}"/>
    <cellStyle name="Comma 6 6 6 2 2 3" xfId="27259" xr:uid="{0A573453-6869-4C64-9081-7DA30DDE11A1}"/>
    <cellStyle name="Comma 6 6 6 2 3" xfId="8936" xr:uid="{A1EBA94D-4CC7-464F-AD91-D003040C753A}"/>
    <cellStyle name="Comma 6 6 6 2 3 2" xfId="31515" xr:uid="{4670EBA0-F436-403A-8701-D2F960B1D059}"/>
    <cellStyle name="Comma 6 6 6 2 4" xfId="25364" xr:uid="{FBBBE89C-21E4-4A51-AEFA-D22003E96672}"/>
    <cellStyle name="Comma 6 6 6 3" xfId="3287" xr:uid="{00000000-0005-0000-0000-0000F0010000}"/>
    <cellStyle name="Comma 6 6 6 3 2" xfId="10195" xr:uid="{D896582B-83ED-4695-932F-978B52A602FF}"/>
    <cellStyle name="Comma 6 6 6 3 2 2" xfId="32690" xr:uid="{9B0B774E-9E62-4153-BCEA-D1124815A332}"/>
    <cellStyle name="Comma 6 6 6 3 3" xfId="26523" xr:uid="{59335781-04F7-49A0-951A-0F7D97427313}"/>
    <cellStyle name="Comma 6 6 6 4" xfId="8251" xr:uid="{3563CD0A-DE25-499A-A0B8-1BAF8BA33BBA}"/>
    <cellStyle name="Comma 6 6 6 4 2" xfId="30855" xr:uid="{A4CC09C9-41E0-44D7-89B3-8A50CCF33C01}"/>
    <cellStyle name="Comma 6 6 6 5" xfId="24621" xr:uid="{FE04407F-7139-4BF5-96FA-E2374022F828}"/>
    <cellStyle name="Comma 6 6 7" xfId="1335" xr:uid="{00000000-0005-0000-0000-0000F2010000}"/>
    <cellStyle name="Comma 6 6 7 2" xfId="2068" xr:uid="{00000000-0005-0000-0000-0000F3010000}"/>
    <cellStyle name="Comma 6 6 7 2 2" xfId="4163" xr:uid="{00000000-0005-0000-0000-0000F3010000}"/>
    <cellStyle name="Comma 6 6 7 2 2 2" xfId="11067" xr:uid="{49C9532E-A48A-4489-983F-1A3D2018F775}"/>
    <cellStyle name="Comma 6 6 7 2 2 2 2" xfId="33553" xr:uid="{B9970E1C-E829-483B-9DD4-85A757AEDA05}"/>
    <cellStyle name="Comma 6 6 7 2 2 3" xfId="27341" xr:uid="{AA1E489E-2D3E-4326-B801-F70296ECA3F5}"/>
    <cellStyle name="Comma 6 6 7 2 3" xfId="9007" xr:uid="{62139A34-6A28-4390-94CE-3DBFA13F3CE7}"/>
    <cellStyle name="Comma 6 6 7 2 3 2" xfId="31585" xr:uid="{506B77CA-D387-427B-AB43-9D90CA2C53F6}"/>
    <cellStyle name="Comma 6 6 7 2 4" xfId="25448" xr:uid="{DD06A857-4E8C-46D9-8F6B-CA425E40FE3F}"/>
    <cellStyle name="Comma 6 6 7 3" xfId="3443" xr:uid="{00000000-0005-0000-0000-0000F2010000}"/>
    <cellStyle name="Comma 6 6 7 3 2" xfId="10351" xr:uid="{A8CC9588-7223-4648-B514-7520CDF06CEF}"/>
    <cellStyle name="Comma 6 6 7 3 2 2" xfId="32838" xr:uid="{6AD37AF7-9A9D-49F4-B52B-95307052EAB1}"/>
    <cellStyle name="Comma 6 6 7 3 3" xfId="26664" xr:uid="{801F76CC-9388-4597-B0A9-3F62EA96B2AB}"/>
    <cellStyle name="Comma 6 6 7 4" xfId="8401" xr:uid="{7F039AF7-D838-4B1B-8A84-FA505259B840}"/>
    <cellStyle name="Comma 6 6 7 4 2" xfId="30989" xr:uid="{CE4E77F3-2707-43B6-98EC-E8A25C3A05A5}"/>
    <cellStyle name="Comma 6 6 7 5" xfId="24763" xr:uid="{AF73664D-58EC-4197-B7D3-7ADA780A4484}"/>
    <cellStyle name="Comma 6 6 8" xfId="1451" xr:uid="{00000000-0005-0000-0000-0000F4010000}"/>
    <cellStyle name="Comma 6 6 8 2" xfId="2179" xr:uid="{00000000-0005-0000-0000-0000F5010000}"/>
    <cellStyle name="Comma 6 6 8 2 2" xfId="4272" xr:uid="{00000000-0005-0000-0000-0000F5010000}"/>
    <cellStyle name="Comma 6 6 8 2 2 2" xfId="11176" xr:uid="{8CDC3D29-80AC-45E8-B4C3-4CC67CEA0390}"/>
    <cellStyle name="Comma 6 6 8 2 2 2 2" xfId="33662" xr:uid="{24ED8A78-A8EA-4BDC-9B79-058C5608AE0F}"/>
    <cellStyle name="Comma 6 6 8 2 2 3" xfId="27444" xr:uid="{95F584CB-45BA-45D4-AED6-86A1988C5E82}"/>
    <cellStyle name="Comma 6 6 8 2 3" xfId="9096" xr:uid="{01335250-8BFA-4F89-9339-C47DA7CFF180}"/>
    <cellStyle name="Comma 6 6 8 2 3 2" xfId="31672" xr:uid="{815F7B93-497E-4C55-8CB7-593E88E776F3}"/>
    <cellStyle name="Comma 6 6 8 2 4" xfId="25549" xr:uid="{32AEACA8-668D-4D5C-B082-02198A931325}"/>
    <cellStyle name="Comma 6 6 8 3" xfId="3552" xr:uid="{00000000-0005-0000-0000-0000F4010000}"/>
    <cellStyle name="Comma 6 6 8 3 2" xfId="10458" xr:uid="{AD5313C3-97BC-4857-B66D-076844E569DF}"/>
    <cellStyle name="Comma 6 6 8 3 2 2" xfId="32945" xr:uid="{E6EBEC25-71AF-479A-8349-946B6EE25B09}"/>
    <cellStyle name="Comma 6 6 8 3 3" xfId="26765" xr:uid="{E65023B6-2AB0-488B-9749-048B8C223AAE}"/>
    <cellStyle name="Comma 6 6 8 4" xfId="8494" xr:uid="{AB6B83AB-D7C6-4211-A5DA-A12EBA8CDEF3}"/>
    <cellStyle name="Comma 6 6 8 4 2" xfId="31081" xr:uid="{0FA2B56D-411E-4271-AF4D-C42F9F48FE94}"/>
    <cellStyle name="Comma 6 6 8 5" xfId="24874" xr:uid="{F6086D30-0237-434E-B708-BC0A2F01F0EE}"/>
    <cellStyle name="Comma 6 6 9" xfId="1498" xr:uid="{00000000-0005-0000-0000-0000F6010000}"/>
    <cellStyle name="Comma 6 6 9 2" xfId="2225" xr:uid="{00000000-0005-0000-0000-0000F7010000}"/>
    <cellStyle name="Comma 6 6 9 2 2" xfId="4318" xr:uid="{00000000-0005-0000-0000-0000F7010000}"/>
    <cellStyle name="Comma 6 6 9 2 2 2" xfId="11222" xr:uid="{3CC86901-5460-42C4-A314-E194FD2BF062}"/>
    <cellStyle name="Comma 6 6 9 2 2 2 2" xfId="33708" xr:uid="{3300003B-D0DE-47C8-BF5A-80147F11A444}"/>
    <cellStyle name="Comma 6 6 9 2 2 3" xfId="27490" xr:uid="{B18B531B-C48E-4523-8145-17B360E5A985}"/>
    <cellStyle name="Comma 6 6 9 2 3" xfId="9138" xr:uid="{9C6CC82B-C4D1-47F4-9E57-F07C670E6EA9}"/>
    <cellStyle name="Comma 6 6 9 2 3 2" xfId="31714" xr:uid="{564E5C42-CBFD-4FC8-A68D-690DC8E99E09}"/>
    <cellStyle name="Comma 6 6 9 2 4" xfId="25593" xr:uid="{97C50586-E085-4430-A88E-73ACFA117A7A}"/>
    <cellStyle name="Comma 6 6 9 3" xfId="3599" xr:uid="{00000000-0005-0000-0000-0000F6010000}"/>
    <cellStyle name="Comma 6 6 9 3 2" xfId="10504" xr:uid="{15F0FC1F-562C-42C9-B8B8-76C34C2BFD64}"/>
    <cellStyle name="Comma 6 6 9 3 2 2" xfId="32991" xr:uid="{4DE9F4EC-6B2B-444D-8F5A-8BC1D7691549}"/>
    <cellStyle name="Comma 6 6 9 3 3" xfId="26812" xr:uid="{99957E50-0858-43C4-BCC5-BB3348386B15}"/>
    <cellStyle name="Comma 6 6 9 4" xfId="8540" xr:uid="{FFCB24EC-2CF4-49B1-B6D5-63860D3C99CD}"/>
    <cellStyle name="Comma 6 6 9 4 2" xfId="31127" xr:uid="{39726528-C7F1-4116-9382-2CD6B4F74876}"/>
    <cellStyle name="Comma 6 6 9 5" xfId="24920" xr:uid="{CEE0785C-007A-46F7-BCA3-F1579E8D358F}"/>
    <cellStyle name="Comma 6 7" xfId="265" xr:uid="{00000000-0005-0000-0000-0000F8010000}"/>
    <cellStyle name="Comma 6 7 2" xfId="1569" xr:uid="{00000000-0005-0000-0000-0000F9010000}"/>
    <cellStyle name="Comma 6 7 2 2" xfId="3670" xr:uid="{00000000-0005-0000-0000-0000F9010000}"/>
    <cellStyle name="Comma 6 7 2 2 2" xfId="10574" xr:uid="{78B89596-15A8-4C8C-A5A7-34508D2B97EA}"/>
    <cellStyle name="Comma 6 7 2 2 2 2" xfId="33060" xr:uid="{6A2398BB-D8D3-4609-BFE6-A04C55607B40}"/>
    <cellStyle name="Comma 6 7 2 2 3" xfId="26881" xr:uid="{A34F5CCC-B318-4258-9E29-28D4899B879D}"/>
    <cellStyle name="Comma 6 7 2 3" xfId="8606" xr:uid="{55994B5D-3978-4201-8BF9-0DC2AB7E0323}"/>
    <cellStyle name="Comma 6 7 2 3 2" xfId="31193" xr:uid="{A612308D-0325-4529-B141-0551F64C43A9}"/>
    <cellStyle name="Comma 6 7 2 4" xfId="24991" xr:uid="{00892446-27D4-44DC-B318-A51837DA75CE}"/>
    <cellStyle name="Comma 6 7 3" xfId="2429" xr:uid="{00000000-0005-0000-0000-0000F8010000}"/>
    <cellStyle name="Comma 6 7 3 2" xfId="9338" xr:uid="{6CF54F39-A407-4F73-A041-46034C437413}"/>
    <cellStyle name="Comma 6 7 3 2 2" xfId="31907" xr:uid="{49C8089A-A433-4F4F-A2E0-04A9E061EDF0}"/>
    <cellStyle name="Comma 6 7 3 3" xfId="25774" xr:uid="{F4FE61FE-FDD8-48E5-8FF0-74340566988C}"/>
    <cellStyle name="Comma 6 7 4" xfId="7433" xr:uid="{956E3016-E4AA-4DFE-830E-0A290590D717}"/>
    <cellStyle name="Comma 6 7 4 2" xfId="30110" xr:uid="{2C0E8B02-48CB-4E5D-9DE2-D328A1F81AD2}"/>
    <cellStyle name="Comma 6 7 5" xfId="23827" xr:uid="{B4F2BEBC-FCA7-4176-BCA3-49892248C3FD}"/>
    <cellStyle name="Comma 6 8" xfId="271" xr:uid="{00000000-0005-0000-0000-0000FA010000}"/>
    <cellStyle name="Comma 6 8 2" xfId="1575" xr:uid="{00000000-0005-0000-0000-0000FB010000}"/>
    <cellStyle name="Comma 6 8 2 2" xfId="3676" xr:uid="{00000000-0005-0000-0000-0000FB010000}"/>
    <cellStyle name="Comma 6 8 2 2 2" xfId="10580" xr:uid="{E57D92B0-E1A4-4A08-AC5E-F152EF91D347}"/>
    <cellStyle name="Comma 6 8 2 2 2 2" xfId="33066" xr:uid="{F5EDFBAC-10A0-4A6C-A260-80E1AAEC011D}"/>
    <cellStyle name="Comma 6 8 2 2 3" xfId="26887" xr:uid="{5028BC68-59BF-4E97-892E-663E985079AC}"/>
    <cellStyle name="Comma 6 8 2 3" xfId="8612" xr:uid="{0ECCE18B-1374-4380-8C7D-9DD4A609A675}"/>
    <cellStyle name="Comma 6 8 2 3 2" xfId="31199" xr:uid="{D5DB7A79-AC5F-411C-BE93-F538699CCDA2}"/>
    <cellStyle name="Comma 6 8 2 4" xfId="24997" xr:uid="{3243E3DC-9254-4553-BC90-1834A822878F}"/>
    <cellStyle name="Comma 6 8 3" xfId="2435" xr:uid="{00000000-0005-0000-0000-0000FA010000}"/>
    <cellStyle name="Comma 6 8 3 2" xfId="9344" xr:uid="{9FDD8009-D4A7-4EEB-9F17-7C7DC32AD5A0}"/>
    <cellStyle name="Comma 6 8 3 2 2" xfId="31913" xr:uid="{B442A6E2-5BE3-41E4-82A6-85F0C209C4D0}"/>
    <cellStyle name="Comma 6 8 3 3" xfId="25780" xr:uid="{F9F05EAA-D56A-4ED5-ADA7-16A0D0E20304}"/>
    <cellStyle name="Comma 6 8 4" xfId="7439" xr:uid="{81A2C21A-F4EF-47CC-B841-851E147930E1}"/>
    <cellStyle name="Comma 6 8 4 2" xfId="30116" xr:uid="{E7DA95FD-730C-4199-A09E-87DADF81B606}"/>
    <cellStyle name="Comma 6 8 5" xfId="23833" xr:uid="{7D9F6454-44F1-4931-BBF0-D2AD9196C0C8}"/>
    <cellStyle name="Comma 6 9" xfId="656" xr:uid="{00000000-0005-0000-0000-0000FC010000}"/>
    <cellStyle name="Comma 6 9 2" xfId="1749" xr:uid="{00000000-0005-0000-0000-0000FD010000}"/>
    <cellStyle name="Comma 6 9 2 2" xfId="3847" xr:uid="{00000000-0005-0000-0000-0000FD010000}"/>
    <cellStyle name="Comma 6 9 2 2 2" xfId="10751" xr:uid="{A514FB25-9931-439F-A1BD-B2F64D71B1C9}"/>
    <cellStyle name="Comma 6 9 2 2 2 2" xfId="33237" xr:uid="{C533547A-80DC-4D68-B300-2A0C61FAD289}"/>
    <cellStyle name="Comma 6 9 2 2 3" xfId="27047" xr:uid="{AF20160E-183A-47D0-9708-9E82408E01F4}"/>
    <cellStyle name="Comma 6 9 2 3" xfId="8752" xr:uid="{3B297223-5616-4CB7-9CE2-10B61E3C06A9}"/>
    <cellStyle name="Comma 6 9 2 3 2" xfId="31335" xr:uid="{28094573-DA85-4AC7-9160-854E4D9415F4}"/>
    <cellStyle name="Comma 6 9 2 4" xfId="25158" xr:uid="{96DDC1F6-C188-4302-AEF7-6708582AB70C}"/>
    <cellStyle name="Comma 6 9 3" xfId="2799" xr:uid="{00000000-0005-0000-0000-0000FC010000}"/>
    <cellStyle name="Comma 6 9 3 2" xfId="9708" xr:uid="{FD9D7C1A-696D-45B3-A228-FC558667D958}"/>
    <cellStyle name="Comma 6 9 3 2 2" xfId="32249" xr:uid="{4B464725-B78E-472D-ACB5-03168826D5D5}"/>
    <cellStyle name="Comma 6 9 3 3" xfId="26099" xr:uid="{07F11B4C-8850-4F75-ACB8-E50EDBB80BAD}"/>
    <cellStyle name="Comma 6 9 4" xfId="7781" xr:uid="{67981E1E-9CD7-47AF-AEB7-1144A34F4E91}"/>
    <cellStyle name="Comma 6 9 4 2" xfId="30420" xr:uid="{6F75DF11-6B42-4BFA-B13D-649C10EC174A}"/>
    <cellStyle name="Comma 6 9 5" xfId="24170" xr:uid="{0FAF3864-9687-4821-B550-7C731DD1A074}"/>
    <cellStyle name="Comma 7" xfId="91" xr:uid="{00000000-0005-0000-0000-0000FE010000}"/>
    <cellStyle name="Comma 7 2" xfId="299" xr:uid="{00000000-0005-0000-0000-0000FF010000}"/>
    <cellStyle name="Comma 7 2 2" xfId="2463" xr:uid="{00000000-0005-0000-0000-0000FF010000}"/>
    <cellStyle name="Comma 7 2 2 2" xfId="9372" xr:uid="{14052F6F-FCDB-454C-8527-AB557A7499CE}"/>
    <cellStyle name="Comma 7 2 3" xfId="7464" xr:uid="{B6E33918-612C-43E8-8E68-5ECDA392A2D5}"/>
    <cellStyle name="Comma 7 3" xfId="464" xr:uid="{00000000-0005-0000-0000-000000020000}"/>
    <cellStyle name="Comma 7 3 2" xfId="2616" xr:uid="{00000000-0005-0000-0000-000000020000}"/>
    <cellStyle name="Comma 7 3 2 2" xfId="9525" xr:uid="{4DE7FAA2-D963-47CE-9EF8-4D7E2353CF76}"/>
    <cellStyle name="Comma 7 3 3" xfId="7610" xr:uid="{A5947ED0-707F-4384-9F23-06A7692D59A7}"/>
    <cellStyle name="Comma 7 4" xfId="688" xr:uid="{00000000-0005-0000-0000-000001020000}"/>
    <cellStyle name="Comma 7 4 2" xfId="2830" xr:uid="{00000000-0005-0000-0000-000001020000}"/>
    <cellStyle name="Comma 7 4 2 2" xfId="9739" xr:uid="{CFE8C455-7979-4C57-B757-8BB7241DF891}"/>
    <cellStyle name="Comma 7 4 3" xfId="7812" xr:uid="{3DF7647A-E258-4998-8275-9345B266C3D2}"/>
    <cellStyle name="Comma 7 5" xfId="880" xr:uid="{00000000-0005-0000-0000-000002020000}"/>
    <cellStyle name="Comma 7 5 2" xfId="3010" xr:uid="{00000000-0005-0000-0000-000002020000}"/>
    <cellStyle name="Comma 7 5 2 2" xfId="9919" xr:uid="{BD45B4AA-53F5-4335-8A96-4FD5D64EB90C}"/>
    <cellStyle name="Comma 7 5 3" xfId="7983" xr:uid="{80FD5857-12EC-450A-BB9C-B4182676F439}"/>
    <cellStyle name="Comma 7 6" xfId="1061" xr:uid="{00000000-0005-0000-0000-000003020000}"/>
    <cellStyle name="Comma 7 6 2" xfId="3181" xr:uid="{00000000-0005-0000-0000-000003020000}"/>
    <cellStyle name="Comma 7 6 2 2" xfId="10090" xr:uid="{FBB2D399-22EC-4A64-BA90-0B7FE5B83C87}"/>
    <cellStyle name="Comma 7 6 3" xfId="8144" xr:uid="{74AB361B-181F-4BBC-A8D8-D6D86D85B98B}"/>
    <cellStyle name="Comma 7 7" xfId="1240" xr:uid="{00000000-0005-0000-0000-000004020000}"/>
    <cellStyle name="Comma 7 7 2" xfId="3350" xr:uid="{00000000-0005-0000-0000-000004020000}"/>
    <cellStyle name="Comma 7 7 2 2" xfId="10258" xr:uid="{37E671E5-3E29-48FA-9839-6F4843B11E74}"/>
    <cellStyle name="Comma 7 7 3" xfId="8308" xr:uid="{6C07FE86-30C0-4EA6-A350-9E49A20D9883}"/>
    <cellStyle name="Comma 8" xfId="96" xr:uid="{00000000-0005-0000-0000-000005020000}"/>
    <cellStyle name="Comma 8 10" xfId="1530" xr:uid="{00000000-0005-0000-0000-000006020000}"/>
    <cellStyle name="Comma 8 10 2" xfId="3631" xr:uid="{00000000-0005-0000-0000-000006020000}"/>
    <cellStyle name="Comma 8 10 2 2" xfId="10535" xr:uid="{66E49842-F03A-4931-AF47-5DBA73D205A0}"/>
    <cellStyle name="Comma 8 10 2 2 2" xfId="33021" xr:uid="{9E8D7B71-0DC6-4C0B-A4D2-2DEC262D9519}"/>
    <cellStyle name="Comma 8 10 2 3" xfId="26842" xr:uid="{366F73F5-12E4-4860-9A36-FB2ED0AD8632}"/>
    <cellStyle name="Comma 8 10 3" xfId="8567" xr:uid="{D7FBED28-9B51-459C-9C32-33E061600CCB}"/>
    <cellStyle name="Comma 8 10 3 2" xfId="31154" xr:uid="{45758FFD-85AC-4AFE-9122-10C7F1D0F013}"/>
    <cellStyle name="Comma 8 10 4" xfId="24952" xr:uid="{F0FC7548-FFC7-43C1-B4D4-CDF5A2775EC6}"/>
    <cellStyle name="Comma 8 11" xfId="2308" xr:uid="{00000000-0005-0000-0000-000005020000}"/>
    <cellStyle name="Comma 8 11 2" xfId="9218" xr:uid="{ECDB0EF9-8ECB-4EB4-83A9-E8FCB9E8BAD2}"/>
    <cellStyle name="Comma 8 11 2 2" xfId="31793" xr:uid="{16F630AD-193C-46F5-81DE-796CA9A25A23}"/>
    <cellStyle name="Comma 8 11 3" xfId="25671" xr:uid="{46B1E6C6-B76C-492E-91A6-91E7FD7ABD04}"/>
    <cellStyle name="Comma 8 12" xfId="7300" xr:uid="{12FB6B84-ADA2-4BC3-9DE9-AE8E1ED5653C}"/>
    <cellStyle name="Comma 8 12 2" xfId="29988" xr:uid="{A7CFA78E-2A75-402F-B53E-4E0BD0D31EEB}"/>
    <cellStyle name="Comma 8 13" xfId="23682" xr:uid="{F21647EB-881B-4218-B698-8DA3B0785BEA}"/>
    <cellStyle name="Comma 8 2" xfId="303" xr:uid="{00000000-0005-0000-0000-000007020000}"/>
    <cellStyle name="Comma 8 2 2" xfId="1586" xr:uid="{00000000-0005-0000-0000-000008020000}"/>
    <cellStyle name="Comma 8 2 2 2" xfId="3687" xr:uid="{00000000-0005-0000-0000-000008020000}"/>
    <cellStyle name="Comma 8 2 2 2 2" xfId="10591" xr:uid="{01A179C3-998A-45BC-9EC8-FE6E3ABE0AE8}"/>
    <cellStyle name="Comma 8 2 2 2 2 2" xfId="33077" xr:uid="{8F67DB58-B7F3-4436-B3C3-6A31AE484FAC}"/>
    <cellStyle name="Comma 8 2 2 2 3" xfId="26898" xr:uid="{332D24E2-17D0-475B-9B09-0358D50565F6}"/>
    <cellStyle name="Comma 8 2 2 3" xfId="8621" xr:uid="{DB9922C6-4092-4127-B28B-C2DD4CE573CC}"/>
    <cellStyle name="Comma 8 2 2 3 2" xfId="31207" xr:uid="{AFCE2CF9-74BE-4E4D-8F63-A2E01DE03708}"/>
    <cellStyle name="Comma 8 2 2 4" xfId="25007" xr:uid="{0FC0A5C7-97D4-4F96-B55F-B990EEF0E496}"/>
    <cellStyle name="Comma 8 2 3" xfId="2467" xr:uid="{00000000-0005-0000-0000-000007020000}"/>
    <cellStyle name="Comma 8 2 3 2" xfId="9376" xr:uid="{AA2C8F85-B161-4909-82CB-757F4CF45CD6}"/>
    <cellStyle name="Comma 8 2 3 2 2" xfId="31939" xr:uid="{D53211AD-C2C8-484B-B325-40AB9E8A9BF1}"/>
    <cellStyle name="Comma 8 2 3 3" xfId="25806" xr:uid="{784AD5EC-8E34-4A65-A4D8-39BD1A7D9394}"/>
    <cellStyle name="Comma 8 2 4" xfId="7468" xr:uid="{3711E3CF-2874-4A6D-8C46-6846D5A51A3B}"/>
    <cellStyle name="Comma 8 2 4 2" xfId="30138" xr:uid="{7103B662-6961-4C3F-8DE1-77DFAD830D1A}"/>
    <cellStyle name="Comma 8 2 5" xfId="23862" xr:uid="{FBC75BF5-8896-402B-AA9F-95FFBC1A81B3}"/>
    <cellStyle name="Comma 8 3" xfId="468" xr:uid="{00000000-0005-0000-0000-000009020000}"/>
    <cellStyle name="Comma 8 3 2" xfId="1671" xr:uid="{00000000-0005-0000-0000-00000A020000}"/>
    <cellStyle name="Comma 8 3 2 2" xfId="3769" xr:uid="{00000000-0005-0000-0000-00000A020000}"/>
    <cellStyle name="Comma 8 3 2 2 2" xfId="10673" xr:uid="{EACC5971-7668-4D93-A6CF-047EFBC25CF2}"/>
    <cellStyle name="Comma 8 3 2 2 2 2" xfId="33159" xr:uid="{48C97DD0-76A7-4F94-B440-8D7F9A1859CC}"/>
    <cellStyle name="Comma 8 3 2 2 3" xfId="26976" xr:uid="{87EB70C3-B811-4AA9-9EEA-2128ED331DB8}"/>
    <cellStyle name="Comma 8 3 2 3" xfId="8686" xr:uid="{091001EE-857A-4899-B050-55DB3DCFD3F5}"/>
    <cellStyle name="Comma 8 3 2 3 2" xfId="31271" xr:uid="{9FB72135-7ED9-4F06-8A12-D226CEE3205E}"/>
    <cellStyle name="Comma 8 3 2 4" xfId="25086" xr:uid="{22EFF7FD-D415-40A7-9446-4FFB561BAF94}"/>
    <cellStyle name="Comma 8 3 3" xfId="2620" xr:uid="{00000000-0005-0000-0000-000009020000}"/>
    <cellStyle name="Comma 8 3 3 2" xfId="9529" xr:uid="{BBD58D30-1078-4F92-BCCD-73BB5440D330}"/>
    <cellStyle name="Comma 8 3 3 2 2" xfId="32080" xr:uid="{A7751B8D-CA00-47FA-BE83-1EDD2282423E}"/>
    <cellStyle name="Comma 8 3 3 3" xfId="25940" xr:uid="{29408648-19D5-421E-9E37-E033006E7D70}"/>
    <cellStyle name="Comma 8 3 4" xfId="7614" xr:uid="{292DCF9B-7B56-4B1B-A314-271FB3D55F6F}"/>
    <cellStyle name="Comma 8 3 4 2" xfId="30275" xr:uid="{DC389989-8801-4EE9-9CAE-39D1B0C92AD2}"/>
    <cellStyle name="Comma 8 3 5" xfId="24002" xr:uid="{733AF312-BE8C-4128-80CF-9FC21E71A53A}"/>
    <cellStyle name="Comma 8 4" xfId="692" xr:uid="{00000000-0005-0000-0000-00000B020000}"/>
    <cellStyle name="Comma 8 4 2" xfId="1768" xr:uid="{00000000-0005-0000-0000-00000C020000}"/>
    <cellStyle name="Comma 8 4 2 2" xfId="3866" xr:uid="{00000000-0005-0000-0000-00000C020000}"/>
    <cellStyle name="Comma 8 4 2 2 2" xfId="10770" xr:uid="{37683149-A998-4BFF-BF56-98328FAC44A4}"/>
    <cellStyle name="Comma 8 4 2 2 2 2" xfId="33256" xr:uid="{C7A6E49F-7E4E-4043-A266-2CD4DDC8FC02}"/>
    <cellStyle name="Comma 8 4 2 2 3" xfId="27065" xr:uid="{DE36EB1C-596F-46B5-AC1A-6E3E3E569B85}"/>
    <cellStyle name="Comma 8 4 2 3" xfId="8768" xr:uid="{34057A48-00BB-4ECA-B147-8DA4342B3537}"/>
    <cellStyle name="Comma 8 4 2 3 2" xfId="31351" xr:uid="{305ECFA8-05FF-425A-8063-1AE761E9378B}"/>
    <cellStyle name="Comma 8 4 2 4" xfId="25174" xr:uid="{C5899A58-17BF-4E9F-8A81-F5E4A810C744}"/>
    <cellStyle name="Comma 8 4 3" xfId="2834" xr:uid="{00000000-0005-0000-0000-00000B020000}"/>
    <cellStyle name="Comma 8 4 3 2" xfId="9743" xr:uid="{BF844C01-885B-4043-A4B9-099A7F9FAD5B}"/>
    <cellStyle name="Comma 8 4 3 2 2" xfId="32280" xr:uid="{0D6FBE5F-8318-4BB0-8169-6FC564830520}"/>
    <cellStyle name="Comma 8 4 3 3" xfId="26129" xr:uid="{2F11E0B6-31A8-4C47-B7AA-AACE10D8E0AF}"/>
    <cellStyle name="Comma 8 4 4" xfId="7816" xr:uid="{35F16233-6412-4552-92C4-B4E0397E203B}"/>
    <cellStyle name="Comma 8 4 4 2" xfId="30450" xr:uid="{A841D3D2-7326-4CD9-8A0D-29507BD528DD}"/>
    <cellStyle name="Comma 8 4 5" xfId="24203" xr:uid="{38DE358E-EB55-4FBD-81D7-A1B90441ADB6}"/>
    <cellStyle name="Comma 8 5" xfId="884" xr:uid="{00000000-0005-0000-0000-00000D020000}"/>
    <cellStyle name="Comma 8 5 2" xfId="1857" xr:uid="{00000000-0005-0000-0000-00000E020000}"/>
    <cellStyle name="Comma 8 5 2 2" xfId="3955" xr:uid="{00000000-0005-0000-0000-00000E020000}"/>
    <cellStyle name="Comma 8 5 2 2 2" xfId="10859" xr:uid="{D09FF487-C7A5-47C9-A2CA-E8EE4B0B553A}"/>
    <cellStyle name="Comma 8 5 2 2 2 2" xfId="33345" xr:uid="{CFC2CF99-42A6-4525-A458-8588FC1BAA41}"/>
    <cellStyle name="Comma 8 5 2 2 3" xfId="27146" xr:uid="{8A214B91-D5E4-487C-8ED7-BB7152B8699D}"/>
    <cellStyle name="Comma 8 5 2 3" xfId="8840" xr:uid="{2704EF56-CE66-49D6-B242-F76FA09BB7B7}"/>
    <cellStyle name="Comma 8 5 2 3 2" xfId="31421" xr:uid="{775AE068-0703-42C7-9F04-2FDF5B8F1348}"/>
    <cellStyle name="Comma 8 5 2 4" xfId="25253" xr:uid="{7D88E09B-D9F1-4747-94F2-D263CB398DB0}"/>
    <cellStyle name="Comma 8 5 3" xfId="3014" xr:uid="{00000000-0005-0000-0000-00000D020000}"/>
    <cellStyle name="Comma 8 5 3 2" xfId="9923" xr:uid="{86E6DA0B-93D8-4B1A-9595-EAE88AAC3C74}"/>
    <cellStyle name="Comma 8 5 3 2 2" xfId="32443" xr:uid="{C94C749C-CAC5-424A-9A5D-56270A9768B4}"/>
    <cellStyle name="Comma 8 5 3 3" xfId="26281" xr:uid="{213F845E-F144-4D43-9AC3-D2C6C275E894}"/>
    <cellStyle name="Comma 8 5 4" xfId="7987" xr:uid="{54B0FA1B-27CC-41FA-A411-4514A3E1330B}"/>
    <cellStyle name="Comma 8 5 4 2" xfId="30609" xr:uid="{E60FA29C-D454-47D3-B191-FDF3121D788D}"/>
    <cellStyle name="Comma 8 5 5" xfId="24368" xr:uid="{D61563C7-9949-41B4-B3A3-28627DB21593}"/>
    <cellStyle name="Comma 8 6" xfId="1066" xr:uid="{00000000-0005-0000-0000-00000F020000}"/>
    <cellStyle name="Comma 8 6 2" xfId="1952" xr:uid="{00000000-0005-0000-0000-000010020000}"/>
    <cellStyle name="Comma 8 6 2 2" xfId="4048" xr:uid="{00000000-0005-0000-0000-000010020000}"/>
    <cellStyle name="Comma 8 6 2 2 2" xfId="10952" xr:uid="{C4508747-1958-4A60-BC80-E3260B7F5C1A}"/>
    <cellStyle name="Comma 8 6 2 2 2 2" xfId="33438" xr:uid="{7DA2DEF8-BF0C-44F2-90E5-40E68213E2C2}"/>
    <cellStyle name="Comma 8 6 2 2 3" xfId="27233" xr:uid="{CECC4002-AC68-4AF2-8A70-81D430B9D7C8}"/>
    <cellStyle name="Comma 8 6 2 3" xfId="8910" xr:uid="{A7FAF9A8-4BD0-4BE3-B659-59E82CF65438}"/>
    <cellStyle name="Comma 8 6 2 3 2" xfId="31489" xr:uid="{2C37BBB1-8309-4DBA-8396-E8A1BBE6E557}"/>
    <cellStyle name="Comma 8 6 2 4" xfId="25338" xr:uid="{36046E10-E902-41CC-A75F-613C36CBC672}"/>
    <cellStyle name="Comma 8 6 3" xfId="3186" xr:uid="{00000000-0005-0000-0000-00000F020000}"/>
    <cellStyle name="Comma 8 6 3 2" xfId="10095" xr:uid="{BD5080C3-3F4A-43F0-AB2E-E4C4757005C0}"/>
    <cellStyle name="Comma 8 6 3 2 2" xfId="32602" xr:uid="{11C5F6DF-6548-49A3-97AD-CC8EE5EBA2B8}"/>
    <cellStyle name="Comma 8 6 3 3" xfId="26434" xr:uid="{AF2CA6DC-3003-4918-B2E7-404F09466DA9}"/>
    <cellStyle name="Comma 8 6 4" xfId="8149" xr:uid="{F1CABE28-790D-4DE9-BEBF-7094852897A3}"/>
    <cellStyle name="Comma 8 6 4 2" xfId="30761" xr:uid="{3848B877-07DE-4559-A024-4B2AA939E032}"/>
    <cellStyle name="Comma 8 6 5" xfId="24532" xr:uid="{43AB047A-CF84-4DFA-8168-6F5DF2320D12}"/>
    <cellStyle name="Comma 8 7" xfId="1244" xr:uid="{00000000-0005-0000-0000-000011020000}"/>
    <cellStyle name="Comma 8 7 2" xfId="2042" xr:uid="{00000000-0005-0000-0000-000012020000}"/>
    <cellStyle name="Comma 8 7 2 2" xfId="4137" xr:uid="{00000000-0005-0000-0000-000012020000}"/>
    <cellStyle name="Comma 8 7 2 2 2" xfId="11041" xr:uid="{727B33F9-C770-48C4-82CA-806B9257BFBE}"/>
    <cellStyle name="Comma 8 7 2 2 2 2" xfId="33527" xr:uid="{82486EC8-B63E-43AE-BFDF-966FC12F8D1E}"/>
    <cellStyle name="Comma 8 7 2 2 3" xfId="27315" xr:uid="{EEB9BE25-4A10-4B88-88F7-9F36A0BA00A1}"/>
    <cellStyle name="Comma 8 7 2 3" xfId="8981" xr:uid="{45B9A1B0-CC97-4934-A7CE-BB011B288F1C}"/>
    <cellStyle name="Comma 8 7 2 3 2" xfId="31559" xr:uid="{BE53E3E5-0D83-4621-99D6-133046C2B9BB}"/>
    <cellStyle name="Comma 8 7 2 4" xfId="25422" xr:uid="{4B29E42A-33B0-4B40-8AC1-19E2C4D7300E}"/>
    <cellStyle name="Comma 8 7 3" xfId="3354" xr:uid="{00000000-0005-0000-0000-000011020000}"/>
    <cellStyle name="Comma 8 7 3 2" xfId="10262" xr:uid="{7F3C753F-C2F5-4259-AE3E-DE164693A563}"/>
    <cellStyle name="Comma 8 7 3 2 2" xfId="32756" xr:uid="{2CD523DD-4E26-442C-9D5C-F7EA0338F759}"/>
    <cellStyle name="Comma 8 7 3 3" xfId="26583" xr:uid="{B91B4125-39B3-46D1-95E2-4D9C0A57F59F}"/>
    <cellStyle name="Comma 8 7 4" xfId="8312" xr:uid="{6FBFBB99-3428-4C5A-AD7B-A81DB5BB6E7B}"/>
    <cellStyle name="Comma 8 7 4 2" xfId="30910" xr:uid="{0FBB4153-EC11-4554-BBB6-5CB6C604A04C}"/>
    <cellStyle name="Comma 8 7 5" xfId="24684" xr:uid="{889C6F64-4998-457D-B328-5353FA117CBE}"/>
    <cellStyle name="Comma 8 8" xfId="1434" xr:uid="{00000000-0005-0000-0000-000013020000}"/>
    <cellStyle name="Comma 8 8 2" xfId="2162" xr:uid="{00000000-0005-0000-0000-000014020000}"/>
    <cellStyle name="Comma 8 8 2 2" xfId="4255" xr:uid="{00000000-0005-0000-0000-000014020000}"/>
    <cellStyle name="Comma 8 8 2 2 2" xfId="11159" xr:uid="{0EEBCB3B-CE53-4489-ABA0-BCF109A32D07}"/>
    <cellStyle name="Comma 8 8 2 2 2 2" xfId="33645" xr:uid="{9B675B81-B878-4CE6-8217-10A63B5ADF31}"/>
    <cellStyle name="Comma 8 8 2 2 3" xfId="27427" xr:uid="{04EA2FE8-BAA0-49CF-A14F-33D04561EE4F}"/>
    <cellStyle name="Comma 8 8 2 3" xfId="9079" xr:uid="{D7667AEB-C41F-45C1-BEE7-711B678E7657}"/>
    <cellStyle name="Comma 8 8 2 3 2" xfId="31655" xr:uid="{36D27D54-4AF3-4766-99DF-6172B6DB5DA2}"/>
    <cellStyle name="Comma 8 8 2 4" xfId="25532" xr:uid="{77B13578-FA17-447F-BB2B-F837995EE57C}"/>
    <cellStyle name="Comma 8 8 3" xfId="3535" xr:uid="{00000000-0005-0000-0000-000013020000}"/>
    <cellStyle name="Comma 8 8 3 2" xfId="10441" xr:uid="{57FFC7FE-D5EE-484E-82E6-ED3194648C6B}"/>
    <cellStyle name="Comma 8 8 3 2 2" xfId="32928" xr:uid="{758F4276-4BE9-4BAD-8154-1D7C10509884}"/>
    <cellStyle name="Comma 8 8 3 3" xfId="26748" xr:uid="{1F74A20B-8C0B-4E82-9694-4E236A4B707E}"/>
    <cellStyle name="Comma 8 8 4" xfId="8477" xr:uid="{C9F3A6E2-DB90-46B5-A216-6AACD04FDB63}"/>
    <cellStyle name="Comma 8 8 4 2" xfId="31064" xr:uid="{0DE6EC8B-3595-4F10-813C-95D7DD8018D4}"/>
    <cellStyle name="Comma 8 8 5" xfId="24857" xr:uid="{9E7AB179-1859-4484-A133-39CD343E705C}"/>
    <cellStyle name="Comma 8 9" xfId="1472" xr:uid="{00000000-0005-0000-0000-000015020000}"/>
    <cellStyle name="Comma 8 9 2" xfId="2199" xr:uid="{00000000-0005-0000-0000-000016020000}"/>
    <cellStyle name="Comma 8 9 2 2" xfId="4292" xr:uid="{00000000-0005-0000-0000-000016020000}"/>
    <cellStyle name="Comma 8 9 2 2 2" xfId="11196" xr:uid="{F0401370-DEF5-484D-8F76-036F498A9358}"/>
    <cellStyle name="Comma 8 9 2 2 2 2" xfId="33682" xr:uid="{751A222C-EA5C-4671-AF04-A009D2818701}"/>
    <cellStyle name="Comma 8 9 2 2 3" xfId="27464" xr:uid="{8CDF1A04-7A0F-4861-8729-44776E3EDBB0}"/>
    <cellStyle name="Comma 8 9 2 3" xfId="9112" xr:uid="{F497DD68-BF68-4587-B37D-06F509B3FD8C}"/>
    <cellStyle name="Comma 8 9 2 3 2" xfId="31688" xr:uid="{354F9873-EAC7-4B21-9FCA-30E0EFA0F1B7}"/>
    <cellStyle name="Comma 8 9 2 4" xfId="25567" xr:uid="{B1ED2606-A572-45F7-9F03-85C664222697}"/>
    <cellStyle name="Comma 8 9 3" xfId="3573" xr:uid="{00000000-0005-0000-0000-000015020000}"/>
    <cellStyle name="Comma 8 9 3 2" xfId="10478" xr:uid="{1541F453-92AD-4E47-B323-812F984BB2B1}"/>
    <cellStyle name="Comma 8 9 3 2 2" xfId="32965" xr:uid="{F2E3C1AA-71A5-476F-9BC0-5789C7CCDD8E}"/>
    <cellStyle name="Comma 8 9 3 3" xfId="26786" xr:uid="{8BCF181D-F7A3-4B5F-BC66-0F34A07E03DE}"/>
    <cellStyle name="Comma 8 9 4" xfId="8514" xr:uid="{E45F9A41-D0EA-49CA-8E43-6BCA75ABC575}"/>
    <cellStyle name="Comma 8 9 4 2" xfId="31101" xr:uid="{EB6A98F9-A0B5-4F95-8EB5-7EEF92813DAD}"/>
    <cellStyle name="Comma 8 9 5" xfId="24894" xr:uid="{A04E1929-8835-48BE-A515-C777C6BA4CB9}"/>
    <cellStyle name="Comma 9" xfId="217" xr:uid="{00000000-0005-0000-0000-000017020000}"/>
    <cellStyle name="Comma 9 10" xfId="1562" xr:uid="{00000000-0005-0000-0000-000018020000}"/>
    <cellStyle name="Comma 9 10 2" xfId="3663" xr:uid="{00000000-0005-0000-0000-000018020000}"/>
    <cellStyle name="Comma 9 10 2 2" xfId="10567" xr:uid="{D62C0325-9976-4F8B-B975-03EF5257FD0A}"/>
    <cellStyle name="Comma 9 10 2 2 2" xfId="33053" xr:uid="{2621C29C-07A6-4336-B552-2C249953773C}"/>
    <cellStyle name="Comma 9 10 2 3" xfId="26874" xr:uid="{B843C3FB-D82B-4217-9675-7DD5B93417DA}"/>
    <cellStyle name="Comma 9 10 3" xfId="8599" xr:uid="{CDC6B2B2-96EE-4D6B-99D4-1DF1A3CD08CB}"/>
    <cellStyle name="Comma 9 10 3 2" xfId="31186" xr:uid="{2DD003B6-DC11-4CB4-A177-1A47D817D64C}"/>
    <cellStyle name="Comma 9 10 4" xfId="24984" xr:uid="{50D86C73-58B6-4AFA-A245-243E00C40D55}"/>
    <cellStyle name="Comma 9 11" xfId="2386" xr:uid="{00000000-0005-0000-0000-000017020000}"/>
    <cellStyle name="Comma 9 11 2" xfId="9295" xr:uid="{611E8B02-5B40-4EA7-8E4F-D47067FE3293}"/>
    <cellStyle name="Comma 9 11 2 2" xfId="31870" xr:uid="{3F1F5CE9-78AD-4E25-B64C-112441BEFB61}"/>
    <cellStyle name="Comma 9 11 3" xfId="25739" xr:uid="{0C3EED9B-9AB5-4C02-9338-A03BB292EB99}"/>
    <cellStyle name="Comma 9 12" xfId="7388" xr:uid="{6B571DDA-9D20-445A-8032-D37F1DBF3DA8}"/>
    <cellStyle name="Comma 9 12 2" xfId="30072" xr:uid="{D6FFED55-8E1F-4DFD-9F47-1924A4E023C4}"/>
    <cellStyle name="Comma 9 13" xfId="23785" xr:uid="{9A0A491D-657E-436E-A844-8FEB2E01E78F}"/>
    <cellStyle name="Comma 9 2" xfId="408" xr:uid="{00000000-0005-0000-0000-000019020000}"/>
    <cellStyle name="Comma 9 2 2" xfId="1618" xr:uid="{00000000-0005-0000-0000-00001A020000}"/>
    <cellStyle name="Comma 9 2 2 2" xfId="3719" xr:uid="{00000000-0005-0000-0000-00001A020000}"/>
    <cellStyle name="Comma 9 2 2 2 2" xfId="10623" xr:uid="{0EE3E46B-0566-4C31-9266-8953F585ED7B}"/>
    <cellStyle name="Comma 9 2 2 2 2 2" xfId="33109" xr:uid="{AF36A1F0-67C2-4916-9855-7C369212116A}"/>
    <cellStyle name="Comma 9 2 2 2 3" xfId="26930" xr:uid="{E94F7B79-CD3F-43F9-B394-A391AC17D4FD}"/>
    <cellStyle name="Comma 9 2 2 3" xfId="8653" xr:uid="{4D9EDD3A-4C25-4BA8-8C70-E9AB0123841E}"/>
    <cellStyle name="Comma 9 2 2 3 2" xfId="31239" xr:uid="{3FD37BE8-5C13-444A-A3B4-E62AA606BE73}"/>
    <cellStyle name="Comma 9 2 2 4" xfId="25039" xr:uid="{B518231E-3718-4BF0-878F-AED9B2B118AC}"/>
    <cellStyle name="Comma 9 2 3" xfId="2567" xr:uid="{00000000-0005-0000-0000-000019020000}"/>
    <cellStyle name="Comma 9 2 3 2" xfId="9476" xr:uid="{A47BB52E-098F-4B9A-BD8A-960C29A668B3}"/>
    <cellStyle name="Comma 9 2 3 2 2" xfId="32028" xr:uid="{520290D9-8F17-4E87-A411-9D6D02D04F56}"/>
    <cellStyle name="Comma 9 2 3 3" xfId="25892" xr:uid="{0D445ACA-4982-4A35-BB36-F820B00D51C1}"/>
    <cellStyle name="Comma 9 2 4" xfId="7571" xr:uid="{42D93B8C-3065-4CBA-9CE5-8985E24054E1}"/>
    <cellStyle name="Comma 9 2 4 2" xfId="30234" xr:uid="{E42C5F53-C274-4450-B81E-87F25053267D}"/>
    <cellStyle name="Comma 9 2 5" xfId="23952" xr:uid="{7BCB1A2E-0771-4BD0-A531-2D2EE10FA410}"/>
    <cellStyle name="Comma 9 3" xfId="565" xr:uid="{00000000-0005-0000-0000-00001B020000}"/>
    <cellStyle name="Comma 9 3 2" xfId="1703" xr:uid="{00000000-0005-0000-0000-00001C020000}"/>
    <cellStyle name="Comma 9 3 2 2" xfId="3801" xr:uid="{00000000-0005-0000-0000-00001C020000}"/>
    <cellStyle name="Comma 9 3 2 2 2" xfId="10705" xr:uid="{54577518-8356-454B-9DFE-354CFD3C0053}"/>
    <cellStyle name="Comma 9 3 2 2 2 2" xfId="33191" xr:uid="{B2C71B78-07ED-4BAD-9770-3BE0874FC574}"/>
    <cellStyle name="Comma 9 3 2 2 3" xfId="27008" xr:uid="{A742C77D-1282-4F18-A0AD-9B21EE006A21}"/>
    <cellStyle name="Comma 9 3 2 3" xfId="8718" xr:uid="{4A50AEA9-61AE-4005-B379-DE4AE80B7613}"/>
    <cellStyle name="Comma 9 3 2 3 2" xfId="31303" xr:uid="{A8490527-C6E1-4884-84B5-6F4BBD01300D}"/>
    <cellStyle name="Comma 9 3 2 4" xfId="25118" xr:uid="{98033797-DC57-4CCF-A721-05C3298DE7F2}"/>
    <cellStyle name="Comma 9 3 3" xfId="2716" xr:uid="{00000000-0005-0000-0000-00001B020000}"/>
    <cellStyle name="Comma 9 3 3 2" xfId="9625" xr:uid="{D9744F1E-350C-42A6-987A-153EBF7D7663}"/>
    <cellStyle name="Comma 9 3 3 2 2" xfId="32173" xr:uid="{57D8973E-DD3F-46EF-BE6E-DD21CF3ABE96}"/>
    <cellStyle name="Comma 9 3 3 3" xfId="26025" xr:uid="{FD98554F-4BDB-4FA7-8CFE-9B27D173229C}"/>
    <cellStyle name="Comma 9 3 4" xfId="7708" xr:uid="{54605B66-C7D9-4839-A170-08E591307718}"/>
    <cellStyle name="Comma 9 3 4 2" xfId="30357" xr:uid="{C7BFBAFA-0109-49DB-85C0-974D10C14560}"/>
    <cellStyle name="Comma 9 3 5" xfId="24091" xr:uid="{A922F3CD-FBEE-4E27-B53B-E34C7A8024CE}"/>
    <cellStyle name="Comma 9 4" xfId="808" xr:uid="{00000000-0005-0000-0000-00001D020000}"/>
    <cellStyle name="Comma 9 4 2" xfId="1800" xr:uid="{00000000-0005-0000-0000-00001E020000}"/>
    <cellStyle name="Comma 9 4 2 2" xfId="3898" xr:uid="{00000000-0005-0000-0000-00001E020000}"/>
    <cellStyle name="Comma 9 4 2 2 2" xfId="10802" xr:uid="{82E74533-87E2-4AD3-9AC4-C23B126FB579}"/>
    <cellStyle name="Comma 9 4 2 2 2 2" xfId="33288" xr:uid="{7E1B1900-44A7-4432-9DCF-00DA409B0A6E}"/>
    <cellStyle name="Comma 9 4 2 2 3" xfId="27097" xr:uid="{4C16D43B-BA79-4ACE-816C-7522C3DBFC7D}"/>
    <cellStyle name="Comma 9 4 2 3" xfId="8800" xr:uid="{C56D002B-A33B-4376-9BE7-76D749F1B152}"/>
    <cellStyle name="Comma 9 4 2 3 2" xfId="31383" xr:uid="{39D9828F-94B8-4FA8-9807-E80519F83AA6}"/>
    <cellStyle name="Comma 9 4 2 4" xfId="25206" xr:uid="{601FEE97-55BD-49F8-87B2-33575BBE4854}"/>
    <cellStyle name="Comma 9 4 3" xfId="2946" xr:uid="{00000000-0005-0000-0000-00001D020000}"/>
    <cellStyle name="Comma 9 4 3 2" xfId="9855" xr:uid="{74371B5B-D9A7-431D-B03E-D432603C5BEF}"/>
    <cellStyle name="Comma 9 4 3 2 2" xfId="32379" xr:uid="{C113203C-B0BC-405F-800A-BAA9F4DDBE7E}"/>
    <cellStyle name="Comma 9 4 3 3" xfId="26232" xr:uid="{2B622EAE-5609-40AA-BE87-B7B4E206B738}"/>
    <cellStyle name="Comma 9 4 4" xfId="7929" xr:uid="{F9AFEA36-EB50-48F4-8A74-1E7936AA6E8B}"/>
    <cellStyle name="Comma 9 4 4 2" xfId="30554" xr:uid="{EB5DB89E-BFF8-46BF-BE4F-FFBEED5F5449}"/>
    <cellStyle name="Comma 9 4 5" xfId="24304" xr:uid="{C815AA3F-F600-44D2-A758-18506F77A5B0}"/>
    <cellStyle name="Comma 9 5" xfId="994" xr:uid="{00000000-0005-0000-0000-00001F020000}"/>
    <cellStyle name="Comma 9 5 2" xfId="1889" xr:uid="{00000000-0005-0000-0000-000020020000}"/>
    <cellStyle name="Comma 9 5 2 2" xfId="3987" xr:uid="{00000000-0005-0000-0000-000020020000}"/>
    <cellStyle name="Comma 9 5 2 2 2" xfId="10891" xr:uid="{10C88E65-5F10-4853-83DB-8DABCEBDE208}"/>
    <cellStyle name="Comma 9 5 2 2 2 2" xfId="33377" xr:uid="{906F09DD-565B-4330-8C82-DA4D8536DC76}"/>
    <cellStyle name="Comma 9 5 2 2 3" xfId="27178" xr:uid="{223FE2B7-6AE1-40AC-92B7-E3BD840E7287}"/>
    <cellStyle name="Comma 9 5 2 3" xfId="8872" xr:uid="{9FBA8B83-9EAA-4A0B-95C9-EF507553AED7}"/>
    <cellStyle name="Comma 9 5 2 3 2" xfId="31453" xr:uid="{BF14691B-C387-4F79-BE38-ED2748FEFB93}"/>
    <cellStyle name="Comma 9 5 2 4" xfId="25285" xr:uid="{998A4097-BBFB-4366-B4E8-378630684582}"/>
    <cellStyle name="Comma 9 5 3" xfId="3122" xr:uid="{00000000-0005-0000-0000-00001F020000}"/>
    <cellStyle name="Comma 9 5 3 2" xfId="10031" xr:uid="{CC2453DA-802E-4290-8C4A-E4B997A56E26}"/>
    <cellStyle name="Comma 9 5 3 2 2" xfId="32539" xr:uid="{A8935381-DAA5-4260-9E51-5310021C58F8}"/>
    <cellStyle name="Comma 9 5 3 3" xfId="26379" xr:uid="{40A39223-4ACB-4546-A04C-AC050DCD871E}"/>
    <cellStyle name="Comma 9 5 4" xfId="8095" xr:uid="{61407019-1EA9-4F55-A2FF-D8D658006329}"/>
    <cellStyle name="Comma 9 5 4 2" xfId="30710" xr:uid="{E4CB56A2-8EB9-42B2-A418-7356880D6EA6}"/>
    <cellStyle name="Comma 9 5 5" xfId="24470" xr:uid="{0B26A9D1-8A75-4ADA-9105-FAD303C9C547}"/>
    <cellStyle name="Comma 9 6" xfId="1178" xr:uid="{00000000-0005-0000-0000-000021020000}"/>
    <cellStyle name="Comma 9 6 2" xfId="1984" xr:uid="{00000000-0005-0000-0000-000022020000}"/>
    <cellStyle name="Comma 9 6 2 2" xfId="4080" xr:uid="{00000000-0005-0000-0000-000022020000}"/>
    <cellStyle name="Comma 9 6 2 2 2" xfId="10984" xr:uid="{8B71A3B0-AF5C-4531-A034-08152A99F732}"/>
    <cellStyle name="Comma 9 6 2 2 2 2" xfId="33470" xr:uid="{98940E84-9700-4C8A-A9CC-4AA9378CC401}"/>
    <cellStyle name="Comma 9 6 2 2 3" xfId="27265" xr:uid="{DEF2DFF7-9886-420F-90CB-34E26596BFB9}"/>
    <cellStyle name="Comma 9 6 2 3" xfId="8942" xr:uid="{2C95AD06-F408-4BEC-AAA9-E0733BE68CAA}"/>
    <cellStyle name="Comma 9 6 2 3 2" xfId="31521" xr:uid="{4E3FC38A-CF51-488C-AEA2-30CC6ACA8EE2}"/>
    <cellStyle name="Comma 9 6 2 4" xfId="25370" xr:uid="{753EF250-4D99-4786-ABE5-5AE9D3C42A5E}"/>
    <cellStyle name="Comma 9 6 3" xfId="3296" xr:uid="{00000000-0005-0000-0000-000021020000}"/>
    <cellStyle name="Comma 9 6 3 2" xfId="10204" xr:uid="{872DFF9C-7108-44B6-A9E0-25C83123F604}"/>
    <cellStyle name="Comma 9 6 3 2 2" xfId="32699" xr:uid="{D6741FC5-0DA0-422A-8788-E7CC101CDE11}"/>
    <cellStyle name="Comma 9 6 3 3" xfId="26532" xr:uid="{657FE913-00CB-446C-A20C-710C8080D583}"/>
    <cellStyle name="Comma 9 6 4" xfId="8260" xr:uid="{2CE45676-5A05-44A2-BB2E-07CAFE1D470B}"/>
    <cellStyle name="Comma 9 6 4 2" xfId="30864" xr:uid="{1BA352D9-EE47-4B2A-B103-6BFAB180AE9C}"/>
    <cellStyle name="Comma 9 6 5" xfId="24629" xr:uid="{C22AECD0-E72A-4DE6-8988-9CE02E27589B}"/>
    <cellStyle name="Comma 9 7" xfId="1341" xr:uid="{00000000-0005-0000-0000-000023020000}"/>
    <cellStyle name="Comma 9 7 2" xfId="2074" xr:uid="{00000000-0005-0000-0000-000024020000}"/>
    <cellStyle name="Comma 9 7 2 2" xfId="4169" xr:uid="{00000000-0005-0000-0000-000024020000}"/>
    <cellStyle name="Comma 9 7 2 2 2" xfId="11073" xr:uid="{500AA740-C3B2-45C7-AFE1-2ACA13BBDC5D}"/>
    <cellStyle name="Comma 9 7 2 2 2 2" xfId="33559" xr:uid="{4B0D7832-495D-4291-B121-9E848E6E96B4}"/>
    <cellStyle name="Comma 9 7 2 2 3" xfId="27347" xr:uid="{6D934AB5-E4BF-4C93-90C7-0104F4F8F432}"/>
    <cellStyle name="Comma 9 7 2 3" xfId="9013" xr:uid="{BB99659B-D6A1-4B62-8728-601C32DE75C4}"/>
    <cellStyle name="Comma 9 7 2 3 2" xfId="31591" xr:uid="{F8B65F1B-CAFF-4A7A-936F-3171902BF1C2}"/>
    <cellStyle name="Comma 9 7 2 4" xfId="25454" xr:uid="{455603DA-A85B-4E08-BDD9-37FBF49B718A}"/>
    <cellStyle name="Comma 9 7 3" xfId="3449" xr:uid="{00000000-0005-0000-0000-000023020000}"/>
    <cellStyle name="Comma 9 7 3 2" xfId="10357" xr:uid="{59DA9AEA-6B37-48FB-87E7-D99EE18550CF}"/>
    <cellStyle name="Comma 9 7 3 2 2" xfId="32844" xr:uid="{A51C8933-6B1F-4DAC-AA91-FA0FE27FFCBF}"/>
    <cellStyle name="Comma 9 7 3 3" xfId="26670" xr:uid="{64D437BE-6C81-4700-956D-5A4293FEBC4B}"/>
    <cellStyle name="Comma 9 7 4" xfId="8407" xr:uid="{0F1F1E45-362E-41E0-8019-6068A15B086B}"/>
    <cellStyle name="Comma 9 7 4 2" xfId="30995" xr:uid="{EC2170A0-86F7-4967-8F21-38FB05854D43}"/>
    <cellStyle name="Comma 9 7 5" xfId="24769" xr:uid="{2D2CBF8B-B192-4017-90C5-3AC5F7D4CEE3}"/>
    <cellStyle name="Comma 9 8" xfId="1418" xr:uid="{00000000-0005-0000-0000-000025020000}"/>
    <cellStyle name="Comma 9 8 2" xfId="2147" xr:uid="{00000000-0005-0000-0000-000026020000}"/>
    <cellStyle name="Comma 9 8 2 2" xfId="4240" xr:uid="{00000000-0005-0000-0000-000026020000}"/>
    <cellStyle name="Comma 9 8 2 2 2" xfId="11144" xr:uid="{CB307195-BE21-48E0-8D92-699763010198}"/>
    <cellStyle name="Comma 9 8 2 2 2 2" xfId="33630" xr:uid="{3CBF733A-D0EF-4800-9365-CF7A02350499}"/>
    <cellStyle name="Comma 9 8 2 2 3" xfId="27412" xr:uid="{836C6E9B-CA25-4793-B9E0-E14828C76C4C}"/>
    <cellStyle name="Comma 9 8 2 3" xfId="9064" xr:uid="{18B0D2CE-7DB0-45E3-89B5-D0D538FC4466}"/>
    <cellStyle name="Comma 9 8 2 3 2" xfId="31640" xr:uid="{7405D7A5-44EE-453C-A25A-6A5F4FB8177E}"/>
    <cellStyle name="Comma 9 8 2 4" xfId="25517" xr:uid="{1A98BF37-509C-4772-B8D6-31FDD43AC368}"/>
    <cellStyle name="Comma 9 8 3" xfId="3519" xr:uid="{00000000-0005-0000-0000-000025020000}"/>
    <cellStyle name="Comma 9 8 3 2" xfId="10426" xr:uid="{F6030598-91DD-415F-A073-FF308C7A564A}"/>
    <cellStyle name="Comma 9 8 3 2 2" xfId="32913" xr:uid="{C16332E2-6454-4D6D-B69A-05C8A8E0F087}"/>
    <cellStyle name="Comma 9 8 3 3" xfId="26732" xr:uid="{1CED9F27-35E2-4613-9805-91590267BED0}"/>
    <cellStyle name="Comma 9 8 4" xfId="8461" xr:uid="{8EB44928-FD13-44C0-8C61-DCEBB4155368}"/>
    <cellStyle name="Comma 9 8 4 2" xfId="31048" xr:uid="{D9DB8D4B-0414-41BC-AA13-1494498525B8}"/>
    <cellStyle name="Comma 9 8 5" xfId="24841" xr:uid="{53988992-AB7A-49A9-B8F6-D10FD4694350}"/>
    <cellStyle name="Comma 9 9" xfId="1504" xr:uid="{00000000-0005-0000-0000-000027020000}"/>
    <cellStyle name="Comma 9 9 2" xfId="2231" xr:uid="{00000000-0005-0000-0000-000028020000}"/>
    <cellStyle name="Comma 9 9 2 2" xfId="4324" xr:uid="{00000000-0005-0000-0000-000028020000}"/>
    <cellStyle name="Comma 9 9 2 2 2" xfId="11228" xr:uid="{1BCE3A3F-3201-4FCB-AA2C-A6781BD4C3B6}"/>
    <cellStyle name="Comma 9 9 2 2 2 2" xfId="33714" xr:uid="{7BC9A5D2-47CD-4DAC-B54E-BEE5FE6A1833}"/>
    <cellStyle name="Comma 9 9 2 2 3" xfId="27496" xr:uid="{9425C1A8-6EAF-4F71-8AA7-09404A9B55FA}"/>
    <cellStyle name="Comma 9 9 2 3" xfId="9144" xr:uid="{99956B17-7572-4828-ACAD-135E1AB8651C}"/>
    <cellStyle name="Comma 9 9 2 3 2" xfId="31720" xr:uid="{9E463F1D-208F-4F9A-8D31-6AB7F5B714A6}"/>
    <cellStyle name="Comma 9 9 2 4" xfId="25599" xr:uid="{3A573F62-052C-47D6-B615-EC213E21E8E8}"/>
    <cellStyle name="Comma 9 9 3" xfId="3605" xr:uid="{00000000-0005-0000-0000-000027020000}"/>
    <cellStyle name="Comma 9 9 3 2" xfId="10510" xr:uid="{29F52B9B-9DC9-4A5F-87C0-FA02910C1F11}"/>
    <cellStyle name="Comma 9 9 3 2 2" xfId="32997" xr:uid="{A47DB0CB-C888-48F9-ACBB-F0AA5221E76E}"/>
    <cellStyle name="Comma 9 9 3 3" xfId="26818" xr:uid="{7C7FFA27-8BE2-4417-AA12-4C30E3F376F8}"/>
    <cellStyle name="Comma 9 9 4" xfId="8546" xr:uid="{AA566F15-5A56-4C3F-8859-E34D6178383D}"/>
    <cellStyle name="Comma 9 9 4 2" xfId="31133" xr:uid="{E772A683-3613-46AB-B6EB-934FCCBD678E}"/>
    <cellStyle name="Comma 9 9 5" xfId="24926" xr:uid="{64394C2D-D918-4236-B29F-F949E0E66BA9}"/>
    <cellStyle name="Currency" xfId="5" xr:uid="{00000000-0005-0000-0000-000029020000}"/>
    <cellStyle name="Currency 10" xfId="103" xr:uid="{00000000-0005-0000-0000-00002A020000}"/>
    <cellStyle name="Currency 10 10" xfId="1534" xr:uid="{00000000-0005-0000-0000-00002B020000}"/>
    <cellStyle name="Currency 10 10 2" xfId="3635" xr:uid="{00000000-0005-0000-0000-00002B020000}"/>
    <cellStyle name="Currency 10 10 2 2" xfId="10539" xr:uid="{C4B1396F-7AC0-415D-9418-36B9DCCC8AD6}"/>
    <cellStyle name="Currency 10 10 2 2 2" xfId="33025" xr:uid="{9A175164-BDBA-4EBD-80D8-7187DF4B7314}"/>
    <cellStyle name="Currency 10 10 2 3" xfId="26846" xr:uid="{62F8DA3A-3E71-434B-AD05-1D8DFB13F71E}"/>
    <cellStyle name="Currency 10 10 3" xfId="8571" xr:uid="{8980BF8E-BC42-4E01-A5B1-DB855DB522F7}"/>
    <cellStyle name="Currency 10 10 3 2" xfId="31158" xr:uid="{45477309-138B-42B8-B3A0-3F12C997DACE}"/>
    <cellStyle name="Currency 10 10 4" xfId="24956" xr:uid="{60A47546-B3A8-4F9A-95C5-1C7816AA8896}"/>
    <cellStyle name="Currency 10 11" xfId="2314" xr:uid="{00000000-0005-0000-0000-00002A020000}"/>
    <cellStyle name="Currency 10 11 2" xfId="9224" xr:uid="{0281D259-07CA-497B-A0C9-F3105069D30F}"/>
    <cellStyle name="Currency 10 11 2 2" xfId="31799" xr:uid="{D68287D6-EFD3-45CE-B9B3-73352F5C6FEF}"/>
    <cellStyle name="Currency 10 11 3" xfId="25677" xr:uid="{AA376DB2-AA96-4A5C-B629-89F724A58F45}"/>
    <cellStyle name="Currency 10 12" xfId="7305" xr:uid="{FC99FF14-70BF-4957-BE49-407046E934CC}"/>
    <cellStyle name="Currency 10 12 2" xfId="29993" xr:uid="{F885D24C-2A49-4AD8-8BE0-93F24AF26A6D}"/>
    <cellStyle name="Currency 10 13" xfId="23688" xr:uid="{445348F2-6649-447A-B6E5-94209632DC37}"/>
    <cellStyle name="Currency 10 2" xfId="310" xr:uid="{00000000-0005-0000-0000-00002C020000}"/>
    <cellStyle name="Currency 10 2 2" xfId="1590" xr:uid="{00000000-0005-0000-0000-00002D020000}"/>
    <cellStyle name="Currency 10 2 2 2" xfId="3691" xr:uid="{00000000-0005-0000-0000-00002D020000}"/>
    <cellStyle name="Currency 10 2 2 2 2" xfId="10595" xr:uid="{28E48DAA-B3E8-41D0-B58B-5D5C6135E75D}"/>
    <cellStyle name="Currency 10 2 2 2 2 2" xfId="33081" xr:uid="{7644B8FA-1B86-45F1-B095-1F3C6E1B62A2}"/>
    <cellStyle name="Currency 10 2 2 2 3" xfId="26902" xr:uid="{8C901CF0-5DAE-4D0A-A7D9-592831DA5FE5}"/>
    <cellStyle name="Currency 10 2 2 3" xfId="8625" xr:uid="{9378BE78-123C-4993-AE71-8E286434976C}"/>
    <cellStyle name="Currency 10 2 2 3 2" xfId="31211" xr:uid="{9528500A-04B7-4516-81C4-ACF30D343D9C}"/>
    <cellStyle name="Currency 10 2 2 4" xfId="25011" xr:uid="{BC70417A-5955-408C-8E78-A7D75DBEC863}"/>
    <cellStyle name="Currency 10 2 3" xfId="2471" xr:uid="{00000000-0005-0000-0000-00002C020000}"/>
    <cellStyle name="Currency 10 2 3 2" xfId="9380" xr:uid="{63C88283-A4EC-4995-AAB7-8FDC3CF1428C}"/>
    <cellStyle name="Currency 10 2 3 2 2" xfId="31943" xr:uid="{4AB910A5-CF84-4FED-BF88-8122CF542B95}"/>
    <cellStyle name="Currency 10 2 3 3" xfId="25810" xr:uid="{C9C19BF1-10C4-444E-8718-FDE579FCA210}"/>
    <cellStyle name="Currency 10 2 4" xfId="7473" xr:uid="{E7F738DA-9905-4BBE-9F7E-10073F9BCC87}"/>
    <cellStyle name="Currency 10 2 4 2" xfId="30143" xr:uid="{CD5B172A-E82F-491C-8D8C-9F3604621345}"/>
    <cellStyle name="Currency 10 2 5" xfId="23866" xr:uid="{36D6345F-E8DA-4640-B890-3FDF3BBFFEA2}"/>
    <cellStyle name="Currency 10 3" xfId="475" xr:uid="{00000000-0005-0000-0000-00002E020000}"/>
    <cellStyle name="Currency 10 3 2" xfId="1675" xr:uid="{00000000-0005-0000-0000-00002F020000}"/>
    <cellStyle name="Currency 10 3 2 2" xfId="3773" xr:uid="{00000000-0005-0000-0000-00002F020000}"/>
    <cellStyle name="Currency 10 3 2 2 2" xfId="10677" xr:uid="{81B09B9F-C39D-448A-B30B-5C4C4FF00BA4}"/>
    <cellStyle name="Currency 10 3 2 2 2 2" xfId="33163" xr:uid="{7E609D01-E122-477B-9B67-B81587089719}"/>
    <cellStyle name="Currency 10 3 2 2 3" xfId="26980" xr:uid="{C4DCC49E-53F1-400A-A3B9-EE0A915945D5}"/>
    <cellStyle name="Currency 10 3 2 3" xfId="8690" xr:uid="{66FBF07F-C74A-4D71-881C-BC49BEB41560}"/>
    <cellStyle name="Currency 10 3 2 3 2" xfId="31275" xr:uid="{07F38705-364C-4504-B29C-FFF185138C5D}"/>
    <cellStyle name="Currency 10 3 2 4" xfId="25090" xr:uid="{DD64A0D8-07DE-411F-913B-EA593DE65506}"/>
    <cellStyle name="Currency 10 3 3" xfId="2627" xr:uid="{00000000-0005-0000-0000-00002E020000}"/>
    <cellStyle name="Currency 10 3 3 2" xfId="9536" xr:uid="{4F10CD2E-6269-4FEB-9846-CC97FB30008B}"/>
    <cellStyle name="Currency 10 3 3 2 2" xfId="32087" xr:uid="{000300D3-52F9-4612-B49D-AEAA3FC79854}"/>
    <cellStyle name="Currency 10 3 3 3" xfId="25945" xr:uid="{8574A207-C45F-4B19-95B0-8752E2BFA9CD}"/>
    <cellStyle name="Currency 10 3 4" xfId="7620" xr:uid="{5982BD55-14C0-41DA-8057-79B33F7F19F9}"/>
    <cellStyle name="Currency 10 3 4 2" xfId="30281" xr:uid="{CBC0E751-1074-4BF7-8704-51617BF443F1}"/>
    <cellStyle name="Currency 10 3 5" xfId="24008" xr:uid="{18BD7A7A-BE4B-4E90-BCD9-CCE2487C0B08}"/>
    <cellStyle name="Currency 10 4" xfId="699" xr:uid="{00000000-0005-0000-0000-000030020000}"/>
    <cellStyle name="Currency 10 4 2" xfId="1772" xr:uid="{00000000-0005-0000-0000-000031020000}"/>
    <cellStyle name="Currency 10 4 2 2" xfId="3870" xr:uid="{00000000-0005-0000-0000-000031020000}"/>
    <cellStyle name="Currency 10 4 2 2 2" xfId="10774" xr:uid="{61F57019-63A0-4ADF-A4A6-80C40DEAEE00}"/>
    <cellStyle name="Currency 10 4 2 2 2 2" xfId="33260" xr:uid="{328B8EB7-43A8-4DB1-88D2-6206017ECA2D}"/>
    <cellStyle name="Currency 10 4 2 2 3" xfId="27069" xr:uid="{0D443D43-770B-497E-8347-AC52199978A3}"/>
    <cellStyle name="Currency 10 4 2 3" xfId="8772" xr:uid="{E1E59DD7-4064-4F87-82D7-9EC578F60EA2}"/>
    <cellStyle name="Currency 10 4 2 3 2" xfId="31355" xr:uid="{D38E829D-B3AE-456D-AE10-5C0E449BDD19}"/>
    <cellStyle name="Currency 10 4 2 4" xfId="25178" xr:uid="{CE527EEB-762F-4858-8585-3B28E6B8CD9E}"/>
    <cellStyle name="Currency 10 4 3" xfId="2839" xr:uid="{00000000-0005-0000-0000-000030020000}"/>
    <cellStyle name="Currency 10 4 3 2" xfId="9748" xr:uid="{1D34E301-DB28-4FDD-948F-53611DE9FE4C}"/>
    <cellStyle name="Currency 10 4 3 2 2" xfId="32285" xr:uid="{3FE8409B-BD2F-444B-B01D-50CFA3430C84}"/>
    <cellStyle name="Currency 10 4 3 3" xfId="26134" xr:uid="{2466C4B4-7E1A-4207-97E5-7AF25E31074E}"/>
    <cellStyle name="Currency 10 4 4" xfId="7822" xr:uid="{3FEC0F68-2E1D-445E-838C-8915DA485CAE}"/>
    <cellStyle name="Currency 10 4 4 2" xfId="30456" xr:uid="{211735FE-8C7D-4818-8814-0A0DDB4C0F2B}"/>
    <cellStyle name="Currency 10 4 5" xfId="24209" xr:uid="{987934AE-9852-483E-9DF1-AC93378EB994}"/>
    <cellStyle name="Currency 10 5" xfId="891" xr:uid="{00000000-0005-0000-0000-000032020000}"/>
    <cellStyle name="Currency 10 5 2" xfId="1861" xr:uid="{00000000-0005-0000-0000-000033020000}"/>
    <cellStyle name="Currency 10 5 2 2" xfId="3959" xr:uid="{00000000-0005-0000-0000-000033020000}"/>
    <cellStyle name="Currency 10 5 2 2 2" xfId="10863" xr:uid="{3DFC7B68-CC01-45A7-86AD-4F9E232ED233}"/>
    <cellStyle name="Currency 10 5 2 2 2 2" xfId="33349" xr:uid="{F77497AC-4BF8-46FD-979D-AF06A027E544}"/>
    <cellStyle name="Currency 10 5 2 2 3" xfId="27150" xr:uid="{0A754CAD-A88E-422C-879D-E69015E5800B}"/>
    <cellStyle name="Currency 10 5 2 3" xfId="8844" xr:uid="{E8D9CB30-C3A3-4440-A00C-407B8ED87869}"/>
    <cellStyle name="Currency 10 5 2 3 2" xfId="31425" xr:uid="{75EC9F90-1DD4-4CEC-B352-704257ABBEB5}"/>
    <cellStyle name="Currency 10 5 2 4" xfId="25257" xr:uid="{52A1A47D-A9E5-42CF-B8CB-6DDEE3902477}"/>
    <cellStyle name="Currency 10 5 3" xfId="3021" xr:uid="{00000000-0005-0000-0000-000032020000}"/>
    <cellStyle name="Currency 10 5 3 2" xfId="9930" xr:uid="{63E5B0BE-1E56-4A2C-BD67-80B422658B7A}"/>
    <cellStyle name="Currency 10 5 3 2 2" xfId="32450" xr:uid="{E598A9D7-2349-4D93-8DDD-FB654958A04E}"/>
    <cellStyle name="Currency 10 5 3 3" xfId="26287" xr:uid="{D5305EC8-FB75-4FD0-9673-4698CA050B7F}"/>
    <cellStyle name="Currency 10 5 4" xfId="7994" xr:uid="{2D843239-C861-42B2-BE91-0230C8C63B87}"/>
    <cellStyle name="Currency 10 5 4 2" xfId="30616" xr:uid="{518B91A6-FD4F-49C6-8FDB-A4A5C315DE47}"/>
    <cellStyle name="Currency 10 5 5" xfId="24375" xr:uid="{A8246505-CA2A-48DD-AFB3-38E315B82427}"/>
    <cellStyle name="Currency 10 6" xfId="1073" xr:uid="{00000000-0005-0000-0000-000034020000}"/>
    <cellStyle name="Currency 10 6 2" xfId="1956" xr:uid="{00000000-0005-0000-0000-000035020000}"/>
    <cellStyle name="Currency 10 6 2 2" xfId="4052" xr:uid="{00000000-0005-0000-0000-000035020000}"/>
    <cellStyle name="Currency 10 6 2 2 2" xfId="10956" xr:uid="{6B0A4081-1B95-4B97-BAD6-30A3B1F8DD0F}"/>
    <cellStyle name="Currency 10 6 2 2 2 2" xfId="33442" xr:uid="{C3A70764-FAFD-4CD2-A7C8-5EB1E5BAEDAF}"/>
    <cellStyle name="Currency 10 6 2 2 3" xfId="27237" xr:uid="{A9942583-7AB0-4632-B099-B106259D6805}"/>
    <cellStyle name="Currency 10 6 2 3" xfId="8914" xr:uid="{8B0414D1-577B-41FC-8415-CEB80B8B5C40}"/>
    <cellStyle name="Currency 10 6 2 3 2" xfId="31493" xr:uid="{52D4DAE8-891E-4BFA-B7F3-A62E28EC4686}"/>
    <cellStyle name="Currency 10 6 2 4" xfId="25342" xr:uid="{566A4827-D2B0-4CF4-B7DD-55051CE90302}"/>
    <cellStyle name="Currency 10 6 3" xfId="3192" xr:uid="{00000000-0005-0000-0000-000034020000}"/>
    <cellStyle name="Currency 10 6 3 2" xfId="10100" xr:uid="{30D3D2D6-64E5-4967-88EF-2349FC662016}"/>
    <cellStyle name="Currency 10 6 3 2 2" xfId="32607" xr:uid="{881B47F5-EA81-402B-BF82-5524A418F032}"/>
    <cellStyle name="Currency 10 6 3 3" xfId="26439" xr:uid="{A2E96CC3-32E3-4D13-9A9E-CDE18CE52416}"/>
    <cellStyle name="Currency 10 6 4" xfId="8155" xr:uid="{D0FAB5FF-ECC7-48B2-8CB0-7A175F1B4B1E}"/>
    <cellStyle name="Currency 10 6 4 2" xfId="30767" xr:uid="{0DD43E40-3F5D-44F3-A2FA-6B6FA4E6C7D6}"/>
    <cellStyle name="Currency 10 6 5" xfId="24538" xr:uid="{982A6FE1-3A23-4834-AC73-BE27F6896AF2}"/>
    <cellStyle name="Currency 10 7" xfId="1251" xr:uid="{00000000-0005-0000-0000-000036020000}"/>
    <cellStyle name="Currency 10 7 2" xfId="2046" xr:uid="{00000000-0005-0000-0000-000037020000}"/>
    <cellStyle name="Currency 10 7 2 2" xfId="4141" xr:uid="{00000000-0005-0000-0000-000037020000}"/>
    <cellStyle name="Currency 10 7 2 2 2" xfId="11045" xr:uid="{541AA4A6-C644-444B-9A76-E75B813FD957}"/>
    <cellStyle name="Currency 10 7 2 2 2 2" xfId="33531" xr:uid="{C56D48CC-74B2-40F5-95C8-2C8B87D1182B}"/>
    <cellStyle name="Currency 10 7 2 2 3" xfId="27319" xr:uid="{2644E6BE-8F0E-41F8-AEF8-D63714F7CFC7}"/>
    <cellStyle name="Currency 10 7 2 3" xfId="8985" xr:uid="{FB77D94C-9351-46D6-A04B-74DD68E788B7}"/>
    <cellStyle name="Currency 10 7 2 3 2" xfId="31563" xr:uid="{706660B6-B14C-434B-B1B6-D05C158686A6}"/>
    <cellStyle name="Currency 10 7 2 4" xfId="25426" xr:uid="{AFBDCEAB-4402-4567-B59F-150C2D87FDDE}"/>
    <cellStyle name="Currency 10 7 3" xfId="3359" xr:uid="{00000000-0005-0000-0000-000036020000}"/>
    <cellStyle name="Currency 10 7 3 2" xfId="10267" xr:uid="{A39AD196-C9F1-490C-81B3-1F27EB52E261}"/>
    <cellStyle name="Currency 10 7 3 2 2" xfId="32761" xr:uid="{25D926AE-51EF-4D15-936E-0711949E951D}"/>
    <cellStyle name="Currency 10 7 3 3" xfId="26588" xr:uid="{FC6B2929-EF18-4279-AB91-174FADCAD38D}"/>
    <cellStyle name="Currency 10 7 4" xfId="8317" xr:uid="{A3AF350A-F3A6-45D1-BFAB-EF0E6BF8CE41}"/>
    <cellStyle name="Currency 10 7 4 2" xfId="30915" xr:uid="{9DCB8363-4043-4EEA-868B-52BA1B32924A}"/>
    <cellStyle name="Currency 10 7 5" xfId="24689" xr:uid="{3FE72767-0B75-4CDD-8B81-D523F68DA6B4}"/>
    <cellStyle name="Currency 10 8" xfId="1408" xr:uid="{00000000-0005-0000-0000-000038020000}"/>
    <cellStyle name="Currency 10 8 2" xfId="2137" xr:uid="{00000000-0005-0000-0000-000039020000}"/>
    <cellStyle name="Currency 10 8 2 2" xfId="4230" xr:uid="{00000000-0005-0000-0000-000039020000}"/>
    <cellStyle name="Currency 10 8 2 2 2" xfId="11134" xr:uid="{EA0BC2BE-5DB8-4740-BC3E-4DF2AF15D73E}"/>
    <cellStyle name="Currency 10 8 2 2 2 2" xfId="33620" xr:uid="{417075AB-C37C-4E4C-9179-E601A48485A1}"/>
    <cellStyle name="Currency 10 8 2 2 3" xfId="27402" xr:uid="{8EF0E19B-565D-4B8C-A767-993F02C6BC3A}"/>
    <cellStyle name="Currency 10 8 2 3" xfId="9056" xr:uid="{C2AE218E-ED92-4867-9F54-D79717F95230}"/>
    <cellStyle name="Currency 10 8 2 3 2" xfId="31632" xr:uid="{545DBD05-6F00-4965-B11E-FE2A64D60CA1}"/>
    <cellStyle name="Currency 10 8 2 4" xfId="25507" xr:uid="{28866DC3-EB33-43FC-9D66-776C92BDB74A}"/>
    <cellStyle name="Currency 10 8 3" xfId="3510" xr:uid="{00000000-0005-0000-0000-000038020000}"/>
    <cellStyle name="Currency 10 8 3 2" xfId="10417" xr:uid="{77D5E6AA-DB6D-4B88-8988-24F30B5BB170}"/>
    <cellStyle name="Currency 10 8 3 2 2" xfId="32904" xr:uid="{49C3DCFD-94A1-44F0-8C99-9B6D5C139533}"/>
    <cellStyle name="Currency 10 8 3 3" xfId="26724" xr:uid="{CF1109B7-A6FB-4EBB-96DC-D8690DDE6F5D}"/>
    <cellStyle name="Currency 10 8 4" xfId="8452" xr:uid="{50E0E04A-EB4D-44A6-AD5D-3F4A5069068F}"/>
    <cellStyle name="Currency 10 8 4 2" xfId="31040" xr:uid="{A7C8C280-4005-455A-AD65-02375D05FAEE}"/>
    <cellStyle name="Currency 10 8 5" xfId="24833" xr:uid="{E6F6A45C-C87A-4CBC-9572-CF427EDDDF80}"/>
    <cellStyle name="Currency 10 9" xfId="1476" xr:uid="{00000000-0005-0000-0000-00003A020000}"/>
    <cellStyle name="Currency 10 9 2" xfId="2203" xr:uid="{00000000-0005-0000-0000-00003B020000}"/>
    <cellStyle name="Currency 10 9 2 2" xfId="4296" xr:uid="{00000000-0005-0000-0000-00003B020000}"/>
    <cellStyle name="Currency 10 9 2 2 2" xfId="11200" xr:uid="{6BD808C4-3D3F-4C76-AA87-1762707D8AEE}"/>
    <cellStyle name="Currency 10 9 2 2 2 2" xfId="33686" xr:uid="{C595B097-1F45-4E7D-95EE-8412AC8E2FB3}"/>
    <cellStyle name="Currency 10 9 2 2 3" xfId="27468" xr:uid="{99CBD7D7-32D6-4726-B1E5-D044F3EB0E9D}"/>
    <cellStyle name="Currency 10 9 2 3" xfId="9116" xr:uid="{6EB21E74-E762-453A-B56C-6B8E5D84B4EA}"/>
    <cellStyle name="Currency 10 9 2 3 2" xfId="31692" xr:uid="{3887A04A-F1D1-4F00-B31F-0A8633240CE0}"/>
    <cellStyle name="Currency 10 9 2 4" xfId="25571" xr:uid="{723F281D-9DBF-444F-9FD9-B672AAB3BA40}"/>
    <cellStyle name="Currency 10 9 3" xfId="3577" xr:uid="{00000000-0005-0000-0000-00003A020000}"/>
    <cellStyle name="Currency 10 9 3 2" xfId="10482" xr:uid="{BDA92370-4A9B-4002-A59D-EEC097829CD0}"/>
    <cellStyle name="Currency 10 9 3 2 2" xfId="32969" xr:uid="{4C2894EA-0C27-42F3-BF64-28FED7A4055F}"/>
    <cellStyle name="Currency 10 9 3 3" xfId="26790" xr:uid="{B9AAEF34-67DC-4175-B944-79B2BA0C8C7F}"/>
    <cellStyle name="Currency 10 9 4" xfId="8518" xr:uid="{6A61CAFB-DC63-4168-B597-5045ADF9D35C}"/>
    <cellStyle name="Currency 10 9 4 2" xfId="31105" xr:uid="{7E3CF5F0-291D-44DE-8855-28C83978ECB6}"/>
    <cellStyle name="Currency 10 9 5" xfId="24898" xr:uid="{AC0CA333-97AD-41D7-AE40-70E88A42111C}"/>
    <cellStyle name="Currency 11" xfId="218" xr:uid="{00000000-0005-0000-0000-00003C020000}"/>
    <cellStyle name="Currency 11 10" xfId="1563" xr:uid="{00000000-0005-0000-0000-00003D020000}"/>
    <cellStyle name="Currency 11 10 2" xfId="3664" xr:uid="{00000000-0005-0000-0000-00003D020000}"/>
    <cellStyle name="Currency 11 10 2 2" xfId="10568" xr:uid="{41838188-A835-4FE6-B850-374A973CEC81}"/>
    <cellStyle name="Currency 11 10 2 2 2" xfId="33054" xr:uid="{663222FD-AC44-4955-97D0-E9E9FB8F6197}"/>
    <cellStyle name="Currency 11 10 2 3" xfId="26875" xr:uid="{DFAC6502-22BD-4F66-9025-89461B2795D9}"/>
    <cellStyle name="Currency 11 10 3" xfId="8600" xr:uid="{EE298B58-60A4-42C3-B02B-0535ACED60B3}"/>
    <cellStyle name="Currency 11 10 3 2" xfId="31187" xr:uid="{66283F3C-6B60-4AB0-8937-BAAF8000D9A3}"/>
    <cellStyle name="Currency 11 10 4" xfId="24985" xr:uid="{29B77A87-C4E0-436B-8670-8E6993383980}"/>
    <cellStyle name="Currency 11 11" xfId="2387" xr:uid="{00000000-0005-0000-0000-00003C020000}"/>
    <cellStyle name="Currency 11 11 2" xfId="9296" xr:uid="{B72FCFBE-3714-46EB-BA4F-2167C6F1D9FA}"/>
    <cellStyle name="Currency 11 11 2 2" xfId="31871" xr:uid="{4CEB7AEC-C8BD-4B05-B65E-BDF29BB71369}"/>
    <cellStyle name="Currency 11 11 3" xfId="25740" xr:uid="{18F97A20-0004-4599-AC08-93C67C4A93B2}"/>
    <cellStyle name="Currency 11 12" xfId="7389" xr:uid="{AF516F72-BCEA-451F-9847-791178922BB3}"/>
    <cellStyle name="Currency 11 12 2" xfId="30073" xr:uid="{F297C51E-591F-4B2C-8134-291EF591EBC4}"/>
    <cellStyle name="Currency 11 13" xfId="23786" xr:uid="{F766719D-547C-4C2B-86B9-072504165103}"/>
    <cellStyle name="Currency 11 2" xfId="409" xr:uid="{00000000-0005-0000-0000-00003E020000}"/>
    <cellStyle name="Currency 11 2 2" xfId="1619" xr:uid="{00000000-0005-0000-0000-00003F020000}"/>
    <cellStyle name="Currency 11 2 2 2" xfId="3720" xr:uid="{00000000-0005-0000-0000-00003F020000}"/>
    <cellStyle name="Currency 11 2 2 2 2" xfId="10624" xr:uid="{A86A55BB-4E52-4F7D-B86F-1023B12FC258}"/>
    <cellStyle name="Currency 11 2 2 2 2 2" xfId="33110" xr:uid="{A7BA206F-DFB2-405B-A766-99194A38B144}"/>
    <cellStyle name="Currency 11 2 2 2 3" xfId="26931" xr:uid="{806C89DA-2F05-40E1-90FE-74C3A798884E}"/>
    <cellStyle name="Currency 11 2 2 3" xfId="8654" xr:uid="{D441BB1B-0B2D-4A49-AF38-7635C89F1B61}"/>
    <cellStyle name="Currency 11 2 2 3 2" xfId="31240" xr:uid="{3E071CF9-A4E9-44C0-BE7D-24F2A27FC9B1}"/>
    <cellStyle name="Currency 11 2 2 4" xfId="25040" xr:uid="{C7C1BF92-C680-465E-9FAC-C83544938B56}"/>
    <cellStyle name="Currency 11 2 3" xfId="2568" xr:uid="{00000000-0005-0000-0000-00003E020000}"/>
    <cellStyle name="Currency 11 2 3 2" xfId="9477" xr:uid="{3478CB79-5BB1-4E71-80C0-BFB69F8B8C9C}"/>
    <cellStyle name="Currency 11 2 3 2 2" xfId="32029" xr:uid="{75AB2724-3100-4E7E-A85D-B75C5B1039C2}"/>
    <cellStyle name="Currency 11 2 3 3" xfId="25893" xr:uid="{0CCDA129-F7D9-4EA9-8B85-C29841D95E31}"/>
    <cellStyle name="Currency 11 2 4" xfId="7572" xr:uid="{76776F4A-CB19-4D25-8C27-5F65A1705F19}"/>
    <cellStyle name="Currency 11 2 4 2" xfId="30235" xr:uid="{D6DC44D3-DCCC-4036-8DC4-A9397884598E}"/>
    <cellStyle name="Currency 11 2 5" xfId="23953" xr:uid="{0E2B2513-492A-4A96-BE0C-2DBFFDED76E7}"/>
    <cellStyle name="Currency 11 3" xfId="566" xr:uid="{00000000-0005-0000-0000-000040020000}"/>
    <cellStyle name="Currency 11 3 2" xfId="1704" xr:uid="{00000000-0005-0000-0000-000041020000}"/>
    <cellStyle name="Currency 11 3 2 2" xfId="3802" xr:uid="{00000000-0005-0000-0000-000041020000}"/>
    <cellStyle name="Currency 11 3 2 2 2" xfId="10706" xr:uid="{B6B71766-C3AC-4117-871A-A2600130A2D4}"/>
    <cellStyle name="Currency 11 3 2 2 2 2" xfId="33192" xr:uid="{EEAA7F18-0523-49B9-9311-3E8D5B58A15E}"/>
    <cellStyle name="Currency 11 3 2 2 3" xfId="27009" xr:uid="{A68150DD-F220-46AD-945D-3D461877AB1A}"/>
    <cellStyle name="Currency 11 3 2 3" xfId="8719" xr:uid="{B5277B68-81F7-4116-AED1-0E53CA4A31F5}"/>
    <cellStyle name="Currency 11 3 2 3 2" xfId="31304" xr:uid="{951F32AA-ABB8-4A9F-824E-F5643D72188A}"/>
    <cellStyle name="Currency 11 3 2 4" xfId="25119" xr:uid="{1E050492-FE4F-48F0-B2DF-229C4FF79BC1}"/>
    <cellStyle name="Currency 11 3 3" xfId="2717" xr:uid="{00000000-0005-0000-0000-000040020000}"/>
    <cellStyle name="Currency 11 3 3 2" xfId="9626" xr:uid="{118DAA5F-B10D-45A3-A105-D6A8D10B03AE}"/>
    <cellStyle name="Currency 11 3 3 2 2" xfId="32174" xr:uid="{9F4E1761-6F27-4CC4-ACEF-EDC38B459623}"/>
    <cellStyle name="Currency 11 3 3 3" xfId="26026" xr:uid="{E1946CBD-EDB8-45E9-AB72-2A03373A7FC0}"/>
    <cellStyle name="Currency 11 3 4" xfId="7709" xr:uid="{17EEF4C4-8786-4C5D-B9AB-A4FF42FF9293}"/>
    <cellStyle name="Currency 11 3 4 2" xfId="30358" xr:uid="{EBCB50E1-3E48-494F-BC58-77B47BB05A55}"/>
    <cellStyle name="Currency 11 3 5" xfId="24092" xr:uid="{937A6443-4539-4A60-8F8E-9B931E6D78F6}"/>
    <cellStyle name="Currency 11 4" xfId="809" xr:uid="{00000000-0005-0000-0000-000042020000}"/>
    <cellStyle name="Currency 11 4 2" xfId="1801" xr:uid="{00000000-0005-0000-0000-000043020000}"/>
    <cellStyle name="Currency 11 4 2 2" xfId="3899" xr:uid="{00000000-0005-0000-0000-000043020000}"/>
    <cellStyle name="Currency 11 4 2 2 2" xfId="10803" xr:uid="{445A2B2B-0B5D-4072-815E-52678442AAD4}"/>
    <cellStyle name="Currency 11 4 2 2 2 2" xfId="33289" xr:uid="{4BE635D5-5A64-4041-91F3-815CE1CF4A65}"/>
    <cellStyle name="Currency 11 4 2 2 3" xfId="27098" xr:uid="{44196400-3D21-4A7F-9BC5-6CB3913A0341}"/>
    <cellStyle name="Currency 11 4 2 3" xfId="8801" xr:uid="{5450214B-EA6C-4974-BDA1-C0FA5918E251}"/>
    <cellStyle name="Currency 11 4 2 3 2" xfId="31384" xr:uid="{8733C03A-D120-4644-BBDF-D3EFE205DF91}"/>
    <cellStyle name="Currency 11 4 2 4" xfId="25207" xr:uid="{5873F807-27A9-432A-97AE-F3AA75EF49B7}"/>
    <cellStyle name="Currency 11 4 3" xfId="2947" xr:uid="{00000000-0005-0000-0000-000042020000}"/>
    <cellStyle name="Currency 11 4 3 2" xfId="9856" xr:uid="{D7E0D67B-F2B4-4C48-9E7F-6E0160B86FA4}"/>
    <cellStyle name="Currency 11 4 3 2 2" xfId="32380" xr:uid="{C8EE2EAC-C833-491D-A517-BF0F43F53C56}"/>
    <cellStyle name="Currency 11 4 3 3" xfId="26233" xr:uid="{BECF1095-4EB0-4D30-ACDF-3C1CD52E5198}"/>
    <cellStyle name="Currency 11 4 4" xfId="7930" xr:uid="{7F866216-A836-4D14-97FA-9538F74FA892}"/>
    <cellStyle name="Currency 11 4 4 2" xfId="30555" xr:uid="{E545872E-238C-4D71-B130-DFFF94AEEE11}"/>
    <cellStyle name="Currency 11 4 5" xfId="24305" xr:uid="{E3758F06-C1A6-4DD7-9DA2-2D5AFAAF6F2A}"/>
    <cellStyle name="Currency 11 5" xfId="995" xr:uid="{00000000-0005-0000-0000-000044020000}"/>
    <cellStyle name="Currency 11 5 2" xfId="1890" xr:uid="{00000000-0005-0000-0000-000045020000}"/>
    <cellStyle name="Currency 11 5 2 2" xfId="3988" xr:uid="{00000000-0005-0000-0000-000045020000}"/>
    <cellStyle name="Currency 11 5 2 2 2" xfId="10892" xr:uid="{A5499A42-DBAE-433E-A3FA-0E483D88FEC0}"/>
    <cellStyle name="Currency 11 5 2 2 2 2" xfId="33378" xr:uid="{F482BF5F-A5BE-4C32-880F-CD1BC43CEFCE}"/>
    <cellStyle name="Currency 11 5 2 2 3" xfId="27179" xr:uid="{48D6B61B-2CB4-4B36-A623-8022EB558978}"/>
    <cellStyle name="Currency 11 5 2 3" xfId="8873" xr:uid="{1C733014-B00A-43D7-AE1E-F64DC28BAAB3}"/>
    <cellStyle name="Currency 11 5 2 3 2" xfId="31454" xr:uid="{B56A1C38-C110-40D4-B066-E7BA19408052}"/>
    <cellStyle name="Currency 11 5 2 4" xfId="25286" xr:uid="{BBDFB629-B5F0-49C9-A29C-2C70B885724F}"/>
    <cellStyle name="Currency 11 5 3" xfId="3123" xr:uid="{00000000-0005-0000-0000-000044020000}"/>
    <cellStyle name="Currency 11 5 3 2" xfId="10032" xr:uid="{94085D3E-64D0-4B45-8F2B-1878773E9153}"/>
    <cellStyle name="Currency 11 5 3 2 2" xfId="32540" xr:uid="{AA37344E-58F3-4511-B8F7-FD48895A70F4}"/>
    <cellStyle name="Currency 11 5 3 3" xfId="26380" xr:uid="{97B63A29-0EBE-4C6E-B509-F22F2F740832}"/>
    <cellStyle name="Currency 11 5 4" xfId="8096" xr:uid="{29B92B27-F1AB-4D0A-AC10-DFADFD9FAF4F}"/>
    <cellStyle name="Currency 11 5 4 2" xfId="30711" xr:uid="{856187F2-8EA1-46D1-97DB-2355AABF2E17}"/>
    <cellStyle name="Currency 11 5 5" xfId="24471" xr:uid="{F463590C-DA61-42E9-8047-123F39B77E03}"/>
    <cellStyle name="Currency 11 6" xfId="1179" xr:uid="{00000000-0005-0000-0000-000046020000}"/>
    <cellStyle name="Currency 11 6 2" xfId="1985" xr:uid="{00000000-0005-0000-0000-000047020000}"/>
    <cellStyle name="Currency 11 6 2 2" xfId="4081" xr:uid="{00000000-0005-0000-0000-000047020000}"/>
    <cellStyle name="Currency 11 6 2 2 2" xfId="10985" xr:uid="{31A437C9-2DB6-43FB-88EB-2E889D5F4BCC}"/>
    <cellStyle name="Currency 11 6 2 2 2 2" xfId="33471" xr:uid="{8D4841EA-D6E1-4C60-BD98-2259FBB425BE}"/>
    <cellStyle name="Currency 11 6 2 2 3" xfId="27266" xr:uid="{8F9B6568-CC58-4783-9134-65AC72F6C953}"/>
    <cellStyle name="Currency 11 6 2 3" xfId="8943" xr:uid="{F0EB8CD3-C23C-4CBF-A577-0D396356D2C4}"/>
    <cellStyle name="Currency 11 6 2 3 2" xfId="31522" xr:uid="{E9EF6389-245F-46CE-A37B-F2DF897C23DC}"/>
    <cellStyle name="Currency 11 6 2 4" xfId="25371" xr:uid="{F1E2B419-7F58-4B51-9E4E-6405B9C9DD20}"/>
    <cellStyle name="Currency 11 6 3" xfId="3297" xr:uid="{00000000-0005-0000-0000-000046020000}"/>
    <cellStyle name="Currency 11 6 3 2" xfId="10205" xr:uid="{79EEECFF-ADF1-4C1C-B784-1C0CB0BB58ED}"/>
    <cellStyle name="Currency 11 6 3 2 2" xfId="32700" xr:uid="{33BBD8F1-F085-48AE-BA8B-2B8379E4F3CC}"/>
    <cellStyle name="Currency 11 6 3 3" xfId="26533" xr:uid="{688F7019-9061-48B1-B613-C78CB38A4F8F}"/>
    <cellStyle name="Currency 11 6 4" xfId="8261" xr:uid="{9B267382-449A-41E2-8A20-3B8235248736}"/>
    <cellStyle name="Currency 11 6 4 2" xfId="30865" xr:uid="{1F965FAF-CFC5-453C-B76A-4E456B742CB4}"/>
    <cellStyle name="Currency 11 6 5" xfId="24630" xr:uid="{46B4454A-CDAD-4F02-ACDF-9D2E01DC97FD}"/>
    <cellStyle name="Currency 11 7" xfId="1342" xr:uid="{00000000-0005-0000-0000-000048020000}"/>
    <cellStyle name="Currency 11 7 2" xfId="2075" xr:uid="{00000000-0005-0000-0000-000049020000}"/>
    <cellStyle name="Currency 11 7 2 2" xfId="4170" xr:uid="{00000000-0005-0000-0000-000049020000}"/>
    <cellStyle name="Currency 11 7 2 2 2" xfId="11074" xr:uid="{CA779FA8-031B-4581-83D9-60522AD5269C}"/>
    <cellStyle name="Currency 11 7 2 2 2 2" xfId="33560" xr:uid="{B46F0338-39D3-47BA-8AF5-B38307876BF6}"/>
    <cellStyle name="Currency 11 7 2 2 3" xfId="27348" xr:uid="{77018BFB-447B-4B02-8BA1-AC8011B8A6AF}"/>
    <cellStyle name="Currency 11 7 2 3" xfId="9014" xr:uid="{D269804B-52FF-460C-BA4F-3262F91E69C2}"/>
    <cellStyle name="Currency 11 7 2 3 2" xfId="31592" xr:uid="{9605BC40-8CAB-42A6-98E0-53170A92526B}"/>
    <cellStyle name="Currency 11 7 2 4" xfId="25455" xr:uid="{D807DAAE-5D4F-409B-9C99-98127AE53F66}"/>
    <cellStyle name="Currency 11 7 3" xfId="3450" xr:uid="{00000000-0005-0000-0000-000048020000}"/>
    <cellStyle name="Currency 11 7 3 2" xfId="10358" xr:uid="{92897681-C20D-4301-8220-E281EEB382BB}"/>
    <cellStyle name="Currency 11 7 3 2 2" xfId="32845" xr:uid="{6C7D5926-22C5-4A96-A26D-35923B1CA939}"/>
    <cellStyle name="Currency 11 7 3 3" xfId="26671" xr:uid="{B79472EF-D2C7-42C3-B773-EE90E9D2EA67}"/>
    <cellStyle name="Currency 11 7 4" xfId="8408" xr:uid="{1D32FCDE-4007-4AB2-A9BE-AF2FC129B0B3}"/>
    <cellStyle name="Currency 11 7 4 2" xfId="30996" xr:uid="{572C377B-D39A-4A40-8118-442F69BCE0A9}"/>
    <cellStyle name="Currency 11 7 5" xfId="24770" xr:uid="{7001E596-DD09-45E3-BA9E-18D1BD594A8A}"/>
    <cellStyle name="Currency 11 8" xfId="1460" xr:uid="{00000000-0005-0000-0000-00004A020000}"/>
    <cellStyle name="Currency 11 8 2" xfId="2187" xr:uid="{00000000-0005-0000-0000-00004B020000}"/>
    <cellStyle name="Currency 11 8 2 2" xfId="4280" xr:uid="{00000000-0005-0000-0000-00004B020000}"/>
    <cellStyle name="Currency 11 8 2 2 2" xfId="11184" xr:uid="{62FA3CE6-8997-4A4F-8BDB-E7A54ED51ACF}"/>
    <cellStyle name="Currency 11 8 2 2 2 2" xfId="33670" xr:uid="{26E31589-8EBD-4D52-8FA5-5F43ABF16347}"/>
    <cellStyle name="Currency 11 8 2 2 3" xfId="27452" xr:uid="{D80ED15C-A99E-47D7-8F45-90A774CC178E}"/>
    <cellStyle name="Currency 11 8 2 3" xfId="9104" xr:uid="{02D7C7BB-F0A8-414F-A69E-5937CCDC3D55}"/>
    <cellStyle name="Currency 11 8 2 3 2" xfId="31680" xr:uid="{4414019A-D81B-4C10-A2B6-67317317F1FC}"/>
    <cellStyle name="Currency 11 8 2 4" xfId="25557" xr:uid="{11D0623A-0626-4992-ABDB-13C25A729F65}"/>
    <cellStyle name="Currency 11 8 3" xfId="3561" xr:uid="{00000000-0005-0000-0000-00004A020000}"/>
    <cellStyle name="Currency 11 8 3 2" xfId="10467" xr:uid="{775A7734-DECB-4051-B88F-8417A55DDB7E}"/>
    <cellStyle name="Currency 11 8 3 2 2" xfId="32954" xr:uid="{D85715E6-D2E9-4B2E-9682-634CB940946B}"/>
    <cellStyle name="Currency 11 8 3 3" xfId="26774" xr:uid="{AA2687E1-6905-452D-AE01-CF8CF5D8836D}"/>
    <cellStyle name="Currency 11 8 4" xfId="8503" xr:uid="{9923608F-D864-475D-AB6E-5733E04B5649}"/>
    <cellStyle name="Currency 11 8 4 2" xfId="31090" xr:uid="{BEF50746-4441-4C5F-B8D8-5F61FC974B6F}"/>
    <cellStyle name="Currency 11 8 5" xfId="24883" xr:uid="{89C96227-A745-4B4C-8E6F-D274BE76D186}"/>
    <cellStyle name="Currency 11 9" xfId="1505" xr:uid="{00000000-0005-0000-0000-00004C020000}"/>
    <cellStyle name="Currency 11 9 2" xfId="2232" xr:uid="{00000000-0005-0000-0000-00004D020000}"/>
    <cellStyle name="Currency 11 9 2 2" xfId="4325" xr:uid="{00000000-0005-0000-0000-00004D020000}"/>
    <cellStyle name="Currency 11 9 2 2 2" xfId="11229" xr:uid="{E38EF315-A64A-4CF5-B496-B58FE98DC185}"/>
    <cellStyle name="Currency 11 9 2 2 2 2" xfId="33715" xr:uid="{FC1E4F1E-A1C6-41AB-BBB5-ABF3A1DEC66E}"/>
    <cellStyle name="Currency 11 9 2 2 3" xfId="27497" xr:uid="{5D65D2A4-C068-4BEA-BE36-04607FFABC9B}"/>
    <cellStyle name="Currency 11 9 2 3" xfId="9145" xr:uid="{B256FE70-CFB9-4917-B853-AEB1C52E190F}"/>
    <cellStyle name="Currency 11 9 2 3 2" xfId="31721" xr:uid="{D6AA60F7-85DA-4447-A995-FEF2E0BE1AF4}"/>
    <cellStyle name="Currency 11 9 2 4" xfId="25600" xr:uid="{2E8DCCAA-CB88-4563-8F21-8A8C04457520}"/>
    <cellStyle name="Currency 11 9 3" xfId="3606" xr:uid="{00000000-0005-0000-0000-00004C020000}"/>
    <cellStyle name="Currency 11 9 3 2" xfId="10511" xr:uid="{C961E2EF-4513-471B-900B-C55635E1B739}"/>
    <cellStyle name="Currency 11 9 3 2 2" xfId="32998" xr:uid="{6DC63F67-517F-43A8-8B82-EB548F5B2BFE}"/>
    <cellStyle name="Currency 11 9 3 3" xfId="26819" xr:uid="{E9E6C20C-B791-4A67-8E07-7BF126F3A5F9}"/>
    <cellStyle name="Currency 11 9 4" xfId="8547" xr:uid="{9C2E8CDD-6B6E-429E-AF1A-EAA84AD63069}"/>
    <cellStyle name="Currency 11 9 4 2" xfId="31134" xr:uid="{9F101BA8-3FC3-41E5-8209-4E696F5A2B3B}"/>
    <cellStyle name="Currency 11 9 5" xfId="24927" xr:uid="{8D700117-184D-4204-9747-3CFCF7DD8DFD}"/>
    <cellStyle name="Currency 12" xfId="220" xr:uid="{00000000-0005-0000-0000-00004E020000}"/>
    <cellStyle name="Currency 12 10" xfId="1565" xr:uid="{00000000-0005-0000-0000-00004F020000}"/>
    <cellStyle name="Currency 12 10 2" xfId="3666" xr:uid="{00000000-0005-0000-0000-00004F020000}"/>
    <cellStyle name="Currency 12 10 2 2" xfId="10570" xr:uid="{08EE25D4-72B1-4432-AD83-89D125C3BD8C}"/>
    <cellStyle name="Currency 12 10 2 2 2" xfId="33056" xr:uid="{4AEF4448-658D-4830-B656-C26171400EE0}"/>
    <cellStyle name="Currency 12 10 2 3" xfId="26877" xr:uid="{09B666DC-3F2D-436D-8118-E7C39EAD76E2}"/>
    <cellStyle name="Currency 12 10 3" xfId="8602" xr:uid="{EE050FC3-9201-4844-AE63-E09AA222659F}"/>
    <cellStyle name="Currency 12 10 3 2" xfId="31189" xr:uid="{3A3194CD-2FC1-4021-943C-C05C6C6E3782}"/>
    <cellStyle name="Currency 12 10 4" xfId="24987" xr:uid="{2CF0CE23-A221-4140-A77B-0A421441B7DD}"/>
    <cellStyle name="Currency 12 11" xfId="2389" xr:uid="{00000000-0005-0000-0000-00004E020000}"/>
    <cellStyle name="Currency 12 11 2" xfId="9298" xr:uid="{052AD783-A42F-42EF-A3E1-F9408FADFBB4}"/>
    <cellStyle name="Currency 12 11 2 2" xfId="31873" xr:uid="{A040FD3D-319E-48C6-8A9D-442C32DA2B5C}"/>
    <cellStyle name="Currency 12 11 3" xfId="25742" xr:uid="{1D94591D-88B6-4AC9-91E3-B67A0E8E774D}"/>
    <cellStyle name="Currency 12 12" xfId="7391" xr:uid="{A02EB871-79DF-4155-A8BC-1E5482E8F408}"/>
    <cellStyle name="Currency 12 12 2" xfId="30075" xr:uid="{2CD3AF7F-BC87-4102-8AE2-A9FF549AF7C4}"/>
    <cellStyle name="Currency 12 13" xfId="23788" xr:uid="{9F374069-3CCA-4FCB-879C-91FBE6A23E08}"/>
    <cellStyle name="Currency 12 2" xfId="411" xr:uid="{00000000-0005-0000-0000-000050020000}"/>
    <cellStyle name="Currency 12 2 2" xfId="1621" xr:uid="{00000000-0005-0000-0000-000051020000}"/>
    <cellStyle name="Currency 12 2 2 2" xfId="3722" xr:uid="{00000000-0005-0000-0000-000051020000}"/>
    <cellStyle name="Currency 12 2 2 2 2" xfId="10626" xr:uid="{2B35591D-113E-4648-B2F4-722F6AEF0B08}"/>
    <cellStyle name="Currency 12 2 2 2 2 2" xfId="33112" xr:uid="{84CE42E3-8CCF-4E6E-968D-172FB5B5FDA5}"/>
    <cellStyle name="Currency 12 2 2 2 3" xfId="26933" xr:uid="{425C5523-D075-4FCD-9A1F-7BC1878EC78E}"/>
    <cellStyle name="Currency 12 2 2 3" xfId="8656" xr:uid="{6F2485A5-DC33-45FA-A0FF-8568E3F5842F}"/>
    <cellStyle name="Currency 12 2 2 3 2" xfId="31242" xr:uid="{7F500BCD-165C-4D13-81DF-9BCF57EE220F}"/>
    <cellStyle name="Currency 12 2 2 4" xfId="25042" xr:uid="{AD37D952-CED8-42B0-866C-0B6A64D58C1E}"/>
    <cellStyle name="Currency 12 2 3" xfId="2570" xr:uid="{00000000-0005-0000-0000-000050020000}"/>
    <cellStyle name="Currency 12 2 3 2" xfId="9479" xr:uid="{A062FC75-CA90-4532-80E6-4561A89E5DA0}"/>
    <cellStyle name="Currency 12 2 3 2 2" xfId="32031" xr:uid="{C1EB9CF5-7685-40AE-BD84-878DC5DA3B40}"/>
    <cellStyle name="Currency 12 2 3 3" xfId="25895" xr:uid="{282180F0-4E2D-43EB-BDDB-2B06B07B3B8B}"/>
    <cellStyle name="Currency 12 2 4" xfId="7574" xr:uid="{C1F2D4B3-539E-4EBB-80B5-B8A4713D9A58}"/>
    <cellStyle name="Currency 12 2 4 2" xfId="30237" xr:uid="{682C8F90-0F9D-4F04-86F0-07A5DD29E0EB}"/>
    <cellStyle name="Currency 12 2 5" xfId="23955" xr:uid="{55FFB021-5108-4D0A-908C-AF86ECA0BF66}"/>
    <cellStyle name="Currency 12 3" xfId="568" xr:uid="{00000000-0005-0000-0000-000052020000}"/>
    <cellStyle name="Currency 12 3 2" xfId="1706" xr:uid="{00000000-0005-0000-0000-000053020000}"/>
    <cellStyle name="Currency 12 3 2 2" xfId="3804" xr:uid="{00000000-0005-0000-0000-000053020000}"/>
    <cellStyle name="Currency 12 3 2 2 2" xfId="10708" xr:uid="{105CE755-D312-4BD3-ACAA-35AE08EBC063}"/>
    <cellStyle name="Currency 12 3 2 2 2 2" xfId="33194" xr:uid="{7A373BA9-D754-4942-964A-7D4D9D848C0D}"/>
    <cellStyle name="Currency 12 3 2 2 3" xfId="27011" xr:uid="{AAF6AAB6-A7D8-4C5F-B002-1DD9932AD415}"/>
    <cellStyle name="Currency 12 3 2 3" xfId="8721" xr:uid="{1FBFD05D-ECAF-4CBE-ACD6-31E639483510}"/>
    <cellStyle name="Currency 12 3 2 3 2" xfId="31306" xr:uid="{191B40DC-A569-4330-AEF2-57763C409C3B}"/>
    <cellStyle name="Currency 12 3 2 4" xfId="25121" xr:uid="{6287B170-05D1-4C2A-9E46-F62AEC0E3847}"/>
    <cellStyle name="Currency 12 3 3" xfId="2719" xr:uid="{00000000-0005-0000-0000-000052020000}"/>
    <cellStyle name="Currency 12 3 3 2" xfId="9628" xr:uid="{3A1E8B34-1720-49AF-B699-8F2F6FAC4A85}"/>
    <cellStyle name="Currency 12 3 3 2 2" xfId="32176" xr:uid="{543D9101-4EF8-4147-B191-11BDB1AA90D6}"/>
    <cellStyle name="Currency 12 3 3 3" xfId="26028" xr:uid="{0617AE5F-7A1C-4421-B447-8A521B31BAA3}"/>
    <cellStyle name="Currency 12 3 4" xfId="7711" xr:uid="{96433B20-B7E7-4A89-A8E3-137EAC0FB45E}"/>
    <cellStyle name="Currency 12 3 4 2" xfId="30360" xr:uid="{7BB077EF-D5A8-4A08-A75D-36F4AD3F2F0C}"/>
    <cellStyle name="Currency 12 3 5" xfId="24094" xr:uid="{F4DA6D32-F87B-4B83-B8C7-852AE74926E6}"/>
    <cellStyle name="Currency 12 4" xfId="811" xr:uid="{00000000-0005-0000-0000-000054020000}"/>
    <cellStyle name="Currency 12 4 2" xfId="1803" xr:uid="{00000000-0005-0000-0000-000055020000}"/>
    <cellStyle name="Currency 12 4 2 2" xfId="3901" xr:uid="{00000000-0005-0000-0000-000055020000}"/>
    <cellStyle name="Currency 12 4 2 2 2" xfId="10805" xr:uid="{8B9494E7-89EF-44CE-96D8-E397423249B0}"/>
    <cellStyle name="Currency 12 4 2 2 2 2" xfId="33291" xr:uid="{05160968-8AA5-45D9-958A-4A085CC054F8}"/>
    <cellStyle name="Currency 12 4 2 2 3" xfId="27100" xr:uid="{60D8D41F-3F49-4F16-B3BB-376A18D5E4DD}"/>
    <cellStyle name="Currency 12 4 2 3" xfId="8803" xr:uid="{4446AD85-BA95-4018-BE24-839C8D91E009}"/>
    <cellStyle name="Currency 12 4 2 3 2" xfId="31386" xr:uid="{93AD9F8F-6C9C-4798-81EF-0F2427D11679}"/>
    <cellStyle name="Currency 12 4 2 4" xfId="25209" xr:uid="{153BE880-AAB0-427E-BB17-BCC24FBDC2CB}"/>
    <cellStyle name="Currency 12 4 3" xfId="2949" xr:uid="{00000000-0005-0000-0000-000054020000}"/>
    <cellStyle name="Currency 12 4 3 2" xfId="9858" xr:uid="{C7E1E2AA-6809-4226-BD7B-F0D0CE971279}"/>
    <cellStyle name="Currency 12 4 3 2 2" xfId="32382" xr:uid="{50812F68-2842-4F89-BABF-D8103C6D8084}"/>
    <cellStyle name="Currency 12 4 3 3" xfId="26235" xr:uid="{AB679560-3500-4B1D-81E2-CAF59E56FC73}"/>
    <cellStyle name="Currency 12 4 4" xfId="7932" xr:uid="{8B353700-84B5-4233-A7AF-73883AC08766}"/>
    <cellStyle name="Currency 12 4 4 2" xfId="30557" xr:uid="{F36DCA9F-ACD4-4B05-B7B8-57236998A0A1}"/>
    <cellStyle name="Currency 12 4 5" xfId="24307" xr:uid="{C1740DC7-7036-44E1-83D9-2CA5B74520D1}"/>
    <cellStyle name="Currency 12 5" xfId="997" xr:uid="{00000000-0005-0000-0000-000056020000}"/>
    <cellStyle name="Currency 12 5 2" xfId="1892" xr:uid="{00000000-0005-0000-0000-000057020000}"/>
    <cellStyle name="Currency 12 5 2 2" xfId="3990" xr:uid="{00000000-0005-0000-0000-000057020000}"/>
    <cellStyle name="Currency 12 5 2 2 2" xfId="10894" xr:uid="{961A81CA-0885-4169-8B85-B615D07C0E5E}"/>
    <cellStyle name="Currency 12 5 2 2 2 2" xfId="33380" xr:uid="{26F170AC-19D5-41DB-B33A-0A25323409DE}"/>
    <cellStyle name="Currency 12 5 2 2 3" xfId="27181" xr:uid="{96853515-BD67-4962-9C4B-1E3DBADDEFBC}"/>
    <cellStyle name="Currency 12 5 2 3" xfId="8875" xr:uid="{8753AC92-F4BA-4174-86A9-45BCA49313DD}"/>
    <cellStyle name="Currency 12 5 2 3 2" xfId="31456" xr:uid="{02B1498C-B810-499E-B035-7A5427E6254D}"/>
    <cellStyle name="Currency 12 5 2 4" xfId="25288" xr:uid="{6B001788-04C2-472D-BE18-55990127B637}"/>
    <cellStyle name="Currency 12 5 3" xfId="3125" xr:uid="{00000000-0005-0000-0000-000056020000}"/>
    <cellStyle name="Currency 12 5 3 2" xfId="10034" xr:uid="{1BAD1646-17A4-406A-B3F1-BF66CAC684D2}"/>
    <cellStyle name="Currency 12 5 3 2 2" xfId="32542" xr:uid="{BE02D773-7BC2-408F-92FC-5B7C141D0505}"/>
    <cellStyle name="Currency 12 5 3 3" xfId="26382" xr:uid="{F01F7D17-93E3-4D3B-8470-665DB64AEE22}"/>
    <cellStyle name="Currency 12 5 4" xfId="8098" xr:uid="{BEEBA4BE-ADE2-4A27-A520-7025BD030107}"/>
    <cellStyle name="Currency 12 5 4 2" xfId="30713" xr:uid="{F0A70159-C6D1-4361-AE22-45C1636E31FA}"/>
    <cellStyle name="Currency 12 5 5" xfId="24473" xr:uid="{3AE39BC7-BBAA-4527-8FD6-32A24759DEB0}"/>
    <cellStyle name="Currency 12 6" xfId="1181" xr:uid="{00000000-0005-0000-0000-000058020000}"/>
    <cellStyle name="Currency 12 6 2" xfId="1987" xr:uid="{00000000-0005-0000-0000-000059020000}"/>
    <cellStyle name="Currency 12 6 2 2" xfId="4083" xr:uid="{00000000-0005-0000-0000-000059020000}"/>
    <cellStyle name="Currency 12 6 2 2 2" xfId="10987" xr:uid="{2294ECB6-5530-405C-AE39-BAEA80087CD5}"/>
    <cellStyle name="Currency 12 6 2 2 2 2" xfId="33473" xr:uid="{657CAFF3-ADAE-4337-A5A8-62CDC9357A15}"/>
    <cellStyle name="Currency 12 6 2 2 3" xfId="27268" xr:uid="{984A7B63-7F34-4159-A486-FC279176D3A1}"/>
    <cellStyle name="Currency 12 6 2 3" xfId="8945" xr:uid="{8E364F10-B33D-40EB-B0B9-22F8A9D9AD18}"/>
    <cellStyle name="Currency 12 6 2 3 2" xfId="31524" xr:uid="{409525BF-FA5B-4A35-B6E8-647F6EA608BF}"/>
    <cellStyle name="Currency 12 6 2 4" xfId="25373" xr:uid="{25C12006-018C-4DBE-A43E-BC74B5F816A8}"/>
    <cellStyle name="Currency 12 6 3" xfId="3299" xr:uid="{00000000-0005-0000-0000-000058020000}"/>
    <cellStyle name="Currency 12 6 3 2" xfId="10207" xr:uid="{79B9EF1C-8D11-4842-A957-23D7F58F4D3E}"/>
    <cellStyle name="Currency 12 6 3 2 2" xfId="32702" xr:uid="{33126510-EFBE-4443-B9E4-E8FDF0AC053E}"/>
    <cellStyle name="Currency 12 6 3 3" xfId="26535" xr:uid="{1467F1AD-255F-4B55-A088-5D54220B9525}"/>
    <cellStyle name="Currency 12 6 4" xfId="8263" xr:uid="{3D38B473-E10C-4975-8E01-B25395CCE3BB}"/>
    <cellStyle name="Currency 12 6 4 2" xfId="30867" xr:uid="{BCEF8223-0482-46A2-B9FE-BDF53F7E2DB1}"/>
    <cellStyle name="Currency 12 6 5" xfId="24632" xr:uid="{DCF87595-4D48-4EEC-97CC-87A82F83300B}"/>
    <cellStyle name="Currency 12 7" xfId="1344" xr:uid="{00000000-0005-0000-0000-00005A020000}"/>
    <cellStyle name="Currency 12 7 2" xfId="2077" xr:uid="{00000000-0005-0000-0000-00005B020000}"/>
    <cellStyle name="Currency 12 7 2 2" xfId="4172" xr:uid="{00000000-0005-0000-0000-00005B020000}"/>
    <cellStyle name="Currency 12 7 2 2 2" xfId="11076" xr:uid="{C314CD0B-668A-4C43-824E-26B1130F9085}"/>
    <cellStyle name="Currency 12 7 2 2 2 2" xfId="33562" xr:uid="{22C7D77E-B582-4166-9722-B088E59A7F04}"/>
    <cellStyle name="Currency 12 7 2 2 3" xfId="27350" xr:uid="{45CE9D26-098F-42B6-A4E9-2C209155D095}"/>
    <cellStyle name="Currency 12 7 2 3" xfId="9016" xr:uid="{E4991246-0F57-4072-813F-6B1CB0E2E860}"/>
    <cellStyle name="Currency 12 7 2 3 2" xfId="31594" xr:uid="{57867EEC-B2E1-42D3-8475-93E1508297F1}"/>
    <cellStyle name="Currency 12 7 2 4" xfId="25457" xr:uid="{B0573B51-D602-4799-AC1C-D0B257A1F2A1}"/>
    <cellStyle name="Currency 12 7 3" xfId="3452" xr:uid="{00000000-0005-0000-0000-00005A020000}"/>
    <cellStyle name="Currency 12 7 3 2" xfId="10360" xr:uid="{4BB4C4B2-EE61-444B-8CEF-F4EB9E931E1D}"/>
    <cellStyle name="Currency 12 7 3 2 2" xfId="32847" xr:uid="{1C76F5D6-EFF0-4303-8401-7BCD863E4607}"/>
    <cellStyle name="Currency 12 7 3 3" xfId="26673" xr:uid="{59432378-A733-4A90-852C-7907E3C8B3B3}"/>
    <cellStyle name="Currency 12 7 4" xfId="8410" xr:uid="{CD3D4A96-1C0D-4C2D-AE4C-FEF1411ADD75}"/>
    <cellStyle name="Currency 12 7 4 2" xfId="30998" xr:uid="{E2A457E9-5313-425C-971B-7F6D21A6E17C}"/>
    <cellStyle name="Currency 12 7 5" xfId="24772" xr:uid="{7B49CEE7-C93D-46C1-8302-58F7E35D2D3A}"/>
    <cellStyle name="Currency 12 8" xfId="1421" xr:uid="{00000000-0005-0000-0000-00005C020000}"/>
    <cellStyle name="Currency 12 8 2" xfId="2150" xr:uid="{00000000-0005-0000-0000-00005D020000}"/>
    <cellStyle name="Currency 12 8 2 2" xfId="4243" xr:uid="{00000000-0005-0000-0000-00005D020000}"/>
    <cellStyle name="Currency 12 8 2 2 2" xfId="11147" xr:uid="{7D6F84A4-25E0-46B1-86F2-4978F1E9A9BC}"/>
    <cellStyle name="Currency 12 8 2 2 2 2" xfId="33633" xr:uid="{4201AFDD-D750-4ECA-8EDA-B172BA295483}"/>
    <cellStyle name="Currency 12 8 2 2 3" xfId="27415" xr:uid="{A8BC7888-2D1E-4B59-92C8-046C35A7F13E}"/>
    <cellStyle name="Currency 12 8 2 3" xfId="9067" xr:uid="{34875B2F-E0D2-4DA2-8DBD-3489894E2A2B}"/>
    <cellStyle name="Currency 12 8 2 3 2" xfId="31643" xr:uid="{26BE4542-9856-48E6-ABEF-79F9AE61BF56}"/>
    <cellStyle name="Currency 12 8 2 4" xfId="25520" xr:uid="{147A2B05-33C1-4F9E-A9CE-9E3D50E56BA6}"/>
    <cellStyle name="Currency 12 8 3" xfId="3522" xr:uid="{00000000-0005-0000-0000-00005C020000}"/>
    <cellStyle name="Currency 12 8 3 2" xfId="10429" xr:uid="{C90957B8-1ABF-4DF2-BA2A-844090379D76}"/>
    <cellStyle name="Currency 12 8 3 2 2" xfId="32916" xr:uid="{161091E3-65B5-4BD1-BE13-437F00003549}"/>
    <cellStyle name="Currency 12 8 3 3" xfId="26735" xr:uid="{9994E6E0-18D9-4DE3-93ED-D30CF4BA368E}"/>
    <cellStyle name="Currency 12 8 4" xfId="8464" xr:uid="{A158BC59-ECBD-423A-848C-14C58B717A8D}"/>
    <cellStyle name="Currency 12 8 4 2" xfId="31051" xr:uid="{7B2CD3A6-E91E-4068-8629-50D25052F720}"/>
    <cellStyle name="Currency 12 8 5" xfId="24844" xr:uid="{B8D418B4-2649-44F6-97F7-CDD5041B7498}"/>
    <cellStyle name="Currency 12 9" xfId="1507" xr:uid="{00000000-0005-0000-0000-00005E020000}"/>
    <cellStyle name="Currency 12 9 2" xfId="2234" xr:uid="{00000000-0005-0000-0000-00005F020000}"/>
    <cellStyle name="Currency 12 9 2 2" xfId="4327" xr:uid="{00000000-0005-0000-0000-00005F020000}"/>
    <cellStyle name="Currency 12 9 2 2 2" xfId="11231" xr:uid="{DF97F054-95BE-48E2-9637-689DD0A2E3BE}"/>
    <cellStyle name="Currency 12 9 2 2 2 2" xfId="33717" xr:uid="{7032652B-F0B2-448A-ACE9-74C85756F464}"/>
    <cellStyle name="Currency 12 9 2 2 3" xfId="27499" xr:uid="{939003C7-EC03-4F36-BC66-CA3CE318EA4D}"/>
    <cellStyle name="Currency 12 9 2 3" xfId="9147" xr:uid="{08797296-BB74-48AC-9F78-1496399CA023}"/>
    <cellStyle name="Currency 12 9 2 3 2" xfId="31723" xr:uid="{A180F73B-4FC7-430D-9B6C-3994580F396B}"/>
    <cellStyle name="Currency 12 9 2 4" xfId="25602" xr:uid="{3E7D78A8-DB84-47B9-A192-635697972323}"/>
    <cellStyle name="Currency 12 9 3" xfId="3608" xr:uid="{00000000-0005-0000-0000-00005E020000}"/>
    <cellStyle name="Currency 12 9 3 2" xfId="10513" xr:uid="{A938067D-3223-43F3-B6C5-6C006C737496}"/>
    <cellStyle name="Currency 12 9 3 2 2" xfId="33000" xr:uid="{4B715B92-66BD-4F1E-BFA2-9C96F725561B}"/>
    <cellStyle name="Currency 12 9 3 3" xfId="26821" xr:uid="{D26D1309-2B54-402B-96CF-655FA49D5BB0}"/>
    <cellStyle name="Currency 12 9 4" xfId="8549" xr:uid="{EAE19CFA-FEC0-4913-A293-CFB890D9FC50}"/>
    <cellStyle name="Currency 12 9 4 2" xfId="31136" xr:uid="{0BBF8CA4-FB95-499E-B09E-02109F87D17C}"/>
    <cellStyle name="Currency 12 9 5" xfId="24929" xr:uid="{EA527FB3-89EF-4D6B-848A-5B43309458A1}"/>
    <cellStyle name="Currency 13" xfId="222" xr:uid="{00000000-0005-0000-0000-000060020000}"/>
    <cellStyle name="Currency 13 2" xfId="413" xr:uid="{00000000-0005-0000-0000-000061020000}"/>
    <cellStyle name="Currency 13 2 2" xfId="2572" xr:uid="{00000000-0005-0000-0000-000061020000}"/>
    <cellStyle name="Currency 13 2 2 2" xfId="9481" xr:uid="{1E214DE5-E041-4C9E-87DF-E2887E901D13}"/>
    <cellStyle name="Currency 13 2 3" xfId="7576" xr:uid="{4FA017F9-E904-45EB-AD48-82DF25FC0ABB}"/>
    <cellStyle name="Currency 13 3" xfId="570" xr:uid="{00000000-0005-0000-0000-000062020000}"/>
    <cellStyle name="Currency 13 3 2" xfId="2721" xr:uid="{00000000-0005-0000-0000-000062020000}"/>
    <cellStyle name="Currency 13 3 2 2" xfId="9630" xr:uid="{F8B23177-FCBB-415E-B8D4-0F8D46EF89DA}"/>
    <cellStyle name="Currency 13 3 3" xfId="7713" xr:uid="{4A712E23-B42B-4D38-871E-F388B80F4FED}"/>
    <cellStyle name="Currency 13 4" xfId="813" xr:uid="{00000000-0005-0000-0000-000063020000}"/>
    <cellStyle name="Currency 13 4 2" xfId="2951" xr:uid="{00000000-0005-0000-0000-000063020000}"/>
    <cellStyle name="Currency 13 4 2 2" xfId="9860" xr:uid="{EEBC69B4-9927-4F22-B915-7038B74C9907}"/>
    <cellStyle name="Currency 13 4 3" xfId="7934" xr:uid="{FE23BD2F-BAFA-4025-A0DD-3C237DD6C542}"/>
    <cellStyle name="Currency 13 5" xfId="999" xr:uid="{00000000-0005-0000-0000-000064020000}"/>
    <cellStyle name="Currency 13 5 2" xfId="3127" xr:uid="{00000000-0005-0000-0000-000064020000}"/>
    <cellStyle name="Currency 13 5 2 2" xfId="10036" xr:uid="{700F721E-4F6F-49F5-8A79-BF0FC57AB0B0}"/>
    <cellStyle name="Currency 13 5 3" xfId="8100" xr:uid="{F4D72E64-0FD4-4082-AEB1-E605840E6199}"/>
    <cellStyle name="Currency 13 6" xfId="1183" xr:uid="{00000000-0005-0000-0000-000065020000}"/>
    <cellStyle name="Currency 13 6 2" xfId="3301" xr:uid="{00000000-0005-0000-0000-000065020000}"/>
    <cellStyle name="Currency 13 6 2 2" xfId="10209" xr:uid="{546F7DDB-194A-4DD9-BE89-6889D19512FC}"/>
    <cellStyle name="Currency 13 6 3" xfId="8265" xr:uid="{5FA0524B-2EC0-4DFE-9609-5B7AAC899C3D}"/>
    <cellStyle name="Currency 13 7" xfId="1346" xr:uid="{00000000-0005-0000-0000-000066020000}"/>
    <cellStyle name="Currency 13 7 2" xfId="3454" xr:uid="{00000000-0005-0000-0000-000066020000}"/>
    <cellStyle name="Currency 13 7 2 2" xfId="10362" xr:uid="{2689A292-AFCD-434C-BF84-058CCE27650B}"/>
    <cellStyle name="Currency 13 7 3" xfId="8412" xr:uid="{5AEE3002-44C8-4BF0-AB55-A2304654FE2D}"/>
    <cellStyle name="Currency 14" xfId="1514" xr:uid="{00000000-0005-0000-0000-000067020000}"/>
    <cellStyle name="Currency 14 2" xfId="3615" xr:uid="{00000000-0005-0000-0000-000067020000}"/>
    <cellStyle name="Currency 14 2 2" xfId="10519" xr:uid="{AB92DE05-E98D-4DFA-BB16-8C2515F2B786}"/>
    <cellStyle name="Currency 15" xfId="2240" xr:uid="{00000000-0005-0000-0000-000068020000}"/>
    <cellStyle name="Currency 15 2" xfId="2252" xr:uid="{00000000-0005-0000-0000-000069020000}"/>
    <cellStyle name="Currency 15 2 2" xfId="4344" xr:uid="{00000000-0005-0000-0000-000069020000}"/>
    <cellStyle name="Currency 15 2 2 2" xfId="11247" xr:uid="{B92A0B79-425A-4E7D-97CE-0D10A0EF1F02}"/>
    <cellStyle name="Currency 15 2 2 2 2" xfId="33733" xr:uid="{361EBAFA-A984-4AB8-9488-65D493027C19}"/>
    <cellStyle name="Currency 15 2 2 3" xfId="27515" xr:uid="{26D7265A-54DD-4268-9AFB-59C5F85E9611}"/>
    <cellStyle name="Currency 15 2 3" xfId="9164" xr:uid="{6ED635EF-B06A-4FB9-AF26-ED9E9723913A}"/>
    <cellStyle name="Currency 15 2 3 2" xfId="31739" xr:uid="{AD4FF9F1-5C83-458F-AE6A-E1FBE6C933CD}"/>
    <cellStyle name="Currency 15 2 4" xfId="25619" xr:uid="{7D112733-80CB-4214-9D29-77D2DD0EDCCF}"/>
    <cellStyle name="Currency 15 3" xfId="4333" xr:uid="{00000000-0005-0000-0000-000068020000}"/>
    <cellStyle name="Currency 15 3 2" xfId="11237" xr:uid="{196CC18A-DE73-413D-9F97-7224F25314B8}"/>
    <cellStyle name="Currency 15 3 2 2" xfId="33723" xr:uid="{09C821C5-513E-485A-9BFF-0F90BEE6B8AC}"/>
    <cellStyle name="Currency 15 3 3" xfId="27505" xr:uid="{F25AC47F-3365-4C7B-B6EC-DD797F4131BE}"/>
    <cellStyle name="Currency 15 4" xfId="9152" xr:uid="{8D2132EB-CF62-4009-8959-CE558DCEC3AF}"/>
    <cellStyle name="Currency 15 4 2" xfId="31728" xr:uid="{DD2E798A-E333-4035-8354-1B944E0CC3BC}"/>
    <cellStyle name="Currency 15 5" xfId="25609" xr:uid="{3C956609-D523-49EB-8847-3C6D31363A5C}"/>
    <cellStyle name="Currency 16" xfId="2243" xr:uid="{00000000-0005-0000-0000-00006A020000}"/>
    <cellStyle name="Currency 16 2" xfId="4335" xr:uid="{00000000-0005-0000-0000-00006A020000}"/>
    <cellStyle name="Currency 16 2 2" xfId="11239" xr:uid="{FE7288D8-BCDD-4B0B-A1CF-B566C696E20C}"/>
    <cellStyle name="Currency 16 2 2 2" xfId="33725" xr:uid="{2B926FAF-6387-41FE-B2AD-2860A434B223}"/>
    <cellStyle name="Currency 16 2 3" xfId="27507" xr:uid="{4E1C179D-D8C7-461E-BD4E-D08DB533AE0C}"/>
    <cellStyle name="Currency 16 3" xfId="9155" xr:uid="{A8945111-E263-4BB6-B422-EFC9469F8B99}"/>
    <cellStyle name="Currency 16 3 2" xfId="31731" xr:uid="{40C27F3C-FD76-45DA-8A0A-F1E19FBF4D6F}"/>
    <cellStyle name="Currency 16 4" xfId="25611" xr:uid="{858D58C5-FC00-4F3C-AD55-9C8D77EC3F63}"/>
    <cellStyle name="Currency 17" xfId="2248" xr:uid="{00000000-0005-0000-0000-00006B020000}"/>
    <cellStyle name="Currency 17 2" xfId="4340" xr:uid="{00000000-0005-0000-0000-00006B020000}"/>
    <cellStyle name="Currency 17 2 2" xfId="11243" xr:uid="{8D4416BD-06E4-4E76-8DBC-FEBA5D4DC1C8}"/>
    <cellStyle name="Currency 17 2 2 2" xfId="33729" xr:uid="{6F06CBB1-8B3A-4831-8120-DE8735F0F0CF}"/>
    <cellStyle name="Currency 17 2 3" xfId="27511" xr:uid="{0EAEF9C3-9616-4D8C-9D0D-DF74AA4B593E}"/>
    <cellStyle name="Currency 17 3" xfId="9160" xr:uid="{E6977D7B-81A6-4E90-9B31-3F8E5AED15E1}"/>
    <cellStyle name="Currency 17 3 2" xfId="31735" xr:uid="{AD75D231-FDAF-4A73-BA21-E2C5492648CC}"/>
    <cellStyle name="Currency 17 4" xfId="25615" xr:uid="{FEDB8BCF-A32D-4E70-80F2-640EB6F3E773}"/>
    <cellStyle name="Currency 18" xfId="2250" xr:uid="{00000000-0005-0000-0000-00006C020000}"/>
    <cellStyle name="Currency 18 2" xfId="4342" xr:uid="{00000000-0005-0000-0000-00006C020000}"/>
    <cellStyle name="Currency 18 2 2" xfId="11245" xr:uid="{C11D5AA6-A96F-4085-90FD-A4EEBF00974E}"/>
    <cellStyle name="Currency 18 3" xfId="25617" xr:uid="{6F83CBA5-C700-4B2E-84C9-234D8CA2BD09}"/>
    <cellStyle name="Currency 19" xfId="2256" xr:uid="{00000000-0005-0000-0000-00006D020000}"/>
    <cellStyle name="Currency 19 2" xfId="9168" xr:uid="{4A415006-C9E7-439B-8CDA-A43C292515FF}"/>
    <cellStyle name="Currency 19 2 2" xfId="31743" xr:uid="{3A2E12DB-7A95-406E-BE73-1B54C5408042}"/>
    <cellStyle name="Currency 19 3" xfId="25623" xr:uid="{EB1BF088-3E7D-493C-BA8F-820F62765450}"/>
    <cellStyle name="Currency 2" xfId="6" xr:uid="{00000000-0005-0000-0000-00006E020000}"/>
    <cellStyle name="Currency 2 10" xfId="777" xr:uid="{00000000-0005-0000-0000-00006F020000}"/>
    <cellStyle name="Currency 2 10 2" xfId="2916" xr:uid="{00000000-0005-0000-0000-00006E020000}"/>
    <cellStyle name="Currency 2 10 2 2" xfId="9825" xr:uid="{23BAEA08-BECA-48E0-B32E-59A048F89FAF}"/>
    <cellStyle name="Currency 2 10 3" xfId="7899" xr:uid="{73BD3AA6-1AF7-4A16-B630-9FA09F76FB06}"/>
    <cellStyle name="Currency 2 11" xfId="990" xr:uid="{00000000-0005-0000-0000-000070020000}"/>
    <cellStyle name="Currency 2 11 2" xfId="3119" xr:uid="{00000000-0005-0000-0000-00006F020000}"/>
    <cellStyle name="Currency 2 11 2 2" xfId="10028" xr:uid="{70E74329-A610-4D7B-9146-BE0C9CFC0FF1}"/>
    <cellStyle name="Currency 2 11 3" xfId="8091" xr:uid="{E60F93CE-291A-4B23-8A49-A0A30C4F753D}"/>
    <cellStyle name="Currency 2 12" xfId="872" xr:uid="{00000000-0005-0000-0000-000071020000}"/>
    <cellStyle name="Currency 2 12 2" xfId="3003" xr:uid="{00000000-0005-0000-0000-000070020000}"/>
    <cellStyle name="Currency 2 12 2 2" xfId="9912" xr:uid="{1A28FD73-A0ED-41AD-8267-021D4B27B888}"/>
    <cellStyle name="Currency 2 12 3" xfId="7976" xr:uid="{27535812-E31E-4449-8382-8CBABD2E72CF}"/>
    <cellStyle name="Currency 2 2" xfId="7" xr:uid="{00000000-0005-0000-0000-000072020000}"/>
    <cellStyle name="Currency 2 2 2" xfId="17" xr:uid="{00000000-0005-0000-0000-000073020000}"/>
    <cellStyle name="Currency 2 2 2 2" xfId="38" xr:uid="{00000000-0005-0000-0000-000074020000}"/>
    <cellStyle name="Currency 2 2 2 2 10" xfId="675" xr:uid="{00000000-0005-0000-0000-000075020000}"/>
    <cellStyle name="Currency 2 2 2 2 10 2" xfId="2818" xr:uid="{00000000-0005-0000-0000-000074020000}"/>
    <cellStyle name="Currency 2 2 2 2 10 2 2" xfId="9727" xr:uid="{E680C3FE-5082-403B-828C-CB43BC369A6F}"/>
    <cellStyle name="Currency 2 2 2 2 10 3" xfId="7800" xr:uid="{C61F0F5D-01FD-4B94-95A5-67A3063BECDA}"/>
    <cellStyle name="Currency 2 2 2 2 11" xfId="663" xr:uid="{00000000-0005-0000-0000-000076020000}"/>
    <cellStyle name="Currency 2 2 2 2 11 2" xfId="2806" xr:uid="{00000000-0005-0000-0000-000075020000}"/>
    <cellStyle name="Currency 2 2 2 2 11 2 2" xfId="9715" xr:uid="{C76CB782-2F79-42B9-9E62-6DE44F637BBF}"/>
    <cellStyle name="Currency 2 2 2 2 11 3" xfId="7788" xr:uid="{E7FA7F32-EB42-4F63-953F-E0A53616F275}"/>
    <cellStyle name="Currency 2 2 2 2 12" xfId="1184" xr:uid="{00000000-0005-0000-0000-000077020000}"/>
    <cellStyle name="Currency 2 2 2 2 12 2" xfId="3302" xr:uid="{00000000-0005-0000-0000-000076020000}"/>
    <cellStyle name="Currency 2 2 2 2 12 2 2" xfId="10210" xr:uid="{8FFE42CD-D238-4E04-9DB2-6C8C819F0CF3}"/>
    <cellStyle name="Currency 2 2 2 2 12 3" xfId="8266" xr:uid="{C8517D80-E313-43CE-AA59-D582AC5D6CDA}"/>
    <cellStyle name="Currency 2 2 2 2 2" xfId="119" xr:uid="{00000000-0005-0000-0000-000078020000}"/>
    <cellStyle name="Currency 2 2 2 2 2 2" xfId="325" xr:uid="{00000000-0005-0000-0000-000079020000}"/>
    <cellStyle name="Currency 2 2 2 2 2 2 2" xfId="2485" xr:uid="{00000000-0005-0000-0000-000078020000}"/>
    <cellStyle name="Currency 2 2 2 2 2 2 2 2" xfId="9394" xr:uid="{F04ABACC-DDA7-4D02-9C51-F9B5316D57E5}"/>
    <cellStyle name="Currency 2 2 2 2 2 2 3" xfId="7488" xr:uid="{B5AFD9B3-F782-4C22-8B02-ACF6A9A192D5}"/>
    <cellStyle name="Currency 2 2 2 2 2 3" xfId="489" xr:uid="{00000000-0005-0000-0000-00007A020000}"/>
    <cellStyle name="Currency 2 2 2 2 2 3 2" xfId="2640" xr:uid="{00000000-0005-0000-0000-000079020000}"/>
    <cellStyle name="Currency 2 2 2 2 2 3 2 2" xfId="9549" xr:uid="{6F2CFA0D-323D-4BAE-8502-19E25FE33FC8}"/>
    <cellStyle name="Currency 2 2 2 2 2 3 3" xfId="7632" xr:uid="{15BC4C93-517B-4E77-BF78-FAFFDC183D98}"/>
    <cellStyle name="Currency 2 2 2 2 2 4" xfId="715" xr:uid="{00000000-0005-0000-0000-00007B020000}"/>
    <cellStyle name="Currency 2 2 2 2 2 4 2" xfId="2855" xr:uid="{00000000-0005-0000-0000-00007A020000}"/>
    <cellStyle name="Currency 2 2 2 2 2 4 2 2" xfId="9764" xr:uid="{31AF2927-E939-44F9-86B3-E1A1EC7BEBDB}"/>
    <cellStyle name="Currency 2 2 2 2 2 4 3" xfId="7837" xr:uid="{D03E6691-485A-496B-A82F-53EE6C4AF671}"/>
    <cellStyle name="Currency 2 2 2 2 2 5" xfId="906" xr:uid="{00000000-0005-0000-0000-00007C020000}"/>
    <cellStyle name="Currency 2 2 2 2 2 5 2" xfId="3035" xr:uid="{00000000-0005-0000-0000-00007B020000}"/>
    <cellStyle name="Currency 2 2 2 2 2 5 2 2" xfId="9944" xr:uid="{AC1035AC-3C38-42BF-B7E4-10BBD3B31A1D}"/>
    <cellStyle name="Currency 2 2 2 2 2 5 3" xfId="8007" xr:uid="{CA69443D-0169-43FB-9586-19DB4E97AD09}"/>
    <cellStyle name="Currency 2 2 2 2 2 6" xfId="1089" xr:uid="{00000000-0005-0000-0000-00007D020000}"/>
    <cellStyle name="Currency 2 2 2 2 2 6 2" xfId="3207" xr:uid="{00000000-0005-0000-0000-00007C020000}"/>
    <cellStyle name="Currency 2 2 2 2 2 6 2 2" xfId="10115" xr:uid="{1728CBC2-507E-4A34-BB4D-E83ABFE9E2E0}"/>
    <cellStyle name="Currency 2 2 2 2 2 6 3" xfId="8171" xr:uid="{70F757E9-5BF8-413F-AB21-0923C76AAFEE}"/>
    <cellStyle name="Currency 2 2 2 2 2 7" xfId="1265" xr:uid="{00000000-0005-0000-0000-00007E020000}"/>
    <cellStyle name="Currency 2 2 2 2 2 7 2" xfId="3373" xr:uid="{00000000-0005-0000-0000-00007D020000}"/>
    <cellStyle name="Currency 2 2 2 2 2 7 2 2" xfId="10281" xr:uid="{7C86CD57-145D-4DD3-AE81-04DCFC739B6D}"/>
    <cellStyle name="Currency 2 2 2 2 2 7 3" xfId="8331" xr:uid="{04E7794E-6D45-42C9-8288-71A847441D86}"/>
    <cellStyle name="Currency 2 2 2 2 3" xfId="140" xr:uid="{00000000-0005-0000-0000-00007F020000}"/>
    <cellStyle name="Currency 2 2 2 2 3 2" xfId="344" xr:uid="{00000000-0005-0000-0000-000080020000}"/>
    <cellStyle name="Currency 2 2 2 2 3 2 2" xfId="2504" xr:uid="{00000000-0005-0000-0000-00007F020000}"/>
    <cellStyle name="Currency 2 2 2 2 3 2 2 2" xfId="9413" xr:uid="{9752AFD3-3D2F-42EF-B07C-448FD7DFB73C}"/>
    <cellStyle name="Currency 2 2 2 2 3 2 3" xfId="7507" xr:uid="{124F9269-239D-4393-A492-D0AA4D5B00F8}"/>
    <cellStyle name="Currency 2 2 2 2 3 3" xfId="506" xr:uid="{00000000-0005-0000-0000-000081020000}"/>
    <cellStyle name="Currency 2 2 2 2 3 3 2" xfId="2657" xr:uid="{00000000-0005-0000-0000-000080020000}"/>
    <cellStyle name="Currency 2 2 2 2 3 3 2 2" xfId="9566" xr:uid="{C2E537EB-93DE-4882-96F4-B5188D2B9F09}"/>
    <cellStyle name="Currency 2 2 2 2 3 3 3" xfId="7649" xr:uid="{896322B6-88C5-4FBF-A350-0D8FC84F4E70}"/>
    <cellStyle name="Currency 2 2 2 2 3 4" xfId="734" xr:uid="{00000000-0005-0000-0000-000082020000}"/>
    <cellStyle name="Currency 2 2 2 2 3 4 2" xfId="2874" xr:uid="{00000000-0005-0000-0000-000081020000}"/>
    <cellStyle name="Currency 2 2 2 2 3 4 2 2" xfId="9783" xr:uid="{139C5DC5-1067-4991-B8C1-12EA10422C3D}"/>
    <cellStyle name="Currency 2 2 2 2 3 4 3" xfId="7856" xr:uid="{0006F9F3-2A89-4B6E-BE8A-A3C16FE74EAB}"/>
    <cellStyle name="Currency 2 2 2 2 3 5" xfId="925" xr:uid="{00000000-0005-0000-0000-000083020000}"/>
    <cellStyle name="Currency 2 2 2 2 3 5 2" xfId="3054" xr:uid="{00000000-0005-0000-0000-000082020000}"/>
    <cellStyle name="Currency 2 2 2 2 3 5 2 2" xfId="9963" xr:uid="{D1FE1C38-A21E-4D09-9A35-7CE7C19DE30F}"/>
    <cellStyle name="Currency 2 2 2 2 3 5 3" xfId="8026" xr:uid="{A192A772-90E5-4655-B086-949176089F32}"/>
    <cellStyle name="Currency 2 2 2 2 3 6" xfId="1108" xr:uid="{00000000-0005-0000-0000-000084020000}"/>
    <cellStyle name="Currency 2 2 2 2 3 6 2" xfId="3226" xr:uid="{00000000-0005-0000-0000-000083020000}"/>
    <cellStyle name="Currency 2 2 2 2 3 6 2 2" xfId="10134" xr:uid="{BCADB99E-D249-47EE-903A-F556EDFC7B1C}"/>
    <cellStyle name="Currency 2 2 2 2 3 6 3" xfId="8190" xr:uid="{AB10297F-CCF3-47AA-BB99-0BA7D8035FD1}"/>
    <cellStyle name="Currency 2 2 2 2 3 7" xfId="1282" xr:uid="{00000000-0005-0000-0000-000085020000}"/>
    <cellStyle name="Currency 2 2 2 2 3 7 2" xfId="3390" xr:uid="{00000000-0005-0000-0000-000084020000}"/>
    <cellStyle name="Currency 2 2 2 2 3 7 2 2" xfId="10298" xr:uid="{B5EA0489-A4DC-4E99-AE97-53650BEF29A1}"/>
    <cellStyle name="Currency 2 2 2 2 3 7 3" xfId="8348" xr:uid="{422EC9E8-3BC2-4843-98A9-E80D338AE929}"/>
    <cellStyle name="Currency 2 2 2 2 4" xfId="161" xr:uid="{00000000-0005-0000-0000-000086020000}"/>
    <cellStyle name="Currency 2 2 2 2 4 2" xfId="363" xr:uid="{00000000-0005-0000-0000-000087020000}"/>
    <cellStyle name="Currency 2 2 2 2 4 2 2" xfId="2523" xr:uid="{00000000-0005-0000-0000-000086020000}"/>
    <cellStyle name="Currency 2 2 2 2 4 2 2 2" xfId="9432" xr:uid="{465D41DB-4D41-4782-87AB-7AE9E85B5B76}"/>
    <cellStyle name="Currency 2 2 2 2 4 2 3" xfId="7526" xr:uid="{D3B4E756-F0AF-4656-8420-AAB196DA486F}"/>
    <cellStyle name="Currency 2 2 2 2 4 3" xfId="523" xr:uid="{00000000-0005-0000-0000-000088020000}"/>
    <cellStyle name="Currency 2 2 2 2 4 3 2" xfId="2674" xr:uid="{00000000-0005-0000-0000-000087020000}"/>
    <cellStyle name="Currency 2 2 2 2 4 3 2 2" xfId="9583" xr:uid="{F3477575-DA47-4780-9615-96889EC8BE61}"/>
    <cellStyle name="Currency 2 2 2 2 4 3 3" xfId="7666" xr:uid="{193C0363-6F6F-4E04-84DD-474F85752C13}"/>
    <cellStyle name="Currency 2 2 2 2 4 4" xfId="754" xr:uid="{00000000-0005-0000-0000-000089020000}"/>
    <cellStyle name="Currency 2 2 2 2 4 4 2" xfId="2894" xr:uid="{00000000-0005-0000-0000-000088020000}"/>
    <cellStyle name="Currency 2 2 2 2 4 4 2 2" xfId="9803" xr:uid="{E21ACDA4-553E-4A55-ACDD-6B09DBD7BF0A}"/>
    <cellStyle name="Currency 2 2 2 2 4 4 3" xfId="7876" xr:uid="{E3B7D726-4D20-4F2D-9376-A8A0D35E91FA}"/>
    <cellStyle name="Currency 2 2 2 2 4 5" xfId="944" xr:uid="{00000000-0005-0000-0000-00008A020000}"/>
    <cellStyle name="Currency 2 2 2 2 4 5 2" xfId="3073" xr:uid="{00000000-0005-0000-0000-000089020000}"/>
    <cellStyle name="Currency 2 2 2 2 4 5 2 2" xfId="9982" xr:uid="{AC42C3A8-8853-4C51-B8CF-3DB968BCAC6A}"/>
    <cellStyle name="Currency 2 2 2 2 4 5 3" xfId="8045" xr:uid="{41666F92-3DE7-4A91-B36D-A50AB2916F0C}"/>
    <cellStyle name="Currency 2 2 2 2 4 6" xfId="1128" xr:uid="{00000000-0005-0000-0000-00008B020000}"/>
    <cellStyle name="Currency 2 2 2 2 4 6 2" xfId="3246" xr:uid="{00000000-0005-0000-0000-00008A020000}"/>
    <cellStyle name="Currency 2 2 2 2 4 6 2 2" xfId="10154" xr:uid="{0581D6A0-7E5D-448A-B077-F5CF88D2D074}"/>
    <cellStyle name="Currency 2 2 2 2 4 6 3" xfId="8210" xr:uid="{A3ECB85B-41E9-469C-B837-5036C7899D1D}"/>
    <cellStyle name="Currency 2 2 2 2 4 7" xfId="1299" xr:uid="{00000000-0005-0000-0000-00008C020000}"/>
    <cellStyle name="Currency 2 2 2 2 4 7 2" xfId="3407" xr:uid="{00000000-0005-0000-0000-00008B020000}"/>
    <cellStyle name="Currency 2 2 2 2 4 7 2 2" xfId="10315" xr:uid="{EECCF997-7B0D-4D37-B1E8-B6287FDDB1AB}"/>
    <cellStyle name="Currency 2 2 2 2 4 7 3" xfId="8365" xr:uid="{B8E5F8BB-C2BB-4DDE-AC2B-4FEDA549CA01}"/>
    <cellStyle name="Currency 2 2 2 2 5" xfId="182" xr:uid="{00000000-0005-0000-0000-00008D020000}"/>
    <cellStyle name="Currency 2 2 2 2 5 2" xfId="382" xr:uid="{00000000-0005-0000-0000-00008E020000}"/>
    <cellStyle name="Currency 2 2 2 2 5 2 2" xfId="2541" xr:uid="{00000000-0005-0000-0000-00008D020000}"/>
    <cellStyle name="Currency 2 2 2 2 5 2 2 2" xfId="9450" xr:uid="{2B6148CA-3A8A-439F-BE1C-936CC4B253E1}"/>
    <cellStyle name="Currency 2 2 2 2 5 2 3" xfId="7545" xr:uid="{B69C4E8E-AD48-48A5-8600-310F0576271B}"/>
    <cellStyle name="Currency 2 2 2 2 5 3" xfId="540" xr:uid="{00000000-0005-0000-0000-00008F020000}"/>
    <cellStyle name="Currency 2 2 2 2 5 3 2" xfId="2691" xr:uid="{00000000-0005-0000-0000-00008E020000}"/>
    <cellStyle name="Currency 2 2 2 2 5 3 2 2" xfId="9600" xr:uid="{DE61D544-34B5-455E-B87E-A54AF7C5722B}"/>
    <cellStyle name="Currency 2 2 2 2 5 3 3" xfId="7683" xr:uid="{9F924AED-0941-4F7C-98B9-0ABA78AE3456}"/>
    <cellStyle name="Currency 2 2 2 2 5 4" xfId="774" xr:uid="{00000000-0005-0000-0000-000090020000}"/>
    <cellStyle name="Currency 2 2 2 2 5 4 2" xfId="2913" xr:uid="{00000000-0005-0000-0000-00008F020000}"/>
    <cellStyle name="Currency 2 2 2 2 5 4 2 2" xfId="9822" xr:uid="{80C99654-E483-4BCD-A106-8BDF319A8AE3}"/>
    <cellStyle name="Currency 2 2 2 2 5 4 3" xfId="7896" xr:uid="{AFD578D0-D609-4861-8AF5-DEE46054C107}"/>
    <cellStyle name="Currency 2 2 2 2 5 5" xfId="963" xr:uid="{00000000-0005-0000-0000-000091020000}"/>
    <cellStyle name="Currency 2 2 2 2 5 5 2" xfId="3092" xr:uid="{00000000-0005-0000-0000-000090020000}"/>
    <cellStyle name="Currency 2 2 2 2 5 5 2 2" xfId="10001" xr:uid="{47E85D8F-546A-424A-A8F8-D725DE474A1B}"/>
    <cellStyle name="Currency 2 2 2 2 5 5 3" xfId="8064" xr:uid="{499FDD88-4F8E-42DB-9C0E-FE68BD84C4B6}"/>
    <cellStyle name="Currency 2 2 2 2 5 6" xfId="1145" xr:uid="{00000000-0005-0000-0000-000092020000}"/>
    <cellStyle name="Currency 2 2 2 2 5 6 2" xfId="3263" xr:uid="{00000000-0005-0000-0000-000091020000}"/>
    <cellStyle name="Currency 2 2 2 2 5 6 2 2" xfId="10171" xr:uid="{9BC30B62-6B81-4369-A8A6-7350EB665179}"/>
    <cellStyle name="Currency 2 2 2 2 5 6 3" xfId="8227" xr:uid="{86550F30-1C8A-424C-96F7-07EBAB84FDC3}"/>
    <cellStyle name="Currency 2 2 2 2 5 7" xfId="1316" xr:uid="{00000000-0005-0000-0000-000093020000}"/>
    <cellStyle name="Currency 2 2 2 2 5 7 2" xfId="3424" xr:uid="{00000000-0005-0000-0000-000092020000}"/>
    <cellStyle name="Currency 2 2 2 2 5 7 2 2" xfId="10332" xr:uid="{A0781589-311C-4DA5-9022-323429438567}"/>
    <cellStyle name="Currency 2 2 2 2 5 7 3" xfId="8382" xr:uid="{D8866BEB-53F3-4C6A-B91B-214BE84EF5C4}"/>
    <cellStyle name="Currency 2 2 2 2 6" xfId="203" xr:uid="{00000000-0005-0000-0000-000094020000}"/>
    <cellStyle name="Currency 2 2 2 2 6 2" xfId="400" xr:uid="{00000000-0005-0000-0000-000095020000}"/>
    <cellStyle name="Currency 2 2 2 2 6 2 2" xfId="2559" xr:uid="{00000000-0005-0000-0000-000094020000}"/>
    <cellStyle name="Currency 2 2 2 2 6 2 2 2" xfId="9468" xr:uid="{D1BFCD2C-97E0-47B2-B310-23F6618CC711}"/>
    <cellStyle name="Currency 2 2 2 2 6 2 3" xfId="7563" xr:uid="{D25E4968-983D-466F-B32F-75D1956671C1}"/>
    <cellStyle name="Currency 2 2 2 2 6 3" xfId="557" xr:uid="{00000000-0005-0000-0000-000096020000}"/>
    <cellStyle name="Currency 2 2 2 2 6 3 2" xfId="2708" xr:uid="{00000000-0005-0000-0000-000095020000}"/>
    <cellStyle name="Currency 2 2 2 2 6 3 2 2" xfId="9617" xr:uid="{A2615380-4DA8-4922-93E0-82160678E305}"/>
    <cellStyle name="Currency 2 2 2 2 6 3 3" xfId="7700" xr:uid="{305E718E-830F-427F-8F0B-F1A9DDE0ADF5}"/>
    <cellStyle name="Currency 2 2 2 2 6 4" xfId="794" xr:uid="{00000000-0005-0000-0000-000097020000}"/>
    <cellStyle name="Currency 2 2 2 2 6 4 2" xfId="2933" xr:uid="{00000000-0005-0000-0000-000096020000}"/>
    <cellStyle name="Currency 2 2 2 2 6 4 2 2" xfId="9842" xr:uid="{2E12D55A-36C1-421B-B0C6-B13FC9E482F4}"/>
    <cellStyle name="Currency 2 2 2 2 6 4 3" xfId="7916" xr:uid="{AB904F4E-B68A-4A33-9D48-9FBA6D8D563A}"/>
    <cellStyle name="Currency 2 2 2 2 6 5" xfId="982" xr:uid="{00000000-0005-0000-0000-000098020000}"/>
    <cellStyle name="Currency 2 2 2 2 6 5 2" xfId="3111" xr:uid="{00000000-0005-0000-0000-000097020000}"/>
    <cellStyle name="Currency 2 2 2 2 6 5 2 2" xfId="10020" xr:uid="{DF6D9113-81A1-4B07-AF82-B47F043BCA44}"/>
    <cellStyle name="Currency 2 2 2 2 6 5 3" xfId="8083" xr:uid="{ADDD57F0-0CCB-4912-973E-3F6432863842}"/>
    <cellStyle name="Currency 2 2 2 2 6 6" xfId="1165" xr:uid="{00000000-0005-0000-0000-000099020000}"/>
    <cellStyle name="Currency 2 2 2 2 6 6 2" xfId="3283" xr:uid="{00000000-0005-0000-0000-000098020000}"/>
    <cellStyle name="Currency 2 2 2 2 6 6 2 2" xfId="10191" xr:uid="{04C8795D-2C4D-477D-BE3C-5AD6388F9510}"/>
    <cellStyle name="Currency 2 2 2 2 6 6 3" xfId="8247" xr:uid="{C6375791-C5CD-46C0-971D-256FB948017F}"/>
    <cellStyle name="Currency 2 2 2 2 6 7" xfId="1333" xr:uid="{00000000-0005-0000-0000-00009A020000}"/>
    <cellStyle name="Currency 2 2 2 2 6 7 2" xfId="3441" xr:uid="{00000000-0005-0000-0000-000099020000}"/>
    <cellStyle name="Currency 2 2 2 2 6 7 2 2" xfId="10349" xr:uid="{BDA7E856-F15D-447F-A278-B9AE9E2502CC}"/>
    <cellStyle name="Currency 2 2 2 2 6 7 3" xfId="8399" xr:uid="{F3A011B2-4865-4658-AF55-D504E685DB1B}"/>
    <cellStyle name="Currency 2 2 2 2 7" xfId="262" xr:uid="{00000000-0005-0000-0000-00009B020000}"/>
    <cellStyle name="Currency 2 2 2 2 7 2" xfId="2426" xr:uid="{00000000-0005-0000-0000-00009A020000}"/>
    <cellStyle name="Currency 2 2 2 2 7 2 2" xfId="9335" xr:uid="{C898DD13-4CF8-4E7B-9FC6-C21F9F4CBEAE}"/>
    <cellStyle name="Currency 2 2 2 2 7 3" xfId="7430" xr:uid="{A33B4920-D54A-49A1-9495-4DE75EFA31CF}"/>
    <cellStyle name="Currency 2 2 2 2 8" xfId="273" xr:uid="{00000000-0005-0000-0000-00009C020000}"/>
    <cellStyle name="Currency 2 2 2 2 8 2" xfId="2437" xr:uid="{00000000-0005-0000-0000-00009B020000}"/>
    <cellStyle name="Currency 2 2 2 2 8 2 2" xfId="9346" xr:uid="{AF07CDD7-7A03-4050-A30E-117175D376CB}"/>
    <cellStyle name="Currency 2 2 2 2 8 3" xfId="7441" xr:uid="{DF72EF44-2899-412B-B10E-8B3C04B45085}"/>
    <cellStyle name="Currency 2 2 2 2 9" xfId="652" xr:uid="{00000000-0005-0000-0000-00009D020000}"/>
    <cellStyle name="Currency 2 2 2 2 9 2" xfId="2795" xr:uid="{00000000-0005-0000-0000-00009C020000}"/>
    <cellStyle name="Currency 2 2 2 2 9 2 2" xfId="9704" xr:uid="{5770D02A-9B01-4E5C-98E5-4FB49C74284E}"/>
    <cellStyle name="Currency 2 2 2 2 9 3" xfId="7777" xr:uid="{AEC8807B-826B-4C4A-86D6-3006EC630E3D}"/>
    <cellStyle name="Currency 2 2 2 3" xfId="245" xr:uid="{00000000-0005-0000-0000-00009E020000}"/>
    <cellStyle name="Currency 2 2 2 3 2" xfId="2409" xr:uid="{00000000-0005-0000-0000-00009D020000}"/>
    <cellStyle name="Currency 2 2 2 3 2 2" xfId="9318" xr:uid="{DE213310-EC9B-4588-9E99-06D800682B1E}"/>
    <cellStyle name="Currency 2 2 2 3 3" xfId="7413" xr:uid="{67C4AD59-D3D9-4000-9996-DEAA7C17C056}"/>
    <cellStyle name="Currency 2 2 2 4" xfId="288" xr:uid="{00000000-0005-0000-0000-00009F020000}"/>
    <cellStyle name="Currency 2 2 2 4 2" xfId="2452" xr:uid="{00000000-0005-0000-0000-00009E020000}"/>
    <cellStyle name="Currency 2 2 2 4 2 2" xfId="9361" xr:uid="{468C53EE-B986-4EFF-9EA9-BCA5F45893DF}"/>
    <cellStyle name="Currency 2 2 2 4 3" xfId="7456" xr:uid="{B7B4E23C-23DA-47B0-92FE-79A012E34781}"/>
    <cellStyle name="Currency 2 2 2 5" xfId="632" xr:uid="{00000000-0005-0000-0000-0000A0020000}"/>
    <cellStyle name="Currency 2 2 2 5 2" xfId="2775" xr:uid="{00000000-0005-0000-0000-00009F020000}"/>
    <cellStyle name="Currency 2 2 2 5 2 2" xfId="9684" xr:uid="{1FAA14DF-BDD4-4FC8-8180-9389D8B32B47}"/>
    <cellStyle name="Currency 2 2 2 5 3" xfId="7759" xr:uid="{C48F52DB-E599-4230-B789-1BAE0D6D7C05}"/>
    <cellStyle name="Currency 2 2 2 6" xfId="730" xr:uid="{00000000-0005-0000-0000-0000A1020000}"/>
    <cellStyle name="Currency 2 2 2 6 2" xfId="2870" xr:uid="{00000000-0005-0000-0000-0000A0020000}"/>
    <cellStyle name="Currency 2 2 2 6 2 2" xfId="9779" xr:uid="{467654C4-E6DD-4A6E-BE49-701E9C77B434}"/>
    <cellStyle name="Currency 2 2 2 6 3" xfId="7852" xr:uid="{BC1353FC-86ED-47D5-AC95-1CBF08541BD2}"/>
    <cellStyle name="Currency 2 2 2 7" xfId="908" xr:uid="{00000000-0005-0000-0000-0000A2020000}"/>
    <cellStyle name="Currency 2 2 2 7 2" xfId="3037" xr:uid="{00000000-0005-0000-0000-0000A1020000}"/>
    <cellStyle name="Currency 2 2 2 7 2 2" xfId="9946" xr:uid="{2E4B1686-0CFA-4B0F-90A3-B377ABA4D9F2}"/>
    <cellStyle name="Currency 2 2 2 7 3" xfId="8009" xr:uid="{0E7BEACA-3736-4CAE-AC59-A23BB941F4D2}"/>
    <cellStyle name="Currency 2 2 2 8" xfId="1175" xr:uid="{00000000-0005-0000-0000-0000A3020000}"/>
    <cellStyle name="Currency 2 2 2 8 2" xfId="3293" xr:uid="{00000000-0005-0000-0000-0000A2020000}"/>
    <cellStyle name="Currency 2 2 2 8 2 2" xfId="10201" xr:uid="{27721E42-16FE-448D-87A9-CF59B0F16815}"/>
    <cellStyle name="Currency 2 2 2 8 3" xfId="8257" xr:uid="{07104541-298B-4A2E-AF55-88C3CFF87A13}"/>
    <cellStyle name="Currency 2 2 3" xfId="30" xr:uid="{00000000-0005-0000-0000-0000A4020000}"/>
    <cellStyle name="Currency 2 2 3 10" xfId="614" xr:uid="{00000000-0005-0000-0000-0000A5020000}"/>
    <cellStyle name="Currency 2 2 3 10 2" xfId="2759" xr:uid="{00000000-0005-0000-0000-0000A4020000}"/>
    <cellStyle name="Currency 2 2 3 10 2 2" xfId="9668" xr:uid="{E33A5EFF-7237-41B9-B426-CD451D039BFD}"/>
    <cellStyle name="Currency 2 2 3 10 3" xfId="7742" xr:uid="{294BBC45-CF84-412A-9C6F-50AA4BEF3000}"/>
    <cellStyle name="Currency 2 2 3 11" xfId="864" xr:uid="{00000000-0005-0000-0000-0000A6020000}"/>
    <cellStyle name="Currency 2 2 3 11 2" xfId="2995" xr:uid="{00000000-0005-0000-0000-0000A5020000}"/>
    <cellStyle name="Currency 2 2 3 11 2 2" xfId="9904" xr:uid="{1A1D4AEA-7B80-40DA-ADC8-717B17FA01C4}"/>
    <cellStyle name="Currency 2 2 3 11 3" xfId="7968" xr:uid="{DD57008C-4F92-4644-94D8-B72D43FDF70D}"/>
    <cellStyle name="Currency 2 2 3 12" xfId="1147" xr:uid="{00000000-0005-0000-0000-0000A7020000}"/>
    <cellStyle name="Currency 2 2 3 12 2" xfId="3265" xr:uid="{00000000-0005-0000-0000-0000A6020000}"/>
    <cellStyle name="Currency 2 2 3 12 2 2" xfId="10173" xr:uid="{380F50CF-4698-4A1C-9FFF-6F0F0FAEEA94}"/>
    <cellStyle name="Currency 2 2 3 12 3" xfId="8229" xr:uid="{BF779292-DEB0-49A8-BDB6-F3FA3C76F28A}"/>
    <cellStyle name="Currency 2 2 3 2" xfId="111" xr:uid="{00000000-0005-0000-0000-0000A8020000}"/>
    <cellStyle name="Currency 2 2 3 2 2" xfId="318" xr:uid="{00000000-0005-0000-0000-0000A9020000}"/>
    <cellStyle name="Currency 2 2 3 2 2 2" xfId="2479" xr:uid="{00000000-0005-0000-0000-0000A8020000}"/>
    <cellStyle name="Currency 2 2 3 2 2 2 2" xfId="9388" xr:uid="{146704A9-2CB8-44C9-8158-8E3F050AED0E}"/>
    <cellStyle name="Currency 2 2 3 2 2 3" xfId="7481" xr:uid="{5CC0E5EF-A481-4848-97BE-985EDC58DA0B}"/>
    <cellStyle name="Currency 2 2 3 2 3" xfId="483" xr:uid="{00000000-0005-0000-0000-0000AA020000}"/>
    <cellStyle name="Currency 2 2 3 2 3 2" xfId="2634" xr:uid="{00000000-0005-0000-0000-0000A9020000}"/>
    <cellStyle name="Currency 2 2 3 2 3 2 2" xfId="9543" xr:uid="{F2B0D7A2-78A2-47AE-B8CC-72ED6D147157}"/>
    <cellStyle name="Currency 2 2 3 2 3 3" xfId="7626" xr:uid="{2D2988CA-5567-4856-BC71-7E2E1536F9B2}"/>
    <cellStyle name="Currency 2 2 3 2 4" xfId="707" xr:uid="{00000000-0005-0000-0000-0000AB020000}"/>
    <cellStyle name="Currency 2 2 3 2 4 2" xfId="2847" xr:uid="{00000000-0005-0000-0000-0000AA020000}"/>
    <cellStyle name="Currency 2 2 3 2 4 2 2" xfId="9756" xr:uid="{A3A3C097-BDFB-4B08-8E4A-2545C08F0B31}"/>
    <cellStyle name="Currency 2 2 3 2 4 3" xfId="7829" xr:uid="{CE952F10-0EC3-41A2-B32C-B66E6ACE9BA1}"/>
    <cellStyle name="Currency 2 2 3 2 5" xfId="899" xr:uid="{00000000-0005-0000-0000-0000AC020000}"/>
    <cellStyle name="Currency 2 2 3 2 5 2" xfId="3028" xr:uid="{00000000-0005-0000-0000-0000AB020000}"/>
    <cellStyle name="Currency 2 2 3 2 5 2 2" xfId="9937" xr:uid="{E558A2DF-0352-4677-9106-CF2BA17EAE1C}"/>
    <cellStyle name="Currency 2 2 3 2 5 3" xfId="8000" xr:uid="{CDD75759-ED51-4F61-9493-3E0D3A335347}"/>
    <cellStyle name="Currency 2 2 3 2 6" xfId="1081" xr:uid="{00000000-0005-0000-0000-0000AD020000}"/>
    <cellStyle name="Currency 2 2 3 2 6 2" xfId="3199" xr:uid="{00000000-0005-0000-0000-0000AC020000}"/>
    <cellStyle name="Currency 2 2 3 2 6 2 2" xfId="10107" xr:uid="{641EEB9B-2E8F-48E7-AF0D-D885EB08FFD0}"/>
    <cellStyle name="Currency 2 2 3 2 6 3" xfId="8163" xr:uid="{BCED4058-2A4C-4321-854C-5D457441C481}"/>
    <cellStyle name="Currency 2 2 3 2 7" xfId="1259" xr:uid="{00000000-0005-0000-0000-0000AE020000}"/>
    <cellStyle name="Currency 2 2 3 2 7 2" xfId="3367" xr:uid="{00000000-0005-0000-0000-0000AD020000}"/>
    <cellStyle name="Currency 2 2 3 2 7 2 2" xfId="10275" xr:uid="{D44FB3A2-8332-4F76-9196-FC44021E9584}"/>
    <cellStyle name="Currency 2 2 3 2 7 3" xfId="8325" xr:uid="{3C2BB24A-BA5E-4CD3-8C42-273AF693C325}"/>
    <cellStyle name="Currency 2 2 3 3" xfId="132" xr:uid="{00000000-0005-0000-0000-0000AF020000}"/>
    <cellStyle name="Currency 2 2 3 3 2" xfId="337" xr:uid="{00000000-0005-0000-0000-0000B0020000}"/>
    <cellStyle name="Currency 2 2 3 3 2 2" xfId="2497" xr:uid="{00000000-0005-0000-0000-0000AF020000}"/>
    <cellStyle name="Currency 2 2 3 3 2 2 2" xfId="9406" xr:uid="{6C789407-74BC-49D7-9E0E-1B86F0EAC22B}"/>
    <cellStyle name="Currency 2 2 3 3 2 3" xfId="7500" xr:uid="{70D896B5-5138-4438-BE84-F73B23D8F924}"/>
    <cellStyle name="Currency 2 2 3 3 3" xfId="500" xr:uid="{00000000-0005-0000-0000-0000B1020000}"/>
    <cellStyle name="Currency 2 2 3 3 3 2" xfId="2651" xr:uid="{00000000-0005-0000-0000-0000B0020000}"/>
    <cellStyle name="Currency 2 2 3 3 3 2 2" xfId="9560" xr:uid="{98271BA0-0B09-4D49-98AC-572EDDBE7DD6}"/>
    <cellStyle name="Currency 2 2 3 3 3 3" xfId="7643" xr:uid="{9544CAE5-C1DA-4E3D-846A-0D6B969226B8}"/>
    <cellStyle name="Currency 2 2 3 3 4" xfId="727" xr:uid="{00000000-0005-0000-0000-0000B2020000}"/>
    <cellStyle name="Currency 2 2 3 3 4 2" xfId="2867" xr:uid="{00000000-0005-0000-0000-0000B1020000}"/>
    <cellStyle name="Currency 2 2 3 3 4 2 2" xfId="9776" xr:uid="{0A10732D-46F7-4B67-A124-872E937A5733}"/>
    <cellStyle name="Currency 2 2 3 3 4 3" xfId="7849" xr:uid="{5E3F22B3-5035-4955-BE6B-5B1F18232A95}"/>
    <cellStyle name="Currency 2 2 3 3 5" xfId="918" xr:uid="{00000000-0005-0000-0000-0000B3020000}"/>
    <cellStyle name="Currency 2 2 3 3 5 2" xfId="3047" xr:uid="{00000000-0005-0000-0000-0000B2020000}"/>
    <cellStyle name="Currency 2 2 3 3 5 2 2" xfId="9956" xr:uid="{A38D1E66-EBF4-4E32-B1C2-58BEDBD99341}"/>
    <cellStyle name="Currency 2 2 3 3 5 3" xfId="8019" xr:uid="{0EFB07B1-9B70-4539-BE44-9675BD9FA249}"/>
    <cellStyle name="Currency 2 2 3 3 6" xfId="1100" xr:uid="{00000000-0005-0000-0000-0000B4020000}"/>
    <cellStyle name="Currency 2 2 3 3 6 2" xfId="3218" xr:uid="{00000000-0005-0000-0000-0000B3020000}"/>
    <cellStyle name="Currency 2 2 3 3 6 2 2" xfId="10126" xr:uid="{2D35D515-3B1C-466E-9389-D0850DAE7424}"/>
    <cellStyle name="Currency 2 2 3 3 6 3" xfId="8182" xr:uid="{956A32E4-F4E3-4CFE-ACC5-F9518407455A}"/>
    <cellStyle name="Currency 2 2 3 3 7" xfId="1276" xr:uid="{00000000-0005-0000-0000-0000B5020000}"/>
    <cellStyle name="Currency 2 2 3 3 7 2" xfId="3384" xr:uid="{00000000-0005-0000-0000-0000B4020000}"/>
    <cellStyle name="Currency 2 2 3 3 7 2 2" xfId="10292" xr:uid="{F898C2FB-2322-4882-9C5F-F4FC891B0783}"/>
    <cellStyle name="Currency 2 2 3 3 7 3" xfId="8342" xr:uid="{40783E41-5E64-4B5C-A298-85C66A5E0599}"/>
    <cellStyle name="Currency 2 2 3 4" xfId="153" xr:uid="{00000000-0005-0000-0000-0000B6020000}"/>
    <cellStyle name="Currency 2 2 3 4 2" xfId="356" xr:uid="{00000000-0005-0000-0000-0000B7020000}"/>
    <cellStyle name="Currency 2 2 3 4 2 2" xfId="2516" xr:uid="{00000000-0005-0000-0000-0000B6020000}"/>
    <cellStyle name="Currency 2 2 3 4 2 2 2" xfId="9425" xr:uid="{A3736059-3FD4-41E6-8E30-E92FDC127EAC}"/>
    <cellStyle name="Currency 2 2 3 4 2 3" xfId="7519" xr:uid="{1D6E55D1-FDA5-4FCD-B94F-5C33A807CEF8}"/>
    <cellStyle name="Currency 2 2 3 4 3" xfId="517" xr:uid="{00000000-0005-0000-0000-0000B8020000}"/>
    <cellStyle name="Currency 2 2 3 4 3 2" xfId="2668" xr:uid="{00000000-0005-0000-0000-0000B7020000}"/>
    <cellStyle name="Currency 2 2 3 4 3 2 2" xfId="9577" xr:uid="{4A16C82F-AA72-4CBC-964A-EBC9298FCAEF}"/>
    <cellStyle name="Currency 2 2 3 4 3 3" xfId="7660" xr:uid="{087208C1-67A1-4981-AA9B-5E4C44C06FEE}"/>
    <cellStyle name="Currency 2 2 3 4 4" xfId="747" xr:uid="{00000000-0005-0000-0000-0000B9020000}"/>
    <cellStyle name="Currency 2 2 3 4 4 2" xfId="2887" xr:uid="{00000000-0005-0000-0000-0000B8020000}"/>
    <cellStyle name="Currency 2 2 3 4 4 2 2" xfId="9796" xr:uid="{7C279196-67DE-4208-BA13-A7A4A7B08325}"/>
    <cellStyle name="Currency 2 2 3 4 4 3" xfId="7869" xr:uid="{1B619D86-7EE8-46AC-A280-E0AC98C2BB4C}"/>
    <cellStyle name="Currency 2 2 3 4 5" xfId="937" xr:uid="{00000000-0005-0000-0000-0000BA020000}"/>
    <cellStyle name="Currency 2 2 3 4 5 2" xfId="3066" xr:uid="{00000000-0005-0000-0000-0000B9020000}"/>
    <cellStyle name="Currency 2 2 3 4 5 2 2" xfId="9975" xr:uid="{DC0BD008-848D-4F55-843E-05321C36B62B}"/>
    <cellStyle name="Currency 2 2 3 4 5 3" xfId="8038" xr:uid="{DACEC5E7-2DA6-4C61-BC1F-BEC328E894BE}"/>
    <cellStyle name="Currency 2 2 3 4 6" xfId="1120" xr:uid="{00000000-0005-0000-0000-0000BB020000}"/>
    <cellStyle name="Currency 2 2 3 4 6 2" xfId="3238" xr:uid="{00000000-0005-0000-0000-0000BA020000}"/>
    <cellStyle name="Currency 2 2 3 4 6 2 2" xfId="10146" xr:uid="{B1BAE6E5-8290-4191-9443-89547A3153BC}"/>
    <cellStyle name="Currency 2 2 3 4 6 3" xfId="8202" xr:uid="{80086F6A-A344-41DB-BFD8-F6760FC0A034}"/>
    <cellStyle name="Currency 2 2 3 4 7" xfId="1293" xr:uid="{00000000-0005-0000-0000-0000BC020000}"/>
    <cellStyle name="Currency 2 2 3 4 7 2" xfId="3401" xr:uid="{00000000-0005-0000-0000-0000BB020000}"/>
    <cellStyle name="Currency 2 2 3 4 7 2 2" xfId="10309" xr:uid="{FD1054FE-21C9-45DD-AC1B-E651B5BC067E}"/>
    <cellStyle name="Currency 2 2 3 4 7 3" xfId="8359" xr:uid="{6880E349-716C-4295-ABAE-2B5B5A895B9F}"/>
    <cellStyle name="Currency 2 2 3 5" xfId="174" xr:uid="{00000000-0005-0000-0000-0000BD020000}"/>
    <cellStyle name="Currency 2 2 3 5 2" xfId="375" xr:uid="{00000000-0005-0000-0000-0000BE020000}"/>
    <cellStyle name="Currency 2 2 3 5 2 2" xfId="2535" xr:uid="{00000000-0005-0000-0000-0000BD020000}"/>
    <cellStyle name="Currency 2 2 3 5 2 2 2" xfId="9444" xr:uid="{93236B1C-2413-43B2-97B9-B7C1D609E58E}"/>
    <cellStyle name="Currency 2 2 3 5 2 3" xfId="7538" xr:uid="{64A6137D-7254-4FA2-B0D4-8B1BF5DFAFFB}"/>
    <cellStyle name="Currency 2 2 3 5 3" xfId="534" xr:uid="{00000000-0005-0000-0000-0000BF020000}"/>
    <cellStyle name="Currency 2 2 3 5 3 2" xfId="2685" xr:uid="{00000000-0005-0000-0000-0000BE020000}"/>
    <cellStyle name="Currency 2 2 3 5 3 2 2" xfId="9594" xr:uid="{2AFBE059-8F2A-462C-98A7-90152C2F37D9}"/>
    <cellStyle name="Currency 2 2 3 5 3 3" xfId="7677" xr:uid="{328FD9E1-E9F8-4504-A3D7-25AADA435C7A}"/>
    <cellStyle name="Currency 2 2 3 5 4" xfId="767" xr:uid="{00000000-0005-0000-0000-0000C0020000}"/>
    <cellStyle name="Currency 2 2 3 5 4 2" xfId="2906" xr:uid="{00000000-0005-0000-0000-0000BF020000}"/>
    <cellStyle name="Currency 2 2 3 5 4 2 2" xfId="9815" xr:uid="{F8FE96F2-889D-47F4-94F8-FB5788693DAD}"/>
    <cellStyle name="Currency 2 2 3 5 4 3" xfId="7889" xr:uid="{16D0C0FB-2E07-4AE2-B91E-718EED6322CD}"/>
    <cellStyle name="Currency 2 2 3 5 5" xfId="956" xr:uid="{00000000-0005-0000-0000-0000C1020000}"/>
    <cellStyle name="Currency 2 2 3 5 5 2" xfId="3085" xr:uid="{00000000-0005-0000-0000-0000C0020000}"/>
    <cellStyle name="Currency 2 2 3 5 5 2 2" xfId="9994" xr:uid="{D83EE597-B732-41D9-B465-C3D8C2166286}"/>
    <cellStyle name="Currency 2 2 3 5 5 3" xfId="8057" xr:uid="{8C12F3D0-0D75-4DC6-B0BE-90454ACC7636}"/>
    <cellStyle name="Currency 2 2 3 5 6" xfId="1139" xr:uid="{00000000-0005-0000-0000-0000C2020000}"/>
    <cellStyle name="Currency 2 2 3 5 6 2" xfId="3257" xr:uid="{00000000-0005-0000-0000-0000C1020000}"/>
    <cellStyle name="Currency 2 2 3 5 6 2 2" xfId="10165" xr:uid="{965BBADE-FE7F-4F28-BC05-C81B438A2984}"/>
    <cellStyle name="Currency 2 2 3 5 6 3" xfId="8221" xr:uid="{E6FD88D2-B68F-41C3-9F7B-8DE4E894B250}"/>
    <cellStyle name="Currency 2 2 3 5 7" xfId="1310" xr:uid="{00000000-0005-0000-0000-0000C3020000}"/>
    <cellStyle name="Currency 2 2 3 5 7 2" xfId="3418" xr:uid="{00000000-0005-0000-0000-0000C2020000}"/>
    <cellStyle name="Currency 2 2 3 5 7 2 2" xfId="10326" xr:uid="{606D9DF7-4C1C-40AA-9BD9-6104B45C1C7E}"/>
    <cellStyle name="Currency 2 2 3 5 7 3" xfId="8376" xr:uid="{2C8FAFAA-CD9C-4629-8920-DF8B8D6E0957}"/>
    <cellStyle name="Currency 2 2 3 6" xfId="195" xr:uid="{00000000-0005-0000-0000-0000C4020000}"/>
    <cellStyle name="Currency 2 2 3 6 2" xfId="394" xr:uid="{00000000-0005-0000-0000-0000C5020000}"/>
    <cellStyle name="Currency 2 2 3 6 2 2" xfId="2553" xr:uid="{00000000-0005-0000-0000-0000C4020000}"/>
    <cellStyle name="Currency 2 2 3 6 2 2 2" xfId="9462" xr:uid="{8B349FEB-EFF4-4057-9BB6-CE1669FC75E6}"/>
    <cellStyle name="Currency 2 2 3 6 2 3" xfId="7557" xr:uid="{73F31233-0E00-4D3B-8A78-63502BF71AFD}"/>
    <cellStyle name="Currency 2 2 3 6 3" xfId="551" xr:uid="{00000000-0005-0000-0000-0000C6020000}"/>
    <cellStyle name="Currency 2 2 3 6 3 2" xfId="2702" xr:uid="{00000000-0005-0000-0000-0000C5020000}"/>
    <cellStyle name="Currency 2 2 3 6 3 2 2" xfId="9611" xr:uid="{797D2FA9-9679-4AF5-BCBA-7154E598FBB3}"/>
    <cellStyle name="Currency 2 2 3 6 3 3" xfId="7694" xr:uid="{919E2A1E-FF4E-40E8-A92B-CA101EA510F7}"/>
    <cellStyle name="Currency 2 2 3 6 4" xfId="787" xr:uid="{00000000-0005-0000-0000-0000C7020000}"/>
    <cellStyle name="Currency 2 2 3 6 4 2" xfId="2926" xr:uid="{00000000-0005-0000-0000-0000C6020000}"/>
    <cellStyle name="Currency 2 2 3 6 4 2 2" xfId="9835" xr:uid="{9DABEDC7-B52D-4BE3-8D2C-2AF2959357A5}"/>
    <cellStyle name="Currency 2 2 3 6 4 3" xfId="7909" xr:uid="{5CB87543-AB9F-42CD-BC8D-66431C4EA1F8}"/>
    <cellStyle name="Currency 2 2 3 6 5" xfId="975" xr:uid="{00000000-0005-0000-0000-0000C8020000}"/>
    <cellStyle name="Currency 2 2 3 6 5 2" xfId="3104" xr:uid="{00000000-0005-0000-0000-0000C7020000}"/>
    <cellStyle name="Currency 2 2 3 6 5 2 2" xfId="10013" xr:uid="{89912BB1-FD4E-4FDA-B72F-0A9E0BD4AD5B}"/>
    <cellStyle name="Currency 2 2 3 6 5 3" xfId="8076" xr:uid="{A729D066-DF28-4361-8FFA-A8E6EC11072C}"/>
    <cellStyle name="Currency 2 2 3 6 6" xfId="1158" xr:uid="{00000000-0005-0000-0000-0000C9020000}"/>
    <cellStyle name="Currency 2 2 3 6 6 2" xfId="3276" xr:uid="{00000000-0005-0000-0000-0000C8020000}"/>
    <cellStyle name="Currency 2 2 3 6 6 2 2" xfId="10184" xr:uid="{EECB7D14-0761-4082-B20C-BDD0F8B2BF9C}"/>
    <cellStyle name="Currency 2 2 3 6 6 3" xfId="8240" xr:uid="{388CA663-2D9A-4A6C-9E85-9C6770029210}"/>
    <cellStyle name="Currency 2 2 3 6 7" xfId="1327" xr:uid="{00000000-0005-0000-0000-0000CA020000}"/>
    <cellStyle name="Currency 2 2 3 6 7 2" xfId="3435" xr:uid="{00000000-0005-0000-0000-0000C9020000}"/>
    <cellStyle name="Currency 2 2 3 6 7 2 2" xfId="10343" xr:uid="{619A0FEF-0A58-45AD-A17E-1CD2A1014BE8}"/>
    <cellStyle name="Currency 2 2 3 6 7 3" xfId="8393" xr:uid="{F3F82B05-438A-4263-A5CA-9004A971BA0E}"/>
    <cellStyle name="Currency 2 2 3 7" xfId="255" xr:uid="{00000000-0005-0000-0000-0000CB020000}"/>
    <cellStyle name="Currency 2 2 3 7 2" xfId="2419" xr:uid="{00000000-0005-0000-0000-0000CA020000}"/>
    <cellStyle name="Currency 2 2 3 7 2 2" xfId="9328" xr:uid="{C6577F13-87AA-482E-BFE9-30C91337C11F}"/>
    <cellStyle name="Currency 2 2 3 7 3" xfId="7423" xr:uid="{901803BA-BAE1-4C20-BC5D-BCB0C02CB0A7}"/>
    <cellStyle name="Currency 2 2 3 8" xfId="278" xr:uid="{00000000-0005-0000-0000-0000CC020000}"/>
    <cellStyle name="Currency 2 2 3 8 2" xfId="2442" xr:uid="{00000000-0005-0000-0000-0000CB020000}"/>
    <cellStyle name="Currency 2 2 3 8 2 2" xfId="9351" xr:uid="{E43F6725-358A-4B7E-9A2D-F9602CF9D1ED}"/>
    <cellStyle name="Currency 2 2 3 8 3" xfId="7446" xr:uid="{7FB4B88B-0B64-49BA-86A5-0519C991BAC1}"/>
    <cellStyle name="Currency 2 2 3 9" xfId="644" xr:uid="{00000000-0005-0000-0000-0000CD020000}"/>
    <cellStyle name="Currency 2 2 3 9 2" xfId="2787" xr:uid="{00000000-0005-0000-0000-0000CC020000}"/>
    <cellStyle name="Currency 2 2 3 9 2 2" xfId="9696" xr:uid="{2DDB845B-D27E-4362-8839-5987CE284C3C}"/>
    <cellStyle name="Currency 2 2 3 9 3" xfId="7771" xr:uid="{41BFF18E-661D-49F7-8321-B57085BA33EA}"/>
    <cellStyle name="Currency 2 2 4" xfId="237" xr:uid="{00000000-0005-0000-0000-0000CE020000}"/>
    <cellStyle name="Currency 2 2 4 2" xfId="2402" xr:uid="{00000000-0005-0000-0000-0000CD020000}"/>
    <cellStyle name="Currency 2 2 4 2 2" xfId="9311" xr:uid="{9062473B-E308-4599-9148-6F7EC8818D49}"/>
    <cellStyle name="Currency 2 2 4 3" xfId="7405" xr:uid="{5F587E1E-F4ED-4905-9EFA-196D1ECD13B7}"/>
    <cellStyle name="Currency 2 2 5" xfId="327" xr:uid="{00000000-0005-0000-0000-0000CF020000}"/>
    <cellStyle name="Currency 2 2 5 2" xfId="2487" xr:uid="{00000000-0005-0000-0000-0000CE020000}"/>
    <cellStyle name="Currency 2 2 5 2 2" xfId="9396" xr:uid="{C37ED206-C56A-4B3B-9CE4-2AB29401FB39}"/>
    <cellStyle name="Currency 2 2 5 3" xfId="7490" xr:uid="{DDD60479-3948-4EE7-9637-31EC14F8D228}"/>
    <cellStyle name="Currency 2 2 6" xfId="624" xr:uid="{00000000-0005-0000-0000-0000D0020000}"/>
    <cellStyle name="Currency 2 2 6 2" xfId="2767" xr:uid="{00000000-0005-0000-0000-0000CF020000}"/>
    <cellStyle name="Currency 2 2 6 2 2" xfId="9676" xr:uid="{71B6E03F-2FC8-45FF-AF26-71597A752E42}"/>
    <cellStyle name="Currency 2 2 6 3" xfId="7751" xr:uid="{5C63E682-747F-4124-9AFC-3B493F45D68D}"/>
    <cellStyle name="Currency 2 2 7" xfId="803" xr:uid="{00000000-0005-0000-0000-0000D1020000}"/>
    <cellStyle name="Currency 2 2 7 2" xfId="2941" xr:uid="{00000000-0005-0000-0000-0000D0020000}"/>
    <cellStyle name="Currency 2 2 7 2 2" xfId="9850" xr:uid="{CBA54AA0-FEFA-48FE-B69B-DB5F12746E7F}"/>
    <cellStyle name="Currency 2 2 7 3" xfId="7924" xr:uid="{3BE1A453-23C9-45E4-9E54-2A85ECD7BA8C}"/>
    <cellStyle name="Currency 2 2 8" xfId="978" xr:uid="{00000000-0005-0000-0000-0000D2020000}"/>
    <cellStyle name="Currency 2 2 8 2" xfId="3107" xr:uid="{00000000-0005-0000-0000-0000D1020000}"/>
    <cellStyle name="Currency 2 2 8 2 2" xfId="10016" xr:uid="{EB598D6B-4DD6-4615-BFDB-10B9F746EFED}"/>
    <cellStyle name="Currency 2 2 8 3" xfId="8079" xr:uid="{41BA657B-E924-467F-AF31-039D767CF7B6}"/>
    <cellStyle name="Currency 2 2 9" xfId="861" xr:uid="{00000000-0005-0000-0000-0000D3020000}"/>
    <cellStyle name="Currency 2 2 9 2" xfId="2992" xr:uid="{00000000-0005-0000-0000-0000D2020000}"/>
    <cellStyle name="Currency 2 2 9 2 2" xfId="9901" xr:uid="{7B7BBB9D-9F4F-4599-ACAA-0532981DFF84}"/>
    <cellStyle name="Currency 2 2 9 3" xfId="7966" xr:uid="{703DB714-D6A3-4563-9BF2-7F29102F5740}"/>
    <cellStyle name="Currency 2 3" xfId="16" xr:uid="{00000000-0005-0000-0000-0000D4020000}"/>
    <cellStyle name="Currency 2 3 2" xfId="37" xr:uid="{00000000-0005-0000-0000-0000D5020000}"/>
    <cellStyle name="Currency 2 3 2 10" xfId="676" xr:uid="{00000000-0005-0000-0000-0000D6020000}"/>
    <cellStyle name="Currency 2 3 2 10 2" xfId="2819" xr:uid="{00000000-0005-0000-0000-0000D5020000}"/>
    <cellStyle name="Currency 2 3 2 10 2 2" xfId="9728" xr:uid="{708C4B11-96F3-4D11-B2BC-A6E622986F17}"/>
    <cellStyle name="Currency 2 3 2 10 3" xfId="7801" xr:uid="{315E79D6-6FDE-427A-8E81-E34D918CEB89}"/>
    <cellStyle name="Currency 2 3 2 11" xfId="662" xr:uid="{00000000-0005-0000-0000-0000D7020000}"/>
    <cellStyle name="Currency 2 3 2 11 2" xfId="2805" xr:uid="{00000000-0005-0000-0000-0000D6020000}"/>
    <cellStyle name="Currency 2 3 2 11 2 2" xfId="9714" xr:uid="{D489397B-55CC-46D8-A47A-EB616295B556}"/>
    <cellStyle name="Currency 2 3 2 11 3" xfId="7787" xr:uid="{4815B2C6-2623-4986-BB44-AD20D9FDB959}"/>
    <cellStyle name="Currency 2 3 2 12" xfId="711" xr:uid="{00000000-0005-0000-0000-0000D8020000}"/>
    <cellStyle name="Currency 2 3 2 12 2" xfId="2851" xr:uid="{00000000-0005-0000-0000-0000D7020000}"/>
    <cellStyle name="Currency 2 3 2 12 2 2" xfId="9760" xr:uid="{79084BAD-B626-4116-ABA0-E99EE36C9265}"/>
    <cellStyle name="Currency 2 3 2 12 3" xfId="7833" xr:uid="{A28E74C2-80DF-4CC0-96DB-B86264E52A0E}"/>
    <cellStyle name="Currency 2 3 2 2" xfId="118" xr:uid="{00000000-0005-0000-0000-0000D9020000}"/>
    <cellStyle name="Currency 2 3 2 2 2" xfId="324" xr:uid="{00000000-0005-0000-0000-0000DA020000}"/>
    <cellStyle name="Currency 2 3 2 2 2 2" xfId="2484" xr:uid="{00000000-0005-0000-0000-0000D9020000}"/>
    <cellStyle name="Currency 2 3 2 2 2 2 2" xfId="9393" xr:uid="{BA627DB6-1C4F-44C3-B026-3B2A43CEAE63}"/>
    <cellStyle name="Currency 2 3 2 2 2 3" xfId="7487" xr:uid="{256D44D2-AF81-41B0-8182-3058DD93440D}"/>
    <cellStyle name="Currency 2 3 2 2 3" xfId="488" xr:uid="{00000000-0005-0000-0000-0000DB020000}"/>
    <cellStyle name="Currency 2 3 2 2 3 2" xfId="2639" xr:uid="{00000000-0005-0000-0000-0000DA020000}"/>
    <cellStyle name="Currency 2 3 2 2 3 2 2" xfId="9548" xr:uid="{E7E33A08-7480-4F05-88ED-2F3DCF89C1D4}"/>
    <cellStyle name="Currency 2 3 2 2 3 3" xfId="7631" xr:uid="{708BABCE-60A9-4F3B-8B2D-D0BB9EA61759}"/>
    <cellStyle name="Currency 2 3 2 2 4" xfId="714" xr:uid="{00000000-0005-0000-0000-0000DC020000}"/>
    <cellStyle name="Currency 2 3 2 2 4 2" xfId="2854" xr:uid="{00000000-0005-0000-0000-0000DB020000}"/>
    <cellStyle name="Currency 2 3 2 2 4 2 2" xfId="9763" xr:uid="{A035B9B9-8D1A-4847-A27E-94D9FCF05BFE}"/>
    <cellStyle name="Currency 2 3 2 2 4 3" xfId="7836" xr:uid="{22432FB7-E78F-40FD-A455-D88A88B9EBED}"/>
    <cellStyle name="Currency 2 3 2 2 5" xfId="905" xr:uid="{00000000-0005-0000-0000-0000DD020000}"/>
    <cellStyle name="Currency 2 3 2 2 5 2" xfId="3034" xr:uid="{00000000-0005-0000-0000-0000DC020000}"/>
    <cellStyle name="Currency 2 3 2 2 5 2 2" xfId="9943" xr:uid="{CE9C7609-CEC5-4EBA-BCEE-B0195F556CAE}"/>
    <cellStyle name="Currency 2 3 2 2 5 3" xfId="8006" xr:uid="{059A52F3-47F9-4F69-B49C-E6BC063C8816}"/>
    <cellStyle name="Currency 2 3 2 2 6" xfId="1088" xr:uid="{00000000-0005-0000-0000-0000DE020000}"/>
    <cellStyle name="Currency 2 3 2 2 6 2" xfId="3206" xr:uid="{00000000-0005-0000-0000-0000DD020000}"/>
    <cellStyle name="Currency 2 3 2 2 6 2 2" xfId="10114" xr:uid="{FA52792A-C2D5-436B-BDC4-756657B0DB33}"/>
    <cellStyle name="Currency 2 3 2 2 6 3" xfId="8170" xr:uid="{3C516DA6-E064-49D7-A5EF-267A5086EDBA}"/>
    <cellStyle name="Currency 2 3 2 2 7" xfId="1264" xr:uid="{00000000-0005-0000-0000-0000DF020000}"/>
    <cellStyle name="Currency 2 3 2 2 7 2" xfId="3372" xr:uid="{00000000-0005-0000-0000-0000DE020000}"/>
    <cellStyle name="Currency 2 3 2 2 7 2 2" xfId="10280" xr:uid="{FF6F1F5C-1156-4B46-B416-A1C9A245AEF6}"/>
    <cellStyle name="Currency 2 3 2 2 7 3" xfId="8330" xr:uid="{CC49CA9B-71C6-4F2A-BC4D-AFAB4769C753}"/>
    <cellStyle name="Currency 2 3 2 3" xfId="139" xr:uid="{00000000-0005-0000-0000-0000E0020000}"/>
    <cellStyle name="Currency 2 3 2 3 2" xfId="343" xr:uid="{00000000-0005-0000-0000-0000E1020000}"/>
    <cellStyle name="Currency 2 3 2 3 2 2" xfId="2503" xr:uid="{00000000-0005-0000-0000-0000E0020000}"/>
    <cellStyle name="Currency 2 3 2 3 2 2 2" xfId="9412" xr:uid="{DDB677E3-BC63-40A3-99E3-F0A2B1E34600}"/>
    <cellStyle name="Currency 2 3 2 3 2 3" xfId="7506" xr:uid="{2F7BE428-E15D-4C80-A9D6-4324688F95CF}"/>
    <cellStyle name="Currency 2 3 2 3 3" xfId="505" xr:uid="{00000000-0005-0000-0000-0000E2020000}"/>
    <cellStyle name="Currency 2 3 2 3 3 2" xfId="2656" xr:uid="{00000000-0005-0000-0000-0000E1020000}"/>
    <cellStyle name="Currency 2 3 2 3 3 2 2" xfId="9565" xr:uid="{C43B7230-4356-4DD7-9BEA-2E7E584A8F53}"/>
    <cellStyle name="Currency 2 3 2 3 3 3" xfId="7648" xr:uid="{DBB19F20-2C6C-4A6B-AF39-BDE22CF78D9A}"/>
    <cellStyle name="Currency 2 3 2 3 4" xfId="733" xr:uid="{00000000-0005-0000-0000-0000E3020000}"/>
    <cellStyle name="Currency 2 3 2 3 4 2" xfId="2873" xr:uid="{00000000-0005-0000-0000-0000E2020000}"/>
    <cellStyle name="Currency 2 3 2 3 4 2 2" xfId="9782" xr:uid="{D902A74E-B6BB-4A09-85DB-74CACEE773F5}"/>
    <cellStyle name="Currency 2 3 2 3 4 3" xfId="7855" xr:uid="{2E4FCDF2-3879-47D8-B0E9-121891D1BD8A}"/>
    <cellStyle name="Currency 2 3 2 3 5" xfId="924" xr:uid="{00000000-0005-0000-0000-0000E4020000}"/>
    <cellStyle name="Currency 2 3 2 3 5 2" xfId="3053" xr:uid="{00000000-0005-0000-0000-0000E3020000}"/>
    <cellStyle name="Currency 2 3 2 3 5 2 2" xfId="9962" xr:uid="{30BCB7E1-AE83-428E-AE59-96BC42BF410A}"/>
    <cellStyle name="Currency 2 3 2 3 5 3" xfId="8025" xr:uid="{5E258B3A-CE1C-46B3-B8A6-8BE8F0F2E4C2}"/>
    <cellStyle name="Currency 2 3 2 3 6" xfId="1107" xr:uid="{00000000-0005-0000-0000-0000E5020000}"/>
    <cellStyle name="Currency 2 3 2 3 6 2" xfId="3225" xr:uid="{00000000-0005-0000-0000-0000E4020000}"/>
    <cellStyle name="Currency 2 3 2 3 6 2 2" xfId="10133" xr:uid="{3C1A869C-961D-4185-8165-8B2F8BE01F11}"/>
    <cellStyle name="Currency 2 3 2 3 6 3" xfId="8189" xr:uid="{55DA97E5-A34C-422A-A23E-31E58B5959EC}"/>
    <cellStyle name="Currency 2 3 2 3 7" xfId="1281" xr:uid="{00000000-0005-0000-0000-0000E6020000}"/>
    <cellStyle name="Currency 2 3 2 3 7 2" xfId="3389" xr:uid="{00000000-0005-0000-0000-0000E5020000}"/>
    <cellStyle name="Currency 2 3 2 3 7 2 2" xfId="10297" xr:uid="{9C5A860E-1680-4ABD-A62F-274BA6AF58DB}"/>
    <cellStyle name="Currency 2 3 2 3 7 3" xfId="8347" xr:uid="{E7B1D270-D750-4132-B94E-9778014BA563}"/>
    <cellStyle name="Currency 2 3 2 4" xfId="160" xr:uid="{00000000-0005-0000-0000-0000E7020000}"/>
    <cellStyle name="Currency 2 3 2 4 2" xfId="362" xr:uid="{00000000-0005-0000-0000-0000E8020000}"/>
    <cellStyle name="Currency 2 3 2 4 2 2" xfId="2522" xr:uid="{00000000-0005-0000-0000-0000E7020000}"/>
    <cellStyle name="Currency 2 3 2 4 2 2 2" xfId="9431" xr:uid="{411ED586-B2D8-4620-B7EA-E238DACF48C6}"/>
    <cellStyle name="Currency 2 3 2 4 2 3" xfId="7525" xr:uid="{B7489DCF-1DF1-46DD-AB97-BF507E981C43}"/>
    <cellStyle name="Currency 2 3 2 4 3" xfId="522" xr:uid="{00000000-0005-0000-0000-0000E9020000}"/>
    <cellStyle name="Currency 2 3 2 4 3 2" xfId="2673" xr:uid="{00000000-0005-0000-0000-0000E8020000}"/>
    <cellStyle name="Currency 2 3 2 4 3 2 2" xfId="9582" xr:uid="{F8392199-DBD7-42F9-8239-8FE8AA9E7FBB}"/>
    <cellStyle name="Currency 2 3 2 4 3 3" xfId="7665" xr:uid="{9D589AFD-3290-436F-910E-C221A45DCC66}"/>
    <cellStyle name="Currency 2 3 2 4 4" xfId="753" xr:uid="{00000000-0005-0000-0000-0000EA020000}"/>
    <cellStyle name="Currency 2 3 2 4 4 2" xfId="2893" xr:uid="{00000000-0005-0000-0000-0000E9020000}"/>
    <cellStyle name="Currency 2 3 2 4 4 2 2" xfId="9802" xr:uid="{15C5F25A-B201-4FCE-AEC9-A86D770048CD}"/>
    <cellStyle name="Currency 2 3 2 4 4 3" xfId="7875" xr:uid="{E6BB27F5-CDD0-46AF-ACE7-3DB789D13740}"/>
    <cellStyle name="Currency 2 3 2 4 5" xfId="943" xr:uid="{00000000-0005-0000-0000-0000EB020000}"/>
    <cellStyle name="Currency 2 3 2 4 5 2" xfId="3072" xr:uid="{00000000-0005-0000-0000-0000EA020000}"/>
    <cellStyle name="Currency 2 3 2 4 5 2 2" xfId="9981" xr:uid="{28ED0F7B-9CD6-4FC6-9E1F-8A35BD4185CF}"/>
    <cellStyle name="Currency 2 3 2 4 5 3" xfId="8044" xr:uid="{339505EC-59EC-4953-8AB6-EB73C66ED73C}"/>
    <cellStyle name="Currency 2 3 2 4 6" xfId="1127" xr:uid="{00000000-0005-0000-0000-0000EC020000}"/>
    <cellStyle name="Currency 2 3 2 4 6 2" xfId="3245" xr:uid="{00000000-0005-0000-0000-0000EB020000}"/>
    <cellStyle name="Currency 2 3 2 4 6 2 2" xfId="10153" xr:uid="{31F62D3E-6E49-488C-BFE1-7D7C28D944D2}"/>
    <cellStyle name="Currency 2 3 2 4 6 3" xfId="8209" xr:uid="{126AAA93-9C0C-45BD-90DA-1196CA325DB5}"/>
    <cellStyle name="Currency 2 3 2 4 7" xfId="1298" xr:uid="{00000000-0005-0000-0000-0000ED020000}"/>
    <cellStyle name="Currency 2 3 2 4 7 2" xfId="3406" xr:uid="{00000000-0005-0000-0000-0000EC020000}"/>
    <cellStyle name="Currency 2 3 2 4 7 2 2" xfId="10314" xr:uid="{7EC94CE5-9F28-4DF6-B8AC-6A0FB59EFA76}"/>
    <cellStyle name="Currency 2 3 2 4 7 3" xfId="8364" xr:uid="{B367593C-A9DD-4DEA-94BB-4FD241CF2DAF}"/>
    <cellStyle name="Currency 2 3 2 5" xfId="181" xr:uid="{00000000-0005-0000-0000-0000EE020000}"/>
    <cellStyle name="Currency 2 3 2 5 2" xfId="381" xr:uid="{00000000-0005-0000-0000-0000EF020000}"/>
    <cellStyle name="Currency 2 3 2 5 2 2" xfId="2540" xr:uid="{00000000-0005-0000-0000-0000EE020000}"/>
    <cellStyle name="Currency 2 3 2 5 2 2 2" xfId="9449" xr:uid="{0D44428E-75D2-4268-AD11-F2425E348A73}"/>
    <cellStyle name="Currency 2 3 2 5 2 3" xfId="7544" xr:uid="{1B72C89D-8F1F-47AB-BD0E-A0E223D827EE}"/>
    <cellStyle name="Currency 2 3 2 5 3" xfId="539" xr:uid="{00000000-0005-0000-0000-0000F0020000}"/>
    <cellStyle name="Currency 2 3 2 5 3 2" xfId="2690" xr:uid="{00000000-0005-0000-0000-0000EF020000}"/>
    <cellStyle name="Currency 2 3 2 5 3 2 2" xfId="9599" xr:uid="{D982AA66-2D98-46CA-826F-5B855FCF562D}"/>
    <cellStyle name="Currency 2 3 2 5 3 3" xfId="7682" xr:uid="{67E3859C-318F-47A3-AA3C-8CFA19235E82}"/>
    <cellStyle name="Currency 2 3 2 5 4" xfId="773" xr:uid="{00000000-0005-0000-0000-0000F1020000}"/>
    <cellStyle name="Currency 2 3 2 5 4 2" xfId="2912" xr:uid="{00000000-0005-0000-0000-0000F0020000}"/>
    <cellStyle name="Currency 2 3 2 5 4 2 2" xfId="9821" xr:uid="{7D58310B-2FC7-4BD6-863C-6FDF49B0B20D}"/>
    <cellStyle name="Currency 2 3 2 5 4 3" xfId="7895" xr:uid="{1E98E85D-95B2-4F3C-8FD6-BB6A44DAFFCD}"/>
    <cellStyle name="Currency 2 3 2 5 5" xfId="962" xr:uid="{00000000-0005-0000-0000-0000F2020000}"/>
    <cellStyle name="Currency 2 3 2 5 5 2" xfId="3091" xr:uid="{00000000-0005-0000-0000-0000F1020000}"/>
    <cellStyle name="Currency 2 3 2 5 5 2 2" xfId="10000" xr:uid="{2E094149-C80D-4061-9D83-EA627B4005AD}"/>
    <cellStyle name="Currency 2 3 2 5 5 3" xfId="8063" xr:uid="{BF55E092-78AA-437C-937E-DABCEF338E31}"/>
    <cellStyle name="Currency 2 3 2 5 6" xfId="1144" xr:uid="{00000000-0005-0000-0000-0000F3020000}"/>
    <cellStyle name="Currency 2 3 2 5 6 2" xfId="3262" xr:uid="{00000000-0005-0000-0000-0000F2020000}"/>
    <cellStyle name="Currency 2 3 2 5 6 2 2" xfId="10170" xr:uid="{5B091A58-4134-44C1-B763-651AF3980A2E}"/>
    <cellStyle name="Currency 2 3 2 5 6 3" xfId="8226" xr:uid="{A23F5DC4-8F1E-4E18-8664-EA181C8090FD}"/>
    <cellStyle name="Currency 2 3 2 5 7" xfId="1315" xr:uid="{00000000-0005-0000-0000-0000F4020000}"/>
    <cellStyle name="Currency 2 3 2 5 7 2" xfId="3423" xr:uid="{00000000-0005-0000-0000-0000F3020000}"/>
    <cellStyle name="Currency 2 3 2 5 7 2 2" xfId="10331" xr:uid="{4FDEB2B4-C5AA-492E-B597-D4CF9D8F066C}"/>
    <cellStyle name="Currency 2 3 2 5 7 3" xfId="8381" xr:uid="{FAD74660-7B4D-48ED-B161-77EF33331A24}"/>
    <cellStyle name="Currency 2 3 2 6" xfId="202" xr:uid="{00000000-0005-0000-0000-0000F5020000}"/>
    <cellStyle name="Currency 2 3 2 6 2" xfId="399" xr:uid="{00000000-0005-0000-0000-0000F6020000}"/>
    <cellStyle name="Currency 2 3 2 6 2 2" xfId="2558" xr:uid="{00000000-0005-0000-0000-0000F5020000}"/>
    <cellStyle name="Currency 2 3 2 6 2 2 2" xfId="9467" xr:uid="{66A40114-8930-4E75-A1CE-1CC700228DEB}"/>
    <cellStyle name="Currency 2 3 2 6 2 3" xfId="7562" xr:uid="{6D7AF230-D9B8-4D95-B371-F77DF25066F9}"/>
    <cellStyle name="Currency 2 3 2 6 3" xfId="556" xr:uid="{00000000-0005-0000-0000-0000F7020000}"/>
    <cellStyle name="Currency 2 3 2 6 3 2" xfId="2707" xr:uid="{00000000-0005-0000-0000-0000F6020000}"/>
    <cellStyle name="Currency 2 3 2 6 3 2 2" xfId="9616" xr:uid="{B66FAB9A-38E0-49EC-A62F-57C3B02B35E1}"/>
    <cellStyle name="Currency 2 3 2 6 3 3" xfId="7699" xr:uid="{44720A49-D622-42CD-986D-066CF6E63934}"/>
    <cellStyle name="Currency 2 3 2 6 4" xfId="793" xr:uid="{00000000-0005-0000-0000-0000F8020000}"/>
    <cellStyle name="Currency 2 3 2 6 4 2" xfId="2932" xr:uid="{00000000-0005-0000-0000-0000F7020000}"/>
    <cellStyle name="Currency 2 3 2 6 4 2 2" xfId="9841" xr:uid="{02A8AF3D-08F2-4FD8-81AB-1A3F51838A7E}"/>
    <cellStyle name="Currency 2 3 2 6 4 3" xfId="7915" xr:uid="{7C7B388D-DB7E-45DB-B399-1AAF3606E3F2}"/>
    <cellStyle name="Currency 2 3 2 6 5" xfId="981" xr:uid="{00000000-0005-0000-0000-0000F9020000}"/>
    <cellStyle name="Currency 2 3 2 6 5 2" xfId="3110" xr:uid="{00000000-0005-0000-0000-0000F8020000}"/>
    <cellStyle name="Currency 2 3 2 6 5 2 2" xfId="10019" xr:uid="{EC2584AA-E53A-4E96-9536-6F6A04E8725A}"/>
    <cellStyle name="Currency 2 3 2 6 5 3" xfId="8082" xr:uid="{94CB41CA-326C-4A23-B2B7-86B16DCB95C5}"/>
    <cellStyle name="Currency 2 3 2 6 6" xfId="1164" xr:uid="{00000000-0005-0000-0000-0000FA020000}"/>
    <cellStyle name="Currency 2 3 2 6 6 2" xfId="3282" xr:uid="{00000000-0005-0000-0000-0000F9020000}"/>
    <cellStyle name="Currency 2 3 2 6 6 2 2" xfId="10190" xr:uid="{B455BB05-B6D2-460A-8AE3-D7996D2C5271}"/>
    <cellStyle name="Currency 2 3 2 6 6 3" xfId="8246" xr:uid="{008E6FD4-9763-49FD-BA48-2DED16EE2511}"/>
    <cellStyle name="Currency 2 3 2 6 7" xfId="1332" xr:uid="{00000000-0005-0000-0000-0000FB020000}"/>
    <cellStyle name="Currency 2 3 2 6 7 2" xfId="3440" xr:uid="{00000000-0005-0000-0000-0000FA020000}"/>
    <cellStyle name="Currency 2 3 2 6 7 2 2" xfId="10348" xr:uid="{A858467F-39EC-48D9-8104-D9EFAC95ACED}"/>
    <cellStyle name="Currency 2 3 2 6 7 3" xfId="8398" xr:uid="{BC4594D9-2FD2-4B37-9679-3DFEB458B86F}"/>
    <cellStyle name="Currency 2 3 2 7" xfId="261" xr:uid="{00000000-0005-0000-0000-0000FC020000}"/>
    <cellStyle name="Currency 2 3 2 7 2" xfId="2425" xr:uid="{00000000-0005-0000-0000-0000FB020000}"/>
    <cellStyle name="Currency 2 3 2 7 2 2" xfId="9334" xr:uid="{9CC71758-165E-456E-AA13-61B201B0F24E}"/>
    <cellStyle name="Currency 2 3 2 7 3" xfId="7429" xr:uid="{A881AE80-545E-475B-9BF7-C2DB801974E6}"/>
    <cellStyle name="Currency 2 3 2 8" xfId="274" xr:uid="{00000000-0005-0000-0000-0000FD020000}"/>
    <cellStyle name="Currency 2 3 2 8 2" xfId="2438" xr:uid="{00000000-0005-0000-0000-0000FC020000}"/>
    <cellStyle name="Currency 2 3 2 8 2 2" xfId="9347" xr:uid="{01BD0387-FA10-4288-ADF5-12EFDBF8D38D}"/>
    <cellStyle name="Currency 2 3 2 8 3" xfId="7442" xr:uid="{C8EF40CE-212E-4BB2-B2E0-7A77A9B6E15A}"/>
    <cellStyle name="Currency 2 3 2 9" xfId="651" xr:uid="{00000000-0005-0000-0000-0000FE020000}"/>
    <cellStyle name="Currency 2 3 2 9 2" xfId="2794" xr:uid="{00000000-0005-0000-0000-0000FD020000}"/>
    <cellStyle name="Currency 2 3 2 9 2 2" xfId="9703" xr:uid="{D3CA29AF-45B0-487D-A393-B2FD291B8F4B}"/>
    <cellStyle name="Currency 2 3 2 9 3" xfId="7776" xr:uid="{0D0D0A38-91E9-4660-9725-A73AD22B1B76}"/>
    <cellStyle name="Currency 2 3 3" xfId="244" xr:uid="{00000000-0005-0000-0000-0000FF020000}"/>
    <cellStyle name="Currency 2 3 3 2" xfId="2408" xr:uid="{00000000-0005-0000-0000-0000FE020000}"/>
    <cellStyle name="Currency 2 3 3 2 2" xfId="9317" xr:uid="{85F6D3ED-B435-4C05-ABA2-88DD03D9B5AD}"/>
    <cellStyle name="Currency 2 3 3 3" xfId="7412" xr:uid="{E1EF4485-F946-4DC8-8B57-BBFB1FF190C9}"/>
    <cellStyle name="Currency 2 3 4" xfId="289" xr:uid="{00000000-0005-0000-0000-000000030000}"/>
    <cellStyle name="Currency 2 3 4 2" xfId="2453" xr:uid="{00000000-0005-0000-0000-0000FF020000}"/>
    <cellStyle name="Currency 2 3 4 2 2" xfId="9362" xr:uid="{66CE03BA-0B4A-482E-95BC-96220071019F}"/>
    <cellStyle name="Currency 2 3 4 3" xfId="7457" xr:uid="{CEBBF5E5-98A0-4F3A-8545-033D6961AC2C}"/>
    <cellStyle name="Currency 2 3 5" xfId="631" xr:uid="{00000000-0005-0000-0000-000001030000}"/>
    <cellStyle name="Currency 2 3 5 2" xfId="2774" xr:uid="{00000000-0005-0000-0000-000000030000}"/>
    <cellStyle name="Currency 2 3 5 2 2" xfId="9683" xr:uid="{4AE990E4-3C32-484D-9276-82515892EDD8}"/>
    <cellStyle name="Currency 2 3 5 3" xfId="7758" xr:uid="{1586E013-9CB2-4884-8BDD-7BCDCBCFAFCF}"/>
    <cellStyle name="Currency 2 3 6" xfId="750" xr:uid="{00000000-0005-0000-0000-000002030000}"/>
    <cellStyle name="Currency 2 3 6 2" xfId="2890" xr:uid="{00000000-0005-0000-0000-000001030000}"/>
    <cellStyle name="Currency 2 3 6 2 2" xfId="9799" xr:uid="{50261307-C488-45B4-B712-0E09EFF5A73D}"/>
    <cellStyle name="Currency 2 3 6 3" xfId="7872" xr:uid="{61C417E5-C954-45B3-BF63-07669B9DB6EB}"/>
    <cellStyle name="Currency 2 3 7" xfId="927" xr:uid="{00000000-0005-0000-0000-000003030000}"/>
    <cellStyle name="Currency 2 3 7 2" xfId="3056" xr:uid="{00000000-0005-0000-0000-000002030000}"/>
    <cellStyle name="Currency 2 3 7 2 2" xfId="9965" xr:uid="{7D24AACC-B0B7-446B-8D34-5CE11FB5E9E6}"/>
    <cellStyle name="Currency 2 3 7 3" xfId="8028" xr:uid="{56C54DF2-7C4F-4B29-BCF1-1D47E2959A39}"/>
    <cellStyle name="Currency 2 3 8" xfId="1174" xr:uid="{00000000-0005-0000-0000-000004030000}"/>
    <cellStyle name="Currency 2 3 8 2" xfId="3292" xr:uid="{00000000-0005-0000-0000-000003030000}"/>
    <cellStyle name="Currency 2 3 8 2 2" xfId="10200" xr:uid="{8B33E90A-2479-428D-AC9D-7A8ABD1642FA}"/>
    <cellStyle name="Currency 2 3 8 3" xfId="8256" xr:uid="{61486545-0139-4BD8-93FF-2279BFD2084C}"/>
    <cellStyle name="Currency 2 4" xfId="29" xr:uid="{00000000-0005-0000-0000-000005030000}"/>
    <cellStyle name="Currency 2 4 10" xfId="814" xr:uid="{00000000-0005-0000-0000-000006030000}"/>
    <cellStyle name="Currency 2 4 10 2" xfId="2952" xr:uid="{00000000-0005-0000-0000-000005030000}"/>
    <cellStyle name="Currency 2 4 10 2 2" xfId="9861" xr:uid="{2E6E70E5-8B3B-41DA-AA09-0D60A083D419}"/>
    <cellStyle name="Currency 2 4 10 3" xfId="7935" xr:uid="{FFFB3A08-CA76-43B6-ABFD-E81CD964DD78}"/>
    <cellStyle name="Currency 2 4 11" xfId="865" xr:uid="{00000000-0005-0000-0000-000007030000}"/>
    <cellStyle name="Currency 2 4 11 2" xfId="2996" xr:uid="{00000000-0005-0000-0000-000006030000}"/>
    <cellStyle name="Currency 2 4 11 2 2" xfId="9905" xr:uid="{66CC435C-D746-448A-B183-0E5D05672DDC}"/>
    <cellStyle name="Currency 2 4 11 3" xfId="7969" xr:uid="{CCC990BE-5592-4511-9465-66E47E22ECEC}"/>
    <cellStyle name="Currency 2 4 12" xfId="1167" xr:uid="{00000000-0005-0000-0000-000008030000}"/>
    <cellStyle name="Currency 2 4 12 2" xfId="3285" xr:uid="{00000000-0005-0000-0000-000007030000}"/>
    <cellStyle name="Currency 2 4 12 2 2" xfId="10193" xr:uid="{24B2F169-D1BD-4277-B03E-B8AA8C411EA1}"/>
    <cellStyle name="Currency 2 4 12 3" xfId="8249" xr:uid="{C97DE8F6-8412-4477-9058-DE60A501D1B3}"/>
    <cellStyle name="Currency 2 4 2" xfId="110" xr:uid="{00000000-0005-0000-0000-000009030000}"/>
    <cellStyle name="Currency 2 4 2 2" xfId="317" xr:uid="{00000000-0005-0000-0000-00000A030000}"/>
    <cellStyle name="Currency 2 4 2 2 2" xfId="2478" xr:uid="{00000000-0005-0000-0000-000009030000}"/>
    <cellStyle name="Currency 2 4 2 2 2 2" xfId="9387" xr:uid="{4179B82C-40FD-4F42-B24B-84845E3DD52D}"/>
    <cellStyle name="Currency 2 4 2 2 3" xfId="7480" xr:uid="{FDD7C3D4-17C0-4E86-8975-6366937AA656}"/>
    <cellStyle name="Currency 2 4 2 3" xfId="482" xr:uid="{00000000-0005-0000-0000-00000B030000}"/>
    <cellStyle name="Currency 2 4 2 3 2" xfId="2633" xr:uid="{00000000-0005-0000-0000-00000A030000}"/>
    <cellStyle name="Currency 2 4 2 3 2 2" xfId="9542" xr:uid="{914CD3C3-90CC-4701-A9B9-D8F64D62552C}"/>
    <cellStyle name="Currency 2 4 2 3 3" xfId="7625" xr:uid="{7FE9D240-0475-4916-92B7-8A50B310862F}"/>
    <cellStyle name="Currency 2 4 2 4" xfId="706" xr:uid="{00000000-0005-0000-0000-00000C030000}"/>
    <cellStyle name="Currency 2 4 2 4 2" xfId="2846" xr:uid="{00000000-0005-0000-0000-00000B030000}"/>
    <cellStyle name="Currency 2 4 2 4 2 2" xfId="9755" xr:uid="{13D4A259-B95F-4B4F-A081-D7AEAE7DEEF4}"/>
    <cellStyle name="Currency 2 4 2 4 3" xfId="7828" xr:uid="{27FD0D85-0892-476E-9959-C015D8A6993D}"/>
    <cellStyle name="Currency 2 4 2 5" xfId="898" xr:uid="{00000000-0005-0000-0000-00000D030000}"/>
    <cellStyle name="Currency 2 4 2 5 2" xfId="3027" xr:uid="{00000000-0005-0000-0000-00000C030000}"/>
    <cellStyle name="Currency 2 4 2 5 2 2" xfId="9936" xr:uid="{2BB4864B-EA51-4159-ABD3-4C5E99196BF9}"/>
    <cellStyle name="Currency 2 4 2 5 3" xfId="7999" xr:uid="{758F8D55-2324-45E5-A49E-61ECBFD823EB}"/>
    <cellStyle name="Currency 2 4 2 6" xfId="1080" xr:uid="{00000000-0005-0000-0000-00000E030000}"/>
    <cellStyle name="Currency 2 4 2 6 2" xfId="3198" xr:uid="{00000000-0005-0000-0000-00000D030000}"/>
    <cellStyle name="Currency 2 4 2 6 2 2" xfId="10106" xr:uid="{AD837FCF-4AE2-4080-99FE-680C96A94C78}"/>
    <cellStyle name="Currency 2 4 2 6 3" xfId="8162" xr:uid="{BC464977-3E93-42EB-8393-18E4F58BBAB8}"/>
    <cellStyle name="Currency 2 4 2 7" xfId="1258" xr:uid="{00000000-0005-0000-0000-00000F030000}"/>
    <cellStyle name="Currency 2 4 2 7 2" xfId="3366" xr:uid="{00000000-0005-0000-0000-00000E030000}"/>
    <cellStyle name="Currency 2 4 2 7 2 2" xfId="10274" xr:uid="{EC2CA6D2-533A-46F9-8E8C-F5A12F43E49B}"/>
    <cellStyle name="Currency 2 4 2 7 3" xfId="8324" xr:uid="{B213CCA7-1A9B-432E-A24C-3670C326FF63}"/>
    <cellStyle name="Currency 2 4 3" xfId="131" xr:uid="{00000000-0005-0000-0000-000010030000}"/>
    <cellStyle name="Currency 2 4 3 2" xfId="336" xr:uid="{00000000-0005-0000-0000-000011030000}"/>
    <cellStyle name="Currency 2 4 3 2 2" xfId="2496" xr:uid="{00000000-0005-0000-0000-000010030000}"/>
    <cellStyle name="Currency 2 4 3 2 2 2" xfId="9405" xr:uid="{FBDF5E86-077C-453B-AAEF-F96C5B44FDD7}"/>
    <cellStyle name="Currency 2 4 3 2 3" xfId="7499" xr:uid="{7F503C6A-4E9E-461E-955E-DAB547F38CF9}"/>
    <cellStyle name="Currency 2 4 3 3" xfId="499" xr:uid="{00000000-0005-0000-0000-000012030000}"/>
    <cellStyle name="Currency 2 4 3 3 2" xfId="2650" xr:uid="{00000000-0005-0000-0000-000011030000}"/>
    <cellStyle name="Currency 2 4 3 3 2 2" xfId="9559" xr:uid="{EFF1B3C8-E135-49FC-99F5-1C7DB7C92F50}"/>
    <cellStyle name="Currency 2 4 3 3 3" xfId="7642" xr:uid="{A76FB23A-86A0-4DB2-B236-202930748724}"/>
    <cellStyle name="Currency 2 4 3 4" xfId="726" xr:uid="{00000000-0005-0000-0000-000013030000}"/>
    <cellStyle name="Currency 2 4 3 4 2" xfId="2866" xr:uid="{00000000-0005-0000-0000-000012030000}"/>
    <cellStyle name="Currency 2 4 3 4 2 2" xfId="9775" xr:uid="{3AD2CCD4-809F-4CD2-B23C-6125E6387D91}"/>
    <cellStyle name="Currency 2 4 3 4 3" xfId="7848" xr:uid="{75AF41E3-4B62-4AB2-A365-C6C7D586B7C2}"/>
    <cellStyle name="Currency 2 4 3 5" xfId="917" xr:uid="{00000000-0005-0000-0000-000014030000}"/>
    <cellStyle name="Currency 2 4 3 5 2" xfId="3046" xr:uid="{00000000-0005-0000-0000-000013030000}"/>
    <cellStyle name="Currency 2 4 3 5 2 2" xfId="9955" xr:uid="{5B714A4A-38F5-4549-A885-FBEF4768BB01}"/>
    <cellStyle name="Currency 2 4 3 5 3" xfId="8018" xr:uid="{514D8997-62DE-4083-8CE4-AC804F9E5995}"/>
    <cellStyle name="Currency 2 4 3 6" xfId="1099" xr:uid="{00000000-0005-0000-0000-000015030000}"/>
    <cellStyle name="Currency 2 4 3 6 2" xfId="3217" xr:uid="{00000000-0005-0000-0000-000014030000}"/>
    <cellStyle name="Currency 2 4 3 6 2 2" xfId="10125" xr:uid="{64725593-C3B7-412B-8CFD-59F83233592E}"/>
    <cellStyle name="Currency 2 4 3 6 3" xfId="8181" xr:uid="{340CCD3D-096A-48CC-8853-0654344A9D42}"/>
    <cellStyle name="Currency 2 4 3 7" xfId="1275" xr:uid="{00000000-0005-0000-0000-000016030000}"/>
    <cellStyle name="Currency 2 4 3 7 2" xfId="3383" xr:uid="{00000000-0005-0000-0000-000015030000}"/>
    <cellStyle name="Currency 2 4 3 7 2 2" xfId="10291" xr:uid="{AEA55BD0-2BDA-4D17-A523-424301A7E577}"/>
    <cellStyle name="Currency 2 4 3 7 3" xfId="8341" xr:uid="{F17C6C23-5AAC-4D87-B676-C72D3C0C1EA3}"/>
    <cellStyle name="Currency 2 4 4" xfId="152" xr:uid="{00000000-0005-0000-0000-000017030000}"/>
    <cellStyle name="Currency 2 4 4 2" xfId="355" xr:uid="{00000000-0005-0000-0000-000018030000}"/>
    <cellStyle name="Currency 2 4 4 2 2" xfId="2515" xr:uid="{00000000-0005-0000-0000-000017030000}"/>
    <cellStyle name="Currency 2 4 4 2 2 2" xfId="9424" xr:uid="{64F02DF6-417C-435C-AFCD-95BDBCF18A91}"/>
    <cellStyle name="Currency 2 4 4 2 3" xfId="7518" xr:uid="{F1719EBB-EA04-40D1-A8D7-BA6D1BA87616}"/>
    <cellStyle name="Currency 2 4 4 3" xfId="516" xr:uid="{00000000-0005-0000-0000-000019030000}"/>
    <cellStyle name="Currency 2 4 4 3 2" xfId="2667" xr:uid="{00000000-0005-0000-0000-000018030000}"/>
    <cellStyle name="Currency 2 4 4 3 2 2" xfId="9576" xr:uid="{8713ED4D-506C-46AE-BF0C-070335D6DF84}"/>
    <cellStyle name="Currency 2 4 4 3 3" xfId="7659" xr:uid="{417066C9-7993-4936-B803-C64A087525E1}"/>
    <cellStyle name="Currency 2 4 4 4" xfId="746" xr:uid="{00000000-0005-0000-0000-00001A030000}"/>
    <cellStyle name="Currency 2 4 4 4 2" xfId="2886" xr:uid="{00000000-0005-0000-0000-000019030000}"/>
    <cellStyle name="Currency 2 4 4 4 2 2" xfId="9795" xr:uid="{D1CAB369-6E18-4A9D-ADFD-03C5341708BB}"/>
    <cellStyle name="Currency 2 4 4 4 3" xfId="7868" xr:uid="{C6C46427-1883-49E4-8FCB-FE29FFC58D45}"/>
    <cellStyle name="Currency 2 4 4 5" xfId="936" xr:uid="{00000000-0005-0000-0000-00001B030000}"/>
    <cellStyle name="Currency 2 4 4 5 2" xfId="3065" xr:uid="{00000000-0005-0000-0000-00001A030000}"/>
    <cellStyle name="Currency 2 4 4 5 2 2" xfId="9974" xr:uid="{5EE325AD-2BAD-417A-A038-881394D02E41}"/>
    <cellStyle name="Currency 2 4 4 5 3" xfId="8037" xr:uid="{38CE034D-DDC7-4D56-9573-586048510C3F}"/>
    <cellStyle name="Currency 2 4 4 6" xfId="1119" xr:uid="{00000000-0005-0000-0000-00001C030000}"/>
    <cellStyle name="Currency 2 4 4 6 2" xfId="3237" xr:uid="{00000000-0005-0000-0000-00001B030000}"/>
    <cellStyle name="Currency 2 4 4 6 2 2" xfId="10145" xr:uid="{3E41FDA3-6A4F-4B64-962E-2CBCB3354645}"/>
    <cellStyle name="Currency 2 4 4 6 3" xfId="8201" xr:uid="{78E75931-9645-4058-B605-F11800187939}"/>
    <cellStyle name="Currency 2 4 4 7" xfId="1292" xr:uid="{00000000-0005-0000-0000-00001D030000}"/>
    <cellStyle name="Currency 2 4 4 7 2" xfId="3400" xr:uid="{00000000-0005-0000-0000-00001C030000}"/>
    <cellStyle name="Currency 2 4 4 7 2 2" xfId="10308" xr:uid="{F24211A8-9B9A-43FA-8C10-31DE58F2C468}"/>
    <cellStyle name="Currency 2 4 4 7 3" xfId="8358" xr:uid="{4989B7F9-48F3-41F6-951D-C2C36CEC35BB}"/>
    <cellStyle name="Currency 2 4 5" xfId="173" xr:uid="{00000000-0005-0000-0000-00001E030000}"/>
    <cellStyle name="Currency 2 4 5 2" xfId="374" xr:uid="{00000000-0005-0000-0000-00001F030000}"/>
    <cellStyle name="Currency 2 4 5 2 2" xfId="2534" xr:uid="{00000000-0005-0000-0000-00001E030000}"/>
    <cellStyle name="Currency 2 4 5 2 2 2" xfId="9443" xr:uid="{7DD9D9F0-4C5C-4869-B367-BA29A496538D}"/>
    <cellStyle name="Currency 2 4 5 2 3" xfId="7537" xr:uid="{EF8CF718-A675-40B4-BEF0-7BD4511B87A4}"/>
    <cellStyle name="Currency 2 4 5 3" xfId="533" xr:uid="{00000000-0005-0000-0000-000020030000}"/>
    <cellStyle name="Currency 2 4 5 3 2" xfId="2684" xr:uid="{00000000-0005-0000-0000-00001F030000}"/>
    <cellStyle name="Currency 2 4 5 3 2 2" xfId="9593" xr:uid="{73612BC9-C8E4-4150-A118-1BD9CF7FDD0A}"/>
    <cellStyle name="Currency 2 4 5 3 3" xfId="7676" xr:uid="{9971C17A-C1A9-4876-9468-F1E3D06C85AB}"/>
    <cellStyle name="Currency 2 4 5 4" xfId="766" xr:uid="{00000000-0005-0000-0000-000021030000}"/>
    <cellStyle name="Currency 2 4 5 4 2" xfId="2905" xr:uid="{00000000-0005-0000-0000-000020030000}"/>
    <cellStyle name="Currency 2 4 5 4 2 2" xfId="9814" xr:uid="{A75A0DE4-C817-4F09-B8BA-22AC8F008C77}"/>
    <cellStyle name="Currency 2 4 5 4 3" xfId="7888" xr:uid="{F18B847B-344B-4B76-94CE-2EDA96AA6EC9}"/>
    <cellStyle name="Currency 2 4 5 5" xfId="955" xr:uid="{00000000-0005-0000-0000-000022030000}"/>
    <cellStyle name="Currency 2 4 5 5 2" xfId="3084" xr:uid="{00000000-0005-0000-0000-000021030000}"/>
    <cellStyle name="Currency 2 4 5 5 2 2" xfId="9993" xr:uid="{28BB122B-5B6F-4E6F-8BC2-8CF88B1E97C6}"/>
    <cellStyle name="Currency 2 4 5 5 3" xfId="8056" xr:uid="{5146C498-663E-4797-9501-B0A9E9B3E2C9}"/>
    <cellStyle name="Currency 2 4 5 6" xfId="1138" xr:uid="{00000000-0005-0000-0000-000023030000}"/>
    <cellStyle name="Currency 2 4 5 6 2" xfId="3256" xr:uid="{00000000-0005-0000-0000-000022030000}"/>
    <cellStyle name="Currency 2 4 5 6 2 2" xfId="10164" xr:uid="{0B795501-3197-4242-AF43-3FBEB291C3BC}"/>
    <cellStyle name="Currency 2 4 5 6 3" xfId="8220" xr:uid="{B7CC3149-4260-47D9-97C5-486D55C6E2D6}"/>
    <cellStyle name="Currency 2 4 5 7" xfId="1309" xr:uid="{00000000-0005-0000-0000-000024030000}"/>
    <cellStyle name="Currency 2 4 5 7 2" xfId="3417" xr:uid="{00000000-0005-0000-0000-000023030000}"/>
    <cellStyle name="Currency 2 4 5 7 2 2" xfId="10325" xr:uid="{8CC7B618-1540-4B43-B736-FA603FBEBAC6}"/>
    <cellStyle name="Currency 2 4 5 7 3" xfId="8375" xr:uid="{305D24D6-7BE1-49BC-9F08-C50C5CD5EE4E}"/>
    <cellStyle name="Currency 2 4 6" xfId="194" xr:uid="{00000000-0005-0000-0000-000025030000}"/>
    <cellStyle name="Currency 2 4 6 2" xfId="393" xr:uid="{00000000-0005-0000-0000-000026030000}"/>
    <cellStyle name="Currency 2 4 6 2 2" xfId="2552" xr:uid="{00000000-0005-0000-0000-000025030000}"/>
    <cellStyle name="Currency 2 4 6 2 2 2" xfId="9461" xr:uid="{7F575FA4-4C61-4C69-8574-C8A908817FBE}"/>
    <cellStyle name="Currency 2 4 6 2 3" xfId="7556" xr:uid="{51523A7D-A137-4BF4-936E-7B8909D3C9AF}"/>
    <cellStyle name="Currency 2 4 6 3" xfId="550" xr:uid="{00000000-0005-0000-0000-000027030000}"/>
    <cellStyle name="Currency 2 4 6 3 2" xfId="2701" xr:uid="{00000000-0005-0000-0000-000026030000}"/>
    <cellStyle name="Currency 2 4 6 3 2 2" xfId="9610" xr:uid="{85C37ECC-EEAE-4BE3-B381-213CD0208CDD}"/>
    <cellStyle name="Currency 2 4 6 3 3" xfId="7693" xr:uid="{3461343E-265C-4FDF-A1B1-D9022095D789}"/>
    <cellStyle name="Currency 2 4 6 4" xfId="786" xr:uid="{00000000-0005-0000-0000-000028030000}"/>
    <cellStyle name="Currency 2 4 6 4 2" xfId="2925" xr:uid="{00000000-0005-0000-0000-000027030000}"/>
    <cellStyle name="Currency 2 4 6 4 2 2" xfId="9834" xr:uid="{8CC6D566-42DB-42A1-B055-E2B7B2132E73}"/>
    <cellStyle name="Currency 2 4 6 4 3" xfId="7908" xr:uid="{D6F41391-A5E5-48FF-ADDB-ED8D2EA477A8}"/>
    <cellStyle name="Currency 2 4 6 5" xfId="974" xr:uid="{00000000-0005-0000-0000-000029030000}"/>
    <cellStyle name="Currency 2 4 6 5 2" xfId="3103" xr:uid="{00000000-0005-0000-0000-000028030000}"/>
    <cellStyle name="Currency 2 4 6 5 2 2" xfId="10012" xr:uid="{CBEEB619-5EC1-4462-857A-4AC58BC1440C}"/>
    <cellStyle name="Currency 2 4 6 5 3" xfId="8075" xr:uid="{DBF470FA-51C2-4090-B6D7-DF68584C2180}"/>
    <cellStyle name="Currency 2 4 6 6" xfId="1157" xr:uid="{00000000-0005-0000-0000-00002A030000}"/>
    <cellStyle name="Currency 2 4 6 6 2" xfId="3275" xr:uid="{00000000-0005-0000-0000-000029030000}"/>
    <cellStyle name="Currency 2 4 6 6 2 2" xfId="10183" xr:uid="{7BF5A995-0859-406A-8718-74824AA76679}"/>
    <cellStyle name="Currency 2 4 6 6 3" xfId="8239" xr:uid="{391D9B40-7C1E-4C11-8481-EED56976175A}"/>
    <cellStyle name="Currency 2 4 6 7" xfId="1326" xr:uid="{00000000-0005-0000-0000-00002B030000}"/>
    <cellStyle name="Currency 2 4 6 7 2" xfId="3434" xr:uid="{00000000-0005-0000-0000-00002A030000}"/>
    <cellStyle name="Currency 2 4 6 7 2 2" xfId="10342" xr:uid="{6339C2F0-221D-4F75-B657-6D695673AA20}"/>
    <cellStyle name="Currency 2 4 6 7 3" xfId="8392" xr:uid="{C323FD9C-6086-4EAF-A410-A48B756F3F38}"/>
    <cellStyle name="Currency 2 4 7" xfId="254" xr:uid="{00000000-0005-0000-0000-00002C030000}"/>
    <cellStyle name="Currency 2 4 7 2" xfId="2418" xr:uid="{00000000-0005-0000-0000-00002B030000}"/>
    <cellStyle name="Currency 2 4 7 2 2" xfId="9327" xr:uid="{592EA44E-33B6-4EDB-9884-A26856E85B09}"/>
    <cellStyle name="Currency 2 4 7 3" xfId="7422" xr:uid="{377685E6-B6B5-4424-A989-A9213D19AE71}"/>
    <cellStyle name="Currency 2 4 8" xfId="279" xr:uid="{00000000-0005-0000-0000-00002D030000}"/>
    <cellStyle name="Currency 2 4 8 2" xfId="2443" xr:uid="{00000000-0005-0000-0000-00002C030000}"/>
    <cellStyle name="Currency 2 4 8 2 2" xfId="9352" xr:uid="{C790DFB7-9F8D-403A-893C-192AE843EB3D}"/>
    <cellStyle name="Currency 2 4 8 3" xfId="7447" xr:uid="{963F8BD0-6F01-4C95-803A-007061D8F00B}"/>
    <cellStyle name="Currency 2 4 9" xfId="643" xr:uid="{00000000-0005-0000-0000-00002E030000}"/>
    <cellStyle name="Currency 2 4 9 2" xfId="2786" xr:uid="{00000000-0005-0000-0000-00002D030000}"/>
    <cellStyle name="Currency 2 4 9 2 2" xfId="9695" xr:uid="{8A508208-53F7-434D-AD00-9E47221A6EA8}"/>
    <cellStyle name="Currency 2 4 9 3" xfId="7770" xr:uid="{260AF352-E097-4473-BE30-E2DCAB57C8F0}"/>
    <cellStyle name="Currency 2 5" xfId="87" xr:uid="{00000000-0005-0000-0000-00002F030000}"/>
    <cellStyle name="Currency 2 6" xfId="225" xr:uid="{00000000-0005-0000-0000-000030030000}"/>
    <cellStyle name="Currency 2 6 2" xfId="415" xr:uid="{00000000-0005-0000-0000-000031030000}"/>
    <cellStyle name="Currency 2 6 2 2" xfId="2573" xr:uid="{00000000-0005-0000-0000-000030030000}"/>
    <cellStyle name="Currency 2 6 2 2 2" xfId="9482" xr:uid="{BDC56621-239A-4D8E-9F74-8164A9BFE519}"/>
    <cellStyle name="Currency 2 6 2 3" xfId="7577" xr:uid="{18550A42-C446-4E7A-9085-B1459C18A6B0}"/>
    <cellStyle name="Currency 2 6 3" xfId="572" xr:uid="{00000000-0005-0000-0000-000032030000}"/>
    <cellStyle name="Currency 2 6 3 2" xfId="2722" xr:uid="{00000000-0005-0000-0000-000031030000}"/>
    <cellStyle name="Currency 2 6 3 2 2" xfId="9631" xr:uid="{A35ED5F1-BC00-4920-94E9-23F7C6A697DC}"/>
    <cellStyle name="Currency 2 6 3 3" xfId="7715" xr:uid="{0C9DEC14-6015-495F-A14C-CD6D71E27E60}"/>
    <cellStyle name="Currency 2 6 4" xfId="816" xr:uid="{00000000-0005-0000-0000-000033030000}"/>
    <cellStyle name="Currency 2 6 4 2" xfId="2953" xr:uid="{00000000-0005-0000-0000-000032030000}"/>
    <cellStyle name="Currency 2 6 4 2 2" xfId="9862" xr:uid="{3BD75ADE-87F6-47DE-BBB3-735383BF4F12}"/>
    <cellStyle name="Currency 2 6 4 3" xfId="7937" xr:uid="{E98A1C08-6F58-4793-B782-A2F052F37167}"/>
    <cellStyle name="Currency 2 6 5" xfId="1002" xr:uid="{00000000-0005-0000-0000-000034030000}"/>
    <cellStyle name="Currency 2 6 5 2" xfId="3130" xr:uid="{00000000-0005-0000-0000-000033030000}"/>
    <cellStyle name="Currency 2 6 5 2 2" xfId="10039" xr:uid="{E35B39C2-7700-47F3-AE75-1DAB924960D6}"/>
    <cellStyle name="Currency 2 6 5 3" xfId="8102" xr:uid="{51B1B5AA-24E5-44DD-9540-A10CF929C03E}"/>
    <cellStyle name="Currency 2 6 6" xfId="1186" xr:uid="{00000000-0005-0000-0000-000035030000}"/>
    <cellStyle name="Currency 2 6 6 2" xfId="3304" xr:uid="{00000000-0005-0000-0000-000034030000}"/>
    <cellStyle name="Currency 2 6 6 2 2" xfId="10212" xr:uid="{C898A741-9B7F-480A-896D-523BAB458D42}"/>
    <cellStyle name="Currency 2 6 6 3" xfId="8268" xr:uid="{A0561C25-CFC9-4D48-9F96-D0451961266E}"/>
    <cellStyle name="Currency 2 6 7" xfId="1348" xr:uid="{00000000-0005-0000-0000-000036030000}"/>
    <cellStyle name="Currency 2 6 7 2" xfId="3456" xr:uid="{00000000-0005-0000-0000-000035030000}"/>
    <cellStyle name="Currency 2 6 7 2 2" xfId="10364" xr:uid="{261928EC-AC06-4606-9823-6676A2F10E92}"/>
    <cellStyle name="Currency 2 6 7 3" xfId="8413" xr:uid="{CE1060AB-FD4B-474A-A616-B479EBF35F7A}"/>
    <cellStyle name="Currency 2 6 8" xfId="1453" xr:uid="{00000000-0005-0000-0000-000037030000}"/>
    <cellStyle name="Currency 2 6 8 2" xfId="3554" xr:uid="{00000000-0005-0000-0000-000036030000}"/>
    <cellStyle name="Currency 2 6 8 2 2" xfId="10460" xr:uid="{BC1410DB-A96C-4599-8746-1F8A136B5B6E}"/>
    <cellStyle name="Currency 2 6 9" xfId="1509" xr:uid="{00000000-0005-0000-0000-000038030000}"/>
    <cellStyle name="Currency 2 6 9 2" xfId="3610" xr:uid="{00000000-0005-0000-0000-000037030000}"/>
    <cellStyle name="Currency 2 6 9 2 2" xfId="10515" xr:uid="{E100C199-59E0-427D-8842-9C53F3990EE2}"/>
    <cellStyle name="Currency 2 7" xfId="230" xr:uid="{00000000-0005-0000-0000-000039030000}"/>
    <cellStyle name="Currency 2 7 2" xfId="2396" xr:uid="{00000000-0005-0000-0000-000038030000}"/>
    <cellStyle name="Currency 2 7 2 2" xfId="9305" xr:uid="{33349FEB-4779-4059-8539-9F24ED55D972}"/>
    <cellStyle name="Currency 2 7 3" xfId="7398" xr:uid="{AEAE8036-DC4D-4D8D-BB89-E1BA6A956775}"/>
    <cellStyle name="Currency 2 8" xfId="340" xr:uid="{00000000-0005-0000-0000-00003A030000}"/>
    <cellStyle name="Currency 2 8 2" xfId="2500" xr:uid="{00000000-0005-0000-0000-000039030000}"/>
    <cellStyle name="Currency 2 8 2 2" xfId="9409" xr:uid="{9276567C-2F1E-4E70-8EFD-4E7BB0AC1E96}"/>
    <cellStyle name="Currency 2 8 3" xfId="7503" xr:uid="{28324624-7C08-40EC-AC37-3955F4CE9F5B}"/>
    <cellStyle name="Currency 2 9" xfId="617" xr:uid="{00000000-0005-0000-0000-00003B030000}"/>
    <cellStyle name="Currency 2 9 2" xfId="2761" xr:uid="{00000000-0005-0000-0000-00003A030000}"/>
    <cellStyle name="Currency 2 9 2 2" xfId="9670" xr:uid="{95665E6A-1D17-4162-A4D0-EAE6879B834F}"/>
    <cellStyle name="Currency 2 9 3" xfId="7744" xr:uid="{780606C6-E0BA-45C7-B088-059F6C540336}"/>
    <cellStyle name="Currency 20" xfId="7239" xr:uid="{0B06E140-A83E-49D2-991C-2824CDA5B98F}"/>
    <cellStyle name="Currency 20 2" xfId="29929" xr:uid="{529E8158-5BF7-4A67-A6BF-8DAB2DB06E41}"/>
    <cellStyle name="Currency 21" xfId="23600" xr:uid="{67CF9620-1F05-41E2-8A4D-CFBC27936A35}"/>
    <cellStyle name="Currency 3" xfId="8" xr:uid="{00000000-0005-0000-0000-00003C030000}"/>
    <cellStyle name="Currency 3 2" xfId="22" xr:uid="{00000000-0005-0000-0000-00003D030000}"/>
    <cellStyle name="Currency 3 2 2" xfId="249" xr:uid="{00000000-0005-0000-0000-00003E030000}"/>
    <cellStyle name="Currency 3 2 2 2" xfId="2413" xr:uid="{00000000-0005-0000-0000-00003D030000}"/>
    <cellStyle name="Currency 3 2 2 2 2" xfId="9322" xr:uid="{439F1095-FE66-4F0C-A0AC-CC40BED667B1}"/>
    <cellStyle name="Currency 3 2 2 3" xfId="7417" xr:uid="{AF4C4EEB-9A37-42CB-8568-44447841A687}"/>
    <cellStyle name="Currency 3 2 3" xfId="284" xr:uid="{00000000-0005-0000-0000-00003F030000}"/>
    <cellStyle name="Currency 3 2 3 2" xfId="2448" xr:uid="{00000000-0005-0000-0000-00003E030000}"/>
    <cellStyle name="Currency 3 2 3 2 2" xfId="9357" xr:uid="{8D21DDAE-1E4F-4752-A5AF-3C60F195EA7D}"/>
    <cellStyle name="Currency 3 2 3 3" xfId="7452" xr:uid="{AE9E2BDF-1F92-4477-A542-8A18B66EC007}"/>
    <cellStyle name="Currency 3 2 4" xfId="637" xr:uid="{00000000-0005-0000-0000-000040030000}"/>
    <cellStyle name="Currency 3 2 4 2" xfId="2780" xr:uid="{00000000-0005-0000-0000-00003F030000}"/>
    <cellStyle name="Currency 3 2 4 2 2" xfId="9689" xr:uid="{5925EBCE-A4A4-40B4-8AA7-D033F9F0AE5C}"/>
    <cellStyle name="Currency 3 2 4 3" xfId="7764" xr:uid="{2741D505-B191-4D13-9DEC-47400D548C12}"/>
    <cellStyle name="Currency 3 2 5" xfId="756" xr:uid="{00000000-0005-0000-0000-000041030000}"/>
    <cellStyle name="Currency 3 2 5 2" xfId="2896" xr:uid="{00000000-0005-0000-0000-000040030000}"/>
    <cellStyle name="Currency 3 2 5 2 2" xfId="9805" xr:uid="{48A8A433-9221-441F-8EAF-866755B4DC0A}"/>
    <cellStyle name="Currency 3 2 5 3" xfId="7878" xr:uid="{8748D29F-64FD-4594-839D-77C8DEC16E08}"/>
    <cellStyle name="Currency 3 2 6" xfId="1000" xr:uid="{00000000-0005-0000-0000-000042030000}"/>
    <cellStyle name="Currency 3 2 6 2" xfId="3128" xr:uid="{00000000-0005-0000-0000-000041030000}"/>
    <cellStyle name="Currency 3 2 6 2 2" xfId="10037" xr:uid="{32C53513-1666-41C9-A200-1D934634BA4D}"/>
    <cellStyle name="Currency 3 2 6 3" xfId="8101" xr:uid="{222FF600-CA3E-47F4-976D-665A66E14356}"/>
    <cellStyle name="Currency 3 2 7" xfId="902" xr:uid="{00000000-0005-0000-0000-000043030000}"/>
    <cellStyle name="Currency 3 2 7 2" xfId="3031" xr:uid="{00000000-0005-0000-0000-000042030000}"/>
    <cellStyle name="Currency 3 2 7 2 2" xfId="9940" xr:uid="{42F91F49-2340-4943-BB4A-9455EC17EAEE}"/>
    <cellStyle name="Currency 3 2 7 3" xfId="8003" xr:uid="{8CA3BDB3-97EC-428C-A6BB-18F4CBD4742B}"/>
    <cellStyle name="Currency 3 3" xfId="238" xr:uid="{00000000-0005-0000-0000-000044030000}"/>
    <cellStyle name="Currency 3 3 2" xfId="2403" xr:uid="{00000000-0005-0000-0000-000043030000}"/>
    <cellStyle name="Currency 3 3 2 2" xfId="9312" xr:uid="{1283E6F6-C337-4CFF-B30C-16A501D9AE97}"/>
    <cellStyle name="Currency 3 3 3" xfId="7406" xr:uid="{AEF378E9-6546-461D-9283-D27F7C8D429A}"/>
    <cellStyle name="Currency 3 4" xfId="264" xr:uid="{00000000-0005-0000-0000-000045030000}"/>
    <cellStyle name="Currency 3 4 2" xfId="2428" xr:uid="{00000000-0005-0000-0000-000044030000}"/>
    <cellStyle name="Currency 3 4 2 2" xfId="9337" xr:uid="{39BCCF3E-6B74-44AF-A47F-80B47ED95193}"/>
    <cellStyle name="Currency 3 4 3" xfId="7432" xr:uid="{83312BF2-C766-4919-A925-B76892415B8F}"/>
    <cellStyle name="Currency 3 5" xfId="625" xr:uid="{00000000-0005-0000-0000-000046030000}"/>
    <cellStyle name="Currency 3 5 2" xfId="2768" xr:uid="{00000000-0005-0000-0000-000045030000}"/>
    <cellStyle name="Currency 3 5 2 2" xfId="9677" xr:uid="{2E395031-929D-4209-9C6F-DB52CEF2C116}"/>
    <cellStyle name="Currency 3 5 3" xfId="7752" xr:uid="{1465ACFF-3BA6-48DE-9087-0DCA4132D291}"/>
    <cellStyle name="Currency 3 6" xfId="805" xr:uid="{00000000-0005-0000-0000-000047030000}"/>
    <cellStyle name="Currency 3 6 2" xfId="2943" xr:uid="{00000000-0005-0000-0000-000046030000}"/>
    <cellStyle name="Currency 3 6 2 2" xfId="9852" xr:uid="{F398DC15-7B64-42F4-9ED7-2F0432DA9107}"/>
    <cellStyle name="Currency 3 6 3" xfId="7926" xr:uid="{D1B4A6CB-2909-4F05-8DEC-EBDB5CCFAB1A}"/>
    <cellStyle name="Currency 3 7" xfId="959" xr:uid="{00000000-0005-0000-0000-000048030000}"/>
    <cellStyle name="Currency 3 7 2" xfId="3088" xr:uid="{00000000-0005-0000-0000-000047030000}"/>
    <cellStyle name="Currency 3 7 2 2" xfId="9997" xr:uid="{453A99A5-45F5-40E7-8A79-B28888FEF288}"/>
    <cellStyle name="Currency 3 7 3" xfId="8060" xr:uid="{B4DBFB28-02F8-4BC8-B25A-D647D528DB30}"/>
    <cellStyle name="Currency 3 8" xfId="1168" xr:uid="{00000000-0005-0000-0000-000049030000}"/>
    <cellStyle name="Currency 3 8 2" xfId="3286" xr:uid="{00000000-0005-0000-0000-000048030000}"/>
    <cellStyle name="Currency 3 8 2 2" xfId="10194" xr:uid="{EAE8DCCE-34F7-4332-A19E-3E96E31FB01A}"/>
    <cellStyle name="Currency 3 8 3" xfId="8250" xr:uid="{37A9E1CA-A8CA-4770-B62D-092728722CAD}"/>
    <cellStyle name="Currency 4" xfId="9" xr:uid="{00000000-0005-0000-0000-00004A030000}"/>
    <cellStyle name="Currency 4 2" xfId="18" xr:uid="{00000000-0005-0000-0000-00004B030000}"/>
    <cellStyle name="Currency 4 2 2" xfId="39" xr:uid="{00000000-0005-0000-0000-00004C030000}"/>
    <cellStyle name="Currency 4 2 2 10" xfId="674" xr:uid="{00000000-0005-0000-0000-00004D030000}"/>
    <cellStyle name="Currency 4 2 2 10 2" xfId="2817" xr:uid="{00000000-0005-0000-0000-00004C030000}"/>
    <cellStyle name="Currency 4 2 2 10 2 2" xfId="9726" xr:uid="{3C3F1949-8FC6-4D95-A9FC-D23BAD271C9E}"/>
    <cellStyle name="Currency 4 2 2 10 3" xfId="7799" xr:uid="{9A1332C0-63AF-48BA-8A6D-EE6A8AF37AAC}"/>
    <cellStyle name="Currency 4 2 2 11" xfId="664" xr:uid="{00000000-0005-0000-0000-00004E030000}"/>
    <cellStyle name="Currency 4 2 2 11 2" xfId="2807" xr:uid="{00000000-0005-0000-0000-00004D030000}"/>
    <cellStyle name="Currency 4 2 2 11 2 2" xfId="9716" xr:uid="{486C8579-746A-4995-B53C-F3585EDF9DAA}"/>
    <cellStyle name="Currency 4 2 2 11 3" xfId="7789" xr:uid="{7CCCF354-8200-42D8-BB0C-3AA1D6E6A150}"/>
    <cellStyle name="Currency 4 2 2 12" xfId="672" xr:uid="{00000000-0005-0000-0000-00004F030000}"/>
    <cellStyle name="Currency 4 2 2 12 2" xfId="2815" xr:uid="{00000000-0005-0000-0000-00004E030000}"/>
    <cellStyle name="Currency 4 2 2 12 2 2" xfId="9724" xr:uid="{27A92F0D-9E5F-4EA3-8676-DEA118AB3D70}"/>
    <cellStyle name="Currency 4 2 2 12 3" xfId="7797" xr:uid="{6841EB95-3C9B-4E18-85E7-4C9C22207BC2}"/>
    <cellStyle name="Currency 4 2 2 2" xfId="120" xr:uid="{00000000-0005-0000-0000-000050030000}"/>
    <cellStyle name="Currency 4 2 2 2 2" xfId="326" xr:uid="{00000000-0005-0000-0000-000051030000}"/>
    <cellStyle name="Currency 4 2 2 2 2 2" xfId="2486" xr:uid="{00000000-0005-0000-0000-000050030000}"/>
    <cellStyle name="Currency 4 2 2 2 2 2 2" xfId="9395" xr:uid="{24D24BEA-D7C9-41AE-8787-958AAEE20642}"/>
    <cellStyle name="Currency 4 2 2 2 2 3" xfId="7489" xr:uid="{01790E4E-2D20-4EC0-BE04-199BCDEDF56C}"/>
    <cellStyle name="Currency 4 2 2 2 3" xfId="490" xr:uid="{00000000-0005-0000-0000-000052030000}"/>
    <cellStyle name="Currency 4 2 2 2 3 2" xfId="2641" xr:uid="{00000000-0005-0000-0000-000051030000}"/>
    <cellStyle name="Currency 4 2 2 2 3 2 2" xfId="9550" xr:uid="{A30FBFE0-390D-4CF7-B7DF-E1EA62720C1A}"/>
    <cellStyle name="Currency 4 2 2 2 3 3" xfId="7633" xr:uid="{9E7763DA-9998-472C-8E9F-7E7FA357F9E5}"/>
    <cellStyle name="Currency 4 2 2 2 4" xfId="716" xr:uid="{00000000-0005-0000-0000-000053030000}"/>
    <cellStyle name="Currency 4 2 2 2 4 2" xfId="2856" xr:uid="{00000000-0005-0000-0000-000052030000}"/>
    <cellStyle name="Currency 4 2 2 2 4 2 2" xfId="9765" xr:uid="{CE7ACD2B-F8DB-41ED-BCCD-17DEAF4E0F51}"/>
    <cellStyle name="Currency 4 2 2 2 4 3" xfId="7838" xr:uid="{4585D497-B34E-4840-8358-4AE6B081D049}"/>
    <cellStyle name="Currency 4 2 2 2 5" xfId="907" xr:uid="{00000000-0005-0000-0000-000054030000}"/>
    <cellStyle name="Currency 4 2 2 2 5 2" xfId="3036" xr:uid="{00000000-0005-0000-0000-000053030000}"/>
    <cellStyle name="Currency 4 2 2 2 5 2 2" xfId="9945" xr:uid="{1B26A5B7-5D55-49B3-BA01-E7918FE0A26E}"/>
    <cellStyle name="Currency 4 2 2 2 5 3" xfId="8008" xr:uid="{6A04FDBB-B9D6-4599-B231-AEC290DF3AD5}"/>
    <cellStyle name="Currency 4 2 2 2 6" xfId="1090" xr:uid="{00000000-0005-0000-0000-000055030000}"/>
    <cellStyle name="Currency 4 2 2 2 6 2" xfId="3208" xr:uid="{00000000-0005-0000-0000-000054030000}"/>
    <cellStyle name="Currency 4 2 2 2 6 2 2" xfId="10116" xr:uid="{E86600B0-382F-428F-9248-E90CA8DD6BF7}"/>
    <cellStyle name="Currency 4 2 2 2 6 3" xfId="8172" xr:uid="{543D9D51-36BE-4640-B6C3-35F956C3B8B5}"/>
    <cellStyle name="Currency 4 2 2 2 7" xfId="1266" xr:uid="{00000000-0005-0000-0000-000056030000}"/>
    <cellStyle name="Currency 4 2 2 2 7 2" xfId="3374" xr:uid="{00000000-0005-0000-0000-000055030000}"/>
    <cellStyle name="Currency 4 2 2 2 7 2 2" xfId="10282" xr:uid="{8EF28E32-D007-404E-A7BC-CDE594091622}"/>
    <cellStyle name="Currency 4 2 2 2 7 3" xfId="8332" xr:uid="{47A1AA18-CF72-4568-9588-783AE0A62DBA}"/>
    <cellStyle name="Currency 4 2 2 3" xfId="141" xr:uid="{00000000-0005-0000-0000-000057030000}"/>
    <cellStyle name="Currency 4 2 2 3 2" xfId="345" xr:uid="{00000000-0005-0000-0000-000058030000}"/>
    <cellStyle name="Currency 4 2 2 3 2 2" xfId="2505" xr:uid="{00000000-0005-0000-0000-000057030000}"/>
    <cellStyle name="Currency 4 2 2 3 2 2 2" xfId="9414" xr:uid="{B8966AE0-C802-4215-9D6F-305E9697567D}"/>
    <cellStyle name="Currency 4 2 2 3 2 3" xfId="7508" xr:uid="{8B4E0496-00FF-4292-A4B2-A4F1A1AF084A}"/>
    <cellStyle name="Currency 4 2 2 3 3" xfId="507" xr:uid="{00000000-0005-0000-0000-000059030000}"/>
    <cellStyle name="Currency 4 2 2 3 3 2" xfId="2658" xr:uid="{00000000-0005-0000-0000-000058030000}"/>
    <cellStyle name="Currency 4 2 2 3 3 2 2" xfId="9567" xr:uid="{E7598D0E-AB35-4672-962D-63BCABFDC9FC}"/>
    <cellStyle name="Currency 4 2 2 3 3 3" xfId="7650" xr:uid="{E403586E-0BBF-4744-A732-B5C644F98182}"/>
    <cellStyle name="Currency 4 2 2 3 4" xfId="735" xr:uid="{00000000-0005-0000-0000-00005A030000}"/>
    <cellStyle name="Currency 4 2 2 3 4 2" xfId="2875" xr:uid="{00000000-0005-0000-0000-000059030000}"/>
    <cellStyle name="Currency 4 2 2 3 4 2 2" xfId="9784" xr:uid="{FB67A34C-7929-42B4-A873-F27B7C771847}"/>
    <cellStyle name="Currency 4 2 2 3 4 3" xfId="7857" xr:uid="{EFCA2127-B9CB-4FC7-8D09-701F14421BC7}"/>
    <cellStyle name="Currency 4 2 2 3 5" xfId="926" xr:uid="{00000000-0005-0000-0000-00005B030000}"/>
    <cellStyle name="Currency 4 2 2 3 5 2" xfId="3055" xr:uid="{00000000-0005-0000-0000-00005A030000}"/>
    <cellStyle name="Currency 4 2 2 3 5 2 2" xfId="9964" xr:uid="{06F2DE15-4EDA-41F5-9998-45C48285FEBC}"/>
    <cellStyle name="Currency 4 2 2 3 5 3" xfId="8027" xr:uid="{FDFBDA9C-5FB8-49FC-8527-0B36B1DC4C0A}"/>
    <cellStyle name="Currency 4 2 2 3 6" xfId="1109" xr:uid="{00000000-0005-0000-0000-00005C030000}"/>
    <cellStyle name="Currency 4 2 2 3 6 2" xfId="3227" xr:uid="{00000000-0005-0000-0000-00005B030000}"/>
    <cellStyle name="Currency 4 2 2 3 6 2 2" xfId="10135" xr:uid="{0F43A626-CA0E-4E54-B437-606DB6A1C31A}"/>
    <cellStyle name="Currency 4 2 2 3 6 3" xfId="8191" xr:uid="{595833C4-0769-4AE5-8332-D245A5B9D39B}"/>
    <cellStyle name="Currency 4 2 2 3 7" xfId="1283" xr:uid="{00000000-0005-0000-0000-00005D030000}"/>
    <cellStyle name="Currency 4 2 2 3 7 2" xfId="3391" xr:uid="{00000000-0005-0000-0000-00005C030000}"/>
    <cellStyle name="Currency 4 2 2 3 7 2 2" xfId="10299" xr:uid="{71460F2D-3043-4C7B-AFC1-5B58E5089A4A}"/>
    <cellStyle name="Currency 4 2 2 3 7 3" xfId="8349" xr:uid="{CEEE1788-B5EA-40CC-8F06-FEE1E7A045D2}"/>
    <cellStyle name="Currency 4 2 2 4" xfId="162" xr:uid="{00000000-0005-0000-0000-00005E030000}"/>
    <cellStyle name="Currency 4 2 2 4 2" xfId="364" xr:uid="{00000000-0005-0000-0000-00005F030000}"/>
    <cellStyle name="Currency 4 2 2 4 2 2" xfId="2524" xr:uid="{00000000-0005-0000-0000-00005E030000}"/>
    <cellStyle name="Currency 4 2 2 4 2 2 2" xfId="9433" xr:uid="{16436B5F-ED9D-45AF-AFA7-8B720000D18C}"/>
    <cellStyle name="Currency 4 2 2 4 2 3" xfId="7527" xr:uid="{3C4B2DFF-B5BF-4C8C-9BA4-459044648D9B}"/>
    <cellStyle name="Currency 4 2 2 4 3" xfId="524" xr:uid="{00000000-0005-0000-0000-000060030000}"/>
    <cellStyle name="Currency 4 2 2 4 3 2" xfId="2675" xr:uid="{00000000-0005-0000-0000-00005F030000}"/>
    <cellStyle name="Currency 4 2 2 4 3 2 2" xfId="9584" xr:uid="{A6F3114E-C266-4A4C-B9CB-7778C2AD9F8A}"/>
    <cellStyle name="Currency 4 2 2 4 3 3" xfId="7667" xr:uid="{9568F054-A842-44C1-9336-BCF7F1F33305}"/>
    <cellStyle name="Currency 4 2 2 4 4" xfId="755" xr:uid="{00000000-0005-0000-0000-000061030000}"/>
    <cellStyle name="Currency 4 2 2 4 4 2" xfId="2895" xr:uid="{00000000-0005-0000-0000-000060030000}"/>
    <cellStyle name="Currency 4 2 2 4 4 2 2" xfId="9804" xr:uid="{1266BDF4-2A57-4E99-93E3-E5562A1FB4AA}"/>
    <cellStyle name="Currency 4 2 2 4 4 3" xfId="7877" xr:uid="{FC7B0DCB-8EA9-468B-BA57-B548C74F5288}"/>
    <cellStyle name="Currency 4 2 2 4 5" xfId="945" xr:uid="{00000000-0005-0000-0000-000062030000}"/>
    <cellStyle name="Currency 4 2 2 4 5 2" xfId="3074" xr:uid="{00000000-0005-0000-0000-000061030000}"/>
    <cellStyle name="Currency 4 2 2 4 5 2 2" xfId="9983" xr:uid="{6182D5CA-A69F-4B59-A484-4A203C9D8043}"/>
    <cellStyle name="Currency 4 2 2 4 5 3" xfId="8046" xr:uid="{B54D43BC-F084-4984-84FC-AE1F99B7032C}"/>
    <cellStyle name="Currency 4 2 2 4 6" xfId="1129" xr:uid="{00000000-0005-0000-0000-000063030000}"/>
    <cellStyle name="Currency 4 2 2 4 6 2" xfId="3247" xr:uid="{00000000-0005-0000-0000-000062030000}"/>
    <cellStyle name="Currency 4 2 2 4 6 2 2" xfId="10155" xr:uid="{2E34B012-16AD-4249-8196-A910FE0A6A26}"/>
    <cellStyle name="Currency 4 2 2 4 6 3" xfId="8211" xr:uid="{658C3C7C-D3C1-4950-94A7-D56637C635DD}"/>
    <cellStyle name="Currency 4 2 2 4 7" xfId="1300" xr:uid="{00000000-0005-0000-0000-000064030000}"/>
    <cellStyle name="Currency 4 2 2 4 7 2" xfId="3408" xr:uid="{00000000-0005-0000-0000-000063030000}"/>
    <cellStyle name="Currency 4 2 2 4 7 2 2" xfId="10316" xr:uid="{7BB89A03-5976-4F5E-A2F6-4168FDE3AAF7}"/>
    <cellStyle name="Currency 4 2 2 4 7 3" xfId="8366" xr:uid="{8D29501D-A927-4C54-B89D-3134F72B4B03}"/>
    <cellStyle name="Currency 4 2 2 5" xfId="183" xr:uid="{00000000-0005-0000-0000-000065030000}"/>
    <cellStyle name="Currency 4 2 2 5 2" xfId="383" xr:uid="{00000000-0005-0000-0000-000066030000}"/>
    <cellStyle name="Currency 4 2 2 5 2 2" xfId="2542" xr:uid="{00000000-0005-0000-0000-000065030000}"/>
    <cellStyle name="Currency 4 2 2 5 2 2 2" xfId="9451" xr:uid="{40DE7E43-B736-4FEF-A2E7-E02C23A92A6F}"/>
    <cellStyle name="Currency 4 2 2 5 2 3" xfId="7546" xr:uid="{52D9EFF7-6886-4852-8B3D-870E50F7A949}"/>
    <cellStyle name="Currency 4 2 2 5 3" xfId="541" xr:uid="{00000000-0005-0000-0000-000067030000}"/>
    <cellStyle name="Currency 4 2 2 5 3 2" xfId="2692" xr:uid="{00000000-0005-0000-0000-000066030000}"/>
    <cellStyle name="Currency 4 2 2 5 3 2 2" xfId="9601" xr:uid="{95786A82-5748-4EBF-95A5-A109321A8229}"/>
    <cellStyle name="Currency 4 2 2 5 3 3" xfId="7684" xr:uid="{71724AF8-C5E8-4E85-BBC1-1B122D706BE8}"/>
    <cellStyle name="Currency 4 2 2 5 4" xfId="775" xr:uid="{00000000-0005-0000-0000-000068030000}"/>
    <cellStyle name="Currency 4 2 2 5 4 2" xfId="2914" xr:uid="{00000000-0005-0000-0000-000067030000}"/>
    <cellStyle name="Currency 4 2 2 5 4 2 2" xfId="9823" xr:uid="{8FFC8BC3-354D-4515-A24A-C9466511FF67}"/>
    <cellStyle name="Currency 4 2 2 5 4 3" xfId="7897" xr:uid="{CFAF4036-608C-4A76-AD24-D1860E5E9DCA}"/>
    <cellStyle name="Currency 4 2 2 5 5" xfId="964" xr:uid="{00000000-0005-0000-0000-000069030000}"/>
    <cellStyle name="Currency 4 2 2 5 5 2" xfId="3093" xr:uid="{00000000-0005-0000-0000-000068030000}"/>
    <cellStyle name="Currency 4 2 2 5 5 2 2" xfId="10002" xr:uid="{A0DEA489-31A7-46AE-971C-140437905B71}"/>
    <cellStyle name="Currency 4 2 2 5 5 3" xfId="8065" xr:uid="{C113EF92-FEAE-4F2F-B90D-71AF0F3CD5FB}"/>
    <cellStyle name="Currency 4 2 2 5 6" xfId="1146" xr:uid="{00000000-0005-0000-0000-00006A030000}"/>
    <cellStyle name="Currency 4 2 2 5 6 2" xfId="3264" xr:uid="{00000000-0005-0000-0000-000069030000}"/>
    <cellStyle name="Currency 4 2 2 5 6 2 2" xfId="10172" xr:uid="{04233FFE-128B-44E6-9730-80C0D17EEF08}"/>
    <cellStyle name="Currency 4 2 2 5 6 3" xfId="8228" xr:uid="{648E2D7A-6B15-468C-A38A-DBECFD191898}"/>
    <cellStyle name="Currency 4 2 2 5 7" xfId="1317" xr:uid="{00000000-0005-0000-0000-00006B030000}"/>
    <cellStyle name="Currency 4 2 2 5 7 2" xfId="3425" xr:uid="{00000000-0005-0000-0000-00006A030000}"/>
    <cellStyle name="Currency 4 2 2 5 7 2 2" xfId="10333" xr:uid="{3A360A13-77BD-4F9B-B124-59F6141F0088}"/>
    <cellStyle name="Currency 4 2 2 5 7 3" xfId="8383" xr:uid="{071CFADC-C7C4-46C9-97CC-00F4B8C4A993}"/>
    <cellStyle name="Currency 4 2 2 6" xfId="204" xr:uid="{00000000-0005-0000-0000-00006C030000}"/>
    <cellStyle name="Currency 4 2 2 6 2" xfId="401" xr:uid="{00000000-0005-0000-0000-00006D030000}"/>
    <cellStyle name="Currency 4 2 2 6 2 2" xfId="2560" xr:uid="{00000000-0005-0000-0000-00006C030000}"/>
    <cellStyle name="Currency 4 2 2 6 2 2 2" xfId="9469" xr:uid="{956A55AE-2242-40C7-98D1-817079D25056}"/>
    <cellStyle name="Currency 4 2 2 6 2 3" xfId="7564" xr:uid="{93795E18-FA95-4C31-A520-40414AB12192}"/>
    <cellStyle name="Currency 4 2 2 6 3" xfId="558" xr:uid="{00000000-0005-0000-0000-00006E030000}"/>
    <cellStyle name="Currency 4 2 2 6 3 2" xfId="2709" xr:uid="{00000000-0005-0000-0000-00006D030000}"/>
    <cellStyle name="Currency 4 2 2 6 3 2 2" xfId="9618" xr:uid="{AE3A5E4C-4FEE-47A8-9ABA-116CED95AEAD}"/>
    <cellStyle name="Currency 4 2 2 6 3 3" xfId="7701" xr:uid="{60D2F25B-1D64-4E46-B159-6E477502E203}"/>
    <cellStyle name="Currency 4 2 2 6 4" xfId="795" xr:uid="{00000000-0005-0000-0000-00006F030000}"/>
    <cellStyle name="Currency 4 2 2 6 4 2" xfId="2934" xr:uid="{00000000-0005-0000-0000-00006E030000}"/>
    <cellStyle name="Currency 4 2 2 6 4 2 2" xfId="9843" xr:uid="{5BDD9EBC-91D4-46EF-A422-BFF02101F29D}"/>
    <cellStyle name="Currency 4 2 2 6 4 3" xfId="7917" xr:uid="{58269665-19C3-4CE1-BA60-6AF5A0FA6431}"/>
    <cellStyle name="Currency 4 2 2 6 5" xfId="983" xr:uid="{00000000-0005-0000-0000-000070030000}"/>
    <cellStyle name="Currency 4 2 2 6 5 2" xfId="3112" xr:uid="{00000000-0005-0000-0000-00006F030000}"/>
    <cellStyle name="Currency 4 2 2 6 5 2 2" xfId="10021" xr:uid="{18717BF7-8F74-4770-9119-74D50C9754B6}"/>
    <cellStyle name="Currency 4 2 2 6 5 3" xfId="8084" xr:uid="{058B35C0-53A3-42A8-A360-B0A6CD23B58C}"/>
    <cellStyle name="Currency 4 2 2 6 6" xfId="1166" xr:uid="{00000000-0005-0000-0000-000071030000}"/>
    <cellStyle name="Currency 4 2 2 6 6 2" xfId="3284" xr:uid="{00000000-0005-0000-0000-000070030000}"/>
    <cellStyle name="Currency 4 2 2 6 6 2 2" xfId="10192" xr:uid="{DE1AD993-F583-49AE-A91D-7E9CE8383D9C}"/>
    <cellStyle name="Currency 4 2 2 6 6 3" xfId="8248" xr:uid="{454360A0-24C9-45B7-8170-DA07F2216FF2}"/>
    <cellStyle name="Currency 4 2 2 6 7" xfId="1334" xr:uid="{00000000-0005-0000-0000-000072030000}"/>
    <cellStyle name="Currency 4 2 2 6 7 2" xfId="3442" xr:uid="{00000000-0005-0000-0000-000071030000}"/>
    <cellStyle name="Currency 4 2 2 6 7 2 2" xfId="10350" xr:uid="{AC8B0517-E0AB-404F-8A77-FA82442F81F6}"/>
    <cellStyle name="Currency 4 2 2 6 7 3" xfId="8400" xr:uid="{EA193F1D-2FF8-4409-A589-7E9F62750D68}"/>
    <cellStyle name="Currency 4 2 2 7" xfId="263" xr:uid="{00000000-0005-0000-0000-000073030000}"/>
    <cellStyle name="Currency 4 2 2 7 2" xfId="2427" xr:uid="{00000000-0005-0000-0000-000072030000}"/>
    <cellStyle name="Currency 4 2 2 7 2 2" xfId="9336" xr:uid="{EC21B56B-B258-4E00-9055-3CDE08A5D306}"/>
    <cellStyle name="Currency 4 2 2 7 3" xfId="7431" xr:uid="{5048DFE1-E751-40A0-BA13-17A98A7DA4ED}"/>
    <cellStyle name="Currency 4 2 2 8" xfId="272" xr:uid="{00000000-0005-0000-0000-000074030000}"/>
    <cellStyle name="Currency 4 2 2 8 2" xfId="2436" xr:uid="{00000000-0005-0000-0000-000073030000}"/>
    <cellStyle name="Currency 4 2 2 8 2 2" xfId="9345" xr:uid="{1F56C16B-E6B1-4A96-AC73-9BC69FA74E66}"/>
    <cellStyle name="Currency 4 2 2 8 3" xfId="7440" xr:uid="{9160EB51-9590-4F01-9A8B-81B544595314}"/>
    <cellStyle name="Currency 4 2 2 9" xfId="653" xr:uid="{00000000-0005-0000-0000-000075030000}"/>
    <cellStyle name="Currency 4 2 2 9 2" xfId="2796" xr:uid="{00000000-0005-0000-0000-000074030000}"/>
    <cellStyle name="Currency 4 2 2 9 2 2" xfId="9705" xr:uid="{76A11153-A8E8-4ACB-8DD4-9AC1054483A2}"/>
    <cellStyle name="Currency 4 2 2 9 3" xfId="7778" xr:uid="{BB5EAE3C-EC21-40F1-8DC8-18E6C822D551}"/>
    <cellStyle name="Currency 4 2 3" xfId="246" xr:uid="{00000000-0005-0000-0000-000076030000}"/>
    <cellStyle name="Currency 4 2 3 2" xfId="2410" xr:uid="{00000000-0005-0000-0000-000075030000}"/>
    <cellStyle name="Currency 4 2 3 2 2" xfId="9319" xr:uid="{EFD81E5E-BBAC-48EF-A741-10B71EEFF9E3}"/>
    <cellStyle name="Currency 4 2 3 3" xfId="7414" xr:uid="{B4CAD267-5707-4E7B-A9F2-593DD9CA8062}"/>
    <cellStyle name="Currency 4 2 4" xfId="287" xr:uid="{00000000-0005-0000-0000-000077030000}"/>
    <cellStyle name="Currency 4 2 4 2" xfId="2451" xr:uid="{00000000-0005-0000-0000-000076030000}"/>
    <cellStyle name="Currency 4 2 4 2 2" xfId="9360" xr:uid="{BA59700C-8566-4C37-A68C-83D471D6023D}"/>
    <cellStyle name="Currency 4 2 4 3" xfId="7455" xr:uid="{50FF868B-6D7D-4030-8381-F7085A191F4C}"/>
    <cellStyle name="Currency 4 2 5" xfId="633" xr:uid="{00000000-0005-0000-0000-000078030000}"/>
    <cellStyle name="Currency 4 2 5 2" xfId="2776" xr:uid="{00000000-0005-0000-0000-000077030000}"/>
    <cellStyle name="Currency 4 2 5 2 2" xfId="9685" xr:uid="{67528725-D59F-43B3-8C7A-E0B8D9B123F2}"/>
    <cellStyle name="Currency 4 2 5 3" xfId="7760" xr:uid="{E6315054-3F2D-4F42-9DCE-8895D5845B3C}"/>
    <cellStyle name="Currency 4 2 6" xfId="710" xr:uid="{00000000-0005-0000-0000-000079030000}"/>
    <cellStyle name="Currency 4 2 6 2" xfId="2850" xr:uid="{00000000-0005-0000-0000-000078030000}"/>
    <cellStyle name="Currency 4 2 6 2 2" xfId="9759" xr:uid="{B92A410E-31B7-47DB-8256-1FA03EE310B3}"/>
    <cellStyle name="Currency 4 2 6 3" xfId="7832" xr:uid="{9B632A83-66E4-40FA-9112-F2B2A53AA31A}"/>
    <cellStyle name="Currency 4 2 7" xfId="673" xr:uid="{00000000-0005-0000-0000-00007A030000}"/>
    <cellStyle name="Currency 4 2 7 2" xfId="2816" xr:uid="{00000000-0005-0000-0000-000079030000}"/>
    <cellStyle name="Currency 4 2 7 2 2" xfId="9725" xr:uid="{AE247754-930D-4C4E-A86D-8205443D99D9}"/>
    <cellStyle name="Currency 4 2 7 3" xfId="7798" xr:uid="{A22CCA60-8A5A-49C2-87EC-B49A31A5F914}"/>
    <cellStyle name="Currency 4 2 8" xfId="1173" xr:uid="{00000000-0005-0000-0000-00007B030000}"/>
    <cellStyle name="Currency 4 2 8 2" xfId="3291" xr:uid="{00000000-0005-0000-0000-00007A030000}"/>
    <cellStyle name="Currency 4 2 8 2 2" xfId="10199" xr:uid="{5E5CBD71-306A-4F90-A308-FD3C3C913B90}"/>
    <cellStyle name="Currency 4 2 8 3" xfId="8255" xr:uid="{312D142E-B232-4005-95EB-94FCFCFAD31D}"/>
    <cellStyle name="Currency 4 3" xfId="32" xr:uid="{00000000-0005-0000-0000-00007C030000}"/>
    <cellStyle name="Currency 4 3 10" xfId="679" xr:uid="{00000000-0005-0000-0000-00007D030000}"/>
    <cellStyle name="Currency 4 3 10 2" xfId="2822" xr:uid="{00000000-0005-0000-0000-00007C030000}"/>
    <cellStyle name="Currency 4 3 10 2 2" xfId="9731" xr:uid="{D5581CD3-BE6C-46B2-8F36-AD2F4769B79C}"/>
    <cellStyle name="Currency 4 3 10 3" xfId="7804" xr:uid="{DF4E5ECA-770D-463D-AEBD-723D7CF30A5F}"/>
    <cellStyle name="Currency 4 3 11" xfId="717" xr:uid="{00000000-0005-0000-0000-00007E030000}"/>
    <cellStyle name="Currency 4 3 11 2" xfId="2857" xr:uid="{00000000-0005-0000-0000-00007D030000}"/>
    <cellStyle name="Currency 4 3 11 2 2" xfId="9766" xr:uid="{DBD9C048-9134-4E18-BF45-0174280C6510}"/>
    <cellStyle name="Currency 4 3 11 3" xfId="7839" xr:uid="{CB9FAF71-3586-4870-8F92-52859358E9E9}"/>
    <cellStyle name="Currency 4 3 12" xfId="1110" xr:uid="{00000000-0005-0000-0000-00007F030000}"/>
    <cellStyle name="Currency 4 3 12 2" xfId="3228" xr:uid="{00000000-0005-0000-0000-00007E030000}"/>
    <cellStyle name="Currency 4 3 12 2 2" xfId="10136" xr:uid="{056D625C-8B91-4D25-9EA7-C48DC096C9DC}"/>
    <cellStyle name="Currency 4 3 12 3" xfId="8192" xr:uid="{170D351F-1025-4313-BD4E-8901B140C15C}"/>
    <cellStyle name="Currency 4 3 2" xfId="113" xr:uid="{00000000-0005-0000-0000-000080030000}"/>
    <cellStyle name="Currency 4 3 2 2" xfId="320" xr:uid="{00000000-0005-0000-0000-000081030000}"/>
    <cellStyle name="Currency 4 3 2 2 2" xfId="2481" xr:uid="{00000000-0005-0000-0000-000080030000}"/>
    <cellStyle name="Currency 4 3 2 2 2 2" xfId="9390" xr:uid="{030B8A97-C371-4D82-8731-B5062F18022F}"/>
    <cellStyle name="Currency 4 3 2 2 3" xfId="7483" xr:uid="{65AA39C0-FD68-4725-99E4-D358BA5137E7}"/>
    <cellStyle name="Currency 4 3 2 3" xfId="485" xr:uid="{00000000-0005-0000-0000-000082030000}"/>
    <cellStyle name="Currency 4 3 2 3 2" xfId="2636" xr:uid="{00000000-0005-0000-0000-000081030000}"/>
    <cellStyle name="Currency 4 3 2 3 2 2" xfId="9545" xr:uid="{D0C7C3BA-E335-4503-9701-DBFBC366777A}"/>
    <cellStyle name="Currency 4 3 2 3 3" xfId="7628" xr:uid="{CAC96CAD-E087-4196-AEC1-0A3DE7E78533}"/>
    <cellStyle name="Currency 4 3 2 4" xfId="709" xr:uid="{00000000-0005-0000-0000-000083030000}"/>
    <cellStyle name="Currency 4 3 2 4 2" xfId="2849" xr:uid="{00000000-0005-0000-0000-000082030000}"/>
    <cellStyle name="Currency 4 3 2 4 2 2" xfId="9758" xr:uid="{0408DA63-4F2B-40E4-B539-3A3EC2407CC0}"/>
    <cellStyle name="Currency 4 3 2 4 3" xfId="7831" xr:uid="{635AF6D5-2E73-4BE0-8124-0CD03814F3F8}"/>
    <cellStyle name="Currency 4 3 2 5" xfId="901" xr:uid="{00000000-0005-0000-0000-000084030000}"/>
    <cellStyle name="Currency 4 3 2 5 2" xfId="3030" xr:uid="{00000000-0005-0000-0000-000083030000}"/>
    <cellStyle name="Currency 4 3 2 5 2 2" xfId="9939" xr:uid="{E1BC8F5F-075A-4BD9-BC1E-0120666DC620}"/>
    <cellStyle name="Currency 4 3 2 5 3" xfId="8002" xr:uid="{B8814EC1-64A1-4AAB-880C-48D1146A5F38}"/>
    <cellStyle name="Currency 4 3 2 6" xfId="1083" xr:uid="{00000000-0005-0000-0000-000085030000}"/>
    <cellStyle name="Currency 4 3 2 6 2" xfId="3201" xr:uid="{00000000-0005-0000-0000-000084030000}"/>
    <cellStyle name="Currency 4 3 2 6 2 2" xfId="10109" xr:uid="{985A9B78-9AAD-427B-8B97-145F77B6B77A}"/>
    <cellStyle name="Currency 4 3 2 6 3" xfId="8165" xr:uid="{0351BF9B-C6A4-4C8D-A953-F35767E43F58}"/>
    <cellStyle name="Currency 4 3 2 7" xfId="1261" xr:uid="{00000000-0005-0000-0000-000086030000}"/>
    <cellStyle name="Currency 4 3 2 7 2" xfId="3369" xr:uid="{00000000-0005-0000-0000-000085030000}"/>
    <cellStyle name="Currency 4 3 2 7 2 2" xfId="10277" xr:uid="{BD86EA9A-A259-4D1F-8F56-8EA30DA90AA8}"/>
    <cellStyle name="Currency 4 3 2 7 3" xfId="8327" xr:uid="{CCB6207C-4AE6-4A83-BC89-4943AF775213}"/>
    <cellStyle name="Currency 4 3 3" xfId="134" xr:uid="{00000000-0005-0000-0000-000087030000}"/>
    <cellStyle name="Currency 4 3 3 2" xfId="339" xr:uid="{00000000-0005-0000-0000-000088030000}"/>
    <cellStyle name="Currency 4 3 3 2 2" xfId="2499" xr:uid="{00000000-0005-0000-0000-000087030000}"/>
    <cellStyle name="Currency 4 3 3 2 2 2" xfId="9408" xr:uid="{0BCEF7C6-8D70-4BDD-B5A1-AA6E8954DED0}"/>
    <cellStyle name="Currency 4 3 3 2 3" xfId="7502" xr:uid="{9FA48461-6563-4720-A9D2-5DD8E0734C4E}"/>
    <cellStyle name="Currency 4 3 3 3" xfId="502" xr:uid="{00000000-0005-0000-0000-000089030000}"/>
    <cellStyle name="Currency 4 3 3 3 2" xfId="2653" xr:uid="{00000000-0005-0000-0000-000088030000}"/>
    <cellStyle name="Currency 4 3 3 3 2 2" xfId="9562" xr:uid="{D3775FB6-DD3A-42B4-9A6C-D270AB5FC0B4}"/>
    <cellStyle name="Currency 4 3 3 3 3" xfId="7645" xr:uid="{83782E2D-D825-439C-8CCE-69389F96CEC4}"/>
    <cellStyle name="Currency 4 3 3 4" xfId="729" xr:uid="{00000000-0005-0000-0000-00008A030000}"/>
    <cellStyle name="Currency 4 3 3 4 2" xfId="2869" xr:uid="{00000000-0005-0000-0000-000089030000}"/>
    <cellStyle name="Currency 4 3 3 4 2 2" xfId="9778" xr:uid="{08DD12EB-4870-48ED-9A36-40576FAD9525}"/>
    <cellStyle name="Currency 4 3 3 4 3" xfId="7851" xr:uid="{2C64C211-A82A-4EC2-8E1F-028EC1062990}"/>
    <cellStyle name="Currency 4 3 3 5" xfId="920" xr:uid="{00000000-0005-0000-0000-00008B030000}"/>
    <cellStyle name="Currency 4 3 3 5 2" xfId="3049" xr:uid="{00000000-0005-0000-0000-00008A030000}"/>
    <cellStyle name="Currency 4 3 3 5 2 2" xfId="9958" xr:uid="{3C3F87FA-9D4E-42DD-BA78-2D84C9946E64}"/>
    <cellStyle name="Currency 4 3 3 5 3" xfId="8021" xr:uid="{B00577E1-9188-4DC7-A3BF-5AF28D9995F2}"/>
    <cellStyle name="Currency 4 3 3 6" xfId="1102" xr:uid="{00000000-0005-0000-0000-00008C030000}"/>
    <cellStyle name="Currency 4 3 3 6 2" xfId="3220" xr:uid="{00000000-0005-0000-0000-00008B030000}"/>
    <cellStyle name="Currency 4 3 3 6 2 2" xfId="10128" xr:uid="{ADE9DC4F-7C46-4A0D-A265-C5A3B2E2A71C}"/>
    <cellStyle name="Currency 4 3 3 6 3" xfId="8184" xr:uid="{320D5744-5527-490A-8070-1F7F11A89414}"/>
    <cellStyle name="Currency 4 3 3 7" xfId="1278" xr:uid="{00000000-0005-0000-0000-00008D030000}"/>
    <cellStyle name="Currency 4 3 3 7 2" xfId="3386" xr:uid="{00000000-0005-0000-0000-00008C030000}"/>
    <cellStyle name="Currency 4 3 3 7 2 2" xfId="10294" xr:uid="{E0579530-0CE1-4132-8A28-C916DF85F654}"/>
    <cellStyle name="Currency 4 3 3 7 3" xfId="8344" xr:uid="{05986234-B811-4BCD-A991-C0CBBE8D6790}"/>
    <cellStyle name="Currency 4 3 4" xfId="155" xr:uid="{00000000-0005-0000-0000-00008E030000}"/>
    <cellStyle name="Currency 4 3 4 2" xfId="358" xr:uid="{00000000-0005-0000-0000-00008F030000}"/>
    <cellStyle name="Currency 4 3 4 2 2" xfId="2518" xr:uid="{00000000-0005-0000-0000-00008E030000}"/>
    <cellStyle name="Currency 4 3 4 2 2 2" xfId="9427" xr:uid="{47506948-EAFA-4A2E-BD67-4B61975CD8F1}"/>
    <cellStyle name="Currency 4 3 4 2 3" xfId="7521" xr:uid="{BA2AD6DD-DC50-4ADD-86FB-FD257E7D6180}"/>
    <cellStyle name="Currency 4 3 4 3" xfId="519" xr:uid="{00000000-0005-0000-0000-000090030000}"/>
    <cellStyle name="Currency 4 3 4 3 2" xfId="2670" xr:uid="{00000000-0005-0000-0000-00008F030000}"/>
    <cellStyle name="Currency 4 3 4 3 2 2" xfId="9579" xr:uid="{F2186F95-31DE-4754-BB57-4735BF032BC7}"/>
    <cellStyle name="Currency 4 3 4 3 3" xfId="7662" xr:uid="{26181D7C-105B-4075-95E3-9144C9DF7730}"/>
    <cellStyle name="Currency 4 3 4 4" xfId="749" xr:uid="{00000000-0005-0000-0000-000091030000}"/>
    <cellStyle name="Currency 4 3 4 4 2" xfId="2889" xr:uid="{00000000-0005-0000-0000-000090030000}"/>
    <cellStyle name="Currency 4 3 4 4 2 2" xfId="9798" xr:uid="{0EDF98DB-D584-4821-90FD-CE6156F23B62}"/>
    <cellStyle name="Currency 4 3 4 4 3" xfId="7871" xr:uid="{239A3B04-979D-403C-9D6D-1B689AFD40C4}"/>
    <cellStyle name="Currency 4 3 4 5" xfId="939" xr:uid="{00000000-0005-0000-0000-000092030000}"/>
    <cellStyle name="Currency 4 3 4 5 2" xfId="3068" xr:uid="{00000000-0005-0000-0000-000091030000}"/>
    <cellStyle name="Currency 4 3 4 5 2 2" xfId="9977" xr:uid="{29DABEAD-BB39-4D8B-952B-11E802D3DA8F}"/>
    <cellStyle name="Currency 4 3 4 5 3" xfId="8040" xr:uid="{DE96972E-CCC1-4876-861D-EED44FAA1020}"/>
    <cellStyle name="Currency 4 3 4 6" xfId="1122" xr:uid="{00000000-0005-0000-0000-000093030000}"/>
    <cellStyle name="Currency 4 3 4 6 2" xfId="3240" xr:uid="{00000000-0005-0000-0000-000092030000}"/>
    <cellStyle name="Currency 4 3 4 6 2 2" xfId="10148" xr:uid="{2BD97BE5-B709-46D8-AC83-3602E4064F00}"/>
    <cellStyle name="Currency 4 3 4 6 3" xfId="8204" xr:uid="{84AB0FB9-E3CD-4054-BFFC-96F5E48582B0}"/>
    <cellStyle name="Currency 4 3 4 7" xfId="1295" xr:uid="{00000000-0005-0000-0000-000094030000}"/>
    <cellStyle name="Currency 4 3 4 7 2" xfId="3403" xr:uid="{00000000-0005-0000-0000-000093030000}"/>
    <cellStyle name="Currency 4 3 4 7 2 2" xfId="10311" xr:uid="{25E3BF3C-0204-4FA1-AD11-DD7582DFB1C6}"/>
    <cellStyle name="Currency 4 3 4 7 3" xfId="8361" xr:uid="{4815E9F5-BBA0-4796-A6DA-1EDA9A1FB706}"/>
    <cellStyle name="Currency 4 3 5" xfId="176" xr:uid="{00000000-0005-0000-0000-000095030000}"/>
    <cellStyle name="Currency 4 3 5 2" xfId="377" xr:uid="{00000000-0005-0000-0000-000096030000}"/>
    <cellStyle name="Currency 4 3 5 2 2" xfId="2537" xr:uid="{00000000-0005-0000-0000-000095030000}"/>
    <cellStyle name="Currency 4 3 5 2 2 2" xfId="9446" xr:uid="{9F83BCE4-9FBC-4A54-AC54-930B854D62EE}"/>
    <cellStyle name="Currency 4 3 5 2 3" xfId="7540" xr:uid="{B61933CE-60F4-485A-ACDD-D0C176DDA131}"/>
    <cellStyle name="Currency 4 3 5 3" xfId="536" xr:uid="{00000000-0005-0000-0000-000097030000}"/>
    <cellStyle name="Currency 4 3 5 3 2" xfId="2687" xr:uid="{00000000-0005-0000-0000-000096030000}"/>
    <cellStyle name="Currency 4 3 5 3 2 2" xfId="9596" xr:uid="{E1CF6D24-E774-444A-B697-3F46E7E9865C}"/>
    <cellStyle name="Currency 4 3 5 3 3" xfId="7679" xr:uid="{10B7F784-9225-4B28-8BD0-472F99461B44}"/>
    <cellStyle name="Currency 4 3 5 4" xfId="769" xr:uid="{00000000-0005-0000-0000-000098030000}"/>
    <cellStyle name="Currency 4 3 5 4 2" xfId="2908" xr:uid="{00000000-0005-0000-0000-000097030000}"/>
    <cellStyle name="Currency 4 3 5 4 2 2" xfId="9817" xr:uid="{CCE68E54-968F-4AED-9136-677C34ED83A4}"/>
    <cellStyle name="Currency 4 3 5 4 3" xfId="7891" xr:uid="{F2DCD1CB-0C46-4B1E-8AA5-124C4FA8A034}"/>
    <cellStyle name="Currency 4 3 5 5" xfId="958" xr:uid="{00000000-0005-0000-0000-000099030000}"/>
    <cellStyle name="Currency 4 3 5 5 2" xfId="3087" xr:uid="{00000000-0005-0000-0000-000098030000}"/>
    <cellStyle name="Currency 4 3 5 5 2 2" xfId="9996" xr:uid="{C1AA4F0D-E8FC-44EF-8665-052134D4C387}"/>
    <cellStyle name="Currency 4 3 5 5 3" xfId="8059" xr:uid="{17C3589D-31ED-46E7-A2DC-7DD84A9D5DF6}"/>
    <cellStyle name="Currency 4 3 5 6" xfId="1141" xr:uid="{00000000-0005-0000-0000-00009A030000}"/>
    <cellStyle name="Currency 4 3 5 6 2" xfId="3259" xr:uid="{00000000-0005-0000-0000-000099030000}"/>
    <cellStyle name="Currency 4 3 5 6 2 2" xfId="10167" xr:uid="{5E09E967-6B0D-451D-82CF-3FF21A79303F}"/>
    <cellStyle name="Currency 4 3 5 6 3" xfId="8223" xr:uid="{9394DBC3-9648-4ADF-95E7-4A1F92B7DA3D}"/>
    <cellStyle name="Currency 4 3 5 7" xfId="1312" xr:uid="{00000000-0005-0000-0000-00009B030000}"/>
    <cellStyle name="Currency 4 3 5 7 2" xfId="3420" xr:uid="{00000000-0005-0000-0000-00009A030000}"/>
    <cellStyle name="Currency 4 3 5 7 2 2" xfId="10328" xr:uid="{B1AC2209-0BAD-4128-A83D-D87BFE2A4067}"/>
    <cellStyle name="Currency 4 3 5 7 3" xfId="8378" xr:uid="{03F633B0-63E2-4C06-AF3E-FF20585D3C19}"/>
    <cellStyle name="Currency 4 3 6" xfId="197" xr:uid="{00000000-0005-0000-0000-00009C030000}"/>
    <cellStyle name="Currency 4 3 6 2" xfId="396" xr:uid="{00000000-0005-0000-0000-00009D030000}"/>
    <cellStyle name="Currency 4 3 6 2 2" xfId="2555" xr:uid="{00000000-0005-0000-0000-00009C030000}"/>
    <cellStyle name="Currency 4 3 6 2 2 2" xfId="9464" xr:uid="{1B315559-4CD0-4938-932B-3550C8EB39DD}"/>
    <cellStyle name="Currency 4 3 6 2 3" xfId="7559" xr:uid="{BAD17BEF-8828-45CC-80EC-DF7FF1422A53}"/>
    <cellStyle name="Currency 4 3 6 3" xfId="553" xr:uid="{00000000-0005-0000-0000-00009E030000}"/>
    <cellStyle name="Currency 4 3 6 3 2" xfId="2704" xr:uid="{00000000-0005-0000-0000-00009D030000}"/>
    <cellStyle name="Currency 4 3 6 3 2 2" xfId="9613" xr:uid="{9623714C-82EE-471C-A1EA-CAA4C74B1B89}"/>
    <cellStyle name="Currency 4 3 6 3 3" xfId="7696" xr:uid="{FE6CF197-BE21-45E4-B221-E7FF5FCA53FE}"/>
    <cellStyle name="Currency 4 3 6 4" xfId="789" xr:uid="{00000000-0005-0000-0000-00009F030000}"/>
    <cellStyle name="Currency 4 3 6 4 2" xfId="2928" xr:uid="{00000000-0005-0000-0000-00009E030000}"/>
    <cellStyle name="Currency 4 3 6 4 2 2" xfId="9837" xr:uid="{637FC155-3A40-479C-9B76-DAE46954CCF3}"/>
    <cellStyle name="Currency 4 3 6 4 3" xfId="7911" xr:uid="{B8C378F6-0658-4042-A02B-515A09D69C0A}"/>
    <cellStyle name="Currency 4 3 6 5" xfId="977" xr:uid="{00000000-0005-0000-0000-0000A0030000}"/>
    <cellStyle name="Currency 4 3 6 5 2" xfId="3106" xr:uid="{00000000-0005-0000-0000-00009F030000}"/>
    <cellStyle name="Currency 4 3 6 5 2 2" xfId="10015" xr:uid="{BB93AFA0-D20A-466F-A1D4-39EDE671438A}"/>
    <cellStyle name="Currency 4 3 6 5 3" xfId="8078" xr:uid="{33F7FADE-EC02-4545-A273-A4C7C268EF72}"/>
    <cellStyle name="Currency 4 3 6 6" xfId="1160" xr:uid="{00000000-0005-0000-0000-0000A1030000}"/>
    <cellStyle name="Currency 4 3 6 6 2" xfId="3278" xr:uid="{00000000-0005-0000-0000-0000A0030000}"/>
    <cellStyle name="Currency 4 3 6 6 2 2" xfId="10186" xr:uid="{2BE302DE-2082-4ED4-9AF6-A0D41A201881}"/>
    <cellStyle name="Currency 4 3 6 6 3" xfId="8242" xr:uid="{242B26B5-0E80-4FBC-9812-6E0F912BF7B7}"/>
    <cellStyle name="Currency 4 3 6 7" xfId="1329" xr:uid="{00000000-0005-0000-0000-0000A2030000}"/>
    <cellStyle name="Currency 4 3 6 7 2" xfId="3437" xr:uid="{00000000-0005-0000-0000-0000A1030000}"/>
    <cellStyle name="Currency 4 3 6 7 2 2" xfId="10345" xr:uid="{71C83F21-46DF-439D-BCC7-59B38B37D488}"/>
    <cellStyle name="Currency 4 3 6 7 3" xfId="8395" xr:uid="{0B214C4E-CA9F-4C9F-8D96-28D4E20B1986}"/>
    <cellStyle name="Currency 4 3 7" xfId="257" xr:uid="{00000000-0005-0000-0000-0000A3030000}"/>
    <cellStyle name="Currency 4 3 7 2" xfId="2421" xr:uid="{00000000-0005-0000-0000-0000A2030000}"/>
    <cellStyle name="Currency 4 3 7 2 2" xfId="9330" xr:uid="{BDFA4AE9-3595-4037-A922-B416DE4CEA24}"/>
    <cellStyle name="Currency 4 3 7 3" xfId="7425" xr:uid="{C81ABD46-2732-40CA-B606-ED9B92F18BFD}"/>
    <cellStyle name="Currency 4 3 8" xfId="277" xr:uid="{00000000-0005-0000-0000-0000A4030000}"/>
    <cellStyle name="Currency 4 3 8 2" xfId="2441" xr:uid="{00000000-0005-0000-0000-0000A3030000}"/>
    <cellStyle name="Currency 4 3 8 2 2" xfId="9350" xr:uid="{D9D592CB-9F59-4A7A-BF8D-A4EDAAA7143F}"/>
    <cellStyle name="Currency 4 3 8 3" xfId="7445" xr:uid="{EE734B24-F61E-4E1B-ADE8-B6154093F4B4}"/>
    <cellStyle name="Currency 4 3 9" xfId="646" xr:uid="{00000000-0005-0000-0000-0000A5030000}"/>
    <cellStyle name="Currency 4 3 9 2" xfId="2789" xr:uid="{00000000-0005-0000-0000-0000A4030000}"/>
    <cellStyle name="Currency 4 3 9 2 2" xfId="9698" xr:uid="{BA7B3E36-EA72-4748-99C3-676365743372}"/>
    <cellStyle name="Currency 4 3 9 3" xfId="7772" xr:uid="{B02167FD-5527-43F7-837A-008E85163DE3}"/>
    <cellStyle name="Currency 4 4" xfId="239" xr:uid="{00000000-0005-0000-0000-0000A6030000}"/>
    <cellStyle name="Currency 4 4 2" xfId="2404" xr:uid="{00000000-0005-0000-0000-0000A5030000}"/>
    <cellStyle name="Currency 4 4 2 2" xfId="9313" xr:uid="{B9A8702E-B3C6-4860-92C7-09A7B250FFF2}"/>
    <cellStyle name="Currency 4 4 3" xfId="7407" xr:uid="{8E583B34-E34E-49CB-9902-547C2F5C5130}"/>
    <cellStyle name="Currency 4 5" xfId="247" xr:uid="{00000000-0005-0000-0000-0000A7030000}"/>
    <cellStyle name="Currency 4 5 2" xfId="2411" xr:uid="{00000000-0005-0000-0000-0000A6030000}"/>
    <cellStyle name="Currency 4 5 2 2" xfId="9320" xr:uid="{2F7C4F14-7130-4841-ADED-C07801E4D319}"/>
    <cellStyle name="Currency 4 5 3" xfId="7415" xr:uid="{BDD0B60A-3442-4B52-8430-430E84ADE78B}"/>
    <cellStyle name="Currency 4 6" xfId="626" xr:uid="{00000000-0005-0000-0000-0000A8030000}"/>
    <cellStyle name="Currency 4 6 2" xfId="2769" xr:uid="{00000000-0005-0000-0000-0000A7030000}"/>
    <cellStyle name="Currency 4 6 2 2" xfId="9678" xr:uid="{8355F1A7-5916-4298-8FDF-E3E79BB6C6A0}"/>
    <cellStyle name="Currency 4 6 3" xfId="7753" xr:uid="{250BAD2A-A388-4EFA-93FF-945ADF557AF8}"/>
    <cellStyle name="Currency 4 7" xfId="802" xr:uid="{00000000-0005-0000-0000-0000A9030000}"/>
    <cellStyle name="Currency 4 7 2" xfId="2940" xr:uid="{00000000-0005-0000-0000-0000A8030000}"/>
    <cellStyle name="Currency 4 7 2 2" xfId="9849" xr:uid="{895383F1-F726-4EA8-AFCA-A5F13263037A}"/>
    <cellStyle name="Currency 4 7 3" xfId="7923" xr:uid="{A942E2E8-A86D-4C4C-8DD2-87924AB2BB39}"/>
    <cellStyle name="Currency 4 8" xfId="940" xr:uid="{00000000-0005-0000-0000-0000AA030000}"/>
    <cellStyle name="Currency 4 8 2" xfId="3069" xr:uid="{00000000-0005-0000-0000-0000A9030000}"/>
    <cellStyle name="Currency 4 8 2 2" xfId="9978" xr:uid="{EA29A028-E56E-4A2E-828A-13A82EF11A81}"/>
    <cellStyle name="Currency 4 8 3" xfId="8041" xr:uid="{A2FA0A8C-AC61-4224-BF20-0DD42092B992}"/>
    <cellStyle name="Currency 4 9" xfId="1148" xr:uid="{00000000-0005-0000-0000-0000AB030000}"/>
    <cellStyle name="Currency 4 9 2" xfId="3266" xr:uid="{00000000-0005-0000-0000-0000AA030000}"/>
    <cellStyle name="Currency 4 9 2 2" xfId="10174" xr:uid="{78527656-A329-4770-A4C4-0834287B92F0}"/>
    <cellStyle name="Currency 4 9 3" xfId="8230" xr:uid="{8F2A8455-18DF-47EC-AFCA-DF44E9933779}"/>
    <cellStyle name="Currency 5" xfId="28" xr:uid="{00000000-0005-0000-0000-0000AC030000}"/>
    <cellStyle name="Currency 5 10" xfId="638" xr:uid="{00000000-0005-0000-0000-0000AD030000}"/>
    <cellStyle name="Currency 5 10 2" xfId="2781" xr:uid="{00000000-0005-0000-0000-0000AC030000}"/>
    <cellStyle name="Currency 5 10 2 2" xfId="9690" xr:uid="{FCEE2479-8EB4-4024-9AD4-BFB43647378B}"/>
    <cellStyle name="Currency 5 10 3" xfId="7765" xr:uid="{8046F7BD-8D54-4BC5-8010-15B3EB3587CF}"/>
    <cellStyle name="Currency 5 11" xfId="866" xr:uid="{00000000-0005-0000-0000-0000AE030000}"/>
    <cellStyle name="Currency 5 11 2" xfId="2997" xr:uid="{00000000-0005-0000-0000-0000AD030000}"/>
    <cellStyle name="Currency 5 11 2 2" xfId="9906" xr:uid="{D6FCA119-97E5-444A-B7DA-BCA9DA05CA92}"/>
    <cellStyle name="Currency 5 11 3" xfId="7970" xr:uid="{1C9D0012-82A8-40B1-9F48-84B5BB51F098}"/>
    <cellStyle name="Currency 5 12" xfId="863" xr:uid="{00000000-0005-0000-0000-0000AF030000}"/>
    <cellStyle name="Currency 5 12 2" xfId="2994" xr:uid="{00000000-0005-0000-0000-0000AE030000}"/>
    <cellStyle name="Currency 5 12 2 2" xfId="9903" xr:uid="{86B19503-0CF0-4CCC-931F-AF7D3041DD67}"/>
    <cellStyle name="Currency 5 12 3" xfId="7967" xr:uid="{687FE3B3-A6EB-4AD8-9051-D236787942FA}"/>
    <cellStyle name="Currency 5 2" xfId="109" xr:uid="{00000000-0005-0000-0000-0000B0030000}"/>
    <cellStyle name="Currency 5 2 2" xfId="316" xr:uid="{00000000-0005-0000-0000-0000B1030000}"/>
    <cellStyle name="Currency 5 2 2 2" xfId="2477" xr:uid="{00000000-0005-0000-0000-0000B0030000}"/>
    <cellStyle name="Currency 5 2 2 2 2" xfId="9386" xr:uid="{92DA7EE8-EA68-40AE-93D5-C7B18D081C83}"/>
    <cellStyle name="Currency 5 2 2 3" xfId="7479" xr:uid="{016563EC-6EB8-4539-9A0A-64873FBC35CC}"/>
    <cellStyle name="Currency 5 2 3" xfId="481" xr:uid="{00000000-0005-0000-0000-0000B2030000}"/>
    <cellStyle name="Currency 5 2 3 2" xfId="2632" xr:uid="{00000000-0005-0000-0000-0000B1030000}"/>
    <cellStyle name="Currency 5 2 3 2 2" xfId="9541" xr:uid="{E939A36C-CD10-460D-A256-8E0F979CCEEA}"/>
    <cellStyle name="Currency 5 2 3 3" xfId="7624" xr:uid="{42195FC0-E155-434F-9AA5-A3B1230D5F22}"/>
    <cellStyle name="Currency 5 2 4" xfId="705" xr:uid="{00000000-0005-0000-0000-0000B3030000}"/>
    <cellStyle name="Currency 5 2 4 2" xfId="2845" xr:uid="{00000000-0005-0000-0000-0000B2030000}"/>
    <cellStyle name="Currency 5 2 4 2 2" xfId="9754" xr:uid="{3F5837D2-2D54-4AC5-8B5C-FC859C1545A2}"/>
    <cellStyle name="Currency 5 2 4 3" xfId="7827" xr:uid="{1464C4F3-DFCC-4100-9392-DC8045498CE6}"/>
    <cellStyle name="Currency 5 2 5" xfId="897" xr:uid="{00000000-0005-0000-0000-0000B4030000}"/>
    <cellStyle name="Currency 5 2 5 2" xfId="3026" xr:uid="{00000000-0005-0000-0000-0000B3030000}"/>
    <cellStyle name="Currency 5 2 5 2 2" xfId="9935" xr:uid="{65FBFFE4-E237-4260-B4B9-8C58A3AEF41A}"/>
    <cellStyle name="Currency 5 2 5 3" xfId="7998" xr:uid="{F72EAB92-6AA9-4D84-A8F4-4A5C2DC726C3}"/>
    <cellStyle name="Currency 5 2 6" xfId="1079" xr:uid="{00000000-0005-0000-0000-0000B5030000}"/>
    <cellStyle name="Currency 5 2 6 2" xfId="3197" xr:uid="{00000000-0005-0000-0000-0000B4030000}"/>
    <cellStyle name="Currency 5 2 6 2 2" xfId="10105" xr:uid="{899EFBD6-1F6B-4461-BF4D-DD2B7E6A370E}"/>
    <cellStyle name="Currency 5 2 6 3" xfId="8161" xr:uid="{9D840D2B-E869-4D65-B8ED-AB492772B364}"/>
    <cellStyle name="Currency 5 2 7" xfId="1257" xr:uid="{00000000-0005-0000-0000-0000B6030000}"/>
    <cellStyle name="Currency 5 2 7 2" xfId="3365" xr:uid="{00000000-0005-0000-0000-0000B5030000}"/>
    <cellStyle name="Currency 5 2 7 2 2" xfId="10273" xr:uid="{FCDC40A9-A3FB-4F7D-99B6-C43E90D883E2}"/>
    <cellStyle name="Currency 5 2 7 3" xfId="8323" xr:uid="{02AB40A5-C0D4-4B07-9F16-415FE9954EBB}"/>
    <cellStyle name="Currency 5 3" xfId="130" xr:uid="{00000000-0005-0000-0000-0000B7030000}"/>
    <cellStyle name="Currency 5 3 2" xfId="335" xr:uid="{00000000-0005-0000-0000-0000B8030000}"/>
    <cellStyle name="Currency 5 3 2 2" xfId="2495" xr:uid="{00000000-0005-0000-0000-0000B7030000}"/>
    <cellStyle name="Currency 5 3 2 2 2" xfId="9404" xr:uid="{CD35F5F0-D04A-49BD-881B-370BBF00310F}"/>
    <cellStyle name="Currency 5 3 2 3" xfId="7498" xr:uid="{231BF8DC-6244-434F-B022-DF9E87734595}"/>
    <cellStyle name="Currency 5 3 3" xfId="498" xr:uid="{00000000-0005-0000-0000-0000B9030000}"/>
    <cellStyle name="Currency 5 3 3 2" xfId="2649" xr:uid="{00000000-0005-0000-0000-0000B8030000}"/>
    <cellStyle name="Currency 5 3 3 2 2" xfId="9558" xr:uid="{62C3882C-0493-4720-AB5B-DEC2748A9751}"/>
    <cellStyle name="Currency 5 3 3 3" xfId="7641" xr:uid="{7C3C1D94-5E31-4ADD-AD63-407C07CCCC1D}"/>
    <cellStyle name="Currency 5 3 4" xfId="725" xr:uid="{00000000-0005-0000-0000-0000BA030000}"/>
    <cellStyle name="Currency 5 3 4 2" xfId="2865" xr:uid="{00000000-0005-0000-0000-0000B9030000}"/>
    <cellStyle name="Currency 5 3 4 2 2" xfId="9774" xr:uid="{C9308AC0-ECF2-4090-8DD0-5E4F4F44FCCA}"/>
    <cellStyle name="Currency 5 3 4 3" xfId="7847" xr:uid="{75E6238B-FDA7-4F18-BC05-06813501BF93}"/>
    <cellStyle name="Currency 5 3 5" xfId="916" xr:uid="{00000000-0005-0000-0000-0000BB030000}"/>
    <cellStyle name="Currency 5 3 5 2" xfId="3045" xr:uid="{00000000-0005-0000-0000-0000BA030000}"/>
    <cellStyle name="Currency 5 3 5 2 2" xfId="9954" xr:uid="{2275EC8E-7D71-4160-91BE-431A989F6E8F}"/>
    <cellStyle name="Currency 5 3 5 3" xfId="8017" xr:uid="{A39F76EE-1047-416C-9213-85FDF69BE59A}"/>
    <cellStyle name="Currency 5 3 6" xfId="1098" xr:uid="{00000000-0005-0000-0000-0000BC030000}"/>
    <cellStyle name="Currency 5 3 6 2" xfId="3216" xr:uid="{00000000-0005-0000-0000-0000BB030000}"/>
    <cellStyle name="Currency 5 3 6 2 2" xfId="10124" xr:uid="{683C19EE-0068-4CEC-ACE9-229081851D65}"/>
    <cellStyle name="Currency 5 3 6 3" xfId="8180" xr:uid="{372F5DB4-4651-4DEE-B401-F5576FB30487}"/>
    <cellStyle name="Currency 5 3 7" xfId="1274" xr:uid="{00000000-0005-0000-0000-0000BD030000}"/>
    <cellStyle name="Currency 5 3 7 2" xfId="3382" xr:uid="{00000000-0005-0000-0000-0000BC030000}"/>
    <cellStyle name="Currency 5 3 7 2 2" xfId="10290" xr:uid="{1966458C-CE93-4EDE-A93D-10DC8C9CB51F}"/>
    <cellStyle name="Currency 5 3 7 3" xfId="8340" xr:uid="{210CB2F1-62F0-4A73-8CE2-510C3E7C2191}"/>
    <cellStyle name="Currency 5 4" xfId="151" xr:uid="{00000000-0005-0000-0000-0000BE030000}"/>
    <cellStyle name="Currency 5 4 2" xfId="354" xr:uid="{00000000-0005-0000-0000-0000BF030000}"/>
    <cellStyle name="Currency 5 4 2 2" xfId="2514" xr:uid="{00000000-0005-0000-0000-0000BE030000}"/>
    <cellStyle name="Currency 5 4 2 2 2" xfId="9423" xr:uid="{1891FBFA-E076-4B8D-B95E-5DA4F735195B}"/>
    <cellStyle name="Currency 5 4 2 3" xfId="7517" xr:uid="{ADF9E194-9C7E-4333-84B6-1691608E9655}"/>
    <cellStyle name="Currency 5 4 3" xfId="515" xr:uid="{00000000-0005-0000-0000-0000C0030000}"/>
    <cellStyle name="Currency 5 4 3 2" xfId="2666" xr:uid="{00000000-0005-0000-0000-0000BF030000}"/>
    <cellStyle name="Currency 5 4 3 2 2" xfId="9575" xr:uid="{EFC0E4FE-5343-472F-9C66-E41CA9BDB19D}"/>
    <cellStyle name="Currency 5 4 3 3" xfId="7658" xr:uid="{528442F8-B141-48F3-9A54-EEB7DF651B27}"/>
    <cellStyle name="Currency 5 4 4" xfId="745" xr:uid="{00000000-0005-0000-0000-0000C1030000}"/>
    <cellStyle name="Currency 5 4 4 2" xfId="2885" xr:uid="{00000000-0005-0000-0000-0000C0030000}"/>
    <cellStyle name="Currency 5 4 4 2 2" xfId="9794" xr:uid="{30690D54-ED3D-42B2-BF28-B7D459C63833}"/>
    <cellStyle name="Currency 5 4 4 3" xfId="7867" xr:uid="{7457FC52-A0B5-4014-8526-13AEF9D44E0C}"/>
    <cellStyle name="Currency 5 4 5" xfId="935" xr:uid="{00000000-0005-0000-0000-0000C2030000}"/>
    <cellStyle name="Currency 5 4 5 2" xfId="3064" xr:uid="{00000000-0005-0000-0000-0000C1030000}"/>
    <cellStyle name="Currency 5 4 5 2 2" xfId="9973" xr:uid="{7EBE6759-70BC-49DF-AE5C-3C0E978F0894}"/>
    <cellStyle name="Currency 5 4 5 3" xfId="8036" xr:uid="{D80431F3-1C7D-454A-B2C9-7091EDBDE51D}"/>
    <cellStyle name="Currency 5 4 6" xfId="1118" xr:uid="{00000000-0005-0000-0000-0000C3030000}"/>
    <cellStyle name="Currency 5 4 6 2" xfId="3236" xr:uid="{00000000-0005-0000-0000-0000C2030000}"/>
    <cellStyle name="Currency 5 4 6 2 2" xfId="10144" xr:uid="{C103F097-E688-4960-84E9-1FD1157F7EF3}"/>
    <cellStyle name="Currency 5 4 6 3" xfId="8200" xr:uid="{75C2B4F5-F09A-4EF8-BED2-A26A35333689}"/>
    <cellStyle name="Currency 5 4 7" xfId="1291" xr:uid="{00000000-0005-0000-0000-0000C4030000}"/>
    <cellStyle name="Currency 5 4 7 2" xfId="3399" xr:uid="{00000000-0005-0000-0000-0000C3030000}"/>
    <cellStyle name="Currency 5 4 7 2 2" xfId="10307" xr:uid="{2CECD51F-2ECC-4B18-A385-BCE3AFF3BD14}"/>
    <cellStyle name="Currency 5 4 7 3" xfId="8357" xr:uid="{6C9B0C0C-5210-4142-A5E6-CE23A77C9AA7}"/>
    <cellStyle name="Currency 5 5" xfId="172" xr:uid="{00000000-0005-0000-0000-0000C5030000}"/>
    <cellStyle name="Currency 5 5 2" xfId="373" xr:uid="{00000000-0005-0000-0000-0000C6030000}"/>
    <cellStyle name="Currency 5 5 2 2" xfId="2533" xr:uid="{00000000-0005-0000-0000-0000C5030000}"/>
    <cellStyle name="Currency 5 5 2 2 2" xfId="9442" xr:uid="{CD02032A-B910-43C2-B66F-3BA41FD917CF}"/>
    <cellStyle name="Currency 5 5 2 3" xfId="7536" xr:uid="{104ED829-109A-49B9-BFB3-2207B2016926}"/>
    <cellStyle name="Currency 5 5 3" xfId="532" xr:uid="{00000000-0005-0000-0000-0000C7030000}"/>
    <cellStyle name="Currency 5 5 3 2" xfId="2683" xr:uid="{00000000-0005-0000-0000-0000C6030000}"/>
    <cellStyle name="Currency 5 5 3 2 2" xfId="9592" xr:uid="{B514AE6C-A8D3-4DF0-BBA3-E0571925A2ED}"/>
    <cellStyle name="Currency 5 5 3 3" xfId="7675" xr:uid="{8BA089E3-B65D-4BFF-9DA7-52BED7EF8DE6}"/>
    <cellStyle name="Currency 5 5 4" xfId="765" xr:uid="{00000000-0005-0000-0000-0000C8030000}"/>
    <cellStyle name="Currency 5 5 4 2" xfId="2904" xr:uid="{00000000-0005-0000-0000-0000C7030000}"/>
    <cellStyle name="Currency 5 5 4 2 2" xfId="9813" xr:uid="{683E6933-B699-4728-8FC4-3DA45691AD8F}"/>
    <cellStyle name="Currency 5 5 4 3" xfId="7887" xr:uid="{7E855F41-8B4E-41D7-AB5B-E1DE1BED3934}"/>
    <cellStyle name="Currency 5 5 5" xfId="954" xr:uid="{00000000-0005-0000-0000-0000C9030000}"/>
    <cellStyle name="Currency 5 5 5 2" xfId="3083" xr:uid="{00000000-0005-0000-0000-0000C8030000}"/>
    <cellStyle name="Currency 5 5 5 2 2" xfId="9992" xr:uid="{079240B2-5FBB-44A5-979F-A0A8250ECA53}"/>
    <cellStyle name="Currency 5 5 5 3" xfId="8055" xr:uid="{39B2F5EC-B689-4D02-82C1-3222FED54C2C}"/>
    <cellStyle name="Currency 5 5 6" xfId="1137" xr:uid="{00000000-0005-0000-0000-0000CA030000}"/>
    <cellStyle name="Currency 5 5 6 2" xfId="3255" xr:uid="{00000000-0005-0000-0000-0000C9030000}"/>
    <cellStyle name="Currency 5 5 6 2 2" xfId="10163" xr:uid="{63E4A386-B126-4A60-AA7B-AA5F5AE1498C}"/>
    <cellStyle name="Currency 5 5 6 3" xfId="8219" xr:uid="{3A84949C-721F-40BE-BE63-A35A95BE0BBB}"/>
    <cellStyle name="Currency 5 5 7" xfId="1308" xr:uid="{00000000-0005-0000-0000-0000CB030000}"/>
    <cellStyle name="Currency 5 5 7 2" xfId="3416" xr:uid="{00000000-0005-0000-0000-0000CA030000}"/>
    <cellStyle name="Currency 5 5 7 2 2" xfId="10324" xr:uid="{DF281B43-316C-4EBD-BB71-61832C58F052}"/>
    <cellStyle name="Currency 5 5 7 3" xfId="8374" xr:uid="{6A8FD08B-A857-49EF-BB5C-C2108B95BECB}"/>
    <cellStyle name="Currency 5 6" xfId="193" xr:uid="{00000000-0005-0000-0000-0000CC030000}"/>
    <cellStyle name="Currency 5 6 2" xfId="392" xr:uid="{00000000-0005-0000-0000-0000CD030000}"/>
    <cellStyle name="Currency 5 6 2 2" xfId="2551" xr:uid="{00000000-0005-0000-0000-0000CC030000}"/>
    <cellStyle name="Currency 5 6 2 2 2" xfId="9460" xr:uid="{22C61F1E-17F5-41A7-A16C-473A895B08D9}"/>
    <cellStyle name="Currency 5 6 2 3" xfId="7555" xr:uid="{2EC5A66B-A327-4266-A9D3-E79310B91B01}"/>
    <cellStyle name="Currency 5 6 3" xfId="549" xr:uid="{00000000-0005-0000-0000-0000CE030000}"/>
    <cellStyle name="Currency 5 6 3 2" xfId="2700" xr:uid="{00000000-0005-0000-0000-0000CD030000}"/>
    <cellStyle name="Currency 5 6 3 2 2" xfId="9609" xr:uid="{9188BAD3-7E65-422C-A259-ADC10A926A9D}"/>
    <cellStyle name="Currency 5 6 3 3" xfId="7692" xr:uid="{8C6D1009-4E11-4A5F-A151-CB990249F3B6}"/>
    <cellStyle name="Currency 5 6 4" xfId="785" xr:uid="{00000000-0005-0000-0000-0000CF030000}"/>
    <cellStyle name="Currency 5 6 4 2" xfId="2924" xr:uid="{00000000-0005-0000-0000-0000CE030000}"/>
    <cellStyle name="Currency 5 6 4 2 2" xfId="9833" xr:uid="{685121A1-B1CA-425E-8A41-CBAB823B0179}"/>
    <cellStyle name="Currency 5 6 4 3" xfId="7907" xr:uid="{5BBC825C-CB71-4AAB-A878-2ECC985F262D}"/>
    <cellStyle name="Currency 5 6 5" xfId="973" xr:uid="{00000000-0005-0000-0000-0000D0030000}"/>
    <cellStyle name="Currency 5 6 5 2" xfId="3102" xr:uid="{00000000-0005-0000-0000-0000CF030000}"/>
    <cellStyle name="Currency 5 6 5 2 2" xfId="10011" xr:uid="{0A279F45-079D-4ED0-987C-9D96B54BC936}"/>
    <cellStyle name="Currency 5 6 5 3" xfId="8074" xr:uid="{D4622466-A809-435B-834C-C74F0E4196A8}"/>
    <cellStyle name="Currency 5 6 6" xfId="1156" xr:uid="{00000000-0005-0000-0000-0000D1030000}"/>
    <cellStyle name="Currency 5 6 6 2" xfId="3274" xr:uid="{00000000-0005-0000-0000-0000D0030000}"/>
    <cellStyle name="Currency 5 6 6 2 2" xfId="10182" xr:uid="{D1009F13-4AF8-40EA-A9C6-8D40D7296C6F}"/>
    <cellStyle name="Currency 5 6 6 3" xfId="8238" xr:uid="{97C4E65C-F48B-493B-BC33-A9F2CCC06E66}"/>
    <cellStyle name="Currency 5 6 7" xfId="1325" xr:uid="{00000000-0005-0000-0000-0000D2030000}"/>
    <cellStyle name="Currency 5 6 7 2" xfId="3433" xr:uid="{00000000-0005-0000-0000-0000D1030000}"/>
    <cellStyle name="Currency 5 6 7 2 2" xfId="10341" xr:uid="{F376EF7B-1991-4832-8638-5EC42069EE80}"/>
    <cellStyle name="Currency 5 6 7 3" xfId="8391" xr:uid="{1AB2F3C9-C0C8-4DAF-84B1-27759E9B20C1}"/>
    <cellStyle name="Currency 5 7" xfId="253" xr:uid="{00000000-0005-0000-0000-0000D3030000}"/>
    <cellStyle name="Currency 5 7 2" xfId="2417" xr:uid="{00000000-0005-0000-0000-0000D2030000}"/>
    <cellStyle name="Currency 5 7 2 2" xfId="9326" xr:uid="{182CD677-862B-488B-9240-F114A438A910}"/>
    <cellStyle name="Currency 5 7 3" xfId="7421" xr:uid="{18F7E1FE-9A30-4576-A175-DD4575F2EB19}"/>
    <cellStyle name="Currency 5 8" xfId="280" xr:uid="{00000000-0005-0000-0000-0000D4030000}"/>
    <cellStyle name="Currency 5 8 2" xfId="2444" xr:uid="{00000000-0005-0000-0000-0000D3030000}"/>
    <cellStyle name="Currency 5 8 2 2" xfId="9353" xr:uid="{CA93B0D2-EB62-40EA-90A4-B78324645078}"/>
    <cellStyle name="Currency 5 8 3" xfId="7448" xr:uid="{4F05C20C-C20E-49D1-9698-70B472DA12DC}"/>
    <cellStyle name="Currency 5 9" xfId="642" xr:uid="{00000000-0005-0000-0000-0000D5030000}"/>
    <cellStyle name="Currency 5 9 2" xfId="2785" xr:uid="{00000000-0005-0000-0000-0000D4030000}"/>
    <cellStyle name="Currency 5 9 2 2" xfId="9694" xr:uid="{58D5A02A-B430-4E8E-8D55-5FD82F9272DB}"/>
    <cellStyle name="Currency 5 9 3" xfId="7769" xr:uid="{429822F9-052B-4A3C-8936-415599B1C36B}"/>
    <cellStyle name="Currency 6" xfId="43" xr:uid="{00000000-0005-0000-0000-0000D6030000}"/>
    <cellStyle name="Currency 6 10" xfId="620" xr:uid="{00000000-0005-0000-0000-0000D7030000}"/>
    <cellStyle name="Currency 6 10 2" xfId="1748" xr:uid="{00000000-0005-0000-0000-0000D8030000}"/>
    <cellStyle name="Currency 6 10 2 2" xfId="3846" xr:uid="{00000000-0005-0000-0000-0000D7030000}"/>
    <cellStyle name="Currency 6 10 2 2 2" xfId="10750" xr:uid="{74412099-7004-44F0-87E3-0F3AE6530261}"/>
    <cellStyle name="Currency 6 10 2 2 2 2" xfId="33236" xr:uid="{20419929-E086-4EA2-A642-37DEA96A63BC}"/>
    <cellStyle name="Currency 6 10 2 2 3" xfId="27046" xr:uid="{83A19CF7-A30F-4216-9038-B87A09E481A1}"/>
    <cellStyle name="Currency 6 10 2 3" xfId="8751" xr:uid="{025EC12D-FA9E-4F1A-99D1-FD55F98C93F9}"/>
    <cellStyle name="Currency 6 10 2 3 2" xfId="31334" xr:uid="{0EC0A7DB-364D-4FFF-B519-3ABAD1ED17EF}"/>
    <cellStyle name="Currency 6 10 2 4" xfId="25157" xr:uid="{768BA8C5-5D28-4A33-9376-F70613A08F7A}"/>
    <cellStyle name="Currency 6 10 3" xfId="2763" xr:uid="{00000000-0005-0000-0000-0000D6030000}"/>
    <cellStyle name="Currency 6 10 3 2" xfId="9672" xr:uid="{14E2CE64-9AA7-46CA-B579-1B73757FD2B5}"/>
    <cellStyle name="Currency 6 10 3 2 2" xfId="32219" xr:uid="{76820795-844D-4DBC-A7D2-D2D0703C2643}"/>
    <cellStyle name="Currency 6 10 3 3" xfId="26069" xr:uid="{D9737019-5145-418C-8490-FEDDE3D2C7D1}"/>
    <cellStyle name="Currency 6 10 4" xfId="7747" xr:uid="{DFD4A572-8586-439C-B76F-48FA55D0E3AB}"/>
    <cellStyle name="Currency 6 10 4 2" xfId="30396" xr:uid="{728DCC52-F7A3-46CB-98E7-8006D6DF8088}"/>
    <cellStyle name="Currency 6 10 5" xfId="24137" xr:uid="{A610E846-ED05-40BD-B376-045EDD122713}"/>
    <cellStyle name="Currency 6 11" xfId="666" xr:uid="{00000000-0005-0000-0000-0000D9030000}"/>
    <cellStyle name="Currency 6 11 2" xfId="1753" xr:uid="{00000000-0005-0000-0000-0000DA030000}"/>
    <cellStyle name="Currency 6 11 2 2" xfId="3851" xr:uid="{00000000-0005-0000-0000-0000D9030000}"/>
    <cellStyle name="Currency 6 11 2 2 2" xfId="10755" xr:uid="{70933896-990C-4B58-93DF-EC1FBDD6B563}"/>
    <cellStyle name="Currency 6 11 2 2 2 2" xfId="33241" xr:uid="{7873C132-0C16-4358-891D-23F4E741DA94}"/>
    <cellStyle name="Currency 6 11 2 2 3" xfId="27051" xr:uid="{FDBD1CD8-220B-4A40-982B-3681FF16946B}"/>
    <cellStyle name="Currency 6 11 2 3" xfId="8756" xr:uid="{0192ABB0-D5A7-4B07-9ADF-5BA3FD7F9B64}"/>
    <cellStyle name="Currency 6 11 2 3 2" xfId="31339" xr:uid="{EAEEBA45-C394-43F4-BCF7-677BA1EFF1F3}"/>
    <cellStyle name="Currency 6 11 2 4" xfId="25162" xr:uid="{1DACBCD9-48FB-4FE1-A274-1931B38E54CB}"/>
    <cellStyle name="Currency 6 11 3" xfId="2809" xr:uid="{00000000-0005-0000-0000-0000D8030000}"/>
    <cellStyle name="Currency 6 11 3 2" xfId="9718" xr:uid="{06339024-940A-4064-B581-FA486E4F2D4E}"/>
    <cellStyle name="Currency 6 11 3 2 2" xfId="32259" xr:uid="{99789DFD-9A83-4E3F-A008-00D445C155C8}"/>
    <cellStyle name="Currency 6 11 3 3" xfId="26107" xr:uid="{91545543-BB18-444E-8E84-CB301C906358}"/>
    <cellStyle name="Currency 6 11 4" xfId="7791" xr:uid="{4153A31E-6EA0-4AB9-99AF-1C329DA8DAC6}"/>
    <cellStyle name="Currency 6 11 4 2" xfId="30429" xr:uid="{13885628-152E-45C3-8585-A6B49ADE72CF}"/>
    <cellStyle name="Currency 6 11 5" xfId="24179" xr:uid="{56F7D615-9911-4869-B046-07617CACE2E2}"/>
    <cellStyle name="Currency 6 12" xfId="1050" xr:uid="{00000000-0005-0000-0000-0000DB030000}"/>
    <cellStyle name="Currency 6 12 2" xfId="1940" xr:uid="{00000000-0005-0000-0000-0000DC030000}"/>
    <cellStyle name="Currency 6 12 2 2" xfId="4037" xr:uid="{00000000-0005-0000-0000-0000DB030000}"/>
    <cellStyle name="Currency 6 12 2 2 2" xfId="10941" xr:uid="{6440722F-DB0C-413C-95ED-890DB61AEEEA}"/>
    <cellStyle name="Currency 6 12 2 2 2 2" xfId="33427" xr:uid="{BED087A3-07D1-4433-A37A-A3EADD401EB6}"/>
    <cellStyle name="Currency 6 12 2 2 3" xfId="27222" xr:uid="{EDF7428F-8739-4ACA-AFB9-BB7BCD6A9BD8}"/>
    <cellStyle name="Currency 6 12 2 3" xfId="8901" xr:uid="{7AE43E1C-7430-45B3-92E6-4832B245D90A}"/>
    <cellStyle name="Currency 6 12 2 3 2" xfId="31480" xr:uid="{32A4EB95-338D-4A3F-9121-0F7BCDA7F795}"/>
    <cellStyle name="Currency 6 12 2 4" xfId="25327" xr:uid="{A67414D0-C59A-4374-82E3-2259DD6C237E}"/>
    <cellStyle name="Currency 6 12 3" xfId="3171" xr:uid="{00000000-0005-0000-0000-0000DA030000}"/>
    <cellStyle name="Currency 6 12 3 2" xfId="10080" xr:uid="{16A3A928-0C94-40BE-8E26-838D283D9B09}"/>
    <cellStyle name="Currency 6 12 3 2 2" xfId="32587" xr:uid="{0868D624-F4C7-437B-92A1-C4AC1E90D6A2}"/>
    <cellStyle name="Currency 6 12 3 3" xfId="26421" xr:uid="{9B71FEFB-CE1D-46CB-81E2-83ECDB5FD848}"/>
    <cellStyle name="Currency 6 12 4" xfId="8136" xr:uid="{88C7034C-E0FB-464C-AEAE-956BA4FDE359}"/>
    <cellStyle name="Currency 6 12 4 2" xfId="30748" xr:uid="{10FC53BB-F7EC-4814-AEC3-9E82A492E7C6}"/>
    <cellStyle name="Currency 6 12 5" xfId="24519" xr:uid="{CF343B74-B2C2-411F-82AF-CEC40E706839}"/>
    <cellStyle name="Currency 6 13" xfId="1425" xr:uid="{00000000-0005-0000-0000-0000DD030000}"/>
    <cellStyle name="Currency 6 13 2" xfId="2154" xr:uid="{00000000-0005-0000-0000-0000DE030000}"/>
    <cellStyle name="Currency 6 13 2 2" xfId="4247" xr:uid="{00000000-0005-0000-0000-0000DD030000}"/>
    <cellStyle name="Currency 6 13 2 2 2" xfId="11151" xr:uid="{9AA41522-6D06-46C1-B997-EE88212F6CB9}"/>
    <cellStyle name="Currency 6 13 2 2 2 2" xfId="33637" xr:uid="{E7BF054E-95C0-440D-91D1-22CAFC4964FB}"/>
    <cellStyle name="Currency 6 13 2 2 3" xfId="27419" xr:uid="{53CE7D1B-6FB6-4664-BC91-D24FA16BAB6D}"/>
    <cellStyle name="Currency 6 13 2 3" xfId="9071" xr:uid="{E2FFDE39-4CF5-4727-A5FE-90972FC0BCA9}"/>
    <cellStyle name="Currency 6 13 2 3 2" xfId="31647" xr:uid="{E4E587E6-31EA-445A-B2C9-718A23381185}"/>
    <cellStyle name="Currency 6 13 2 4" xfId="25524" xr:uid="{6122DEC4-C11F-4D87-AA65-C0016225E89D}"/>
    <cellStyle name="Currency 6 13 3" xfId="3526" xr:uid="{00000000-0005-0000-0000-0000DC030000}"/>
    <cellStyle name="Currency 6 13 3 2" xfId="10433" xr:uid="{B395A748-4C91-417E-B470-BD5AE51E9035}"/>
    <cellStyle name="Currency 6 13 3 2 2" xfId="32920" xr:uid="{44938364-0830-43C6-AED9-2DE2F40C230F}"/>
    <cellStyle name="Currency 6 13 3 3" xfId="26739" xr:uid="{3351C3F8-F665-4BFB-90B5-304F43D28277}"/>
    <cellStyle name="Currency 6 13 4" xfId="8468" xr:uid="{9488266C-C087-47CF-8916-541746C5B91E}"/>
    <cellStyle name="Currency 6 13 4 2" xfId="31055" xr:uid="{38160B03-EBE6-43B8-B03F-FAA4637DB6CB}"/>
    <cellStyle name="Currency 6 13 5" xfId="24848" xr:uid="{1A89B161-E4B4-4A8D-870B-60BAC0FCE4D8}"/>
    <cellStyle name="Currency 6 14" xfId="1446" xr:uid="{00000000-0005-0000-0000-0000DF030000}"/>
    <cellStyle name="Currency 6 14 2" xfId="2174" xr:uid="{00000000-0005-0000-0000-0000E0030000}"/>
    <cellStyle name="Currency 6 14 2 2" xfId="4267" xr:uid="{00000000-0005-0000-0000-0000DF030000}"/>
    <cellStyle name="Currency 6 14 2 2 2" xfId="11171" xr:uid="{7F6455E9-BB2B-4FB7-99D5-2F94F8DC1BD0}"/>
    <cellStyle name="Currency 6 14 2 2 2 2" xfId="33657" xr:uid="{55C36C7C-513F-4C2E-A1EE-A8C8FC1ACF09}"/>
    <cellStyle name="Currency 6 14 2 2 3" xfId="27439" xr:uid="{C6128F99-7399-4760-A6B7-33CAF5EB20B2}"/>
    <cellStyle name="Currency 6 14 2 3" xfId="9091" xr:uid="{C3D53B70-8C76-4A24-9CDA-890D45801F3C}"/>
    <cellStyle name="Currency 6 14 2 3 2" xfId="31667" xr:uid="{901F80C8-BE62-4ECE-839A-5CBA027B519A}"/>
    <cellStyle name="Currency 6 14 2 4" xfId="25544" xr:uid="{B34B2B72-4F3E-4960-992A-7D9EA19522F1}"/>
    <cellStyle name="Currency 6 14 3" xfId="3547" xr:uid="{00000000-0005-0000-0000-0000DE030000}"/>
    <cellStyle name="Currency 6 14 3 2" xfId="10453" xr:uid="{2E9E61C6-52F2-40D1-A0D0-896508717CFE}"/>
    <cellStyle name="Currency 6 14 3 2 2" xfId="32940" xr:uid="{83DD6830-9B67-4A97-88B1-660345FC2D80}"/>
    <cellStyle name="Currency 6 14 3 3" xfId="26760" xr:uid="{28A1093E-C2EF-472E-8B37-867C524E0A21}"/>
    <cellStyle name="Currency 6 14 4" xfId="8489" xr:uid="{C513A7FC-80E2-42BC-A8C0-FB3FCB81A4DD}"/>
    <cellStyle name="Currency 6 14 4 2" xfId="31076" xr:uid="{7495B993-5D8A-43CB-85D1-CA4C6887FB9A}"/>
    <cellStyle name="Currency 6 14 5" xfId="24869" xr:uid="{68313ABC-DEE6-4D34-85A6-8A2925A8C00B}"/>
    <cellStyle name="Currency 6 15" xfId="1517" xr:uid="{00000000-0005-0000-0000-0000E1030000}"/>
    <cellStyle name="Currency 6 15 2" xfId="3618" xr:uid="{00000000-0005-0000-0000-0000E0030000}"/>
    <cellStyle name="Currency 6 15 2 2" xfId="10522" xr:uid="{F7F2899B-406B-48D1-B8D6-4B30957DD134}"/>
    <cellStyle name="Currency 6 15 2 2 2" xfId="33008" xr:uid="{887125A6-234F-4471-8C2C-ED56839D78DC}"/>
    <cellStyle name="Currency 6 15 2 3" xfId="26830" xr:uid="{CEB9B842-6480-47F7-9D4B-0CAC1E4B7B74}"/>
    <cellStyle name="Currency 6 15 3" xfId="8557" xr:uid="{448FFC04-429B-4547-AD27-2FE1F588B9EE}"/>
    <cellStyle name="Currency 6 15 3 2" xfId="31144" xr:uid="{CDEAACC5-AE18-4A9B-A06B-872ED9BEDA97}"/>
    <cellStyle name="Currency 6 15 4" xfId="24939" xr:uid="{3D133E1B-E162-47CF-9D12-C87AECCDED8A}"/>
    <cellStyle name="Currency 6 16" xfId="2278" xr:uid="{00000000-0005-0000-0000-0000D5030000}"/>
    <cellStyle name="Currency 6 16 2" xfId="9189" xr:uid="{2234A4AE-874B-4163-8FFC-A8EB02788990}"/>
    <cellStyle name="Currency 6 16 2 2" xfId="31764" xr:uid="{C459D77E-2A53-4C80-B02E-A5C07B9D17DC}"/>
    <cellStyle name="Currency 6 16 3" xfId="25645" xr:uid="{054CBF6A-D093-478E-A356-2DB6082BA11C}"/>
    <cellStyle name="Currency 6 17" xfId="7268" xr:uid="{31DBCEF5-412B-47FF-96CA-FFE386F7EEB8}"/>
    <cellStyle name="Currency 6 17 2" xfId="29957" xr:uid="{3C5189BD-33ED-41F4-9379-5851132848C5}"/>
    <cellStyle name="Currency 6 18" xfId="23637" xr:uid="{8529B204-4648-4053-9457-89D27BDE12FF}"/>
    <cellStyle name="Currency 6 2" xfId="124" xr:uid="{00000000-0005-0000-0000-0000E2030000}"/>
    <cellStyle name="Currency 6 2 10" xfId="1537" xr:uid="{00000000-0005-0000-0000-0000E3030000}"/>
    <cellStyle name="Currency 6 2 10 2" xfId="3638" xr:uid="{00000000-0005-0000-0000-0000E2030000}"/>
    <cellStyle name="Currency 6 2 10 2 2" xfId="10542" xr:uid="{320966FD-8C6A-4921-891E-7B642485DE1C}"/>
    <cellStyle name="Currency 6 2 10 2 2 2" xfId="33028" xr:uid="{E4FE1428-9169-4A66-83FB-8C9413DE467C}"/>
    <cellStyle name="Currency 6 2 10 2 3" xfId="26849" xr:uid="{0883A659-1A13-47BA-AF89-457F5C144AB1}"/>
    <cellStyle name="Currency 6 2 10 3" xfId="8574" xr:uid="{80AC2935-D686-4D91-9E15-6192026B7D7A}"/>
    <cellStyle name="Currency 6 2 10 3 2" xfId="31161" xr:uid="{E47CE37F-501E-4A33-9CA3-631588D0905D}"/>
    <cellStyle name="Currency 6 2 10 4" xfId="24959" xr:uid="{B2262F36-8C56-4F32-809B-80CF03FD8BAC}"/>
    <cellStyle name="Currency 6 2 11" xfId="2327" xr:uid="{00000000-0005-0000-0000-0000E1030000}"/>
    <cellStyle name="Currency 6 2 11 2" xfId="9237" xr:uid="{63ED6888-415D-46A5-9D8B-3415106CE9B2}"/>
    <cellStyle name="Currency 6 2 11 2 2" xfId="31812" xr:uid="{1087B1DC-1918-4281-A15F-995A5C201CEF}"/>
    <cellStyle name="Currency 6 2 11 3" xfId="25686" xr:uid="{62B4A82B-DED4-47A8-BB62-90BCE9A696E8}"/>
    <cellStyle name="Currency 6 2 12" xfId="7317" xr:uid="{31A570F3-0534-4A62-B48B-50164EA050D4}"/>
    <cellStyle name="Currency 6 2 12 2" xfId="30005" xr:uid="{10C8748A-732F-47CB-A7D0-2BD34887F885}"/>
    <cellStyle name="Currency 6 2 13" xfId="23702" xr:uid="{335BFDB7-6849-43A9-9DD8-CEAC4B08E90A}"/>
    <cellStyle name="Currency 6 2 2" xfId="329" xr:uid="{00000000-0005-0000-0000-0000E4030000}"/>
    <cellStyle name="Currency 6 2 2 2" xfId="1593" xr:uid="{00000000-0005-0000-0000-0000E5030000}"/>
    <cellStyle name="Currency 6 2 2 2 2" xfId="3694" xr:uid="{00000000-0005-0000-0000-0000E4030000}"/>
    <cellStyle name="Currency 6 2 2 2 2 2" xfId="10598" xr:uid="{E52E81F4-D428-4312-82C0-90A925AF72E3}"/>
    <cellStyle name="Currency 6 2 2 2 2 2 2" xfId="33084" xr:uid="{B181184C-F96B-44DF-9DCF-5EFC6E6D5F01}"/>
    <cellStyle name="Currency 6 2 2 2 2 3" xfId="26905" xr:uid="{BC15DBC6-B194-4B7B-A1F0-490EB44B95F9}"/>
    <cellStyle name="Currency 6 2 2 2 3" xfId="8628" xr:uid="{ECE4A3DF-55AE-4292-B861-DF0AF932D15B}"/>
    <cellStyle name="Currency 6 2 2 2 3 2" xfId="31214" xr:uid="{910F77DF-E850-4705-AF60-4C59CEA4EF92}"/>
    <cellStyle name="Currency 6 2 2 2 4" xfId="25014" xr:uid="{A1B3AF9B-3003-4FE0-9238-039CB838C20D}"/>
    <cellStyle name="Currency 6 2 2 3" xfId="2489" xr:uid="{00000000-0005-0000-0000-0000E3030000}"/>
    <cellStyle name="Currency 6 2 2 3 2" xfId="9398" xr:uid="{A1C6E0E7-CD48-46B8-A73B-98B28BB1E9A3}"/>
    <cellStyle name="Currency 6 2 2 3 2 2" xfId="31959" xr:uid="{EA7F980F-9A00-4D8E-97A6-A08D8A843177}"/>
    <cellStyle name="Currency 6 2 2 3 3" xfId="25823" xr:uid="{69B80D27-656B-4E7E-AEC1-C44AEEC2B51D}"/>
    <cellStyle name="Currency 6 2 2 4" xfId="7492" xr:uid="{2DA3AB4D-8FB4-4D86-BC6B-F96E5A13AD15}"/>
    <cellStyle name="Currency 6 2 2 4 2" xfId="30161" xr:uid="{39A63B32-2881-40D8-9930-709FE064F873}"/>
    <cellStyle name="Currency 6 2 2 5" xfId="23882" xr:uid="{0AE543AA-96C3-46B0-BDBB-C49BA539ABDD}"/>
    <cellStyle name="Currency 6 2 3" xfId="492" xr:uid="{00000000-0005-0000-0000-0000E6030000}"/>
    <cellStyle name="Currency 6 2 3 2" xfId="1678" xr:uid="{00000000-0005-0000-0000-0000E7030000}"/>
    <cellStyle name="Currency 6 2 3 2 2" xfId="3776" xr:uid="{00000000-0005-0000-0000-0000E6030000}"/>
    <cellStyle name="Currency 6 2 3 2 2 2" xfId="10680" xr:uid="{53582BC3-8586-4872-8CCE-EEB1942C9F8E}"/>
    <cellStyle name="Currency 6 2 3 2 2 2 2" xfId="33166" xr:uid="{0801772C-4384-4B06-AD1E-105E03F70CF6}"/>
    <cellStyle name="Currency 6 2 3 2 2 3" xfId="26983" xr:uid="{0F5F9062-D53A-4DBA-A847-776AF78F802A}"/>
    <cellStyle name="Currency 6 2 3 2 3" xfId="8693" xr:uid="{BFC7BBA6-E0D2-4F18-AF23-BD251F344ECC}"/>
    <cellStyle name="Currency 6 2 3 2 3 2" xfId="31278" xr:uid="{C63F78AD-E125-4614-98C7-F3D95744BF16}"/>
    <cellStyle name="Currency 6 2 3 2 4" xfId="25093" xr:uid="{E4541698-5B6C-47E2-9A6B-457780B0123D}"/>
    <cellStyle name="Currency 6 2 3 3" xfId="2643" xr:uid="{00000000-0005-0000-0000-0000E5030000}"/>
    <cellStyle name="Currency 6 2 3 3 2" xfId="9552" xr:uid="{0C95E187-97E6-4204-84C7-4753FB650624}"/>
    <cellStyle name="Currency 6 2 3 3 2 2" xfId="32102" xr:uid="{AE65189D-ABA6-4FBD-B53B-92EB53A28BC9}"/>
    <cellStyle name="Currency 6 2 3 3 3" xfId="25959" xr:uid="{4DD447C2-1E99-4B98-A774-8CF5740B8869}"/>
    <cellStyle name="Currency 6 2 3 4" xfId="7635" xr:uid="{764F8324-C09D-485B-BFCD-C901D6175704}"/>
    <cellStyle name="Currency 6 2 3 4 2" xfId="30293" xr:uid="{2E1D6C02-A00C-436D-BEEB-26270B5838FC}"/>
    <cellStyle name="Currency 6 2 3 5" xfId="24024" xr:uid="{16CF98DA-1E57-4E16-A743-984B6BCB6026}"/>
    <cellStyle name="Currency 6 2 4" xfId="719" xr:uid="{00000000-0005-0000-0000-0000E8030000}"/>
    <cellStyle name="Currency 6 2 4 2" xfId="1775" xr:uid="{00000000-0005-0000-0000-0000E9030000}"/>
    <cellStyle name="Currency 6 2 4 2 2" xfId="3873" xr:uid="{00000000-0005-0000-0000-0000E8030000}"/>
    <cellStyle name="Currency 6 2 4 2 2 2" xfId="10777" xr:uid="{53E42664-FA60-446A-B13C-38BB74177BC2}"/>
    <cellStyle name="Currency 6 2 4 2 2 2 2" xfId="33263" xr:uid="{A9EF6949-D6DC-4F2A-9DED-5577CA2CFD72}"/>
    <cellStyle name="Currency 6 2 4 2 2 3" xfId="27072" xr:uid="{607C353A-D3BC-4955-B2CE-C7D8A656EBCC}"/>
    <cellStyle name="Currency 6 2 4 2 3" xfId="8775" xr:uid="{454ABF1F-E17E-49EB-8852-779132B731A3}"/>
    <cellStyle name="Currency 6 2 4 2 3 2" xfId="31358" xr:uid="{442AE417-A30C-4D57-A860-DAA911045D72}"/>
    <cellStyle name="Currency 6 2 4 2 4" xfId="25181" xr:uid="{9120928C-71F1-4DB5-8F51-59E8025F0967}"/>
    <cellStyle name="Currency 6 2 4 3" xfId="2859" xr:uid="{00000000-0005-0000-0000-0000E7030000}"/>
    <cellStyle name="Currency 6 2 4 3 2" xfId="9768" xr:uid="{3D2114F0-12B1-4EE7-BFBD-3C6B50334425}"/>
    <cellStyle name="Currency 6 2 4 3 2 2" xfId="32301" xr:uid="{DEABC440-E4B0-4F51-9288-45F6644BCF92}"/>
    <cellStyle name="Currency 6 2 4 3 3" xfId="26151" xr:uid="{9157FB08-9541-4F83-9FCD-3E0787A71BF0}"/>
    <cellStyle name="Currency 6 2 4 4" xfId="7841" xr:uid="{240B5383-B767-4EB9-A906-49A92ED9159E}"/>
    <cellStyle name="Currency 6 2 4 4 2" xfId="30473" xr:uid="{DAE4A330-7CDD-4433-B169-7412EDEBB674}"/>
    <cellStyle name="Currency 6 2 4 5" xfId="24226" xr:uid="{8322F76A-DD09-4F32-9E4E-8CB2DF47BBF1}"/>
    <cellStyle name="Currency 6 2 5" xfId="910" xr:uid="{00000000-0005-0000-0000-0000EA030000}"/>
    <cellStyle name="Currency 6 2 5 2" xfId="1864" xr:uid="{00000000-0005-0000-0000-0000EB030000}"/>
    <cellStyle name="Currency 6 2 5 2 2" xfId="3962" xr:uid="{00000000-0005-0000-0000-0000EA030000}"/>
    <cellStyle name="Currency 6 2 5 2 2 2" xfId="10866" xr:uid="{DC8491B3-CE81-4983-B15F-01E2168F53CF}"/>
    <cellStyle name="Currency 6 2 5 2 2 2 2" xfId="33352" xr:uid="{2B1596DC-1778-4E43-98EB-938B00A5030C}"/>
    <cellStyle name="Currency 6 2 5 2 2 3" xfId="27153" xr:uid="{07A26EA4-0ADE-4871-8D71-2179BEA18E6A}"/>
    <cellStyle name="Currency 6 2 5 2 3" xfId="8847" xr:uid="{121281D0-AD93-4F40-9A2F-94EC9C4C0CFC}"/>
    <cellStyle name="Currency 6 2 5 2 3 2" xfId="31428" xr:uid="{876B8F84-036E-4C78-8430-D8D20FA6247F}"/>
    <cellStyle name="Currency 6 2 5 2 4" xfId="25260" xr:uid="{CA553E67-70CE-4724-8D9E-48D77880BFA4}"/>
    <cellStyle name="Currency 6 2 5 3" xfId="3039" xr:uid="{00000000-0005-0000-0000-0000E9030000}"/>
    <cellStyle name="Currency 6 2 5 3 2" xfId="9948" xr:uid="{E85D97CB-1EC4-4FE5-B5DC-23912A1A6DE2}"/>
    <cellStyle name="Currency 6 2 5 3 2 2" xfId="32467" xr:uid="{F0078E6E-703E-4319-ACD8-9BB385E9C997}"/>
    <cellStyle name="Currency 6 2 5 3 3" xfId="26302" xr:uid="{3CDA7F8A-55A6-4CE1-ACA4-E7FE3A6D78C6}"/>
    <cellStyle name="Currency 6 2 5 4" xfId="8011" xr:uid="{824E20D5-7DE0-49EB-B679-BC3FF58251DF}"/>
    <cellStyle name="Currency 6 2 5 4 2" xfId="30632" xr:uid="{EEBB8583-EF6F-4905-9667-F7DD3F36349E}"/>
    <cellStyle name="Currency 6 2 5 5" xfId="24390" xr:uid="{DF7E1253-7088-4C58-89CD-60F5DADB4B3C}"/>
    <cellStyle name="Currency 6 2 6" xfId="1092" xr:uid="{00000000-0005-0000-0000-0000EC030000}"/>
    <cellStyle name="Currency 6 2 6 2" xfId="1959" xr:uid="{00000000-0005-0000-0000-0000ED030000}"/>
    <cellStyle name="Currency 6 2 6 2 2" xfId="4055" xr:uid="{00000000-0005-0000-0000-0000EC030000}"/>
    <cellStyle name="Currency 6 2 6 2 2 2" xfId="10959" xr:uid="{D02FAD5D-3A0E-47DE-B491-235B82172A2A}"/>
    <cellStyle name="Currency 6 2 6 2 2 2 2" xfId="33445" xr:uid="{5E697ECC-480F-4F5F-B79B-8A320194F28E}"/>
    <cellStyle name="Currency 6 2 6 2 2 3" xfId="27240" xr:uid="{8541983A-DF16-4E07-968F-B9D508DCA336}"/>
    <cellStyle name="Currency 6 2 6 2 3" xfId="8917" xr:uid="{C0E6DD07-1C56-44DC-91B7-D1C920969444}"/>
    <cellStyle name="Currency 6 2 6 2 3 2" xfId="31496" xr:uid="{DF07D7F3-12CA-492C-B6F3-D75719C696CB}"/>
    <cellStyle name="Currency 6 2 6 2 4" xfId="25345" xr:uid="{A8C31FCC-2FE1-4012-BF46-6AA81F8DA170}"/>
    <cellStyle name="Currency 6 2 6 3" xfId="3210" xr:uid="{00000000-0005-0000-0000-0000EB030000}"/>
    <cellStyle name="Currency 6 2 6 3 2" xfId="10118" xr:uid="{F0D86D90-17CE-4BED-B7EA-4CE2DA7D973A}"/>
    <cellStyle name="Currency 6 2 6 3 2 2" xfId="32622" xr:uid="{80C1B5EB-6201-4E2B-88D7-32756B47487C}"/>
    <cellStyle name="Currency 6 2 6 3 3" xfId="26453" xr:uid="{6BCBD3C6-744B-4617-A08F-946889D15D2A}"/>
    <cellStyle name="Currency 6 2 6 4" xfId="8174" xr:uid="{AAEF79C6-BCA5-4B72-8A00-CFCF296675C5}"/>
    <cellStyle name="Currency 6 2 6 4 2" xfId="30785" xr:uid="{1D28162E-1CE2-4963-BCB7-A7A4E631D113}"/>
    <cellStyle name="Currency 6 2 6 5" xfId="24553" xr:uid="{0E6FBF63-5EF4-46A7-92C3-B93CB1F5EF6E}"/>
    <cellStyle name="Currency 6 2 7" xfId="1268" xr:uid="{00000000-0005-0000-0000-0000EE030000}"/>
    <cellStyle name="Currency 6 2 7 2" xfId="2049" xr:uid="{00000000-0005-0000-0000-0000EF030000}"/>
    <cellStyle name="Currency 6 2 7 2 2" xfId="4144" xr:uid="{00000000-0005-0000-0000-0000EE030000}"/>
    <cellStyle name="Currency 6 2 7 2 2 2" xfId="11048" xr:uid="{B5272360-3BEC-4556-9112-06E6B0BFCF81}"/>
    <cellStyle name="Currency 6 2 7 2 2 2 2" xfId="33534" xr:uid="{8F553E71-60F1-4E89-B208-596C5EC949A8}"/>
    <cellStyle name="Currency 6 2 7 2 2 3" xfId="27322" xr:uid="{9592CA33-C922-463F-9F17-E277B85739A6}"/>
    <cellStyle name="Currency 6 2 7 2 3" xfId="8988" xr:uid="{0EB9A27F-34A9-4C35-BF05-35258178F1C3}"/>
    <cellStyle name="Currency 6 2 7 2 3 2" xfId="31566" xr:uid="{41C46C45-5B11-41E1-810F-15D091ACE546}"/>
    <cellStyle name="Currency 6 2 7 2 4" xfId="25429" xr:uid="{C4C27F44-BB9C-409C-A504-20944000AEE3}"/>
    <cellStyle name="Currency 6 2 7 3" xfId="3376" xr:uid="{00000000-0005-0000-0000-0000ED030000}"/>
    <cellStyle name="Currency 6 2 7 3 2" xfId="10284" xr:uid="{A284D1DC-16AE-4984-92CA-CC960EFD80F3}"/>
    <cellStyle name="Currency 6 2 7 3 2 2" xfId="32777" xr:uid="{941C18CF-7668-4E61-88B8-477349FC4792}"/>
    <cellStyle name="Currency 6 2 7 3 3" xfId="26603" xr:uid="{FADF9BB2-AF47-475D-90AF-F47B002927A5}"/>
    <cellStyle name="Currency 6 2 7 4" xfId="8334" xr:uid="{80EF836E-B842-475B-9487-1F480F4E0F40}"/>
    <cellStyle name="Currency 6 2 7 4 2" xfId="30930" xr:uid="{09874597-57FA-4C96-82A9-F2C1EB41A62D}"/>
    <cellStyle name="Currency 6 2 7 5" xfId="24704" xr:uid="{54590C8C-936B-4C47-A300-F86C8C081EFD}"/>
    <cellStyle name="Currency 6 2 8" xfId="1445" xr:uid="{00000000-0005-0000-0000-0000F0030000}"/>
    <cellStyle name="Currency 6 2 8 2" xfId="2173" xr:uid="{00000000-0005-0000-0000-0000F1030000}"/>
    <cellStyle name="Currency 6 2 8 2 2" xfId="4266" xr:uid="{00000000-0005-0000-0000-0000F0030000}"/>
    <cellStyle name="Currency 6 2 8 2 2 2" xfId="11170" xr:uid="{543AC63D-345D-4C2B-ADD2-BE60D5F4C1D7}"/>
    <cellStyle name="Currency 6 2 8 2 2 2 2" xfId="33656" xr:uid="{4ACACC00-8E80-455D-8274-2514F70CDC5D}"/>
    <cellStyle name="Currency 6 2 8 2 2 3" xfId="27438" xr:uid="{B96CCAEA-7B59-4FC3-A8E6-ABA7739B3A4D}"/>
    <cellStyle name="Currency 6 2 8 2 3" xfId="9090" xr:uid="{D0122BDC-30DC-46FE-9972-E8B682AC4D08}"/>
    <cellStyle name="Currency 6 2 8 2 3 2" xfId="31666" xr:uid="{1CACAE47-2FE6-4A2E-B154-B20C1EBD332A}"/>
    <cellStyle name="Currency 6 2 8 2 4" xfId="25543" xr:uid="{6EDB3262-866A-4E72-9416-AB828DA5EE12}"/>
    <cellStyle name="Currency 6 2 8 3" xfId="3546" xr:uid="{00000000-0005-0000-0000-0000EF030000}"/>
    <cellStyle name="Currency 6 2 8 3 2" xfId="10452" xr:uid="{378F0860-D700-44E1-90F8-367C3501150D}"/>
    <cellStyle name="Currency 6 2 8 3 2 2" xfId="32939" xr:uid="{11EF1C91-154A-4BC3-8E3D-50A871308478}"/>
    <cellStyle name="Currency 6 2 8 3 3" xfId="26759" xr:uid="{5F91234B-DADC-475B-B645-F557DF08BC39}"/>
    <cellStyle name="Currency 6 2 8 4" xfId="8488" xr:uid="{5C746D8A-7EEF-435C-B6A1-B661D7D3B50B}"/>
    <cellStyle name="Currency 6 2 8 4 2" xfId="31075" xr:uid="{0378313D-D4C0-46DE-A7C7-9E8774F25545}"/>
    <cellStyle name="Currency 6 2 8 5" xfId="24868" xr:uid="{077AD99A-E56F-4591-AF67-498F3A66098B}"/>
    <cellStyle name="Currency 6 2 9" xfId="1479" xr:uid="{00000000-0005-0000-0000-0000F2030000}"/>
    <cellStyle name="Currency 6 2 9 2" xfId="2206" xr:uid="{00000000-0005-0000-0000-0000F3030000}"/>
    <cellStyle name="Currency 6 2 9 2 2" xfId="4299" xr:uid="{00000000-0005-0000-0000-0000F2030000}"/>
    <cellStyle name="Currency 6 2 9 2 2 2" xfId="11203" xr:uid="{AE6550C6-C1CD-4A7F-B9EB-64C2C7352E01}"/>
    <cellStyle name="Currency 6 2 9 2 2 2 2" xfId="33689" xr:uid="{BC651E47-1EC8-4CCD-9725-847E6B8DD3AF}"/>
    <cellStyle name="Currency 6 2 9 2 2 3" xfId="27471" xr:uid="{039B85C6-E566-4BA9-911B-FD3A71A8B1BC}"/>
    <cellStyle name="Currency 6 2 9 2 3" xfId="9119" xr:uid="{C5CEEA68-2E02-43F1-B989-8FAA0645244F}"/>
    <cellStyle name="Currency 6 2 9 2 3 2" xfId="31695" xr:uid="{56DC360E-2422-42E4-AC8E-68200D05BE26}"/>
    <cellStyle name="Currency 6 2 9 2 4" xfId="25574" xr:uid="{E3C7C6A4-1820-4E6E-A0A4-50AE3DD2CFED}"/>
    <cellStyle name="Currency 6 2 9 3" xfId="3580" xr:uid="{00000000-0005-0000-0000-0000F1030000}"/>
    <cellStyle name="Currency 6 2 9 3 2" xfId="10485" xr:uid="{65B7176A-80B6-4891-B8A2-632B099FF8A6}"/>
    <cellStyle name="Currency 6 2 9 3 2 2" xfId="32972" xr:uid="{A6FD87F2-98D0-4C8A-AA55-79E358F6CA87}"/>
    <cellStyle name="Currency 6 2 9 3 3" xfId="26793" xr:uid="{E1F06497-F2C3-41AC-B76B-38B769148A94}"/>
    <cellStyle name="Currency 6 2 9 4" xfId="8521" xr:uid="{E90614E4-A842-4196-83E2-FC55495E42CB}"/>
    <cellStyle name="Currency 6 2 9 4 2" xfId="31108" xr:uid="{81438677-AA57-44CC-8B6D-1D6D9D0EE266}"/>
    <cellStyle name="Currency 6 2 9 5" xfId="24901" xr:uid="{FB7B1F20-22B2-48FE-BAC9-77BBCD71F3BB}"/>
    <cellStyle name="Currency 6 3" xfId="145" xr:uid="{00000000-0005-0000-0000-0000F4030000}"/>
    <cellStyle name="Currency 6 3 10" xfId="1542" xr:uid="{00000000-0005-0000-0000-0000F5030000}"/>
    <cellStyle name="Currency 6 3 10 2" xfId="3643" xr:uid="{00000000-0005-0000-0000-0000F4030000}"/>
    <cellStyle name="Currency 6 3 10 2 2" xfId="10547" xr:uid="{3D47DDDD-4C3A-4910-AF92-A9AAFFF625CA}"/>
    <cellStyle name="Currency 6 3 10 2 2 2" xfId="33033" xr:uid="{38075709-5400-4D1C-A8DA-6EBBB2A01FC3}"/>
    <cellStyle name="Currency 6 3 10 2 3" xfId="26854" xr:uid="{160785A4-67D1-41A0-B0E2-8AC4DC1AEBFF}"/>
    <cellStyle name="Currency 6 3 10 3" xfId="8579" xr:uid="{9CCF052B-916D-48E4-848A-E8D1D0A48B87}"/>
    <cellStyle name="Currency 6 3 10 3 2" xfId="31166" xr:uid="{1B803661-7AF1-4E4C-8D76-2B88A1934290}"/>
    <cellStyle name="Currency 6 3 10 4" xfId="24964" xr:uid="{9A337D28-888F-4BA3-A580-9B06F1A2A085}"/>
    <cellStyle name="Currency 6 3 11" xfId="2340" xr:uid="{00000000-0005-0000-0000-0000F3030000}"/>
    <cellStyle name="Currency 6 3 11 2" xfId="9249" xr:uid="{D15E6719-971F-402E-820B-FDC7C6C0C86A}"/>
    <cellStyle name="Currency 6 3 11 2 2" xfId="31824" xr:uid="{D9DCA583-7009-4AE6-A4AE-9802D1BE2E20}"/>
    <cellStyle name="Currency 6 3 11 3" xfId="25698" xr:uid="{6A1464EF-313E-4071-A0F6-23639C51911A}"/>
    <cellStyle name="Currency 6 3 12" xfId="7333" xr:uid="{DA0CD216-ACC8-4D0F-914D-923012176210}"/>
    <cellStyle name="Currency 6 3 12 2" xfId="30021" xr:uid="{9F422E50-ACC3-424C-A764-FF4336CBA342}"/>
    <cellStyle name="Currency 6 3 13" xfId="23722" xr:uid="{5DFDAE6E-C601-4752-9558-21F55A1F6026}"/>
    <cellStyle name="Currency 6 3 2" xfId="348" xr:uid="{00000000-0005-0000-0000-0000F6030000}"/>
    <cellStyle name="Currency 6 3 2 2" xfId="1598" xr:uid="{00000000-0005-0000-0000-0000F7030000}"/>
    <cellStyle name="Currency 6 3 2 2 2" xfId="3699" xr:uid="{00000000-0005-0000-0000-0000F6030000}"/>
    <cellStyle name="Currency 6 3 2 2 2 2" xfId="10603" xr:uid="{44BED59C-8FDD-4C2E-A85A-9F844B294360}"/>
    <cellStyle name="Currency 6 3 2 2 2 2 2" xfId="33089" xr:uid="{824CB587-CF0F-4238-A0AF-D4EE5A008334}"/>
    <cellStyle name="Currency 6 3 2 2 2 3" xfId="26910" xr:uid="{8CDF9FC1-2946-49B2-9115-BEBB3A5EA4DD}"/>
    <cellStyle name="Currency 6 3 2 2 3" xfId="8633" xr:uid="{2BA8D40B-F8F6-4455-AD70-68BB0399395B}"/>
    <cellStyle name="Currency 6 3 2 2 3 2" xfId="31219" xr:uid="{C9CBEEF5-24F6-4B46-8327-F24775DF4C99}"/>
    <cellStyle name="Currency 6 3 2 2 4" xfId="25019" xr:uid="{F0192ABD-8D45-4CB4-97D4-81C2DDA7F69D}"/>
    <cellStyle name="Currency 6 3 2 3" xfId="2508" xr:uid="{00000000-0005-0000-0000-0000F5030000}"/>
    <cellStyle name="Currency 6 3 2 3 2" xfId="9417" xr:uid="{DAC9A25D-E397-493F-892C-8331B837D745}"/>
    <cellStyle name="Currency 6 3 2 3 2 2" xfId="31976" xr:uid="{276F4CDD-A829-4581-9364-A9C4B9AA5D89}"/>
    <cellStyle name="Currency 6 3 2 3 3" xfId="25839" xr:uid="{B6C0DADD-0F1C-4837-8BA7-C7A6FD881980}"/>
    <cellStyle name="Currency 6 3 2 4" xfId="7511" xr:uid="{81E6158C-8F0F-4976-A4BB-0CB98A313A17}"/>
    <cellStyle name="Currency 6 3 2 4 2" xfId="30179" xr:uid="{3696C420-B96D-456F-ABF8-ACA4B1B58E7C}"/>
    <cellStyle name="Currency 6 3 2 5" xfId="23899" xr:uid="{C635C3B4-1F64-4486-95BA-21AAB575414E}"/>
    <cellStyle name="Currency 6 3 3" xfId="509" xr:uid="{00000000-0005-0000-0000-0000F8030000}"/>
    <cellStyle name="Currency 6 3 3 2" xfId="1683" xr:uid="{00000000-0005-0000-0000-0000F9030000}"/>
    <cellStyle name="Currency 6 3 3 2 2" xfId="3781" xr:uid="{00000000-0005-0000-0000-0000F8030000}"/>
    <cellStyle name="Currency 6 3 3 2 2 2" xfId="10685" xr:uid="{621E3095-559D-4307-9BC7-DB87400B1B57}"/>
    <cellStyle name="Currency 6 3 3 2 2 2 2" xfId="33171" xr:uid="{43154599-3CC2-4747-9F05-4C4096570C33}"/>
    <cellStyle name="Currency 6 3 3 2 2 3" xfId="26988" xr:uid="{103A58CB-6589-442C-A3BA-E6DAAE1F971C}"/>
    <cellStyle name="Currency 6 3 3 2 3" xfId="8698" xr:uid="{214ABB4C-BF7D-4D1C-9F4D-EE24AED642F0}"/>
    <cellStyle name="Currency 6 3 3 2 3 2" xfId="31283" xr:uid="{0C001A5F-2FFC-42CF-9389-AFAD3EE06C78}"/>
    <cellStyle name="Currency 6 3 3 2 4" xfId="25098" xr:uid="{53CFF306-2D32-42E3-946B-876F173A159D}"/>
    <cellStyle name="Currency 6 3 3 3" xfId="2660" xr:uid="{00000000-0005-0000-0000-0000F7030000}"/>
    <cellStyle name="Currency 6 3 3 3 2" xfId="9569" xr:uid="{3F9B6F91-0B2B-484D-B492-3396ED8014A4}"/>
    <cellStyle name="Currency 6 3 3 3 2 2" xfId="32119" xr:uid="{B90A89F4-5447-4380-8A4B-6A5A6A5F9303}"/>
    <cellStyle name="Currency 6 3 3 3 3" xfId="25975" xr:uid="{A943DEAD-055A-46FB-AB6B-2AFFB74D66B1}"/>
    <cellStyle name="Currency 6 3 3 4" xfId="7652" xr:uid="{1CB0DB10-C523-4CB0-9E59-BF5831DA26A1}"/>
    <cellStyle name="Currency 6 3 3 4 2" xfId="30308" xr:uid="{2D58F0E0-AD07-4767-8375-B7779CE606B5}"/>
    <cellStyle name="Currency 6 3 3 5" xfId="24041" xr:uid="{1B82DE76-5347-4CFB-947F-7325905B56F7}"/>
    <cellStyle name="Currency 6 3 4" xfId="739" xr:uid="{00000000-0005-0000-0000-0000FA030000}"/>
    <cellStyle name="Currency 6 3 4 2" xfId="1780" xr:uid="{00000000-0005-0000-0000-0000FB030000}"/>
    <cellStyle name="Currency 6 3 4 2 2" xfId="3878" xr:uid="{00000000-0005-0000-0000-0000FA030000}"/>
    <cellStyle name="Currency 6 3 4 2 2 2" xfId="10782" xr:uid="{4C40DB8B-FA63-4BAF-A398-790E1E2B44C5}"/>
    <cellStyle name="Currency 6 3 4 2 2 2 2" xfId="33268" xr:uid="{A40CD6B3-B8AE-4AC2-848C-2084074E6F85}"/>
    <cellStyle name="Currency 6 3 4 2 2 3" xfId="27077" xr:uid="{78EC604C-F7E0-4FB0-8EC4-640008B32421}"/>
    <cellStyle name="Currency 6 3 4 2 3" xfId="8780" xr:uid="{BFEA2656-FFB3-47A1-BB5B-568D6E6AB1E2}"/>
    <cellStyle name="Currency 6 3 4 2 3 2" xfId="31363" xr:uid="{03927569-8A14-41B0-B7F6-525EE7ABD434}"/>
    <cellStyle name="Currency 6 3 4 2 4" xfId="25186" xr:uid="{F38DAC73-E476-4FE1-92E5-384B92766514}"/>
    <cellStyle name="Currency 6 3 4 3" xfId="2879" xr:uid="{00000000-0005-0000-0000-0000F9030000}"/>
    <cellStyle name="Currency 6 3 4 3 2" xfId="9788" xr:uid="{71286EF2-22BF-4D42-9E53-39D71B1F94C0}"/>
    <cellStyle name="Currency 6 3 4 3 2 2" xfId="32318" xr:uid="{1FF7EC68-582A-4FD7-9DE4-401C018D30F8}"/>
    <cellStyle name="Currency 6 3 4 3 3" xfId="26170" xr:uid="{33B1CB87-1208-40F7-998E-2424C005FDBB}"/>
    <cellStyle name="Currency 6 3 4 4" xfId="7861" xr:uid="{E45CB797-3881-47CB-8414-610350190565}"/>
    <cellStyle name="Currency 6 3 4 4 2" xfId="30492" xr:uid="{103CA916-4695-43D3-B508-15BE14C02530}"/>
    <cellStyle name="Currency 6 3 4 5" xfId="24245" xr:uid="{99E71A00-4DBF-439E-8352-79B6072F7146}"/>
    <cellStyle name="Currency 6 3 5" xfId="929" xr:uid="{00000000-0005-0000-0000-0000FC030000}"/>
    <cellStyle name="Currency 6 3 5 2" xfId="1869" xr:uid="{00000000-0005-0000-0000-0000FD030000}"/>
    <cellStyle name="Currency 6 3 5 2 2" xfId="3967" xr:uid="{00000000-0005-0000-0000-0000FC030000}"/>
    <cellStyle name="Currency 6 3 5 2 2 2" xfId="10871" xr:uid="{520667E8-B00A-4FA0-BE83-BCA9EB0ABAA3}"/>
    <cellStyle name="Currency 6 3 5 2 2 2 2" xfId="33357" xr:uid="{07C2E29C-12D0-451D-93C1-5F0EF3531ACC}"/>
    <cellStyle name="Currency 6 3 5 2 2 3" xfId="27158" xr:uid="{9AC47080-91DA-483B-9FA4-77F2454F69C7}"/>
    <cellStyle name="Currency 6 3 5 2 3" xfId="8852" xr:uid="{01C0BFB4-3C9E-44A7-9D85-09DB0E61B467}"/>
    <cellStyle name="Currency 6 3 5 2 3 2" xfId="31433" xr:uid="{286289F1-4144-4DD1-95B6-7337207E71BA}"/>
    <cellStyle name="Currency 6 3 5 2 4" xfId="25265" xr:uid="{2E14043D-AE4D-4406-A13C-C1E8C3EE7357}"/>
    <cellStyle name="Currency 6 3 5 3" xfId="3058" xr:uid="{00000000-0005-0000-0000-0000FB030000}"/>
    <cellStyle name="Currency 6 3 5 3 2" xfId="9967" xr:uid="{F147E259-44C7-4C6E-A3A4-7D24EDB75A32}"/>
    <cellStyle name="Currency 6 3 5 3 2 2" xfId="32484" xr:uid="{E7E790A7-0113-4EC2-9231-4BE0BCBDFFD3}"/>
    <cellStyle name="Currency 6 3 5 3 3" xfId="26320" xr:uid="{E6526DE5-15DE-4BBB-94D1-BC395C746ECF}"/>
    <cellStyle name="Currency 6 3 5 4" xfId="8030" xr:uid="{6D4C100E-141F-47F6-A3F0-D7F22E117A5B}"/>
    <cellStyle name="Currency 6 3 5 4 2" xfId="30650" xr:uid="{1CF6E055-66BA-44DB-A08F-1427E64509E0}"/>
    <cellStyle name="Currency 6 3 5 5" xfId="24408" xr:uid="{61CCFDD8-5F15-4245-8FB5-21F500BC856F}"/>
    <cellStyle name="Currency 6 3 6" xfId="1112" xr:uid="{00000000-0005-0000-0000-0000FE030000}"/>
    <cellStyle name="Currency 6 3 6 2" xfId="1964" xr:uid="{00000000-0005-0000-0000-0000FF030000}"/>
    <cellStyle name="Currency 6 3 6 2 2" xfId="4060" xr:uid="{00000000-0005-0000-0000-0000FE030000}"/>
    <cellStyle name="Currency 6 3 6 2 2 2" xfId="10964" xr:uid="{9AA8D9CA-83EA-4904-9869-221362E9563D}"/>
    <cellStyle name="Currency 6 3 6 2 2 2 2" xfId="33450" xr:uid="{6C71AFB2-33EC-4950-B45B-3A838200305D}"/>
    <cellStyle name="Currency 6 3 6 2 2 3" xfId="27245" xr:uid="{70B66F01-AC39-4918-936A-0F235044FD92}"/>
    <cellStyle name="Currency 6 3 6 2 3" xfId="8922" xr:uid="{83957F36-4E8F-4AD2-9C8A-4B4F173B8BF9}"/>
    <cellStyle name="Currency 6 3 6 2 3 2" xfId="31501" xr:uid="{846934EA-44E5-4297-81F9-9CAE49EE584A}"/>
    <cellStyle name="Currency 6 3 6 2 4" xfId="25350" xr:uid="{B31856B6-188C-406F-A6FC-D27A4EAEB15E}"/>
    <cellStyle name="Currency 6 3 6 3" xfId="3230" xr:uid="{00000000-0005-0000-0000-0000FD030000}"/>
    <cellStyle name="Currency 6 3 6 3 2" xfId="10138" xr:uid="{5C764814-6246-4912-BF42-7E7F6DA9DDC3}"/>
    <cellStyle name="Currency 6 3 6 3 2 2" xfId="32639" xr:uid="{CEDA4F7B-70D9-43BA-9A60-DCEB68F5D867}"/>
    <cellStyle name="Currency 6 3 6 3 3" xfId="26472" xr:uid="{6181DA27-2734-49B1-AB19-C52FDE631499}"/>
    <cellStyle name="Currency 6 3 6 4" xfId="8194" xr:uid="{FC2C3A54-BBBA-4BC3-BD71-970AD56A61C8}"/>
    <cellStyle name="Currency 6 3 6 4 2" xfId="30803" xr:uid="{09799063-0C4F-49A5-AADA-3552CA446427}"/>
    <cellStyle name="Currency 6 3 6 5" xfId="24572" xr:uid="{759E38C7-9E30-4127-82DE-FF080DF51E5C}"/>
    <cellStyle name="Currency 6 3 7" xfId="1285" xr:uid="{00000000-0005-0000-0000-000000040000}"/>
    <cellStyle name="Currency 6 3 7 2" xfId="2054" xr:uid="{00000000-0005-0000-0000-000001040000}"/>
    <cellStyle name="Currency 6 3 7 2 2" xfId="4149" xr:uid="{00000000-0005-0000-0000-000000040000}"/>
    <cellStyle name="Currency 6 3 7 2 2 2" xfId="11053" xr:uid="{3F0FE36B-0B7F-40EE-A37F-B50E410F89EB}"/>
    <cellStyle name="Currency 6 3 7 2 2 2 2" xfId="33539" xr:uid="{39E70322-225B-4E8D-A13F-96110428EC0E}"/>
    <cellStyle name="Currency 6 3 7 2 2 3" xfId="27327" xr:uid="{806B559A-0B2B-468F-939B-E2E8D77E0064}"/>
    <cellStyle name="Currency 6 3 7 2 3" xfId="8993" xr:uid="{25E93A83-3E20-4C8F-8041-467400012D3B}"/>
    <cellStyle name="Currency 6 3 7 2 3 2" xfId="31571" xr:uid="{D1853CAE-377E-415C-943B-972D52889443}"/>
    <cellStyle name="Currency 6 3 7 2 4" xfId="25434" xr:uid="{D6922A87-72C7-439C-8770-F3F7B6E90C85}"/>
    <cellStyle name="Currency 6 3 7 3" xfId="3393" xr:uid="{00000000-0005-0000-0000-0000FF030000}"/>
    <cellStyle name="Currency 6 3 7 3 2" xfId="10301" xr:uid="{ADD0E211-17A8-4A86-8E68-6063D59B5C14}"/>
    <cellStyle name="Currency 6 3 7 3 2 2" xfId="32793" xr:uid="{0BA3D2A9-CFDE-4990-80B6-1FE9259687FB}"/>
    <cellStyle name="Currency 6 3 7 3 3" xfId="26620" xr:uid="{BD4B14D2-ED39-4C70-B261-89448E9AF572}"/>
    <cellStyle name="Currency 6 3 7 4" xfId="8351" xr:uid="{9315BE58-C536-4132-94EE-CBA32D432636}"/>
    <cellStyle name="Currency 6 3 7 4 2" xfId="30945" xr:uid="{DA54E2C7-9F83-4432-8A67-F28D7967E720}"/>
    <cellStyle name="Currency 6 3 7 5" xfId="24719" xr:uid="{060903DA-0685-4137-A615-AE1ECEB2FE67}"/>
    <cellStyle name="Currency 6 3 8" xfId="1417" xr:uid="{00000000-0005-0000-0000-000002040000}"/>
    <cellStyle name="Currency 6 3 8 2" xfId="2146" xr:uid="{00000000-0005-0000-0000-000003040000}"/>
    <cellStyle name="Currency 6 3 8 2 2" xfId="4239" xr:uid="{00000000-0005-0000-0000-000002040000}"/>
    <cellStyle name="Currency 6 3 8 2 2 2" xfId="11143" xr:uid="{A59C7D16-5AF9-4BD2-B0A6-77D385FD45F8}"/>
    <cellStyle name="Currency 6 3 8 2 2 2 2" xfId="33629" xr:uid="{2C427A56-5018-4E29-9222-EE7BB46D9073}"/>
    <cellStyle name="Currency 6 3 8 2 2 3" xfId="27411" xr:uid="{5DFF81E7-8DAC-46D7-951E-C28169DE51DF}"/>
    <cellStyle name="Currency 6 3 8 2 3" xfId="9063" xr:uid="{1E03ABBB-763B-4550-AEE2-FC619D04F233}"/>
    <cellStyle name="Currency 6 3 8 2 3 2" xfId="31639" xr:uid="{868F1448-0862-44E5-9BB6-2928F6347570}"/>
    <cellStyle name="Currency 6 3 8 2 4" xfId="25516" xr:uid="{C3FF3A7E-3F7D-4AC8-8E3D-8927D9AA9476}"/>
    <cellStyle name="Currency 6 3 8 3" xfId="3518" xr:uid="{00000000-0005-0000-0000-000001040000}"/>
    <cellStyle name="Currency 6 3 8 3 2" xfId="10425" xr:uid="{B5F74082-023B-4850-8696-5CBB37A68CBC}"/>
    <cellStyle name="Currency 6 3 8 3 2 2" xfId="32912" xr:uid="{A0AE40AF-60E8-4C34-B9CF-A073669E7D1F}"/>
    <cellStyle name="Currency 6 3 8 3 3" xfId="26731" xr:uid="{1B7E0780-5B72-426E-A2DF-2E6E905373EE}"/>
    <cellStyle name="Currency 6 3 8 4" xfId="8460" xr:uid="{0BA63958-7D8C-4F38-BA02-FE8BA0B81CE9}"/>
    <cellStyle name="Currency 6 3 8 4 2" xfId="31047" xr:uid="{33E6A8A9-DAC0-48D8-8F4A-E9B3596E8B85}"/>
    <cellStyle name="Currency 6 3 8 5" xfId="24840" xr:uid="{B20770CB-C596-4CCB-9147-C22E76EC413C}"/>
    <cellStyle name="Currency 6 3 9" xfId="1484" xr:uid="{00000000-0005-0000-0000-000004040000}"/>
    <cellStyle name="Currency 6 3 9 2" xfId="2211" xr:uid="{00000000-0005-0000-0000-000005040000}"/>
    <cellStyle name="Currency 6 3 9 2 2" xfId="4304" xr:uid="{00000000-0005-0000-0000-000004040000}"/>
    <cellStyle name="Currency 6 3 9 2 2 2" xfId="11208" xr:uid="{68C9B2F1-6990-4EDB-B63B-43902BB5F453}"/>
    <cellStyle name="Currency 6 3 9 2 2 2 2" xfId="33694" xr:uid="{43138B08-FBA3-46DF-8702-D7B50D1720AE}"/>
    <cellStyle name="Currency 6 3 9 2 2 3" xfId="27476" xr:uid="{2047C833-A1C7-41F8-B21D-F039D1AF7C91}"/>
    <cellStyle name="Currency 6 3 9 2 3" xfId="9124" xr:uid="{0CDCF6EC-A662-412B-913C-31B86AC01294}"/>
    <cellStyle name="Currency 6 3 9 2 3 2" xfId="31700" xr:uid="{6767CCB4-A741-47B3-BBD7-F21D8FD3F38B}"/>
    <cellStyle name="Currency 6 3 9 2 4" xfId="25579" xr:uid="{B213C9FC-FD80-447E-962B-2ADCD0D19705}"/>
    <cellStyle name="Currency 6 3 9 3" xfId="3585" xr:uid="{00000000-0005-0000-0000-000003040000}"/>
    <cellStyle name="Currency 6 3 9 3 2" xfId="10490" xr:uid="{2E709FB2-47AD-4194-89F9-4232A6B7D3FF}"/>
    <cellStyle name="Currency 6 3 9 3 2 2" xfId="32977" xr:uid="{EEABC980-B216-49E9-84E6-ED370E1E2805}"/>
    <cellStyle name="Currency 6 3 9 3 3" xfId="26798" xr:uid="{5A632047-A09B-4B3B-95D6-C020F4398AFF}"/>
    <cellStyle name="Currency 6 3 9 4" xfId="8526" xr:uid="{78B315CF-92D8-4C36-8BB3-5D5595694A26}"/>
    <cellStyle name="Currency 6 3 9 4 2" xfId="31113" xr:uid="{536A91EF-886A-41A3-B030-3DB3AB0D86DF}"/>
    <cellStyle name="Currency 6 3 9 5" xfId="24906" xr:uid="{0833F287-F9B2-4963-BD70-F20C132C3111}"/>
    <cellStyle name="Currency 6 4" xfId="166" xr:uid="{00000000-0005-0000-0000-000006040000}"/>
    <cellStyle name="Currency 6 4 10" xfId="1547" xr:uid="{00000000-0005-0000-0000-000007040000}"/>
    <cellStyle name="Currency 6 4 10 2" xfId="3648" xr:uid="{00000000-0005-0000-0000-000006040000}"/>
    <cellStyle name="Currency 6 4 10 2 2" xfId="10552" xr:uid="{115DC986-EBA4-4FE7-897E-E699C92564A6}"/>
    <cellStyle name="Currency 6 4 10 2 2 2" xfId="33038" xr:uid="{0D79C3D3-6B54-418A-ACF5-6CBF3A9A887A}"/>
    <cellStyle name="Currency 6 4 10 2 3" xfId="26859" xr:uid="{237B692B-59F1-454F-93AA-727EA421D99C}"/>
    <cellStyle name="Currency 6 4 10 3" xfId="8584" xr:uid="{A866CBA6-E537-4D31-93BA-9ACF902F600B}"/>
    <cellStyle name="Currency 6 4 10 3 2" xfId="31171" xr:uid="{F36E860F-95BB-4A74-864B-5C68F041C145}"/>
    <cellStyle name="Currency 6 4 10 4" xfId="24969" xr:uid="{89C42877-D0BD-4C96-BC4D-85F428EB38B2}"/>
    <cellStyle name="Currency 6 4 11" xfId="2352" xr:uid="{00000000-0005-0000-0000-000005040000}"/>
    <cellStyle name="Currency 6 4 11 2" xfId="9261" xr:uid="{88227B12-DFB2-4157-9860-120B91B2BA37}"/>
    <cellStyle name="Currency 6 4 11 2 2" xfId="31836" xr:uid="{6682F8F0-F0B3-4D61-9F33-02D07B43CC69}"/>
    <cellStyle name="Currency 6 4 11 3" xfId="25708" xr:uid="{A10FBDB9-FE90-4988-94D9-1DDBED736646}"/>
    <cellStyle name="Currency 6 4 12" xfId="7347" xr:uid="{1D897692-592F-41F2-9FEE-DF90B338C102}"/>
    <cellStyle name="Currency 6 4 12 2" xfId="30033" xr:uid="{814E5270-8445-4E8F-AA93-49EEA82F83F7}"/>
    <cellStyle name="Currency 6 4 13" xfId="23740" xr:uid="{C5727848-B515-415D-967A-6A24EA924CD3}"/>
    <cellStyle name="Currency 6 4 2" xfId="367" xr:uid="{00000000-0005-0000-0000-000008040000}"/>
    <cellStyle name="Currency 6 4 2 2" xfId="1603" xr:uid="{00000000-0005-0000-0000-000009040000}"/>
    <cellStyle name="Currency 6 4 2 2 2" xfId="3704" xr:uid="{00000000-0005-0000-0000-000008040000}"/>
    <cellStyle name="Currency 6 4 2 2 2 2" xfId="10608" xr:uid="{CA0C0DF3-FBD8-4D9F-ABBE-CA69A1CCD3E7}"/>
    <cellStyle name="Currency 6 4 2 2 2 2 2" xfId="33094" xr:uid="{4077D444-9141-46B8-B22F-770254C0BF56}"/>
    <cellStyle name="Currency 6 4 2 2 2 3" xfId="26915" xr:uid="{12C1BAB5-34D4-4D5E-9695-4433FFB0075A}"/>
    <cellStyle name="Currency 6 4 2 2 3" xfId="8638" xr:uid="{DF2BC869-DE02-469D-AAFE-A97E02F5089F}"/>
    <cellStyle name="Currency 6 4 2 2 3 2" xfId="31224" xr:uid="{58DE726C-3ADC-4FE0-B829-6BF972636959}"/>
    <cellStyle name="Currency 6 4 2 2 4" xfId="25024" xr:uid="{24249E61-AADB-45CB-8A63-11299585F447}"/>
    <cellStyle name="Currency 6 4 2 3" xfId="2527" xr:uid="{00000000-0005-0000-0000-000007040000}"/>
    <cellStyle name="Currency 6 4 2 3 2" xfId="9436" xr:uid="{B93DA404-F7C3-4B99-B197-D811019F3200}"/>
    <cellStyle name="Currency 6 4 2 3 2 2" xfId="31993" xr:uid="{AFB90C87-3032-4541-9D6C-30B0FFA87A19}"/>
    <cellStyle name="Currency 6 4 2 3 3" xfId="25856" xr:uid="{864CE92C-D0BC-4477-AF47-607B557B9DCB}"/>
    <cellStyle name="Currency 6 4 2 4" xfId="7530" xr:uid="{5DB1D348-3FBD-46E7-9D7A-D3F3892EBC37}"/>
    <cellStyle name="Currency 6 4 2 4 2" xfId="30195" xr:uid="{E6D5F7AE-C99B-4C16-A835-B70C2ED49F53}"/>
    <cellStyle name="Currency 6 4 2 5" xfId="23915" xr:uid="{B8D5589D-9908-45E5-A4F3-0260D321A94B}"/>
    <cellStyle name="Currency 6 4 3" xfId="526" xr:uid="{00000000-0005-0000-0000-00000A040000}"/>
    <cellStyle name="Currency 6 4 3 2" xfId="1688" xr:uid="{00000000-0005-0000-0000-00000B040000}"/>
    <cellStyle name="Currency 6 4 3 2 2" xfId="3786" xr:uid="{00000000-0005-0000-0000-00000A040000}"/>
    <cellStyle name="Currency 6 4 3 2 2 2" xfId="10690" xr:uid="{6FC30F4D-42E5-4C34-860C-BBDE0D7021AD}"/>
    <cellStyle name="Currency 6 4 3 2 2 2 2" xfId="33176" xr:uid="{6FBED445-D112-4C8C-8B62-31FD975C8CF3}"/>
    <cellStyle name="Currency 6 4 3 2 2 3" xfId="26993" xr:uid="{FF2480A0-E14C-4EA4-8000-B16B681DDCDC}"/>
    <cellStyle name="Currency 6 4 3 2 3" xfId="8703" xr:uid="{2F5A12EE-558F-4697-9A2F-0FDF4A96B092}"/>
    <cellStyle name="Currency 6 4 3 2 3 2" xfId="31288" xr:uid="{8EC2E211-4DF0-4835-AF6F-07ABEF322272}"/>
    <cellStyle name="Currency 6 4 3 2 4" xfId="25103" xr:uid="{48789DEE-E25B-4C77-8AF0-5F559A8D2F96}"/>
    <cellStyle name="Currency 6 4 3 3" xfId="2677" xr:uid="{00000000-0005-0000-0000-000009040000}"/>
    <cellStyle name="Currency 6 4 3 3 2" xfId="9586" xr:uid="{E0FAA71F-7765-4C2D-982F-12B18DA43696}"/>
    <cellStyle name="Currency 6 4 3 3 2 2" xfId="32136" xr:uid="{16F51930-B67C-4E4F-BE6E-EF549F74C001}"/>
    <cellStyle name="Currency 6 4 3 3 3" xfId="25989" xr:uid="{EB8D5EAA-AC11-4306-8B84-BDF448ED778E}"/>
    <cellStyle name="Currency 6 4 3 4" xfId="7669" xr:uid="{6573452B-F03D-4E4C-A26B-B0ED6B5C3224}"/>
    <cellStyle name="Currency 6 4 3 4 2" xfId="30322" xr:uid="{A6D7E756-1805-4E1E-9ECC-A0298965F546}"/>
    <cellStyle name="Currency 6 4 3 5" xfId="24057" xr:uid="{E56628A5-EC55-48E3-97B8-6E2439FE4370}"/>
    <cellStyle name="Currency 6 4 4" xfId="759" xr:uid="{00000000-0005-0000-0000-00000C040000}"/>
    <cellStyle name="Currency 6 4 4 2" xfId="1785" xr:uid="{00000000-0005-0000-0000-00000D040000}"/>
    <cellStyle name="Currency 6 4 4 2 2" xfId="3883" xr:uid="{00000000-0005-0000-0000-00000C040000}"/>
    <cellStyle name="Currency 6 4 4 2 2 2" xfId="10787" xr:uid="{D5505216-9DAC-444F-B107-CCC2A7D375E9}"/>
    <cellStyle name="Currency 6 4 4 2 2 2 2" xfId="33273" xr:uid="{2B60B18F-A3FB-4048-8410-CB2689631ED2}"/>
    <cellStyle name="Currency 6 4 4 2 2 3" xfId="27082" xr:uid="{004DCF13-C508-474D-8715-7564C8F19D71}"/>
    <cellStyle name="Currency 6 4 4 2 3" xfId="8785" xr:uid="{E9443F89-840E-4AF6-B3AE-9D2DD59016EF}"/>
    <cellStyle name="Currency 6 4 4 2 3 2" xfId="31368" xr:uid="{B9D85E30-43C7-45BD-80F8-4ED072CA3915}"/>
    <cellStyle name="Currency 6 4 4 2 4" xfId="25191" xr:uid="{99EEB70A-D6B5-4326-A7BD-818237CF292D}"/>
    <cellStyle name="Currency 6 4 4 3" xfId="2898" xr:uid="{00000000-0005-0000-0000-00000B040000}"/>
    <cellStyle name="Currency 6 4 4 3 2" xfId="9807" xr:uid="{D29F2F74-0781-4258-AD1B-6683D6186DC9}"/>
    <cellStyle name="Currency 6 4 4 3 2 2" xfId="32335" xr:uid="{6B012EF5-515B-4280-BE42-41A25C91D96A}"/>
    <cellStyle name="Currency 6 4 4 3 3" xfId="26189" xr:uid="{B8C5A514-9746-4528-8B22-9789955DFF01}"/>
    <cellStyle name="Currency 6 4 4 4" xfId="7881" xr:uid="{F021D607-EFA5-48EE-A924-4186D3EB3465}"/>
    <cellStyle name="Currency 6 4 4 4 2" xfId="30511" xr:uid="{32A63E45-BAFF-468F-8A21-64E0A078848E}"/>
    <cellStyle name="Currency 6 4 4 5" xfId="24260" xr:uid="{CF00FFBC-6A2C-460D-A713-B8A12D189C0E}"/>
    <cellStyle name="Currency 6 4 5" xfId="948" xr:uid="{00000000-0005-0000-0000-00000E040000}"/>
    <cellStyle name="Currency 6 4 5 2" xfId="1874" xr:uid="{00000000-0005-0000-0000-00000F040000}"/>
    <cellStyle name="Currency 6 4 5 2 2" xfId="3972" xr:uid="{00000000-0005-0000-0000-00000E040000}"/>
    <cellStyle name="Currency 6 4 5 2 2 2" xfId="10876" xr:uid="{9BAD8A93-0CA1-442A-9292-EB4399818AC8}"/>
    <cellStyle name="Currency 6 4 5 2 2 2 2" xfId="33362" xr:uid="{609F8924-3EBE-4E42-914D-2398D0A7B191}"/>
    <cellStyle name="Currency 6 4 5 2 2 3" xfId="27163" xr:uid="{FB197DB9-D841-4936-AB7A-4DB7BE0B9C85}"/>
    <cellStyle name="Currency 6 4 5 2 3" xfId="8857" xr:uid="{DB291689-B2C2-4ED8-9D7A-50364599A2B8}"/>
    <cellStyle name="Currency 6 4 5 2 3 2" xfId="31438" xr:uid="{52C24A23-B13A-4229-8418-BF8CB42D945F}"/>
    <cellStyle name="Currency 6 4 5 2 4" xfId="25270" xr:uid="{D29B7CA0-7DB9-4793-9582-81F5B5A1D63A}"/>
    <cellStyle name="Currency 6 4 5 3" xfId="3077" xr:uid="{00000000-0005-0000-0000-00000D040000}"/>
    <cellStyle name="Currency 6 4 5 3 2" xfId="9986" xr:uid="{079511ED-FE07-4654-AB78-A0F174B489D7}"/>
    <cellStyle name="Currency 6 4 5 3 2 2" xfId="32503" xr:uid="{02ACB194-1C75-4A8D-97D6-79CB22BBB952}"/>
    <cellStyle name="Currency 6 4 5 3 3" xfId="26336" xr:uid="{C2F4CA2E-BB20-4E5C-A62A-3D09FC8D849D}"/>
    <cellStyle name="Currency 6 4 5 4" xfId="8049" xr:uid="{BAB0806D-D447-4E29-B77D-1664C746E922}"/>
    <cellStyle name="Currency 6 4 5 4 2" xfId="30667" xr:uid="{219C6C91-A6A7-460C-97E2-D226B73FD2F0}"/>
    <cellStyle name="Currency 6 4 5 5" xfId="24426" xr:uid="{9D9A100E-F0E1-43E2-8F27-F5EB12719888}"/>
    <cellStyle name="Currency 6 4 6" xfId="1131" xr:uid="{00000000-0005-0000-0000-000010040000}"/>
    <cellStyle name="Currency 6 4 6 2" xfId="1969" xr:uid="{00000000-0005-0000-0000-000011040000}"/>
    <cellStyle name="Currency 6 4 6 2 2" xfId="4065" xr:uid="{00000000-0005-0000-0000-000010040000}"/>
    <cellStyle name="Currency 6 4 6 2 2 2" xfId="10969" xr:uid="{E99AD2FB-1D9C-4BB3-9227-D19E095EF232}"/>
    <cellStyle name="Currency 6 4 6 2 2 2 2" xfId="33455" xr:uid="{85A94C01-A267-4899-B116-1B5461D35405}"/>
    <cellStyle name="Currency 6 4 6 2 2 3" xfId="27250" xr:uid="{3A4FA3E2-C37F-4626-8DD1-9CBEA0ADE7F5}"/>
    <cellStyle name="Currency 6 4 6 2 3" xfId="8927" xr:uid="{C4F84D3E-C57F-4077-8EF2-38883A9762B6}"/>
    <cellStyle name="Currency 6 4 6 2 3 2" xfId="31506" xr:uid="{BC28AACD-870B-4CE1-AAB7-5C7AA7D55947}"/>
    <cellStyle name="Currency 6 4 6 2 4" xfId="25355" xr:uid="{B1A6D610-53C8-4686-B4AC-56C94343AE02}"/>
    <cellStyle name="Currency 6 4 6 3" xfId="3249" xr:uid="{00000000-0005-0000-0000-00000F040000}"/>
    <cellStyle name="Currency 6 4 6 3 2" xfId="10157" xr:uid="{AB2C37FA-8B2F-4A71-BD49-F304FD52E456}"/>
    <cellStyle name="Currency 6 4 6 3 2 2" xfId="32656" xr:uid="{E4A8283B-9566-4D19-8FCA-E054153C1C21}"/>
    <cellStyle name="Currency 6 4 6 3 3" xfId="26488" xr:uid="{66159BA4-BE1C-4277-84D8-DE9DC0032013}"/>
    <cellStyle name="Currency 6 4 6 4" xfId="8213" xr:uid="{E2E54F55-A037-48D6-905B-B3B8BD6C1BC5}"/>
    <cellStyle name="Currency 6 4 6 4 2" xfId="30821" xr:uid="{BEA9F588-24E6-4293-8B9F-92A7FF9F84B1}"/>
    <cellStyle name="Currency 6 4 6 5" xfId="24590" xr:uid="{CD2490CB-EB22-48AB-8014-6508E6B91D15}"/>
    <cellStyle name="Currency 6 4 7" xfId="1302" xr:uid="{00000000-0005-0000-0000-000012040000}"/>
    <cellStyle name="Currency 6 4 7 2" xfId="2059" xr:uid="{00000000-0005-0000-0000-000013040000}"/>
    <cellStyle name="Currency 6 4 7 2 2" xfId="4154" xr:uid="{00000000-0005-0000-0000-000012040000}"/>
    <cellStyle name="Currency 6 4 7 2 2 2" xfId="11058" xr:uid="{9BDEEA51-258B-4794-8071-F25D614F522B}"/>
    <cellStyle name="Currency 6 4 7 2 2 2 2" xfId="33544" xr:uid="{AEF9B27D-0B99-4E4F-B083-F239AA62F005}"/>
    <cellStyle name="Currency 6 4 7 2 2 3" xfId="27332" xr:uid="{57787AC3-BA8E-488E-B969-95A531BC3C7B}"/>
    <cellStyle name="Currency 6 4 7 2 3" xfId="8998" xr:uid="{F6EF5308-4107-47E6-B6A3-01A2BBA01EEE}"/>
    <cellStyle name="Currency 6 4 7 2 3 2" xfId="31576" xr:uid="{1DB944FC-E030-4967-BA35-D59A74D7BAE7}"/>
    <cellStyle name="Currency 6 4 7 2 4" xfId="25439" xr:uid="{7A4CFAE4-BBD3-4C86-BCFD-8D6141C89F3B}"/>
    <cellStyle name="Currency 6 4 7 3" xfId="3410" xr:uid="{00000000-0005-0000-0000-000011040000}"/>
    <cellStyle name="Currency 6 4 7 3 2" xfId="10318" xr:uid="{ADEF9AAF-2658-452B-A4C7-5F5ADB97DF3D}"/>
    <cellStyle name="Currency 6 4 7 3 2 2" xfId="32809" xr:uid="{0E0E7B3D-6FFA-4590-8DDA-8C2B4DF04C6F}"/>
    <cellStyle name="Currency 6 4 7 3 3" xfId="26635" xr:uid="{A128DCA1-3E5A-4B6F-B680-ABFF209B5721}"/>
    <cellStyle name="Currency 6 4 7 4" xfId="8368" xr:uid="{1801780C-EE12-4BD2-B2D5-09FD304DE486}"/>
    <cellStyle name="Currency 6 4 7 4 2" xfId="30960" xr:uid="{4C2A921F-9131-4E5F-B5AA-49D3BCD3164F}"/>
    <cellStyle name="Currency 6 4 7 5" xfId="24734" xr:uid="{A40567F4-B90B-4F72-9D37-95840C32D53B}"/>
    <cellStyle name="Currency 6 4 8" xfId="1448" xr:uid="{00000000-0005-0000-0000-000014040000}"/>
    <cellStyle name="Currency 6 4 8 2" xfId="2176" xr:uid="{00000000-0005-0000-0000-000015040000}"/>
    <cellStyle name="Currency 6 4 8 2 2" xfId="4269" xr:uid="{00000000-0005-0000-0000-000014040000}"/>
    <cellStyle name="Currency 6 4 8 2 2 2" xfId="11173" xr:uid="{BF2D59FC-4E38-4CED-B34A-CA67807ED549}"/>
    <cellStyle name="Currency 6 4 8 2 2 2 2" xfId="33659" xr:uid="{6A44C0A2-102D-48C3-BF04-627A237AC6F4}"/>
    <cellStyle name="Currency 6 4 8 2 2 3" xfId="27441" xr:uid="{9F2A5FED-38E6-45DD-B2F4-CC8BDC8DBF48}"/>
    <cellStyle name="Currency 6 4 8 2 3" xfId="9093" xr:uid="{E2551E91-9031-438C-A148-B14725E96338}"/>
    <cellStyle name="Currency 6 4 8 2 3 2" xfId="31669" xr:uid="{DBB3ECA7-8172-4599-8FA5-404A6FAF8CDB}"/>
    <cellStyle name="Currency 6 4 8 2 4" xfId="25546" xr:uid="{6E39A50E-D673-48D1-AB4E-335752865D82}"/>
    <cellStyle name="Currency 6 4 8 3" xfId="3549" xr:uid="{00000000-0005-0000-0000-000013040000}"/>
    <cellStyle name="Currency 6 4 8 3 2" xfId="10455" xr:uid="{9D62528A-18F2-4D1F-948D-46E18D3A8BFB}"/>
    <cellStyle name="Currency 6 4 8 3 2 2" xfId="32942" xr:uid="{B2055877-BA1D-43D8-85CE-3D9CFD810491}"/>
    <cellStyle name="Currency 6 4 8 3 3" xfId="26762" xr:uid="{19A895F7-7142-42A0-A23F-692ECFFE3EDB}"/>
    <cellStyle name="Currency 6 4 8 4" xfId="8491" xr:uid="{A23086AE-5AF8-4C4E-AD50-E47EADE7E6BD}"/>
    <cellStyle name="Currency 6 4 8 4 2" xfId="31078" xr:uid="{E23C8CDF-8FB8-4741-A0EB-FBD8FDFFD275}"/>
    <cellStyle name="Currency 6 4 8 5" xfId="24871" xr:uid="{85F6C659-57D5-4C1E-8ABB-B95CEFDBFE0E}"/>
    <cellStyle name="Currency 6 4 9" xfId="1489" xr:uid="{00000000-0005-0000-0000-000016040000}"/>
    <cellStyle name="Currency 6 4 9 2" xfId="2216" xr:uid="{00000000-0005-0000-0000-000017040000}"/>
    <cellStyle name="Currency 6 4 9 2 2" xfId="4309" xr:uid="{00000000-0005-0000-0000-000016040000}"/>
    <cellStyle name="Currency 6 4 9 2 2 2" xfId="11213" xr:uid="{FEBBC4FE-8E37-4FE8-A208-123D5D7E8D30}"/>
    <cellStyle name="Currency 6 4 9 2 2 2 2" xfId="33699" xr:uid="{67B6170F-49DD-4D9B-8D57-9742A1865093}"/>
    <cellStyle name="Currency 6 4 9 2 2 3" xfId="27481" xr:uid="{053476CF-D8A1-4C10-97EE-B815E0A0174A}"/>
    <cellStyle name="Currency 6 4 9 2 3" xfId="9129" xr:uid="{D5AE0155-0CB7-4DD4-916C-9195F228FF7B}"/>
    <cellStyle name="Currency 6 4 9 2 3 2" xfId="31705" xr:uid="{6A11B945-E45D-4D68-9653-AF2735970D0A}"/>
    <cellStyle name="Currency 6 4 9 2 4" xfId="25584" xr:uid="{790812E7-3FAC-42A7-A8ED-2AF18DAFB437}"/>
    <cellStyle name="Currency 6 4 9 3" xfId="3590" xr:uid="{00000000-0005-0000-0000-000015040000}"/>
    <cellStyle name="Currency 6 4 9 3 2" xfId="10495" xr:uid="{DC40593B-273A-4B60-BC7D-B05BD1272CA8}"/>
    <cellStyle name="Currency 6 4 9 3 2 2" xfId="32982" xr:uid="{3DA35D14-218F-42E6-B22C-00EFCCBBF794}"/>
    <cellStyle name="Currency 6 4 9 3 3" xfId="26803" xr:uid="{50FB0EB6-624B-4E1E-BB3D-A234DA946E79}"/>
    <cellStyle name="Currency 6 4 9 4" xfId="8531" xr:uid="{F7DB6BA4-434B-4E23-A2CA-4B0B6A0E3A5C}"/>
    <cellStyle name="Currency 6 4 9 4 2" xfId="31118" xr:uid="{A5013F6A-DDC1-4540-B6C9-0A9EBFB32485}"/>
    <cellStyle name="Currency 6 4 9 5" xfId="24911" xr:uid="{E4085471-11AA-450E-B8CC-CDFB408A2F03}"/>
    <cellStyle name="Currency 6 5" xfId="187" xr:uid="{00000000-0005-0000-0000-000018040000}"/>
    <cellStyle name="Currency 6 5 10" xfId="1552" xr:uid="{00000000-0005-0000-0000-000019040000}"/>
    <cellStyle name="Currency 6 5 10 2" xfId="3653" xr:uid="{00000000-0005-0000-0000-000018040000}"/>
    <cellStyle name="Currency 6 5 10 2 2" xfId="10557" xr:uid="{2B3FFFB8-48E6-43CF-B45B-46D1E74A57E2}"/>
    <cellStyle name="Currency 6 5 10 2 2 2" xfId="33043" xr:uid="{FA1D72AF-8E1B-4F04-9AD0-2F12CC87F223}"/>
    <cellStyle name="Currency 6 5 10 2 3" xfId="26864" xr:uid="{47977351-F6F6-4A36-8CE3-A60A738DB337}"/>
    <cellStyle name="Currency 6 5 10 3" xfId="8589" xr:uid="{8E80C16E-C552-46E3-B55B-62F4D16EC05E}"/>
    <cellStyle name="Currency 6 5 10 3 2" xfId="31176" xr:uid="{EDF82D77-976C-4D88-B713-1FF753D4ED63}"/>
    <cellStyle name="Currency 6 5 10 4" xfId="24974" xr:uid="{04E93E57-C984-43B6-9563-4C79E48E8BE7}"/>
    <cellStyle name="Currency 6 5 11" xfId="2364" xr:uid="{00000000-0005-0000-0000-000017040000}"/>
    <cellStyle name="Currency 6 5 11 2" xfId="9273" xr:uid="{E59EFF6E-F6C7-42AB-88A0-77CD06AA373A}"/>
    <cellStyle name="Currency 6 5 11 2 2" xfId="31848" xr:uid="{1DB7EF49-3EC6-48BB-8978-9001A41AB0F9}"/>
    <cellStyle name="Currency 6 5 11 3" xfId="25720" xr:uid="{9BD0AF84-F551-42D8-8675-F8529431B008}"/>
    <cellStyle name="Currency 6 5 12" xfId="7363" xr:uid="{26BE10B9-1CBD-4BA1-8700-2D0ED1B38DAD}"/>
    <cellStyle name="Currency 6 5 12 2" xfId="30048" xr:uid="{BD12C594-822B-404D-BE6F-FD10A77475BC}"/>
    <cellStyle name="Currency 6 5 13" xfId="23760" xr:uid="{C8706BCE-5BFD-420B-8629-41A6A4D54260}"/>
    <cellStyle name="Currency 6 5 2" xfId="386" xr:uid="{00000000-0005-0000-0000-00001A040000}"/>
    <cellStyle name="Currency 6 5 2 2" xfId="1608" xr:uid="{00000000-0005-0000-0000-00001B040000}"/>
    <cellStyle name="Currency 6 5 2 2 2" xfId="3709" xr:uid="{00000000-0005-0000-0000-00001A040000}"/>
    <cellStyle name="Currency 6 5 2 2 2 2" xfId="10613" xr:uid="{E3F2AECF-42DB-4946-9140-5547C295814F}"/>
    <cellStyle name="Currency 6 5 2 2 2 2 2" xfId="33099" xr:uid="{6E6BB39E-06E2-4B1A-9279-5124DB98FF54}"/>
    <cellStyle name="Currency 6 5 2 2 2 3" xfId="26920" xr:uid="{62283BB7-3306-4F4D-91AA-A06BB1A445B8}"/>
    <cellStyle name="Currency 6 5 2 2 3" xfId="8643" xr:uid="{C130F96F-3130-498E-BD75-D653B9C52AC2}"/>
    <cellStyle name="Currency 6 5 2 2 3 2" xfId="31229" xr:uid="{B248FAE6-FECE-4E51-81DE-CD42DFCC7B98}"/>
    <cellStyle name="Currency 6 5 2 2 4" xfId="25029" xr:uid="{AF3E993C-ADC2-4F3C-80A9-7342A3E6D93F}"/>
    <cellStyle name="Currency 6 5 2 3" xfId="2545" xr:uid="{00000000-0005-0000-0000-000019040000}"/>
    <cellStyle name="Currency 6 5 2 3 2" xfId="9454" xr:uid="{C50768AE-9E3B-44E2-8E3B-8E82E8FE10AB}"/>
    <cellStyle name="Currency 6 5 2 3 2 2" xfId="32009" xr:uid="{809C718C-2AAA-4573-A4DF-4BFBC5230605}"/>
    <cellStyle name="Currency 6 5 2 3 3" xfId="25872" xr:uid="{0B7CA044-C2AA-4E0C-976B-A92C0A411EE8}"/>
    <cellStyle name="Currency 6 5 2 4" xfId="7549" xr:uid="{2DA42047-DB56-40C4-BC56-886A6AD19215}"/>
    <cellStyle name="Currency 6 5 2 4 2" xfId="30213" xr:uid="{18E44AB0-124B-4DF3-8573-925D8C18DE8B}"/>
    <cellStyle name="Currency 6 5 2 5" xfId="23933" xr:uid="{ACDBC71B-F58B-4D90-9167-52A0DB813CE8}"/>
    <cellStyle name="Currency 6 5 3" xfId="543" xr:uid="{00000000-0005-0000-0000-00001C040000}"/>
    <cellStyle name="Currency 6 5 3 2" xfId="1693" xr:uid="{00000000-0005-0000-0000-00001D040000}"/>
    <cellStyle name="Currency 6 5 3 2 2" xfId="3791" xr:uid="{00000000-0005-0000-0000-00001C040000}"/>
    <cellStyle name="Currency 6 5 3 2 2 2" xfId="10695" xr:uid="{BDA71319-B3E9-4155-8977-D275995072E5}"/>
    <cellStyle name="Currency 6 5 3 2 2 2 2" xfId="33181" xr:uid="{FCA4A274-01F1-485B-9464-CBA78B915684}"/>
    <cellStyle name="Currency 6 5 3 2 2 3" xfId="26998" xr:uid="{9A68B59D-77E4-4D75-86FB-76D09BB0600F}"/>
    <cellStyle name="Currency 6 5 3 2 3" xfId="8708" xr:uid="{AD8717EA-A7FF-464C-86C0-137B86274DF1}"/>
    <cellStyle name="Currency 6 5 3 2 3 2" xfId="31293" xr:uid="{BE81C652-7F3F-429B-8B1F-95E53F93D6F5}"/>
    <cellStyle name="Currency 6 5 3 2 4" xfId="25108" xr:uid="{5367ECD7-6B3A-46D7-8F31-E36BEC5EE53D}"/>
    <cellStyle name="Currency 6 5 3 3" xfId="2694" xr:uid="{00000000-0005-0000-0000-00001B040000}"/>
    <cellStyle name="Currency 6 5 3 3 2" xfId="9603" xr:uid="{2F2475F8-84FE-49C6-A782-EBFB84F2756D}"/>
    <cellStyle name="Currency 6 5 3 3 2 2" xfId="32152" xr:uid="{D31B2CCF-E1D4-4583-B0D2-DFE1209C18FF}"/>
    <cellStyle name="Currency 6 5 3 3 3" xfId="26004" xr:uid="{76C032D1-D3AE-47BA-B093-E799F47A4B01}"/>
    <cellStyle name="Currency 6 5 3 4" xfId="7686" xr:uid="{36FEF062-DD70-482C-900B-721FDDA1BAA1}"/>
    <cellStyle name="Currency 6 5 3 4 2" xfId="30336" xr:uid="{EC2EDC3F-7C60-4468-B40D-BB2DE80DD464}"/>
    <cellStyle name="Currency 6 5 3 5" xfId="24071" xr:uid="{5F5779A6-8E64-4751-8896-7ADD9EDE77CE}"/>
    <cellStyle name="Currency 6 5 4" xfId="779" xr:uid="{00000000-0005-0000-0000-00001E040000}"/>
    <cellStyle name="Currency 6 5 4 2" xfId="1790" xr:uid="{00000000-0005-0000-0000-00001F040000}"/>
    <cellStyle name="Currency 6 5 4 2 2" xfId="3888" xr:uid="{00000000-0005-0000-0000-00001E040000}"/>
    <cellStyle name="Currency 6 5 4 2 2 2" xfId="10792" xr:uid="{753DE6F9-D596-44D9-970E-1A6535CB174D}"/>
    <cellStyle name="Currency 6 5 4 2 2 2 2" xfId="33278" xr:uid="{688642EC-43DF-47B2-BD75-755BADCEFECA}"/>
    <cellStyle name="Currency 6 5 4 2 2 3" xfId="27087" xr:uid="{A7BFBB71-7EDE-42ED-93DD-D2702F61CECB}"/>
    <cellStyle name="Currency 6 5 4 2 3" xfId="8790" xr:uid="{018207F3-6F67-4945-82F6-B24F94ED6325}"/>
    <cellStyle name="Currency 6 5 4 2 3 2" xfId="31373" xr:uid="{9A76E038-DA86-41B8-AEDD-2B3B58592917}"/>
    <cellStyle name="Currency 6 5 4 2 4" xfId="25196" xr:uid="{09EA84DB-B79D-4CF2-8DD6-1218D1E8196A}"/>
    <cellStyle name="Currency 6 5 4 3" xfId="2918" xr:uid="{00000000-0005-0000-0000-00001D040000}"/>
    <cellStyle name="Currency 6 5 4 3 2" xfId="9827" xr:uid="{88AB53E3-7365-4B06-82CE-3E5FC6D992DF}"/>
    <cellStyle name="Currency 6 5 4 3 2 2" xfId="32352" xr:uid="{D49DFBCA-08CD-462B-AF1E-5EACFAC57A5F}"/>
    <cellStyle name="Currency 6 5 4 3 3" xfId="26207" xr:uid="{36BCAA6D-0BE7-4237-BDE1-5793897D7630}"/>
    <cellStyle name="Currency 6 5 4 4" xfId="7901" xr:uid="{E3B1447C-E120-4A91-B8FA-9CC1FECFF3F0}"/>
    <cellStyle name="Currency 6 5 4 4 2" xfId="30529" xr:uid="{BF33573C-BA2E-4FE5-ABDF-D01401FDFB31}"/>
    <cellStyle name="Currency 6 5 4 5" xfId="24278" xr:uid="{0678A8D4-B1E7-4FAA-ADB7-D51CB9E2743C}"/>
    <cellStyle name="Currency 6 5 5" xfId="967" xr:uid="{00000000-0005-0000-0000-000020040000}"/>
    <cellStyle name="Currency 6 5 5 2" xfId="1879" xr:uid="{00000000-0005-0000-0000-000021040000}"/>
    <cellStyle name="Currency 6 5 5 2 2" xfId="3977" xr:uid="{00000000-0005-0000-0000-000020040000}"/>
    <cellStyle name="Currency 6 5 5 2 2 2" xfId="10881" xr:uid="{7B8372E0-1AED-4FBB-B7A7-DC7D3FB4B5FE}"/>
    <cellStyle name="Currency 6 5 5 2 2 2 2" xfId="33367" xr:uid="{228D475C-194F-47A8-8327-E196D95E189D}"/>
    <cellStyle name="Currency 6 5 5 2 2 3" xfId="27168" xr:uid="{E0C49710-C44B-4025-8A78-D476DE0B0693}"/>
    <cellStyle name="Currency 6 5 5 2 3" xfId="8862" xr:uid="{11339F06-9766-429D-9EA3-E5BA2247DF5B}"/>
    <cellStyle name="Currency 6 5 5 2 3 2" xfId="31443" xr:uid="{DF6764AA-DBA3-4D04-B1B3-D70F1117104D}"/>
    <cellStyle name="Currency 6 5 5 2 4" xfId="25275" xr:uid="{E8FB6C90-8029-4882-85B8-87828E5158C8}"/>
    <cellStyle name="Currency 6 5 5 3" xfId="3096" xr:uid="{00000000-0005-0000-0000-00001F040000}"/>
    <cellStyle name="Currency 6 5 5 3 2" xfId="10005" xr:uid="{CC5A734C-D6FC-423C-B487-16450AAEEA43}"/>
    <cellStyle name="Currency 6 5 5 3 2 2" xfId="32516" xr:uid="{D1014759-4028-4DEE-BA36-3A6505003F15}"/>
    <cellStyle name="Currency 6 5 5 3 3" xfId="26355" xr:uid="{6EE3B58E-293A-43BE-88CD-5E46C54BED58}"/>
    <cellStyle name="Currency 6 5 5 4" xfId="8068" xr:uid="{8A667839-AE82-45EA-8938-373ED250111C}"/>
    <cellStyle name="Currency 6 5 5 4 2" xfId="30685" xr:uid="{1160ADCF-7E70-4436-A401-BB247B0C3D1D}"/>
    <cellStyle name="Currency 6 5 5 5" xfId="24445" xr:uid="{2B31980F-BB71-45E0-A0B0-90CFFB576210}"/>
    <cellStyle name="Currency 6 5 6" xfId="1150" xr:uid="{00000000-0005-0000-0000-000022040000}"/>
    <cellStyle name="Currency 6 5 6 2" xfId="1974" xr:uid="{00000000-0005-0000-0000-000023040000}"/>
    <cellStyle name="Currency 6 5 6 2 2" xfId="4070" xr:uid="{00000000-0005-0000-0000-000022040000}"/>
    <cellStyle name="Currency 6 5 6 2 2 2" xfId="10974" xr:uid="{1DF77E04-2EDF-433C-B3D5-96A8FC1287FF}"/>
    <cellStyle name="Currency 6 5 6 2 2 2 2" xfId="33460" xr:uid="{4582AFAE-0BA8-4E7C-BEC5-1FF75D000461}"/>
    <cellStyle name="Currency 6 5 6 2 2 3" xfId="27255" xr:uid="{4EEDCACE-9D3F-475C-99C3-3D9727D16285}"/>
    <cellStyle name="Currency 6 5 6 2 3" xfId="8932" xr:uid="{BEE0EBF1-AA1C-40E0-AD8E-525B73BE0CCF}"/>
    <cellStyle name="Currency 6 5 6 2 3 2" xfId="31511" xr:uid="{1194931C-74B2-43F3-8386-B2231455D868}"/>
    <cellStyle name="Currency 6 5 6 2 4" xfId="25360" xr:uid="{AC268F47-C715-416E-994F-995B7AD56743}"/>
    <cellStyle name="Currency 6 5 6 3" xfId="3268" xr:uid="{00000000-0005-0000-0000-000021040000}"/>
    <cellStyle name="Currency 6 5 6 3 2" xfId="10176" xr:uid="{53CD8CD1-3113-4865-9AEF-788C37D1880C}"/>
    <cellStyle name="Currency 6 5 6 3 2 2" xfId="32673" xr:uid="{BE6665F5-363C-44F9-BC0A-94F0756F9074}"/>
    <cellStyle name="Currency 6 5 6 3 3" xfId="26505" xr:uid="{E386D5AD-2089-42C6-950B-BEFB81E76017}"/>
    <cellStyle name="Currency 6 5 6 4" xfId="8232" xr:uid="{28B7D383-46E4-44BB-A8E2-B7A2848E20D2}"/>
    <cellStyle name="Currency 6 5 6 4 2" xfId="30837" xr:uid="{B8FD9BA7-BEA6-4103-BEB7-A6A80F0154A1}"/>
    <cellStyle name="Currency 6 5 6 5" xfId="24607" xr:uid="{9C1CDBE1-E1CD-45AB-A6D8-B2E6B341ED87}"/>
    <cellStyle name="Currency 6 5 7" xfId="1319" xr:uid="{00000000-0005-0000-0000-000024040000}"/>
    <cellStyle name="Currency 6 5 7 2" xfId="2064" xr:uid="{00000000-0005-0000-0000-000025040000}"/>
    <cellStyle name="Currency 6 5 7 2 2" xfId="4159" xr:uid="{00000000-0005-0000-0000-000024040000}"/>
    <cellStyle name="Currency 6 5 7 2 2 2" xfId="11063" xr:uid="{2505E4E0-92FB-495F-A08E-4F903E0A87D5}"/>
    <cellStyle name="Currency 6 5 7 2 2 2 2" xfId="33549" xr:uid="{32030E38-65B1-4A90-B5BF-9682F2AB87D5}"/>
    <cellStyle name="Currency 6 5 7 2 2 3" xfId="27337" xr:uid="{6F14BB0D-4E68-4BB7-963B-0E2E56F14A9E}"/>
    <cellStyle name="Currency 6 5 7 2 3" xfId="9003" xr:uid="{44EFCF82-DE38-4D27-8645-94813AFB7F79}"/>
    <cellStyle name="Currency 6 5 7 2 3 2" xfId="31581" xr:uid="{7463F255-7FCC-46EC-BB86-EB90B76A89EC}"/>
    <cellStyle name="Currency 6 5 7 2 4" xfId="25444" xr:uid="{90430565-9219-4DFD-AC6D-B72C69CD2E67}"/>
    <cellStyle name="Currency 6 5 7 3" xfId="3427" xr:uid="{00000000-0005-0000-0000-000023040000}"/>
    <cellStyle name="Currency 6 5 7 3 2" xfId="10335" xr:uid="{C4B53263-9C13-4C9D-A5A9-491AE87D3EBD}"/>
    <cellStyle name="Currency 6 5 7 3 2 2" xfId="32824" xr:uid="{B00A637A-27CE-44E9-B704-F3D2A2818F89}"/>
    <cellStyle name="Currency 6 5 7 3 3" xfId="26651" xr:uid="{5BF7C16B-EB42-4E9C-9FA0-3E1A81573E73}"/>
    <cellStyle name="Currency 6 5 7 4" xfId="8385" xr:uid="{5BF0713E-E7CD-4EEA-9539-7DF2823E4CA3}"/>
    <cellStyle name="Currency 6 5 7 4 2" xfId="30975" xr:uid="{49573B9E-0860-423A-91E8-F725CF72B964}"/>
    <cellStyle name="Currency 6 5 7 5" xfId="24749" xr:uid="{14F0F65B-4D7B-4BFA-8132-882F0B0A6E19}"/>
    <cellStyle name="Currency 6 5 8" xfId="1447" xr:uid="{00000000-0005-0000-0000-000026040000}"/>
    <cellStyle name="Currency 6 5 8 2" xfId="2175" xr:uid="{00000000-0005-0000-0000-000027040000}"/>
    <cellStyle name="Currency 6 5 8 2 2" xfId="4268" xr:uid="{00000000-0005-0000-0000-000026040000}"/>
    <cellStyle name="Currency 6 5 8 2 2 2" xfId="11172" xr:uid="{ED2B35C9-EB69-485B-A36F-9A7207B66B7A}"/>
    <cellStyle name="Currency 6 5 8 2 2 2 2" xfId="33658" xr:uid="{566614FE-651F-4B4F-AC50-C57EAB2FB130}"/>
    <cellStyle name="Currency 6 5 8 2 2 3" xfId="27440" xr:uid="{CC387168-4FC0-4BA2-84B0-7F61FE28C2B7}"/>
    <cellStyle name="Currency 6 5 8 2 3" xfId="9092" xr:uid="{B5475412-B73F-4FA3-9758-C83A858A5D28}"/>
    <cellStyle name="Currency 6 5 8 2 3 2" xfId="31668" xr:uid="{7D1F9694-5A66-41F4-9DC7-A17492F41016}"/>
    <cellStyle name="Currency 6 5 8 2 4" xfId="25545" xr:uid="{C372141C-3511-4640-9A88-EBD6A5CBF475}"/>
    <cellStyle name="Currency 6 5 8 3" xfId="3548" xr:uid="{00000000-0005-0000-0000-000025040000}"/>
    <cellStyle name="Currency 6 5 8 3 2" xfId="10454" xr:uid="{A2C03EF9-3F89-48A3-B7BE-FB62B1B58C6A}"/>
    <cellStyle name="Currency 6 5 8 3 2 2" xfId="32941" xr:uid="{01566760-D68A-410B-875A-6DFAEED0FCA1}"/>
    <cellStyle name="Currency 6 5 8 3 3" xfId="26761" xr:uid="{CF3F3343-DA9C-48C1-8152-CFA64A21DE13}"/>
    <cellStyle name="Currency 6 5 8 4" xfId="8490" xr:uid="{4585B234-B760-4272-ADEC-8CDC54984527}"/>
    <cellStyle name="Currency 6 5 8 4 2" xfId="31077" xr:uid="{7F4C0DBD-8DB5-491F-A32D-7441E6C9C538}"/>
    <cellStyle name="Currency 6 5 8 5" xfId="24870" xr:uid="{6901AB50-8532-4473-A305-68AAB3478484}"/>
    <cellStyle name="Currency 6 5 9" xfId="1494" xr:uid="{00000000-0005-0000-0000-000028040000}"/>
    <cellStyle name="Currency 6 5 9 2" xfId="2221" xr:uid="{00000000-0005-0000-0000-000029040000}"/>
    <cellStyle name="Currency 6 5 9 2 2" xfId="4314" xr:uid="{00000000-0005-0000-0000-000028040000}"/>
    <cellStyle name="Currency 6 5 9 2 2 2" xfId="11218" xr:uid="{785C55BD-58FF-4C59-887F-13FAB609C51C}"/>
    <cellStyle name="Currency 6 5 9 2 2 2 2" xfId="33704" xr:uid="{B5D18BBF-5430-4C99-8CCF-A5EE59DB9A6E}"/>
    <cellStyle name="Currency 6 5 9 2 2 3" xfId="27486" xr:uid="{622D8A9D-AFD0-4059-876A-9F964279BF06}"/>
    <cellStyle name="Currency 6 5 9 2 3" xfId="9134" xr:uid="{E55F30FD-439F-49E9-B526-9368F4105E8E}"/>
    <cellStyle name="Currency 6 5 9 2 3 2" xfId="31710" xr:uid="{06A881E6-9856-43D3-9145-3A8FB8CC51A5}"/>
    <cellStyle name="Currency 6 5 9 2 4" xfId="25589" xr:uid="{B73085B0-B411-4969-ABB6-01FD161ED995}"/>
    <cellStyle name="Currency 6 5 9 3" xfId="3595" xr:uid="{00000000-0005-0000-0000-000027040000}"/>
    <cellStyle name="Currency 6 5 9 3 2" xfId="10500" xr:uid="{432FBFAA-BEEF-472D-890C-254D38E5599A}"/>
    <cellStyle name="Currency 6 5 9 3 2 2" xfId="32987" xr:uid="{7F418EFC-E95D-4509-8EA5-BBADA972FCDC}"/>
    <cellStyle name="Currency 6 5 9 3 3" xfId="26808" xr:uid="{AD6B14A5-7AB9-4DE1-A1E5-1E6F1299C912}"/>
    <cellStyle name="Currency 6 5 9 4" xfId="8536" xr:uid="{8DBACE52-C22E-4F07-9584-79318AC74CCC}"/>
    <cellStyle name="Currency 6 5 9 4 2" xfId="31123" xr:uid="{D969E916-E922-45A2-B992-A48FF7F5B108}"/>
    <cellStyle name="Currency 6 5 9 5" xfId="24916" xr:uid="{838D77AD-6352-4C0E-B319-4D5BB7F40D01}"/>
    <cellStyle name="Currency 6 6" xfId="208" xr:uid="{00000000-0005-0000-0000-00002A040000}"/>
    <cellStyle name="Currency 6 6 10" xfId="1557" xr:uid="{00000000-0005-0000-0000-00002B040000}"/>
    <cellStyle name="Currency 6 6 10 2" xfId="3658" xr:uid="{00000000-0005-0000-0000-00002A040000}"/>
    <cellStyle name="Currency 6 6 10 2 2" xfId="10562" xr:uid="{2BDCEC91-7CB6-4F0A-BA12-A141904CE417}"/>
    <cellStyle name="Currency 6 6 10 2 2 2" xfId="33048" xr:uid="{46A10F8E-4C9A-43C9-960E-0276053CBC6B}"/>
    <cellStyle name="Currency 6 6 10 2 3" xfId="26869" xr:uid="{E97B4336-25EE-4499-B96A-AC889F100FFE}"/>
    <cellStyle name="Currency 6 6 10 3" xfId="8594" xr:uid="{BAB5ABC2-FACB-4E62-8381-1D8B59C0E6FB}"/>
    <cellStyle name="Currency 6 6 10 3 2" xfId="31181" xr:uid="{08199B03-B6B2-49C6-92CD-22A655485977}"/>
    <cellStyle name="Currency 6 6 10 4" xfId="24979" xr:uid="{2D45C971-B823-4B61-BEAB-D20D22C6E7CD}"/>
    <cellStyle name="Currency 6 6 11" xfId="2379" xr:uid="{00000000-0005-0000-0000-000029040000}"/>
    <cellStyle name="Currency 6 6 11 2" xfId="9288" xr:uid="{C1F8A762-70DF-4A25-B973-9956B6E6FB2F}"/>
    <cellStyle name="Currency 6 6 11 2 2" xfId="31863" xr:uid="{FFE41797-CB90-4941-9458-4C44713BCDC1}"/>
    <cellStyle name="Currency 6 6 11 3" xfId="25732" xr:uid="{4FB072FA-A01F-48EB-999E-6242E24D5D94}"/>
    <cellStyle name="Currency 6 6 12" xfId="7380" xr:uid="{8B70B357-2508-4088-AA02-8F7E210B8E2B}"/>
    <cellStyle name="Currency 6 6 12 2" xfId="30065" xr:uid="{0FC281DB-BE32-4338-AE3E-174983C5C350}"/>
    <cellStyle name="Currency 6 6 13" xfId="23779" xr:uid="{DA855F32-1269-4D7F-8DC2-F81D4F182FE6}"/>
    <cellStyle name="Currency 6 6 2" xfId="403" xr:uid="{00000000-0005-0000-0000-00002C040000}"/>
    <cellStyle name="Currency 6 6 2 2" xfId="1613" xr:uid="{00000000-0005-0000-0000-00002D040000}"/>
    <cellStyle name="Currency 6 6 2 2 2" xfId="3714" xr:uid="{00000000-0005-0000-0000-00002C040000}"/>
    <cellStyle name="Currency 6 6 2 2 2 2" xfId="10618" xr:uid="{B1347950-0DCA-4F56-9346-C53477C971DD}"/>
    <cellStyle name="Currency 6 6 2 2 2 2 2" xfId="33104" xr:uid="{31E74E63-9282-443D-87A4-9A7DB8B35FCD}"/>
    <cellStyle name="Currency 6 6 2 2 2 3" xfId="26925" xr:uid="{C03C4342-7DDA-4C2E-92F7-84DF539E5EC9}"/>
    <cellStyle name="Currency 6 6 2 2 3" xfId="8648" xr:uid="{30934366-3636-494B-B67C-8B16858184C4}"/>
    <cellStyle name="Currency 6 6 2 2 3 2" xfId="31234" xr:uid="{89B74C0E-5102-486E-B854-8904824F4CA3}"/>
    <cellStyle name="Currency 6 6 2 2 4" xfId="25034" xr:uid="{C7E51D3B-1D2D-4DB6-91C9-EBF46965E317}"/>
    <cellStyle name="Currency 6 6 2 3" xfId="2562" xr:uid="{00000000-0005-0000-0000-00002B040000}"/>
    <cellStyle name="Currency 6 6 2 3 2" xfId="9471" xr:uid="{916CE420-15DA-448E-BC87-1051398CAFD8}"/>
    <cellStyle name="Currency 6 6 2 3 2 2" xfId="32023" xr:uid="{F11E9768-9B4B-48D2-B04A-4606339CAA56}"/>
    <cellStyle name="Currency 6 6 2 3 3" xfId="25887" xr:uid="{2804A25F-92A1-4CB8-8AB3-46851B24F1D4}"/>
    <cellStyle name="Currency 6 6 2 4" xfId="7566" xr:uid="{E4D45C8C-3B00-4996-BB56-72887C3BB337}"/>
    <cellStyle name="Currency 6 6 2 4 2" xfId="30229" xr:uid="{E72E97B4-81BE-485D-8853-1BEEE0E3791E}"/>
    <cellStyle name="Currency 6 6 2 5" xfId="23947" xr:uid="{C453F5AF-6616-493D-86AD-1E8C55089792}"/>
    <cellStyle name="Currency 6 6 3" xfId="560" xr:uid="{00000000-0005-0000-0000-00002E040000}"/>
    <cellStyle name="Currency 6 6 3 2" xfId="1698" xr:uid="{00000000-0005-0000-0000-00002F040000}"/>
    <cellStyle name="Currency 6 6 3 2 2" xfId="3796" xr:uid="{00000000-0005-0000-0000-00002E040000}"/>
    <cellStyle name="Currency 6 6 3 2 2 2" xfId="10700" xr:uid="{43762FC0-23EF-4209-8A02-CE25842EA11E}"/>
    <cellStyle name="Currency 6 6 3 2 2 2 2" xfId="33186" xr:uid="{C64159B1-74B6-4839-874B-5377E7D2E86F}"/>
    <cellStyle name="Currency 6 6 3 2 2 3" xfId="27003" xr:uid="{832E06C9-DBE8-43A6-8B93-BC4A69B181FA}"/>
    <cellStyle name="Currency 6 6 3 2 3" xfId="8713" xr:uid="{D400060D-CDF5-4CB4-9DD0-B34AE7544EB8}"/>
    <cellStyle name="Currency 6 6 3 2 3 2" xfId="31298" xr:uid="{498D641C-BD77-45DD-884D-0D7D17B74CA7}"/>
    <cellStyle name="Currency 6 6 3 2 4" xfId="25113" xr:uid="{44A23909-8AFD-4E2C-9EF1-D77EDF5581B8}"/>
    <cellStyle name="Currency 6 6 3 3" xfId="2711" xr:uid="{00000000-0005-0000-0000-00002D040000}"/>
    <cellStyle name="Currency 6 6 3 3 2" xfId="9620" xr:uid="{1DD46129-9838-4CAE-9626-3FD037BD29C7}"/>
    <cellStyle name="Currency 6 6 3 3 2 2" xfId="32168" xr:uid="{85DB1557-D7E0-47D1-9D3E-B1CC7A012A2D}"/>
    <cellStyle name="Currency 6 6 3 3 3" xfId="26020" xr:uid="{219A2A33-6E80-4BCB-BDAC-9D84688AEFAE}"/>
    <cellStyle name="Currency 6 6 3 4" xfId="7703" xr:uid="{8D2ACE69-AF08-4493-8FD6-FAB962B7304B}"/>
    <cellStyle name="Currency 6 6 3 4 2" xfId="30352" xr:uid="{4C354219-7951-42CB-92F1-1C6144275399}"/>
    <cellStyle name="Currency 6 6 3 5" xfId="24086" xr:uid="{4523D224-85DF-494A-A79F-E7384B12BB01}"/>
    <cellStyle name="Currency 6 6 4" xfId="799" xr:uid="{00000000-0005-0000-0000-000030040000}"/>
    <cellStyle name="Currency 6 6 4 2" xfId="1795" xr:uid="{00000000-0005-0000-0000-000031040000}"/>
    <cellStyle name="Currency 6 6 4 2 2" xfId="3893" xr:uid="{00000000-0005-0000-0000-000030040000}"/>
    <cellStyle name="Currency 6 6 4 2 2 2" xfId="10797" xr:uid="{2329C306-BDE7-43A1-B7DA-3367A2CFD6F5}"/>
    <cellStyle name="Currency 6 6 4 2 2 2 2" xfId="33283" xr:uid="{1BDAA323-95D6-4196-940C-2B37B805AAF2}"/>
    <cellStyle name="Currency 6 6 4 2 2 3" xfId="27092" xr:uid="{4DC7FAC4-566B-414A-B416-9F249987A601}"/>
    <cellStyle name="Currency 6 6 4 2 3" xfId="8795" xr:uid="{6C049663-0E68-4F21-B3D3-D83EE1A5A837}"/>
    <cellStyle name="Currency 6 6 4 2 3 2" xfId="31378" xr:uid="{07CF7B35-BC44-437B-8D5A-E4D0B48425AB}"/>
    <cellStyle name="Currency 6 6 4 2 4" xfId="25201" xr:uid="{AF8813C2-8358-44A1-B14D-4A75F3F8E744}"/>
    <cellStyle name="Currency 6 6 4 3" xfId="2937" xr:uid="{00000000-0005-0000-0000-00002F040000}"/>
    <cellStyle name="Currency 6 6 4 3 2" xfId="9846" xr:uid="{52122A1F-901D-4C5F-93C6-014AE2AFBE8E}"/>
    <cellStyle name="Currency 6 6 4 3 2 2" xfId="32370" xr:uid="{44AB4108-A56C-41AF-9E8E-D644C8E52AEF}"/>
    <cellStyle name="Currency 6 6 4 3 3" xfId="26223" xr:uid="{380307EE-2224-4005-8488-9B32429CD3E6}"/>
    <cellStyle name="Currency 6 6 4 4" xfId="7920" xr:uid="{4B1556FF-FD46-4133-AC3B-688AEF0E26A7}"/>
    <cellStyle name="Currency 6 6 4 4 2" xfId="30547" xr:uid="{82CD996C-0710-4E72-B0C4-6529659751CB}"/>
    <cellStyle name="Currency 6 6 4 5" xfId="24296" xr:uid="{DF7BBBDB-729B-4AF6-B23C-CBDD9B76CEE7}"/>
    <cellStyle name="Currency 6 6 5" xfId="986" xr:uid="{00000000-0005-0000-0000-000032040000}"/>
    <cellStyle name="Currency 6 6 5 2" xfId="1884" xr:uid="{00000000-0005-0000-0000-000033040000}"/>
    <cellStyle name="Currency 6 6 5 2 2" xfId="3982" xr:uid="{00000000-0005-0000-0000-000032040000}"/>
    <cellStyle name="Currency 6 6 5 2 2 2" xfId="10886" xr:uid="{B427C244-6A21-4D27-AF03-C1550EE0882A}"/>
    <cellStyle name="Currency 6 6 5 2 2 2 2" xfId="33372" xr:uid="{3FB603CA-4462-4833-8393-B4359F1F6678}"/>
    <cellStyle name="Currency 6 6 5 2 2 3" xfId="27173" xr:uid="{A0595957-1480-4AF8-A171-0A250E2DA0C5}"/>
    <cellStyle name="Currency 6 6 5 2 3" xfId="8867" xr:uid="{EF85DAAD-DF83-41C5-A53C-F03C6DEF10BB}"/>
    <cellStyle name="Currency 6 6 5 2 3 2" xfId="31448" xr:uid="{0E433FD7-169B-48ED-8B51-2B310A0B7D3F}"/>
    <cellStyle name="Currency 6 6 5 2 4" xfId="25280" xr:uid="{C8255700-FCC3-47ED-9C7A-3BFB13B1F827}"/>
    <cellStyle name="Currency 6 6 5 3" xfId="3115" xr:uid="{00000000-0005-0000-0000-000031040000}"/>
    <cellStyle name="Currency 6 6 5 3 2" xfId="10024" xr:uid="{2E95D2CA-AA96-4B5A-8E70-6478EC9A9AD2}"/>
    <cellStyle name="Currency 6 6 5 3 2 2" xfId="32532" xr:uid="{F9553109-8C90-43DF-BC07-8D00FCB96566}"/>
    <cellStyle name="Currency 6 6 5 3 3" xfId="26372" xr:uid="{E8BD9836-8564-433D-A3E7-E60A44C446D3}"/>
    <cellStyle name="Currency 6 6 5 4" xfId="8087" xr:uid="{FD5B608B-47DF-407B-BB6F-996355D6F554}"/>
    <cellStyle name="Currency 6 6 5 4 2" xfId="30702" xr:uid="{A80B6E91-F425-4B45-93C5-FE9670225F1B}"/>
    <cellStyle name="Currency 6 6 5 5" xfId="24463" xr:uid="{41DEACF1-DB0C-48B2-98C6-5B22FDCB3E7F}"/>
    <cellStyle name="Currency 6 6 6" xfId="1170" xr:uid="{00000000-0005-0000-0000-000034040000}"/>
    <cellStyle name="Currency 6 6 6 2" xfId="1979" xr:uid="{00000000-0005-0000-0000-000035040000}"/>
    <cellStyle name="Currency 6 6 6 2 2" xfId="4075" xr:uid="{00000000-0005-0000-0000-000034040000}"/>
    <cellStyle name="Currency 6 6 6 2 2 2" xfId="10979" xr:uid="{4D76C1AD-6A27-4F06-B42E-CF7B196DC5F5}"/>
    <cellStyle name="Currency 6 6 6 2 2 2 2" xfId="33465" xr:uid="{76E16DD6-FDEF-4FE7-A0D7-FCD5433EA5EC}"/>
    <cellStyle name="Currency 6 6 6 2 2 3" xfId="27260" xr:uid="{F0863076-AD6E-492F-9F05-0883AB4AEE1E}"/>
    <cellStyle name="Currency 6 6 6 2 3" xfId="8937" xr:uid="{42A321BD-FC6F-429A-968C-F37D92D9108F}"/>
    <cellStyle name="Currency 6 6 6 2 3 2" xfId="31516" xr:uid="{EB5197B5-6401-4EB2-9857-6E94F7E43AA4}"/>
    <cellStyle name="Currency 6 6 6 2 4" xfId="25365" xr:uid="{63AB7F93-4C90-44C9-B0FE-768BA9673A43}"/>
    <cellStyle name="Currency 6 6 6 3" xfId="3288" xr:uid="{00000000-0005-0000-0000-000033040000}"/>
    <cellStyle name="Currency 6 6 6 3 2" xfId="10196" xr:uid="{A720BC89-BF6C-4F5E-A48E-399DB21CFA5C}"/>
    <cellStyle name="Currency 6 6 6 3 2 2" xfId="32691" xr:uid="{EB963F60-2FC3-48CA-A2D4-3B24A4D0B7C2}"/>
    <cellStyle name="Currency 6 6 6 3 3" xfId="26524" xr:uid="{DBFCCBEB-7C81-4E49-B431-28ACFA78566E}"/>
    <cellStyle name="Currency 6 6 6 4" xfId="8252" xr:uid="{56C37C58-E5F6-448B-8D0D-8A3619ED3C86}"/>
    <cellStyle name="Currency 6 6 6 4 2" xfId="30856" xr:uid="{AE017C89-8482-470E-81FC-463CF97A6653}"/>
    <cellStyle name="Currency 6 6 6 5" xfId="24622" xr:uid="{BA913C77-C875-4673-9D66-AA0F17CDE960}"/>
    <cellStyle name="Currency 6 6 7" xfId="1336" xr:uid="{00000000-0005-0000-0000-000036040000}"/>
    <cellStyle name="Currency 6 6 7 2" xfId="2069" xr:uid="{00000000-0005-0000-0000-000037040000}"/>
    <cellStyle name="Currency 6 6 7 2 2" xfId="4164" xr:uid="{00000000-0005-0000-0000-000036040000}"/>
    <cellStyle name="Currency 6 6 7 2 2 2" xfId="11068" xr:uid="{2F691D5B-3707-4B33-809F-197F31F63D1A}"/>
    <cellStyle name="Currency 6 6 7 2 2 2 2" xfId="33554" xr:uid="{FD0FA31D-A9CB-42E3-83C8-E8F6D252C16B}"/>
    <cellStyle name="Currency 6 6 7 2 2 3" xfId="27342" xr:uid="{A811D8DE-4CFA-405F-9E01-8BC477F016B3}"/>
    <cellStyle name="Currency 6 6 7 2 3" xfId="9008" xr:uid="{25D1769A-C589-42C5-BDD4-836EBD6B64BE}"/>
    <cellStyle name="Currency 6 6 7 2 3 2" xfId="31586" xr:uid="{B908D242-98BA-41ED-AD0E-E9DA6E81314E}"/>
    <cellStyle name="Currency 6 6 7 2 4" xfId="25449" xr:uid="{DDBAD184-AC3F-4C0D-8EBC-2018B7660E85}"/>
    <cellStyle name="Currency 6 6 7 3" xfId="3444" xr:uid="{00000000-0005-0000-0000-000035040000}"/>
    <cellStyle name="Currency 6 6 7 3 2" xfId="10352" xr:uid="{BA862616-500E-4B2E-AB70-B32A85A6E6AB}"/>
    <cellStyle name="Currency 6 6 7 3 2 2" xfId="32839" xr:uid="{7929D724-04A8-42EA-AD7D-3B286359A334}"/>
    <cellStyle name="Currency 6 6 7 3 3" xfId="26665" xr:uid="{C7B8DB0C-0FE4-423B-8BD7-3A1C1524D340}"/>
    <cellStyle name="Currency 6 6 7 4" xfId="8402" xr:uid="{9E72F782-D577-4359-A6FA-653DB88DA802}"/>
    <cellStyle name="Currency 6 6 7 4 2" xfId="30990" xr:uid="{19187110-657E-4F13-98D6-6BF057304CBA}"/>
    <cellStyle name="Currency 6 6 7 5" xfId="24764" xr:uid="{A6964159-5FF2-4562-8E68-A08C60D7C8ED}"/>
    <cellStyle name="Currency 6 6 8" xfId="1444" xr:uid="{00000000-0005-0000-0000-000038040000}"/>
    <cellStyle name="Currency 6 6 8 2" xfId="2172" xr:uid="{00000000-0005-0000-0000-000039040000}"/>
    <cellStyle name="Currency 6 6 8 2 2" xfId="4265" xr:uid="{00000000-0005-0000-0000-000038040000}"/>
    <cellStyle name="Currency 6 6 8 2 2 2" xfId="11169" xr:uid="{FD841935-1F6A-4F02-8987-015E87364766}"/>
    <cellStyle name="Currency 6 6 8 2 2 2 2" xfId="33655" xr:uid="{CE6FD655-1427-46F2-BA6B-CB76231CFA93}"/>
    <cellStyle name="Currency 6 6 8 2 2 3" xfId="27437" xr:uid="{CABB6A63-B002-4C32-A9EF-E0458E0C4ECA}"/>
    <cellStyle name="Currency 6 6 8 2 3" xfId="9089" xr:uid="{FFF40C1D-C7E6-436D-BE24-BEC4049A7F45}"/>
    <cellStyle name="Currency 6 6 8 2 3 2" xfId="31665" xr:uid="{06C9526A-D750-43F9-A0F3-5A9E3173166E}"/>
    <cellStyle name="Currency 6 6 8 2 4" xfId="25542" xr:uid="{14F75306-402D-4DBC-A60B-9CD18A156C8C}"/>
    <cellStyle name="Currency 6 6 8 3" xfId="3545" xr:uid="{00000000-0005-0000-0000-000037040000}"/>
    <cellStyle name="Currency 6 6 8 3 2" xfId="10451" xr:uid="{73200669-D467-4CAC-8D51-D2F5B9E922C4}"/>
    <cellStyle name="Currency 6 6 8 3 2 2" xfId="32938" xr:uid="{A1035F73-88A5-4414-B7B9-F281806EB6CE}"/>
    <cellStyle name="Currency 6 6 8 3 3" xfId="26758" xr:uid="{DBC2F013-7BB6-4325-9324-CBAEB59B5EA4}"/>
    <cellStyle name="Currency 6 6 8 4" xfId="8487" xr:uid="{85185CB9-D08D-406C-8547-A006BAB4FBC7}"/>
    <cellStyle name="Currency 6 6 8 4 2" xfId="31074" xr:uid="{F167B6D8-0C23-4487-B69E-82A666569B8E}"/>
    <cellStyle name="Currency 6 6 8 5" xfId="24867" xr:uid="{3AF668D8-2092-4054-BA69-2B76317CF3DE}"/>
    <cellStyle name="Currency 6 6 9" xfId="1499" xr:uid="{00000000-0005-0000-0000-00003A040000}"/>
    <cellStyle name="Currency 6 6 9 2" xfId="2226" xr:uid="{00000000-0005-0000-0000-00003B040000}"/>
    <cellStyle name="Currency 6 6 9 2 2" xfId="4319" xr:uid="{00000000-0005-0000-0000-00003A040000}"/>
    <cellStyle name="Currency 6 6 9 2 2 2" xfId="11223" xr:uid="{5F22B064-3D91-4265-ABC4-67F127FE75A4}"/>
    <cellStyle name="Currency 6 6 9 2 2 2 2" xfId="33709" xr:uid="{D47AD67B-5F55-402F-AE79-8585942CF340}"/>
    <cellStyle name="Currency 6 6 9 2 2 3" xfId="27491" xr:uid="{403D4865-927E-420B-9756-4A849986256C}"/>
    <cellStyle name="Currency 6 6 9 2 3" xfId="9139" xr:uid="{3BADD8A5-1A5A-44D7-9A1D-2B38AEB7BDF2}"/>
    <cellStyle name="Currency 6 6 9 2 3 2" xfId="31715" xr:uid="{49FE7A33-591E-4C87-9AF7-69679DF38EA3}"/>
    <cellStyle name="Currency 6 6 9 2 4" xfId="25594" xr:uid="{4302EDCD-82D2-4EAC-AFB0-0784E9CD0416}"/>
    <cellStyle name="Currency 6 6 9 3" xfId="3600" xr:uid="{00000000-0005-0000-0000-000039040000}"/>
    <cellStyle name="Currency 6 6 9 3 2" xfId="10505" xr:uid="{6E368E9E-6682-4DF8-A300-5BE7C85774EA}"/>
    <cellStyle name="Currency 6 6 9 3 2 2" xfId="32992" xr:uid="{C0D2FB03-4B75-4CF9-83AB-77989866B5CA}"/>
    <cellStyle name="Currency 6 6 9 3 3" xfId="26813" xr:uid="{7D952530-52FF-4AB3-BFC0-8D1C5E99695F}"/>
    <cellStyle name="Currency 6 6 9 4" xfId="8541" xr:uid="{D1973F85-6FD6-4403-AD6E-24D94D1806F2}"/>
    <cellStyle name="Currency 6 6 9 4 2" xfId="31128" xr:uid="{780C209F-9985-48FA-85D9-38D2D0AF7A0B}"/>
    <cellStyle name="Currency 6 6 9 5" xfId="24921" xr:uid="{72640182-E99A-418D-8A14-DF9769028F1D}"/>
    <cellStyle name="Currency 6 7" xfId="266" xr:uid="{00000000-0005-0000-0000-00003C040000}"/>
    <cellStyle name="Currency 6 7 2" xfId="1570" xr:uid="{00000000-0005-0000-0000-00003D040000}"/>
    <cellStyle name="Currency 6 7 2 2" xfId="3671" xr:uid="{00000000-0005-0000-0000-00003C040000}"/>
    <cellStyle name="Currency 6 7 2 2 2" xfId="10575" xr:uid="{2528571D-F14C-45A3-B047-3E0BA016D736}"/>
    <cellStyle name="Currency 6 7 2 2 2 2" xfId="33061" xr:uid="{00C9C2DD-D860-4A9C-B2E4-00062201C4E8}"/>
    <cellStyle name="Currency 6 7 2 2 3" xfId="26882" xr:uid="{2472867A-148F-4D9A-955F-85B2F48C9715}"/>
    <cellStyle name="Currency 6 7 2 3" xfId="8607" xr:uid="{CB69249E-DE5F-40E1-99EE-02F762CE3DCB}"/>
    <cellStyle name="Currency 6 7 2 3 2" xfId="31194" xr:uid="{8F3417BE-9D2A-4E43-B719-6AD18E3927CC}"/>
    <cellStyle name="Currency 6 7 2 4" xfId="24992" xr:uid="{70F9E6AA-6850-4452-B1FA-9D7B8CFB0344}"/>
    <cellStyle name="Currency 6 7 3" xfId="2430" xr:uid="{00000000-0005-0000-0000-00003B040000}"/>
    <cellStyle name="Currency 6 7 3 2" xfId="9339" xr:uid="{09C53D6F-81F0-49B4-B799-F647ACE4EFBA}"/>
    <cellStyle name="Currency 6 7 3 2 2" xfId="31908" xr:uid="{0E5EBC9A-4463-4CC7-A5FF-95169D7470FC}"/>
    <cellStyle name="Currency 6 7 3 3" xfId="25775" xr:uid="{8BE4C409-B12E-43E4-9CFA-32EDC0D14D62}"/>
    <cellStyle name="Currency 6 7 4" xfId="7434" xr:uid="{CD39FC66-6F25-4655-AF54-3302E982CB33}"/>
    <cellStyle name="Currency 6 7 4 2" xfId="30111" xr:uid="{B8FA1D50-5882-4EE2-90D9-7A03643FA0E2}"/>
    <cellStyle name="Currency 6 7 5" xfId="23828" xr:uid="{B63B31DF-B03C-4937-B0D9-6D50414AE76D}"/>
    <cellStyle name="Currency 6 8" xfId="270" xr:uid="{00000000-0005-0000-0000-00003E040000}"/>
    <cellStyle name="Currency 6 8 2" xfId="1574" xr:uid="{00000000-0005-0000-0000-00003F040000}"/>
    <cellStyle name="Currency 6 8 2 2" xfId="3675" xr:uid="{00000000-0005-0000-0000-00003E040000}"/>
    <cellStyle name="Currency 6 8 2 2 2" xfId="10579" xr:uid="{EADA3019-2A85-4351-A3BF-469A1DA4BC99}"/>
    <cellStyle name="Currency 6 8 2 2 2 2" xfId="33065" xr:uid="{46123228-5286-4105-A332-A70370871083}"/>
    <cellStyle name="Currency 6 8 2 2 3" xfId="26886" xr:uid="{0BDC49FD-6610-49E1-B6E0-46E0ADA5BBA8}"/>
    <cellStyle name="Currency 6 8 2 3" xfId="8611" xr:uid="{60E121C5-B030-40E7-8056-99C126FE2E4D}"/>
    <cellStyle name="Currency 6 8 2 3 2" xfId="31198" xr:uid="{291F8FC9-0861-40D5-A85A-9CA183B746B6}"/>
    <cellStyle name="Currency 6 8 2 4" xfId="24996" xr:uid="{CEB36C99-5359-459A-8F41-F4E1E20A8A02}"/>
    <cellStyle name="Currency 6 8 3" xfId="2434" xr:uid="{00000000-0005-0000-0000-00003D040000}"/>
    <cellStyle name="Currency 6 8 3 2" xfId="9343" xr:uid="{35D59AF8-294C-4DD8-B882-CED4C7BBD299}"/>
    <cellStyle name="Currency 6 8 3 2 2" xfId="31912" xr:uid="{8EC04429-D845-44B1-A1D4-CDFB492AA806}"/>
    <cellStyle name="Currency 6 8 3 3" xfId="25779" xr:uid="{DD40A3BE-D7D0-4845-8CB7-EBD36A759369}"/>
    <cellStyle name="Currency 6 8 4" xfId="7438" xr:uid="{09313D25-DDE1-4453-826A-ABB346047C71}"/>
    <cellStyle name="Currency 6 8 4 2" xfId="30115" xr:uid="{222B3954-4D6F-4D83-9157-1D599B309370}"/>
    <cellStyle name="Currency 6 8 5" xfId="23832" xr:uid="{D7D503C7-04E0-4D54-A6AB-DDDEC5643CC1}"/>
    <cellStyle name="Currency 6 9" xfId="657" xr:uid="{00000000-0005-0000-0000-000040040000}"/>
    <cellStyle name="Currency 6 9 2" xfId="1750" xr:uid="{00000000-0005-0000-0000-000041040000}"/>
    <cellStyle name="Currency 6 9 2 2" xfId="3848" xr:uid="{00000000-0005-0000-0000-000040040000}"/>
    <cellStyle name="Currency 6 9 2 2 2" xfId="10752" xr:uid="{61F54B10-2721-42E1-8825-B1F3CF2D920B}"/>
    <cellStyle name="Currency 6 9 2 2 2 2" xfId="33238" xr:uid="{A58FB86F-5AD8-4584-AA47-AD83F6C37F8C}"/>
    <cellStyle name="Currency 6 9 2 2 3" xfId="27048" xr:uid="{24E6BBBD-47F0-46D7-8339-EA8B5D5F335B}"/>
    <cellStyle name="Currency 6 9 2 3" xfId="8753" xr:uid="{F764B2BE-71FF-42F2-95FD-96FC0ADAC83D}"/>
    <cellStyle name="Currency 6 9 2 3 2" xfId="31336" xr:uid="{1E50AFB5-37DC-4D79-BFA3-A730CD73B5C4}"/>
    <cellStyle name="Currency 6 9 2 4" xfId="25159" xr:uid="{0358B555-9899-458C-839A-0D4FFF27E349}"/>
    <cellStyle name="Currency 6 9 3" xfId="2800" xr:uid="{00000000-0005-0000-0000-00003F040000}"/>
    <cellStyle name="Currency 6 9 3 2" xfId="9709" xr:uid="{D06A7733-8444-45E2-A247-4433F473E037}"/>
    <cellStyle name="Currency 6 9 3 2 2" xfId="32250" xr:uid="{0E08D375-2815-4296-A5EA-0F4943C95BF4}"/>
    <cellStyle name="Currency 6 9 3 3" xfId="26100" xr:uid="{5130DEC2-7DD6-46B3-9663-A93B261EC4C6}"/>
    <cellStyle name="Currency 6 9 4" xfId="7782" xr:uid="{D0B2E5B8-6DA1-4F77-A848-4D12DDDA4444}"/>
    <cellStyle name="Currency 6 9 4 2" xfId="30421" xr:uid="{1BD35949-FBF2-40EE-B248-DAAA747F8592}"/>
    <cellStyle name="Currency 6 9 5" xfId="24171" xr:uid="{B7E21A28-DF3A-4A46-BEBF-70A1D9969DB5}"/>
    <cellStyle name="Currency 7" xfId="45" xr:uid="{00000000-0005-0000-0000-000042040000}"/>
    <cellStyle name="Currency 7 10" xfId="659" xr:uid="{00000000-0005-0000-0000-000043040000}"/>
    <cellStyle name="Currency 7 10 2" xfId="1751" xr:uid="{00000000-0005-0000-0000-000044040000}"/>
    <cellStyle name="Currency 7 10 2 2" xfId="3849" xr:uid="{00000000-0005-0000-0000-000043040000}"/>
    <cellStyle name="Currency 7 10 2 2 2" xfId="10753" xr:uid="{9AC43633-14BC-4D32-852C-4C52079440F3}"/>
    <cellStyle name="Currency 7 10 2 2 2 2" xfId="33239" xr:uid="{DEFFE7E1-3E0A-41C5-A20E-5B0FCDC0C929}"/>
    <cellStyle name="Currency 7 10 2 2 3" xfId="27049" xr:uid="{944C5743-52C7-410A-AD7B-9917F1E3A449}"/>
    <cellStyle name="Currency 7 10 2 3" xfId="8754" xr:uid="{A106EC2D-B0A8-4104-9059-109828B435EE}"/>
    <cellStyle name="Currency 7 10 2 3 2" xfId="31337" xr:uid="{778B1C4F-E264-4551-A61B-674DC9A7375E}"/>
    <cellStyle name="Currency 7 10 2 4" xfId="25160" xr:uid="{ACEE3254-F158-4EC5-A79D-0C5FF3DB8D32}"/>
    <cellStyle name="Currency 7 10 3" xfId="2802" xr:uid="{00000000-0005-0000-0000-000042040000}"/>
    <cellStyle name="Currency 7 10 3 2" xfId="9711" xr:uid="{26E33D6B-5EF4-464E-97C9-62863CFEE819}"/>
    <cellStyle name="Currency 7 10 3 2 2" xfId="32252" xr:uid="{BCECB67F-77EE-4386-992B-9D430187A8C2}"/>
    <cellStyle name="Currency 7 10 3 3" xfId="26101" xr:uid="{EC9B62AB-8AE5-4438-8B36-4D910778BBA3}"/>
    <cellStyle name="Currency 7 10 4" xfId="7784" xr:uid="{10B4D69C-9145-4E13-8C09-CBAB2EE289F9}"/>
    <cellStyle name="Currency 7 10 4 2" xfId="30422" xr:uid="{C979A9FA-C87F-40CF-AC38-3CA17837034E}"/>
    <cellStyle name="Currency 7 10 5" xfId="24172" xr:uid="{E19AEE75-ABCD-418E-A95D-251231188A9B}"/>
    <cellStyle name="Currency 7 11" xfId="669" xr:uid="{00000000-0005-0000-0000-000045040000}"/>
    <cellStyle name="Currency 7 11 2" xfId="1756" xr:uid="{00000000-0005-0000-0000-000046040000}"/>
    <cellStyle name="Currency 7 11 2 2" xfId="3854" xr:uid="{00000000-0005-0000-0000-000045040000}"/>
    <cellStyle name="Currency 7 11 2 2 2" xfId="10758" xr:uid="{F2EA0E57-F350-48AA-9F65-0C91A99DEA4F}"/>
    <cellStyle name="Currency 7 11 2 2 2 2" xfId="33244" xr:uid="{BE453C08-A2D7-4384-AEBD-99C2A33C34F6}"/>
    <cellStyle name="Currency 7 11 2 2 3" xfId="27054" xr:uid="{B398FF82-8B52-4B8E-B338-9A6E73E1DC9F}"/>
    <cellStyle name="Currency 7 11 2 3" xfId="8758" xr:uid="{A2AAF038-9092-4B11-85DD-F75BBF6DE512}"/>
    <cellStyle name="Currency 7 11 2 3 2" xfId="31341" xr:uid="{98C9DE14-DDCD-4684-A775-4699AFD9FA37}"/>
    <cellStyle name="Currency 7 11 2 4" xfId="25164" xr:uid="{FB582B8F-F1BA-4879-95FF-B44105B66BDD}"/>
    <cellStyle name="Currency 7 11 3" xfId="2812" xr:uid="{00000000-0005-0000-0000-000044040000}"/>
    <cellStyle name="Currency 7 11 3 2" xfId="9721" xr:uid="{81BF108E-7CD4-4F1B-ACFC-A1C043D575D7}"/>
    <cellStyle name="Currency 7 11 3 2 2" xfId="32262" xr:uid="{C8F26DE8-4AB6-4049-8CDB-A1B159C006F6}"/>
    <cellStyle name="Currency 7 11 3 3" xfId="26110" xr:uid="{E6E9D99C-EE52-4C24-A517-BCA299CDAA4C}"/>
    <cellStyle name="Currency 7 11 4" xfId="7794" xr:uid="{DB3792D9-CCF4-42B8-8522-EC61FB9F635F}"/>
    <cellStyle name="Currency 7 11 4 2" xfId="30432" xr:uid="{93A97A8C-DA3C-4CB6-A241-666B1886B371}"/>
    <cellStyle name="Currency 7 11 5" xfId="24182" xr:uid="{07075007-DE35-4DB7-BA41-75A82D5701AB}"/>
    <cellStyle name="Currency 7 12" xfId="667" xr:uid="{00000000-0005-0000-0000-000047040000}"/>
    <cellStyle name="Currency 7 12 2" xfId="1754" xr:uid="{00000000-0005-0000-0000-000048040000}"/>
    <cellStyle name="Currency 7 12 2 2" xfId="3852" xr:uid="{00000000-0005-0000-0000-000047040000}"/>
    <cellStyle name="Currency 7 12 2 2 2" xfId="10756" xr:uid="{D766D3FC-F295-4ABA-B817-A1F83238D65C}"/>
    <cellStyle name="Currency 7 12 2 2 2 2" xfId="33242" xr:uid="{48E5DE80-3052-4874-81C6-188071879A57}"/>
    <cellStyle name="Currency 7 12 2 2 3" xfId="27052" xr:uid="{64560A1C-3D27-4FF5-A484-9633528081C0}"/>
    <cellStyle name="Currency 7 12 2 3" xfId="8757" xr:uid="{B3BDB9E1-E8D7-4C9F-ACC2-2751E8445907}"/>
    <cellStyle name="Currency 7 12 2 3 2" xfId="31340" xr:uid="{D879CAA5-65AB-49DB-9879-526AA737954F}"/>
    <cellStyle name="Currency 7 12 2 4" xfId="25163" xr:uid="{4261FD3A-CD01-4946-8E95-BCCE28B8B76C}"/>
    <cellStyle name="Currency 7 12 3" xfId="2810" xr:uid="{00000000-0005-0000-0000-000046040000}"/>
    <cellStyle name="Currency 7 12 3 2" xfId="9719" xr:uid="{B2D0EA29-BAE1-49C7-A1D5-9EF6EE421D82}"/>
    <cellStyle name="Currency 7 12 3 2 2" xfId="32260" xr:uid="{C84E2C5E-9415-4653-AA79-DEBA690087F4}"/>
    <cellStyle name="Currency 7 12 3 3" xfId="26108" xr:uid="{6AB3919F-874C-4CD9-9370-AE77BDCB8033}"/>
    <cellStyle name="Currency 7 12 4" xfId="7792" xr:uid="{B63FC00E-C729-4316-A0AF-512903B132B3}"/>
    <cellStyle name="Currency 7 12 4 2" xfId="30430" xr:uid="{8357AB7B-B1D3-42E7-8933-9052CA82473F}"/>
    <cellStyle name="Currency 7 12 5" xfId="24180" xr:uid="{E234485E-4CC9-4F51-A315-B7EBD36F18F9}"/>
    <cellStyle name="Currency 7 13" xfId="1049" xr:uid="{00000000-0005-0000-0000-000049040000}"/>
    <cellStyle name="Currency 7 13 2" xfId="1939" xr:uid="{00000000-0005-0000-0000-00004A040000}"/>
    <cellStyle name="Currency 7 13 2 2" xfId="4036" xr:uid="{00000000-0005-0000-0000-000049040000}"/>
    <cellStyle name="Currency 7 13 2 2 2" xfId="10940" xr:uid="{E331FE8C-93EC-42DD-8FE2-EE8F44F61CA2}"/>
    <cellStyle name="Currency 7 13 2 2 2 2" xfId="33426" xr:uid="{C5295898-F830-4CF5-B53E-8BDF28109FCA}"/>
    <cellStyle name="Currency 7 13 2 2 3" xfId="27221" xr:uid="{AD3E5124-DD23-4A81-B662-299E9DC2CE5B}"/>
    <cellStyle name="Currency 7 13 2 3" xfId="8900" xr:uid="{03E4AF62-A8D0-4E7E-B2EF-7D88EEB9FC2B}"/>
    <cellStyle name="Currency 7 13 2 3 2" xfId="31479" xr:uid="{526AAF38-2041-4B62-914C-EABF33F1C019}"/>
    <cellStyle name="Currency 7 13 2 4" xfId="25326" xr:uid="{90DB2E9E-D94F-4B6C-86CC-8BF35A9607D0}"/>
    <cellStyle name="Currency 7 13 3" xfId="3170" xr:uid="{00000000-0005-0000-0000-000048040000}"/>
    <cellStyle name="Currency 7 13 3 2" xfId="10079" xr:uid="{167C129C-035F-4EFB-85E8-65C2850E3DDC}"/>
    <cellStyle name="Currency 7 13 3 2 2" xfId="32586" xr:uid="{B2ADDCEE-87D3-4AA0-BCA5-2864ACDED66E}"/>
    <cellStyle name="Currency 7 13 3 3" xfId="26420" xr:uid="{03833407-8B96-4EB8-97D0-F35154B60B58}"/>
    <cellStyle name="Currency 7 13 4" xfId="8135" xr:uid="{D69156A3-FF84-4368-A0CC-2DE40200C298}"/>
    <cellStyle name="Currency 7 13 4 2" xfId="30747" xr:uid="{2B13AC37-39D5-4B20-AD24-72B161CEB66B}"/>
    <cellStyle name="Currency 7 13 5" xfId="24518" xr:uid="{745D4D8B-4B45-4C97-AF89-DFA7FFB38EDF}"/>
    <cellStyle name="Currency 7 14" xfId="1428" xr:uid="{00000000-0005-0000-0000-00004B040000}"/>
    <cellStyle name="Currency 7 14 2" xfId="2156" xr:uid="{00000000-0005-0000-0000-00004C040000}"/>
    <cellStyle name="Currency 7 14 2 2" xfId="4249" xr:uid="{00000000-0005-0000-0000-00004B040000}"/>
    <cellStyle name="Currency 7 14 2 2 2" xfId="11153" xr:uid="{FDDFBB3B-8DDB-4C86-9073-CED4FF4299EB}"/>
    <cellStyle name="Currency 7 14 2 2 2 2" xfId="33639" xr:uid="{5B250F70-D6C6-4330-BC34-E562B8180837}"/>
    <cellStyle name="Currency 7 14 2 2 3" xfId="27421" xr:uid="{58418AD1-5546-4CB2-92A5-B915CAFA5154}"/>
    <cellStyle name="Currency 7 14 2 3" xfId="9073" xr:uid="{C9A53F53-B0D0-4050-A083-88C8A6F5F2B2}"/>
    <cellStyle name="Currency 7 14 2 3 2" xfId="31649" xr:uid="{29E4F0B6-F6EF-4427-B224-254C5B2E0871}"/>
    <cellStyle name="Currency 7 14 2 4" xfId="25526" xr:uid="{A1819737-8955-4294-9C9E-EDA05CDE6763}"/>
    <cellStyle name="Currency 7 14 3" xfId="3529" xr:uid="{00000000-0005-0000-0000-00004A040000}"/>
    <cellStyle name="Currency 7 14 3 2" xfId="10435" xr:uid="{9BEC8346-A7A1-47AD-AEFF-1CF43E2347A4}"/>
    <cellStyle name="Currency 7 14 3 2 2" xfId="32922" xr:uid="{72306A44-7978-4AAA-9B49-CE1A3A9596B0}"/>
    <cellStyle name="Currency 7 14 3 3" xfId="26742" xr:uid="{FA02ECAC-10B5-4F74-BBB2-CDBF83741AA8}"/>
    <cellStyle name="Currency 7 14 4" xfId="8471" xr:uid="{E13F7608-4F71-4BEF-871C-04E189567D4D}"/>
    <cellStyle name="Currency 7 14 4 2" xfId="31058" xr:uid="{97C58B57-9174-43A9-98E7-D5FEAECF0055}"/>
    <cellStyle name="Currency 7 14 5" xfId="24851" xr:uid="{BDA64722-72E3-4EC4-ABF0-AACD44FC8E97}"/>
    <cellStyle name="Currency 7 15" xfId="1458" xr:uid="{00000000-0005-0000-0000-00004D040000}"/>
    <cellStyle name="Currency 7 15 2" xfId="2185" xr:uid="{00000000-0005-0000-0000-00004E040000}"/>
    <cellStyle name="Currency 7 15 2 2" xfId="4278" xr:uid="{00000000-0005-0000-0000-00004D040000}"/>
    <cellStyle name="Currency 7 15 2 2 2" xfId="11182" xr:uid="{C7DCBB3E-9402-40BE-A9E7-B62D093F31B7}"/>
    <cellStyle name="Currency 7 15 2 2 2 2" xfId="33668" xr:uid="{65D31392-13E4-46BF-94DC-7F6E7CAAB3FB}"/>
    <cellStyle name="Currency 7 15 2 2 3" xfId="27450" xr:uid="{42485A6B-2041-428D-89FC-E32F6B0A2F46}"/>
    <cellStyle name="Currency 7 15 2 3" xfId="9102" xr:uid="{AFAC5313-EB55-4328-BB9C-8CBA6D5FB2D3}"/>
    <cellStyle name="Currency 7 15 2 3 2" xfId="31678" xr:uid="{3162AA33-5CB4-4353-B1D8-7033F83B8F31}"/>
    <cellStyle name="Currency 7 15 2 4" xfId="25555" xr:uid="{D5339A8A-B77A-4825-A917-BF611C25475B}"/>
    <cellStyle name="Currency 7 15 3" xfId="3559" xr:uid="{00000000-0005-0000-0000-00004C040000}"/>
    <cellStyle name="Currency 7 15 3 2" xfId="10465" xr:uid="{8BD4006B-454A-4B2F-BBA2-9E1697DDC9E6}"/>
    <cellStyle name="Currency 7 15 3 2 2" xfId="32952" xr:uid="{E2537A9B-7B97-405C-8AC3-E8C12D792DD8}"/>
    <cellStyle name="Currency 7 15 3 3" xfId="26772" xr:uid="{176C4FAD-2D9B-4F24-BC44-3FEEA82D8804}"/>
    <cellStyle name="Currency 7 15 4" xfId="8501" xr:uid="{7AB0050A-7D48-4271-BCB9-71DAB98C59BC}"/>
    <cellStyle name="Currency 7 15 4 2" xfId="31088" xr:uid="{297348B9-E6F6-4392-A393-46A9FCABD964}"/>
    <cellStyle name="Currency 7 15 5" xfId="24881" xr:uid="{4AA7EED1-8407-47A8-AD7E-BA6EA135EE93}"/>
    <cellStyle name="Currency 7 16" xfId="1519" xr:uid="{00000000-0005-0000-0000-00004F040000}"/>
    <cellStyle name="Currency 7 16 2" xfId="3620" xr:uid="{00000000-0005-0000-0000-00004E040000}"/>
    <cellStyle name="Currency 7 16 2 2" xfId="10524" xr:uid="{9B2D048A-EB0E-4AEA-90B1-CBC266514CC1}"/>
    <cellStyle name="Currency 7 16 2 2 2" xfId="33010" xr:uid="{6F882E2A-E182-4F76-A275-21B6ADFBF20D}"/>
    <cellStyle name="Currency 7 16 2 3" xfId="26832" xr:uid="{FE8E8EB9-EEF8-4C36-BB1E-7CA7C28800E2}"/>
    <cellStyle name="Currency 7 16 3" xfId="8559" xr:uid="{560F681D-744D-4A78-9639-FC948290E000}"/>
    <cellStyle name="Currency 7 16 3 2" xfId="31146" xr:uid="{1BEC60C5-3AB6-474A-988F-C04F68544183}"/>
    <cellStyle name="Currency 7 16 4" xfId="24941" xr:uid="{6539365E-C075-47D9-83B8-B817A5B2C170}"/>
    <cellStyle name="Currency 7 17" xfId="2280" xr:uid="{00000000-0005-0000-0000-000041040000}"/>
    <cellStyle name="Currency 7 17 2" xfId="9191" xr:uid="{942147F8-BA04-4B76-9F88-9130D96C3E75}"/>
    <cellStyle name="Currency 7 17 2 2" xfId="31766" xr:uid="{886D31AB-60E8-48EE-98AD-8CD947D9616A}"/>
    <cellStyle name="Currency 7 17 3" xfId="25647" xr:uid="{7BBACC60-FD15-485D-9276-93A93E2FE15A}"/>
    <cellStyle name="Currency 7 18" xfId="7270" xr:uid="{16DDCE74-A580-4337-B4ED-2D118890D9FA}"/>
    <cellStyle name="Currency 7 18 2" xfId="29959" xr:uid="{1E69E41C-CE35-43F7-9C16-2292F1ADC600}"/>
    <cellStyle name="Currency 7 19" xfId="23639" xr:uid="{46F8CF7A-7C0B-4DA1-AF4D-2554BCBB43BC}"/>
    <cellStyle name="Currency 7 2" xfId="90" xr:uid="{00000000-0005-0000-0000-000050040000}"/>
    <cellStyle name="Currency 7 2 10" xfId="1527" xr:uid="{00000000-0005-0000-0000-000051040000}"/>
    <cellStyle name="Currency 7 2 10 2" xfId="3628" xr:uid="{00000000-0005-0000-0000-000050040000}"/>
    <cellStyle name="Currency 7 2 10 2 2" xfId="10532" xr:uid="{E5DC7CC2-867B-447F-86C8-A61EF0FAB352}"/>
    <cellStyle name="Currency 7 2 10 2 2 2" xfId="33018" xr:uid="{DEDB2E66-6EC6-4E2F-B7C3-F03C2E4E6BC7}"/>
    <cellStyle name="Currency 7 2 10 2 3" xfId="26839" xr:uid="{B7252207-BCE1-4CE0-ACA8-24636FD33A0D}"/>
    <cellStyle name="Currency 7 2 10 3" xfId="8564" xr:uid="{71D81D27-46F4-40CB-8ABC-E3CCBDE0880A}"/>
    <cellStyle name="Currency 7 2 10 3 2" xfId="31151" xr:uid="{F1B21E69-062E-4079-B8A4-498187FA3847}"/>
    <cellStyle name="Currency 7 2 10 4" xfId="24949" xr:uid="{64403CF4-A2DC-4788-BE0C-867BC21C02A5}"/>
    <cellStyle name="Currency 7 2 11" xfId="2303" xr:uid="{00000000-0005-0000-0000-00004F040000}"/>
    <cellStyle name="Currency 7 2 11 2" xfId="9213" xr:uid="{13CE9BF4-CA18-4C02-AD79-F90CC04656DC}"/>
    <cellStyle name="Currency 7 2 11 2 2" xfId="31788" xr:uid="{398189C2-6051-4A25-BF03-EC50325D9CCC}"/>
    <cellStyle name="Currency 7 2 11 3" xfId="25667" xr:uid="{0D1ADC07-DCAB-445B-BBE2-2468EA29D814}"/>
    <cellStyle name="Currency 7 2 12" xfId="7296" xr:uid="{B034E955-0E11-43D1-9DEE-153B8BF04249}"/>
    <cellStyle name="Currency 7 2 12 2" xfId="29984" xr:uid="{C618070D-75CA-4398-980D-687A6F96BB0F}"/>
    <cellStyle name="Currency 7 2 13" xfId="23676" xr:uid="{3D66FB13-73F8-4DD4-822D-A8DD9ECC97DD}"/>
    <cellStyle name="Currency 7 2 2" xfId="298" xr:uid="{00000000-0005-0000-0000-000052040000}"/>
    <cellStyle name="Currency 7 2 2 2" xfId="1583" xr:uid="{00000000-0005-0000-0000-000053040000}"/>
    <cellStyle name="Currency 7 2 2 2 2" xfId="3684" xr:uid="{00000000-0005-0000-0000-000052040000}"/>
    <cellStyle name="Currency 7 2 2 2 2 2" xfId="10588" xr:uid="{3ADCF4D0-F711-4EDE-9669-EE0D6D704B00}"/>
    <cellStyle name="Currency 7 2 2 2 2 2 2" xfId="33074" xr:uid="{3CDC104A-63D9-477B-BA78-798CBB6D2119}"/>
    <cellStyle name="Currency 7 2 2 2 2 3" xfId="26895" xr:uid="{4C529138-AA26-40DC-A492-E3B902BD19FE}"/>
    <cellStyle name="Currency 7 2 2 2 3" xfId="8618" xr:uid="{5C2CFB1F-7D82-42E0-8F10-01FFB5B6E10E}"/>
    <cellStyle name="Currency 7 2 2 2 3 2" xfId="31204" xr:uid="{6043359B-E8AA-4409-98DD-EBDC75DAE622}"/>
    <cellStyle name="Currency 7 2 2 2 4" xfId="25004" xr:uid="{B59205F6-FE0B-4328-9AAD-434EBDC4C500}"/>
    <cellStyle name="Currency 7 2 2 3" xfId="2462" xr:uid="{00000000-0005-0000-0000-000051040000}"/>
    <cellStyle name="Currency 7 2 2 3 2" xfId="9371" xr:uid="{674A1A90-EBB3-4B72-9C23-1B217C4AD671}"/>
    <cellStyle name="Currency 7 2 2 3 2 2" xfId="31936" xr:uid="{2F59D475-4CCF-41C4-BD63-E6E52F4E7858}"/>
    <cellStyle name="Currency 7 2 2 3 3" xfId="25802" xr:uid="{005B0CD4-8CE2-41C9-BB98-542311EC9435}"/>
    <cellStyle name="Currency 7 2 2 4" xfId="7463" xr:uid="{77A73E07-C94A-451C-BE44-41AC9BE7F576}"/>
    <cellStyle name="Currency 7 2 2 4 2" xfId="30134" xr:uid="{688D8D1C-1095-4269-B591-3185129CC580}"/>
    <cellStyle name="Currency 7 2 2 5" xfId="23857" xr:uid="{7B725CD1-2997-422E-8CAC-D23F974EE85D}"/>
    <cellStyle name="Currency 7 2 3" xfId="463" xr:uid="{00000000-0005-0000-0000-000054040000}"/>
    <cellStyle name="Currency 7 2 3 2" xfId="1668" xr:uid="{00000000-0005-0000-0000-000055040000}"/>
    <cellStyle name="Currency 7 2 3 2 2" xfId="3766" xr:uid="{00000000-0005-0000-0000-000054040000}"/>
    <cellStyle name="Currency 7 2 3 2 2 2" xfId="10670" xr:uid="{E23AA27A-753B-43F5-AF41-5E1FE475D1CB}"/>
    <cellStyle name="Currency 7 2 3 2 2 2 2" xfId="33156" xr:uid="{9B68B9A2-20A2-4B9B-8A43-DC45EE17AF3B}"/>
    <cellStyle name="Currency 7 2 3 2 2 3" xfId="26973" xr:uid="{94DB7E13-4B02-4D8F-AC0B-2206E82B38A7}"/>
    <cellStyle name="Currency 7 2 3 2 3" xfId="8683" xr:uid="{2242ABF3-6737-416D-8EA3-0EF0917BD5FB}"/>
    <cellStyle name="Currency 7 2 3 2 3 2" xfId="31268" xr:uid="{2B4752AF-8F6F-4C70-B751-A37862A54A39}"/>
    <cellStyle name="Currency 7 2 3 2 4" xfId="25083" xr:uid="{13BAC2E5-BD85-4A72-9431-C09875EB74B0}"/>
    <cellStyle name="Currency 7 2 3 3" xfId="2615" xr:uid="{00000000-0005-0000-0000-000053040000}"/>
    <cellStyle name="Currency 7 2 3 3 2" xfId="9524" xr:uid="{8F0F7A7C-7265-4956-BA9A-39D737CBAC3D}"/>
    <cellStyle name="Currency 7 2 3 3 2 2" xfId="32076" xr:uid="{ED314AB3-43CC-4B02-BC65-B3D532453140}"/>
    <cellStyle name="Currency 7 2 3 3 3" xfId="25936" xr:uid="{2168B2DA-3135-4192-97CF-5694AD79B65F}"/>
    <cellStyle name="Currency 7 2 3 4" xfId="7609" xr:uid="{0F6EB038-E544-4FA8-A16B-B8B28570EA89}"/>
    <cellStyle name="Currency 7 2 3 4 2" xfId="30270" xr:uid="{EDD6E676-19D4-4F6D-BBC2-81E96E1CC239}"/>
    <cellStyle name="Currency 7 2 3 5" xfId="23998" xr:uid="{5EC20C71-A926-4250-9803-4A39C237A0CD}"/>
    <cellStyle name="Currency 7 2 4" xfId="687" xr:uid="{00000000-0005-0000-0000-000056040000}"/>
    <cellStyle name="Currency 7 2 4 2" xfId="1765" xr:uid="{00000000-0005-0000-0000-000057040000}"/>
    <cellStyle name="Currency 7 2 4 2 2" xfId="3863" xr:uid="{00000000-0005-0000-0000-000056040000}"/>
    <cellStyle name="Currency 7 2 4 2 2 2" xfId="10767" xr:uid="{7AFB52D9-2418-409B-A587-7DB8C9E427E3}"/>
    <cellStyle name="Currency 7 2 4 2 2 2 2" xfId="33253" xr:uid="{6D142AE7-E9FE-48F1-86F4-700770643768}"/>
    <cellStyle name="Currency 7 2 4 2 2 3" xfId="27062" xr:uid="{8E22210C-5F20-43D3-97D5-EDA83F23735B}"/>
    <cellStyle name="Currency 7 2 4 2 3" xfId="8765" xr:uid="{5CBBAB47-AABA-4E9D-B834-799F1D699E08}"/>
    <cellStyle name="Currency 7 2 4 2 3 2" xfId="31348" xr:uid="{13368E55-ADD0-44BC-B6D5-C95C335F2F9F}"/>
    <cellStyle name="Currency 7 2 4 2 4" xfId="25171" xr:uid="{BC9488E5-3631-4601-8140-8FB0376BAD62}"/>
    <cellStyle name="Currency 7 2 4 3" xfId="2829" xr:uid="{00000000-0005-0000-0000-000055040000}"/>
    <cellStyle name="Currency 7 2 4 3 2" xfId="9738" xr:uid="{DD5ADA5D-9678-457A-8532-913172B1B725}"/>
    <cellStyle name="Currency 7 2 4 3 2 2" xfId="32276" xr:uid="{85B7E2DD-3C96-4C2F-99D4-900F4692EB87}"/>
    <cellStyle name="Currency 7 2 4 3 3" xfId="26124" xr:uid="{18B58CFE-A38F-4F8C-BD7C-F9ADB2730C43}"/>
    <cellStyle name="Currency 7 2 4 4" xfId="7811" xr:uid="{FD717E99-3E1B-4E0F-BDAE-C69F50FC0327}"/>
    <cellStyle name="Currency 7 2 4 4 2" xfId="30447" xr:uid="{57AB0D33-1DB6-419E-8740-A20DCC6957EB}"/>
    <cellStyle name="Currency 7 2 4 5" xfId="24198" xr:uid="{1C9AF50B-7F1E-4128-A500-043EE846B250}"/>
    <cellStyle name="Currency 7 2 5" xfId="879" xr:uid="{00000000-0005-0000-0000-000058040000}"/>
    <cellStyle name="Currency 7 2 5 2" xfId="1854" xr:uid="{00000000-0005-0000-0000-000059040000}"/>
    <cellStyle name="Currency 7 2 5 2 2" xfId="3952" xr:uid="{00000000-0005-0000-0000-000058040000}"/>
    <cellStyle name="Currency 7 2 5 2 2 2" xfId="10856" xr:uid="{6CC089D9-DB9A-42F0-84A0-C7E00ACDFEC2}"/>
    <cellStyle name="Currency 7 2 5 2 2 2 2" xfId="33342" xr:uid="{B1847A91-0CC1-4EE6-AF13-105AB3EF5E0F}"/>
    <cellStyle name="Currency 7 2 5 2 2 3" xfId="27143" xr:uid="{70C329C0-13C4-438C-AB30-AF7C0EE86759}"/>
    <cellStyle name="Currency 7 2 5 2 3" xfId="8837" xr:uid="{DF1E72EF-41F3-4AC5-A183-403BE13E4DD5}"/>
    <cellStyle name="Currency 7 2 5 2 3 2" xfId="31418" xr:uid="{8A1564CE-184C-4F46-A1A2-68C4884BE956}"/>
    <cellStyle name="Currency 7 2 5 2 4" xfId="25250" xr:uid="{8140679C-5D51-4C0B-901F-9247239FFFCB}"/>
    <cellStyle name="Currency 7 2 5 3" xfId="3009" xr:uid="{00000000-0005-0000-0000-000057040000}"/>
    <cellStyle name="Currency 7 2 5 3 2" xfId="9918" xr:uid="{059227C5-838F-41F0-BE2D-1D70C974C052}"/>
    <cellStyle name="Currency 7 2 5 3 2 2" xfId="32439" xr:uid="{B4875B02-EBEB-46C3-8406-A7CC8A9058D6}"/>
    <cellStyle name="Currency 7 2 5 3 3" xfId="26277" xr:uid="{F448DD19-2EB4-4B1A-A1E8-26227F602A07}"/>
    <cellStyle name="Currency 7 2 5 4" xfId="7982" xr:uid="{F2DB9904-9E21-4D61-82FC-59D6A9323B82}"/>
    <cellStyle name="Currency 7 2 5 4 2" xfId="30604" xr:uid="{B883EC47-6F06-42A5-95BA-01366701C279}"/>
    <cellStyle name="Currency 7 2 5 5" xfId="24363" xr:uid="{F4A40F19-BA19-4A53-AA0E-8920B6FB269F}"/>
    <cellStyle name="Currency 7 2 6" xfId="1060" xr:uid="{00000000-0005-0000-0000-00005A040000}"/>
    <cellStyle name="Currency 7 2 6 2" xfId="1949" xr:uid="{00000000-0005-0000-0000-00005B040000}"/>
    <cellStyle name="Currency 7 2 6 2 2" xfId="4045" xr:uid="{00000000-0005-0000-0000-00005A040000}"/>
    <cellStyle name="Currency 7 2 6 2 2 2" xfId="10949" xr:uid="{3B1EDEC3-C094-4122-96C8-3635A24C887C}"/>
    <cellStyle name="Currency 7 2 6 2 2 2 2" xfId="33435" xr:uid="{D5A517F9-434F-4FF9-88AB-5E1C9D1062AA}"/>
    <cellStyle name="Currency 7 2 6 2 2 3" xfId="27230" xr:uid="{603040F6-04C9-4268-A4F1-08BBB2EB776E}"/>
    <cellStyle name="Currency 7 2 6 2 3" xfId="8907" xr:uid="{D7EF8A9B-26DE-4379-8144-FA9B402659B3}"/>
    <cellStyle name="Currency 7 2 6 2 3 2" xfId="31486" xr:uid="{4F68F497-FC2B-496C-8A5E-302A8DC2E3B3}"/>
    <cellStyle name="Currency 7 2 6 2 4" xfId="25335" xr:uid="{F1E7E05E-FF5B-4FAE-9136-B6F97ED49D0A}"/>
    <cellStyle name="Currency 7 2 6 3" xfId="3180" xr:uid="{00000000-0005-0000-0000-000059040000}"/>
    <cellStyle name="Currency 7 2 6 3 2" xfId="10089" xr:uid="{88457B8E-0DBC-4AAE-A86D-0FD8F133DC3F}"/>
    <cellStyle name="Currency 7 2 6 3 2 2" xfId="32596" xr:uid="{92AEE8A3-F051-428E-AC0F-FDC661410364}"/>
    <cellStyle name="Currency 7 2 6 3 3" xfId="26429" xr:uid="{45C9FA65-39FC-42DE-9407-4545C9E85B6D}"/>
    <cellStyle name="Currency 7 2 6 4" xfId="8143" xr:uid="{42F4079A-1F4C-4155-9140-805885B7AF34}"/>
    <cellStyle name="Currency 7 2 6 4 2" xfId="30755" xr:uid="{7D7C4381-5D0A-4B6A-950C-2294152FC6D0}"/>
    <cellStyle name="Currency 7 2 6 5" xfId="24527" xr:uid="{21F52CF7-A50A-4BCE-BEED-9BB4A7C1BEC5}"/>
    <cellStyle name="Currency 7 2 7" xfId="1239" xr:uid="{00000000-0005-0000-0000-00005C040000}"/>
    <cellStyle name="Currency 7 2 7 2" xfId="2039" xr:uid="{00000000-0005-0000-0000-00005D040000}"/>
    <cellStyle name="Currency 7 2 7 2 2" xfId="4134" xr:uid="{00000000-0005-0000-0000-00005C040000}"/>
    <cellStyle name="Currency 7 2 7 2 2 2" xfId="11038" xr:uid="{253FF233-DC4E-4938-A9DB-BA9BCA0C1595}"/>
    <cellStyle name="Currency 7 2 7 2 2 2 2" xfId="33524" xr:uid="{BD2F0BB2-5536-4FD8-B075-B58DFF37192E}"/>
    <cellStyle name="Currency 7 2 7 2 2 3" xfId="27312" xr:uid="{425B2E3E-1881-420C-A6C4-9AD5CC9430A9}"/>
    <cellStyle name="Currency 7 2 7 2 3" xfId="8978" xr:uid="{9771A8D6-0C14-4BE3-9F40-31F27598DC18}"/>
    <cellStyle name="Currency 7 2 7 2 3 2" xfId="31556" xr:uid="{420E9FFF-1CAC-4B8F-8518-806F057AA799}"/>
    <cellStyle name="Currency 7 2 7 2 4" xfId="25419" xr:uid="{E7F57D34-B6BE-4A9E-AEA0-E375B3E041FF}"/>
    <cellStyle name="Currency 7 2 7 3" xfId="3349" xr:uid="{00000000-0005-0000-0000-00005B040000}"/>
    <cellStyle name="Currency 7 2 7 3 2" xfId="10257" xr:uid="{C8123C63-1514-45E6-B3C0-EE3E39E5F06F}"/>
    <cellStyle name="Currency 7 2 7 3 2 2" xfId="32751" xr:uid="{2A80C5FC-B8A4-4719-A686-959199D53E1A}"/>
    <cellStyle name="Currency 7 2 7 3 3" xfId="26578" xr:uid="{F56FE2E2-9E36-4443-85E3-175CE8A35E26}"/>
    <cellStyle name="Currency 7 2 7 4" xfId="8307" xr:uid="{6A252574-C2C0-4D14-A847-F922290EDB61}"/>
    <cellStyle name="Currency 7 2 7 4 2" xfId="30906" xr:uid="{EB30C8E0-3F23-465E-9C23-CD25A88A4682}"/>
    <cellStyle name="Currency 7 2 7 5" xfId="24680" xr:uid="{F3DBD0F3-E989-4A3B-8FAA-FBD0624C3A6F}"/>
    <cellStyle name="Currency 7 2 8" xfId="1404" xr:uid="{00000000-0005-0000-0000-00005E040000}"/>
    <cellStyle name="Currency 7 2 8 2" xfId="2133" xr:uid="{00000000-0005-0000-0000-00005F040000}"/>
    <cellStyle name="Currency 7 2 8 2 2" xfId="4226" xr:uid="{00000000-0005-0000-0000-00005E040000}"/>
    <cellStyle name="Currency 7 2 8 2 2 2" xfId="11130" xr:uid="{AD9D8254-9361-4B73-B759-6E07A4B50B66}"/>
    <cellStyle name="Currency 7 2 8 2 2 2 2" xfId="33616" xr:uid="{52ACF5B0-3F59-4E0A-B545-C2D59A6CE366}"/>
    <cellStyle name="Currency 7 2 8 2 2 3" xfId="27398" xr:uid="{5BB7DE03-1925-459E-B9FC-2F36DB351882}"/>
    <cellStyle name="Currency 7 2 8 2 3" xfId="9052" xr:uid="{CFC9BE75-31FF-4AEE-AB1B-6E4C1E78ADA8}"/>
    <cellStyle name="Currency 7 2 8 2 3 2" xfId="31628" xr:uid="{06A1EE93-1A1A-4B3B-8B3D-05A65EAD5EDA}"/>
    <cellStyle name="Currency 7 2 8 2 4" xfId="25503" xr:uid="{04914334-8A49-4077-B32D-177A61C8BE3A}"/>
    <cellStyle name="Currency 7 2 8 3" xfId="3506" xr:uid="{00000000-0005-0000-0000-00005D040000}"/>
    <cellStyle name="Currency 7 2 8 3 2" xfId="10413" xr:uid="{93BB493F-792B-4013-B8EF-3F9994E17A03}"/>
    <cellStyle name="Currency 7 2 8 3 2 2" xfId="32900" xr:uid="{6604E58B-1136-4095-9C7B-BFB8A3B37B4E}"/>
    <cellStyle name="Currency 7 2 8 3 3" xfId="26720" xr:uid="{D6B0DB84-DF8F-47FB-9BA3-A2D330DA7062}"/>
    <cellStyle name="Currency 7 2 8 4" xfId="8449" xr:uid="{C367E30E-AA96-4E4F-AAB4-9427C216E99F}"/>
    <cellStyle name="Currency 7 2 8 4 2" xfId="31037" xr:uid="{0AEB6DAF-2DDC-4B91-8143-8E4471E652DF}"/>
    <cellStyle name="Currency 7 2 8 5" xfId="24829" xr:uid="{016E5F7C-F5ED-4A86-BEDD-A8B9EDB73B31}"/>
    <cellStyle name="Currency 7 2 9" xfId="1469" xr:uid="{00000000-0005-0000-0000-000060040000}"/>
    <cellStyle name="Currency 7 2 9 2" xfId="2196" xr:uid="{00000000-0005-0000-0000-000061040000}"/>
    <cellStyle name="Currency 7 2 9 2 2" xfId="4289" xr:uid="{00000000-0005-0000-0000-000060040000}"/>
    <cellStyle name="Currency 7 2 9 2 2 2" xfId="11193" xr:uid="{73669D15-238D-4428-B2B6-453817D9F366}"/>
    <cellStyle name="Currency 7 2 9 2 2 2 2" xfId="33679" xr:uid="{222FD3A1-B9A1-46FB-9B10-5B7C251861BB}"/>
    <cellStyle name="Currency 7 2 9 2 2 3" xfId="27461" xr:uid="{C5146A9B-73DF-4BEB-917C-122F8A0E6570}"/>
    <cellStyle name="Currency 7 2 9 2 3" xfId="9109" xr:uid="{D8E410D3-633F-4215-9764-CE4D11D9D09C}"/>
    <cellStyle name="Currency 7 2 9 2 3 2" xfId="31685" xr:uid="{82A0F7BD-A6CF-4AB2-9CD0-B964E58E53DC}"/>
    <cellStyle name="Currency 7 2 9 2 4" xfId="25564" xr:uid="{5DCA5A9D-E6AA-4F52-B1EB-7AFEDD36286E}"/>
    <cellStyle name="Currency 7 2 9 3" xfId="3570" xr:uid="{00000000-0005-0000-0000-00005F040000}"/>
    <cellStyle name="Currency 7 2 9 3 2" xfId="10475" xr:uid="{F5876D00-F9BC-4162-9C46-5099EE73D31E}"/>
    <cellStyle name="Currency 7 2 9 3 2 2" xfId="32962" xr:uid="{2F384409-27C2-43CF-A60F-FE745F127905}"/>
    <cellStyle name="Currency 7 2 9 3 3" xfId="26783" xr:uid="{9BAAE1BF-3394-4522-8106-DD6E6F0CB8C6}"/>
    <cellStyle name="Currency 7 2 9 4" xfId="8511" xr:uid="{4E056562-64BE-4218-A3D7-BB87AF2851D3}"/>
    <cellStyle name="Currency 7 2 9 4 2" xfId="31098" xr:uid="{71620FA4-4BA7-4A74-AF57-2CD934EA4DCA}"/>
    <cellStyle name="Currency 7 2 9 5" xfId="24891" xr:uid="{9DF8A7E2-E3B9-4349-8939-86CCB38F1A83}"/>
    <cellStyle name="Currency 7 3" xfId="126" xr:uid="{00000000-0005-0000-0000-000062040000}"/>
    <cellStyle name="Currency 7 3 10" xfId="1539" xr:uid="{00000000-0005-0000-0000-000063040000}"/>
    <cellStyle name="Currency 7 3 10 2" xfId="3640" xr:uid="{00000000-0005-0000-0000-000062040000}"/>
    <cellStyle name="Currency 7 3 10 2 2" xfId="10544" xr:uid="{47B61974-5201-44D2-B385-E4E97A19AF4A}"/>
    <cellStyle name="Currency 7 3 10 2 2 2" xfId="33030" xr:uid="{0611ADF3-5555-47E0-A219-3F966264F43F}"/>
    <cellStyle name="Currency 7 3 10 2 3" xfId="26851" xr:uid="{52C2DAD8-D16D-4BB3-9A71-85175F13E7CE}"/>
    <cellStyle name="Currency 7 3 10 3" xfId="8576" xr:uid="{EC0D9651-0EF3-41CD-B728-C393FB31E7BE}"/>
    <cellStyle name="Currency 7 3 10 3 2" xfId="31163" xr:uid="{8EB050D6-0B27-49DF-8E33-734DEF7AF793}"/>
    <cellStyle name="Currency 7 3 10 4" xfId="24961" xr:uid="{823F8160-EDD2-496E-96E5-081BF2B47374}"/>
    <cellStyle name="Currency 7 3 11" xfId="2329" xr:uid="{00000000-0005-0000-0000-000061040000}"/>
    <cellStyle name="Currency 7 3 11 2" xfId="9239" xr:uid="{FF47F5A8-C499-48AF-91DC-2E92529A3963}"/>
    <cellStyle name="Currency 7 3 11 2 2" xfId="31814" xr:uid="{48B2B3A0-0A35-4378-BF2D-A60994F81925}"/>
    <cellStyle name="Currency 7 3 11 3" xfId="25688" xr:uid="{1D589D1D-44B0-42D1-BB76-AE5CAF8ED2BA}"/>
    <cellStyle name="Currency 7 3 12" xfId="7319" xr:uid="{41BCB318-0F16-47B0-8E44-32481DF3767D}"/>
    <cellStyle name="Currency 7 3 12 2" xfId="30007" xr:uid="{856AFA90-58D5-4147-81C8-1B5A694B50C8}"/>
    <cellStyle name="Currency 7 3 13" xfId="23704" xr:uid="{D4D53F04-9787-4C8B-A822-6A5436121CC8}"/>
    <cellStyle name="Currency 7 3 2" xfId="331" xr:uid="{00000000-0005-0000-0000-000064040000}"/>
    <cellStyle name="Currency 7 3 2 2" xfId="1595" xr:uid="{00000000-0005-0000-0000-000065040000}"/>
    <cellStyle name="Currency 7 3 2 2 2" xfId="3696" xr:uid="{00000000-0005-0000-0000-000064040000}"/>
    <cellStyle name="Currency 7 3 2 2 2 2" xfId="10600" xr:uid="{BD4BF996-CEEC-46A6-B5A9-73177F93E6B3}"/>
    <cellStyle name="Currency 7 3 2 2 2 2 2" xfId="33086" xr:uid="{F62AAAE6-5A20-4C0F-8A90-5903AB9E0E95}"/>
    <cellStyle name="Currency 7 3 2 2 2 3" xfId="26907" xr:uid="{68850281-323C-4178-B5C3-170EFCFCD256}"/>
    <cellStyle name="Currency 7 3 2 2 3" xfId="8630" xr:uid="{2457C4DE-8B8E-4475-A409-9666086EB080}"/>
    <cellStyle name="Currency 7 3 2 2 3 2" xfId="31216" xr:uid="{DC689BEF-E048-45A6-A3FB-2C5BEBDF7F34}"/>
    <cellStyle name="Currency 7 3 2 2 4" xfId="25016" xr:uid="{3A28BB66-89FE-4670-BF2D-A4998ECECC56}"/>
    <cellStyle name="Currency 7 3 2 3" xfId="2491" xr:uid="{00000000-0005-0000-0000-000063040000}"/>
    <cellStyle name="Currency 7 3 2 3 2" xfId="9400" xr:uid="{8CEA0C67-BD07-4EFF-9B23-450DFF185CD4}"/>
    <cellStyle name="Currency 7 3 2 3 2 2" xfId="31961" xr:uid="{1CDCAEE7-0387-491A-AC24-88705AA54BD4}"/>
    <cellStyle name="Currency 7 3 2 3 3" xfId="25825" xr:uid="{D713413E-5D6B-4123-B9D5-F8BD6FF9CF3E}"/>
    <cellStyle name="Currency 7 3 2 4" xfId="7494" xr:uid="{5F2757F5-0D9F-42F4-B4DE-AE56CB406A84}"/>
    <cellStyle name="Currency 7 3 2 4 2" xfId="30163" xr:uid="{B55E2FBF-7F59-4AB8-A6A5-0D6CE5EC2C0C}"/>
    <cellStyle name="Currency 7 3 2 5" xfId="23884" xr:uid="{0FD632E4-C735-4C31-A1BD-7C299E1A030D}"/>
    <cellStyle name="Currency 7 3 3" xfId="494" xr:uid="{00000000-0005-0000-0000-000066040000}"/>
    <cellStyle name="Currency 7 3 3 2" xfId="1680" xr:uid="{00000000-0005-0000-0000-000067040000}"/>
    <cellStyle name="Currency 7 3 3 2 2" xfId="3778" xr:uid="{00000000-0005-0000-0000-000066040000}"/>
    <cellStyle name="Currency 7 3 3 2 2 2" xfId="10682" xr:uid="{2D754D88-54C1-4068-B93F-52E9553E9989}"/>
    <cellStyle name="Currency 7 3 3 2 2 2 2" xfId="33168" xr:uid="{79CDDBEB-4423-4612-B29E-980B6E9ECFB4}"/>
    <cellStyle name="Currency 7 3 3 2 2 3" xfId="26985" xr:uid="{0BBA939D-DFCB-4C12-A075-0B9D3B06E293}"/>
    <cellStyle name="Currency 7 3 3 2 3" xfId="8695" xr:uid="{3B31F247-A27D-45D6-A692-97F1C1C0D51A}"/>
    <cellStyle name="Currency 7 3 3 2 3 2" xfId="31280" xr:uid="{7C8C9AC3-1FB2-42C3-A5F1-20CDA305D6E3}"/>
    <cellStyle name="Currency 7 3 3 2 4" xfId="25095" xr:uid="{3FE0F524-87F4-4A6F-83D6-CCD602F8AA45}"/>
    <cellStyle name="Currency 7 3 3 3" xfId="2645" xr:uid="{00000000-0005-0000-0000-000065040000}"/>
    <cellStyle name="Currency 7 3 3 3 2" xfId="9554" xr:uid="{DD4E7D92-291A-447D-A230-AA4FC6551694}"/>
    <cellStyle name="Currency 7 3 3 3 2 2" xfId="32104" xr:uid="{32E61821-E724-43F4-A772-0AC5978681CD}"/>
    <cellStyle name="Currency 7 3 3 3 3" xfId="25961" xr:uid="{0539D92E-9110-4278-BA94-FE8D4852496E}"/>
    <cellStyle name="Currency 7 3 3 4" xfId="7637" xr:uid="{6D9993A1-737E-43E5-862E-87980269776C}"/>
    <cellStyle name="Currency 7 3 3 4 2" xfId="30295" xr:uid="{88BE7626-33A3-4B6C-998E-3E6CF687BFF2}"/>
    <cellStyle name="Currency 7 3 3 5" xfId="24026" xr:uid="{8CD83F07-6F07-4A97-AE4B-6F4AC36C0017}"/>
    <cellStyle name="Currency 7 3 4" xfId="721" xr:uid="{00000000-0005-0000-0000-000068040000}"/>
    <cellStyle name="Currency 7 3 4 2" xfId="1777" xr:uid="{00000000-0005-0000-0000-000069040000}"/>
    <cellStyle name="Currency 7 3 4 2 2" xfId="3875" xr:uid="{00000000-0005-0000-0000-000068040000}"/>
    <cellStyle name="Currency 7 3 4 2 2 2" xfId="10779" xr:uid="{C5EC1A6B-CB03-450A-B2D1-EE5FE34FB2A6}"/>
    <cellStyle name="Currency 7 3 4 2 2 2 2" xfId="33265" xr:uid="{00EC7726-D2DA-4545-9E54-C3D11D83223E}"/>
    <cellStyle name="Currency 7 3 4 2 2 3" xfId="27074" xr:uid="{23335D3B-333C-4D0F-AD4D-D6789508DA44}"/>
    <cellStyle name="Currency 7 3 4 2 3" xfId="8777" xr:uid="{03093037-87C5-4F0B-87FE-3F91B9013A60}"/>
    <cellStyle name="Currency 7 3 4 2 3 2" xfId="31360" xr:uid="{5E4F73A2-AE80-443E-87F4-3652E0F1E710}"/>
    <cellStyle name="Currency 7 3 4 2 4" xfId="25183" xr:uid="{009BF537-F8E9-490E-ABD1-BE61C77DF1C4}"/>
    <cellStyle name="Currency 7 3 4 3" xfId="2861" xr:uid="{00000000-0005-0000-0000-000067040000}"/>
    <cellStyle name="Currency 7 3 4 3 2" xfId="9770" xr:uid="{1E95BFD8-8622-48D7-B591-BE0BA8563A8D}"/>
    <cellStyle name="Currency 7 3 4 3 2 2" xfId="32303" xr:uid="{2A2683A1-8AFA-4353-A469-B2B90FF5D226}"/>
    <cellStyle name="Currency 7 3 4 3 3" xfId="26153" xr:uid="{1EF3CE3A-69D6-448F-A7A7-DD667B442269}"/>
    <cellStyle name="Currency 7 3 4 4" xfId="7843" xr:uid="{1FDCBC75-0648-44AD-9B2D-7C36F354626D}"/>
    <cellStyle name="Currency 7 3 4 4 2" xfId="30475" xr:uid="{36F6032C-293D-4878-8ADA-DB693CC55683}"/>
    <cellStyle name="Currency 7 3 4 5" xfId="24228" xr:uid="{B654B3C5-EC1F-4C25-9673-BC0682091465}"/>
    <cellStyle name="Currency 7 3 5" xfId="912" xr:uid="{00000000-0005-0000-0000-00006A040000}"/>
    <cellStyle name="Currency 7 3 5 2" xfId="1866" xr:uid="{00000000-0005-0000-0000-00006B040000}"/>
    <cellStyle name="Currency 7 3 5 2 2" xfId="3964" xr:uid="{00000000-0005-0000-0000-00006A040000}"/>
    <cellStyle name="Currency 7 3 5 2 2 2" xfId="10868" xr:uid="{EA6A83E9-656E-48A3-AFEC-B6AC90B0A753}"/>
    <cellStyle name="Currency 7 3 5 2 2 2 2" xfId="33354" xr:uid="{080AF244-1F9F-4BF2-A330-5A7F1C3E3944}"/>
    <cellStyle name="Currency 7 3 5 2 2 3" xfId="27155" xr:uid="{20388EB2-4606-48D0-91F0-58F0348B30E4}"/>
    <cellStyle name="Currency 7 3 5 2 3" xfId="8849" xr:uid="{67C55D65-46FE-453E-964A-33A1C1B2FF12}"/>
    <cellStyle name="Currency 7 3 5 2 3 2" xfId="31430" xr:uid="{06471C60-8647-497C-93C6-200FAB456BF5}"/>
    <cellStyle name="Currency 7 3 5 2 4" xfId="25262" xr:uid="{D58E6420-CC10-4F41-9EE5-7F768F3EE24F}"/>
    <cellStyle name="Currency 7 3 5 3" xfId="3041" xr:uid="{00000000-0005-0000-0000-000069040000}"/>
    <cellStyle name="Currency 7 3 5 3 2" xfId="9950" xr:uid="{9B17FA36-3ABC-40C1-A7C4-8BB8EC613EF0}"/>
    <cellStyle name="Currency 7 3 5 3 2 2" xfId="32469" xr:uid="{A68EFDEF-1880-48E6-A64C-2E5C699CF09F}"/>
    <cellStyle name="Currency 7 3 5 3 3" xfId="26304" xr:uid="{1FBEA426-1190-4515-8A54-E5FDD9E2818E}"/>
    <cellStyle name="Currency 7 3 5 4" xfId="8013" xr:uid="{528E159B-BD0E-459A-88B5-47B02EA4F6FB}"/>
    <cellStyle name="Currency 7 3 5 4 2" xfId="30634" xr:uid="{11E1D273-6090-4CA8-B8AA-484EFB153CF9}"/>
    <cellStyle name="Currency 7 3 5 5" xfId="24392" xr:uid="{0C519214-3674-405C-876E-C28D3B4D356C}"/>
    <cellStyle name="Currency 7 3 6" xfId="1094" xr:uid="{00000000-0005-0000-0000-00006C040000}"/>
    <cellStyle name="Currency 7 3 6 2" xfId="1961" xr:uid="{00000000-0005-0000-0000-00006D040000}"/>
    <cellStyle name="Currency 7 3 6 2 2" xfId="4057" xr:uid="{00000000-0005-0000-0000-00006C040000}"/>
    <cellStyle name="Currency 7 3 6 2 2 2" xfId="10961" xr:uid="{4B1202C0-AD61-430E-9035-EA351C64C7A3}"/>
    <cellStyle name="Currency 7 3 6 2 2 2 2" xfId="33447" xr:uid="{37A9F884-EB0F-46DF-BF6D-E4530183A343}"/>
    <cellStyle name="Currency 7 3 6 2 2 3" xfId="27242" xr:uid="{ACCBD3DC-6521-4372-9F00-62ED7017A51A}"/>
    <cellStyle name="Currency 7 3 6 2 3" xfId="8919" xr:uid="{A42FA79C-2FFE-46AE-A755-6FA51D88703D}"/>
    <cellStyle name="Currency 7 3 6 2 3 2" xfId="31498" xr:uid="{00707F17-5579-4F04-88FE-18C01F8C3C92}"/>
    <cellStyle name="Currency 7 3 6 2 4" xfId="25347" xr:uid="{E6016AF2-AAD4-4872-BE37-6BCC288051EF}"/>
    <cellStyle name="Currency 7 3 6 3" xfId="3212" xr:uid="{00000000-0005-0000-0000-00006B040000}"/>
    <cellStyle name="Currency 7 3 6 3 2" xfId="10120" xr:uid="{66FAA023-848F-4FC8-95EE-2D6E196096E5}"/>
    <cellStyle name="Currency 7 3 6 3 2 2" xfId="32624" xr:uid="{5BCAD004-3BC2-490D-950A-40B76707DF02}"/>
    <cellStyle name="Currency 7 3 6 3 3" xfId="26455" xr:uid="{05B7989D-8839-4137-8679-49A7107BB893}"/>
    <cellStyle name="Currency 7 3 6 4" xfId="8176" xr:uid="{6CBCE2AE-4529-4819-90C6-95856944AC42}"/>
    <cellStyle name="Currency 7 3 6 4 2" xfId="30787" xr:uid="{1D2C04DE-5427-4A39-A0AA-83126C22BF60}"/>
    <cellStyle name="Currency 7 3 6 5" xfId="24555" xr:uid="{CD7AE604-A4B3-45AD-9F6A-9255D946EDC6}"/>
    <cellStyle name="Currency 7 3 7" xfId="1270" xr:uid="{00000000-0005-0000-0000-00006E040000}"/>
    <cellStyle name="Currency 7 3 7 2" xfId="2051" xr:uid="{00000000-0005-0000-0000-00006F040000}"/>
    <cellStyle name="Currency 7 3 7 2 2" xfId="4146" xr:uid="{00000000-0005-0000-0000-00006E040000}"/>
    <cellStyle name="Currency 7 3 7 2 2 2" xfId="11050" xr:uid="{D86024C8-7292-4556-AB98-CE01D25D5E8F}"/>
    <cellStyle name="Currency 7 3 7 2 2 2 2" xfId="33536" xr:uid="{651A832A-0D3B-4789-A06C-4EA3675B2D67}"/>
    <cellStyle name="Currency 7 3 7 2 2 3" xfId="27324" xr:uid="{5D2D86ED-D85A-4D5A-9377-9E0D920CDEF7}"/>
    <cellStyle name="Currency 7 3 7 2 3" xfId="8990" xr:uid="{7562BAA3-99C2-426E-805D-DA49A6362625}"/>
    <cellStyle name="Currency 7 3 7 2 3 2" xfId="31568" xr:uid="{54416F35-C6D7-498A-A4C9-C0932CF18982}"/>
    <cellStyle name="Currency 7 3 7 2 4" xfId="25431" xr:uid="{019B5DE8-BAD2-4283-A9FD-C671A19CB831}"/>
    <cellStyle name="Currency 7 3 7 3" xfId="3378" xr:uid="{00000000-0005-0000-0000-00006D040000}"/>
    <cellStyle name="Currency 7 3 7 3 2" xfId="10286" xr:uid="{2ACC863F-ADDA-42B9-BE76-901B9BE6771A}"/>
    <cellStyle name="Currency 7 3 7 3 2 2" xfId="32779" xr:uid="{9D452669-7B61-4008-941B-25E828006260}"/>
    <cellStyle name="Currency 7 3 7 3 3" xfId="26605" xr:uid="{1A488BEE-5BAA-4D65-8EFF-F3BD810194DE}"/>
    <cellStyle name="Currency 7 3 7 4" xfId="8336" xr:uid="{A039842E-6600-4C19-8609-E71CAE4AF720}"/>
    <cellStyle name="Currency 7 3 7 4 2" xfId="30932" xr:uid="{5C58E93F-8954-4636-87BF-C4FAE11EF539}"/>
    <cellStyle name="Currency 7 3 7 5" xfId="24706" xr:uid="{F2510814-F776-4F14-9732-5C3ED9285110}"/>
    <cellStyle name="Currency 7 3 8" xfId="1424" xr:uid="{00000000-0005-0000-0000-000070040000}"/>
    <cellStyle name="Currency 7 3 8 2" xfId="2153" xr:uid="{00000000-0005-0000-0000-000071040000}"/>
    <cellStyle name="Currency 7 3 8 2 2" xfId="4246" xr:uid="{00000000-0005-0000-0000-000070040000}"/>
    <cellStyle name="Currency 7 3 8 2 2 2" xfId="11150" xr:uid="{3DECCC28-A543-45AB-9578-FCB5DB1D3C1E}"/>
    <cellStyle name="Currency 7 3 8 2 2 2 2" xfId="33636" xr:uid="{FFE01A13-4050-434A-8C08-83A5D18B2CD9}"/>
    <cellStyle name="Currency 7 3 8 2 2 3" xfId="27418" xr:uid="{1A81C06B-054B-489E-8BDC-258BD4F427D5}"/>
    <cellStyle name="Currency 7 3 8 2 3" xfId="9070" xr:uid="{44957FB0-7286-49C0-8CB8-2A78F1B208FF}"/>
    <cellStyle name="Currency 7 3 8 2 3 2" xfId="31646" xr:uid="{E9B7ABCA-321C-4996-9BEA-86E743BC1CC0}"/>
    <cellStyle name="Currency 7 3 8 2 4" xfId="25523" xr:uid="{F2F4474E-7FB6-45C6-90CF-974EFD577712}"/>
    <cellStyle name="Currency 7 3 8 3" xfId="3525" xr:uid="{00000000-0005-0000-0000-00006F040000}"/>
    <cellStyle name="Currency 7 3 8 3 2" xfId="10432" xr:uid="{277620D2-8341-4C88-84FB-82CCD3A1DBE7}"/>
    <cellStyle name="Currency 7 3 8 3 2 2" xfId="32919" xr:uid="{96A3CB1A-3061-4BDE-8711-54F2EBAD098E}"/>
    <cellStyle name="Currency 7 3 8 3 3" xfId="26738" xr:uid="{4F6465E9-42F1-4045-8CB2-F406189683E3}"/>
    <cellStyle name="Currency 7 3 8 4" xfId="8467" xr:uid="{E3ACA669-77F0-4B37-8298-D4DE111649AC}"/>
    <cellStyle name="Currency 7 3 8 4 2" xfId="31054" xr:uid="{03B88113-1CCA-4F7F-8C06-C4F8B9011158}"/>
    <cellStyle name="Currency 7 3 8 5" xfId="24847" xr:uid="{E9AB97AC-7E59-4640-87A4-1E684C61FB75}"/>
    <cellStyle name="Currency 7 3 9" xfId="1481" xr:uid="{00000000-0005-0000-0000-000072040000}"/>
    <cellStyle name="Currency 7 3 9 2" xfId="2208" xr:uid="{00000000-0005-0000-0000-000073040000}"/>
    <cellStyle name="Currency 7 3 9 2 2" xfId="4301" xr:uid="{00000000-0005-0000-0000-000072040000}"/>
    <cellStyle name="Currency 7 3 9 2 2 2" xfId="11205" xr:uid="{56C09074-0F3D-4C2A-96B6-ED2BD502769E}"/>
    <cellStyle name="Currency 7 3 9 2 2 2 2" xfId="33691" xr:uid="{7A75944A-1430-4C14-95CA-A02D35CFFC14}"/>
    <cellStyle name="Currency 7 3 9 2 2 3" xfId="27473" xr:uid="{2732E96F-5937-41F1-A214-92C19919A52C}"/>
    <cellStyle name="Currency 7 3 9 2 3" xfId="9121" xr:uid="{3E0786AC-8BBE-49B8-B7C1-55D9E63E1B4B}"/>
    <cellStyle name="Currency 7 3 9 2 3 2" xfId="31697" xr:uid="{9496ABB2-5223-4B90-AFCD-CD2CB01999F1}"/>
    <cellStyle name="Currency 7 3 9 2 4" xfId="25576" xr:uid="{B1E963E1-5301-4856-818F-E9B5609D28EA}"/>
    <cellStyle name="Currency 7 3 9 3" xfId="3582" xr:uid="{00000000-0005-0000-0000-000071040000}"/>
    <cellStyle name="Currency 7 3 9 3 2" xfId="10487" xr:uid="{7CB87640-5404-4870-A4D9-EEC4FF12D759}"/>
    <cellStyle name="Currency 7 3 9 3 2 2" xfId="32974" xr:uid="{6C71F273-C97A-42FE-B4E6-54C53E019272}"/>
    <cellStyle name="Currency 7 3 9 3 3" xfId="26795" xr:uid="{ECC3B317-A41D-4170-B429-318770844D80}"/>
    <cellStyle name="Currency 7 3 9 4" xfId="8523" xr:uid="{AE152B14-1F87-4D68-A0BC-B0A3A94A312A}"/>
    <cellStyle name="Currency 7 3 9 4 2" xfId="31110" xr:uid="{145392B7-4709-4EEA-9AA3-EA09D4DB47AD}"/>
    <cellStyle name="Currency 7 3 9 5" xfId="24903" xr:uid="{256B305B-54F6-4BD0-9B32-0DC11BF049D9}"/>
    <cellStyle name="Currency 7 4" xfId="147" xr:uid="{00000000-0005-0000-0000-000074040000}"/>
    <cellStyle name="Currency 7 4 10" xfId="1544" xr:uid="{00000000-0005-0000-0000-000075040000}"/>
    <cellStyle name="Currency 7 4 10 2" xfId="3645" xr:uid="{00000000-0005-0000-0000-000074040000}"/>
    <cellStyle name="Currency 7 4 10 2 2" xfId="10549" xr:uid="{FA2F5CAD-B0CB-428A-BFC0-F70D4D376538}"/>
    <cellStyle name="Currency 7 4 10 2 2 2" xfId="33035" xr:uid="{1D563044-7500-44D0-A338-C53163B574F5}"/>
    <cellStyle name="Currency 7 4 10 2 3" xfId="26856" xr:uid="{DA117189-8C86-4B1A-B206-38A72D455465}"/>
    <cellStyle name="Currency 7 4 10 3" xfId="8581" xr:uid="{CDD8BC6D-59FE-4709-9C12-556431801020}"/>
    <cellStyle name="Currency 7 4 10 3 2" xfId="31168" xr:uid="{F36CC1A3-015E-4474-912E-05D0E7E54FAB}"/>
    <cellStyle name="Currency 7 4 10 4" xfId="24966" xr:uid="{F9DED19C-D548-4076-BCB4-4C6350691111}"/>
    <cellStyle name="Currency 7 4 11" xfId="2342" xr:uid="{00000000-0005-0000-0000-000073040000}"/>
    <cellStyle name="Currency 7 4 11 2" xfId="9251" xr:uid="{E0AD99D6-89E2-42BD-808A-71E417D8D500}"/>
    <cellStyle name="Currency 7 4 11 2 2" xfId="31826" xr:uid="{F9FB0E56-C3D8-4FD8-A04E-7992F413F4B3}"/>
    <cellStyle name="Currency 7 4 11 3" xfId="25700" xr:uid="{59A79982-61EE-478D-9DFB-710E4D0C619C}"/>
    <cellStyle name="Currency 7 4 12" xfId="7335" xr:uid="{0EF30D7F-2BE5-41D9-9022-65B598FDAC96}"/>
    <cellStyle name="Currency 7 4 12 2" xfId="30023" xr:uid="{F25635BF-D213-469F-AAB3-4E5FDC0B4105}"/>
    <cellStyle name="Currency 7 4 13" xfId="23724" xr:uid="{DE9456A1-C368-49C6-AC58-565D022FC927}"/>
    <cellStyle name="Currency 7 4 2" xfId="350" xr:uid="{00000000-0005-0000-0000-000076040000}"/>
    <cellStyle name="Currency 7 4 2 2" xfId="1600" xr:uid="{00000000-0005-0000-0000-000077040000}"/>
    <cellStyle name="Currency 7 4 2 2 2" xfId="3701" xr:uid="{00000000-0005-0000-0000-000076040000}"/>
    <cellStyle name="Currency 7 4 2 2 2 2" xfId="10605" xr:uid="{13FD9D74-FAB4-46D6-8069-53CE69DBE530}"/>
    <cellStyle name="Currency 7 4 2 2 2 2 2" xfId="33091" xr:uid="{66AEB180-108A-43F2-A590-FBEE1F9FCF7C}"/>
    <cellStyle name="Currency 7 4 2 2 2 3" xfId="26912" xr:uid="{DB1060F9-E41B-4250-9964-F54FCBF962E6}"/>
    <cellStyle name="Currency 7 4 2 2 3" xfId="8635" xr:uid="{57365374-9DF9-410C-A360-5AECFEEF5F9F}"/>
    <cellStyle name="Currency 7 4 2 2 3 2" xfId="31221" xr:uid="{462CE074-4C30-40FB-9192-19870B30C693}"/>
    <cellStyle name="Currency 7 4 2 2 4" xfId="25021" xr:uid="{62558664-4FEB-4A29-B4C6-C93AE64F2D08}"/>
    <cellStyle name="Currency 7 4 2 3" xfId="2510" xr:uid="{00000000-0005-0000-0000-000075040000}"/>
    <cellStyle name="Currency 7 4 2 3 2" xfId="9419" xr:uid="{EE01D770-4AB7-4646-B245-7C98434F05F8}"/>
    <cellStyle name="Currency 7 4 2 3 2 2" xfId="31978" xr:uid="{CF12164F-39D7-4865-8C7C-F5118A06187E}"/>
    <cellStyle name="Currency 7 4 2 3 3" xfId="25841" xr:uid="{56DEB666-3032-4A46-8182-6CFA69F6B798}"/>
    <cellStyle name="Currency 7 4 2 4" xfId="7513" xr:uid="{45F2905B-1BD7-4505-994C-00816D3450EF}"/>
    <cellStyle name="Currency 7 4 2 4 2" xfId="30181" xr:uid="{24F79955-3958-4B7E-999D-3A633056C37A}"/>
    <cellStyle name="Currency 7 4 2 5" xfId="23901" xr:uid="{531E397B-5B9C-49EF-B4EA-9B87ADE650B9}"/>
    <cellStyle name="Currency 7 4 3" xfId="511" xr:uid="{00000000-0005-0000-0000-000078040000}"/>
    <cellStyle name="Currency 7 4 3 2" xfId="1685" xr:uid="{00000000-0005-0000-0000-000079040000}"/>
    <cellStyle name="Currency 7 4 3 2 2" xfId="3783" xr:uid="{00000000-0005-0000-0000-000078040000}"/>
    <cellStyle name="Currency 7 4 3 2 2 2" xfId="10687" xr:uid="{2C276B37-DB0A-44B0-964E-EA8A7F345F54}"/>
    <cellStyle name="Currency 7 4 3 2 2 2 2" xfId="33173" xr:uid="{9446A15D-7164-44B8-985C-91F0BC3394DF}"/>
    <cellStyle name="Currency 7 4 3 2 2 3" xfId="26990" xr:uid="{827E6819-EB98-4594-BED4-79781815932A}"/>
    <cellStyle name="Currency 7 4 3 2 3" xfId="8700" xr:uid="{592CBB63-407B-488E-AE67-7B380110ADEF}"/>
    <cellStyle name="Currency 7 4 3 2 3 2" xfId="31285" xr:uid="{FEF7AE2E-7503-4349-AEE2-E14CABCA325C}"/>
    <cellStyle name="Currency 7 4 3 2 4" xfId="25100" xr:uid="{1B725366-6C51-4F0F-BFB7-E7774069AA80}"/>
    <cellStyle name="Currency 7 4 3 3" xfId="2662" xr:uid="{00000000-0005-0000-0000-000077040000}"/>
    <cellStyle name="Currency 7 4 3 3 2" xfId="9571" xr:uid="{9707651E-7EF8-427B-8412-553C28FE9867}"/>
    <cellStyle name="Currency 7 4 3 3 2 2" xfId="32121" xr:uid="{5A1C2EFF-2434-4241-A230-20CADFA318D1}"/>
    <cellStyle name="Currency 7 4 3 3 3" xfId="25977" xr:uid="{6F01350F-3D63-4A47-824A-18E0F58C139F}"/>
    <cellStyle name="Currency 7 4 3 4" xfId="7654" xr:uid="{05B9E7D1-312E-4E9F-86EC-DB29CE27C910}"/>
    <cellStyle name="Currency 7 4 3 4 2" xfId="30310" xr:uid="{1B20315F-D500-4760-AE09-31195CAB7B22}"/>
    <cellStyle name="Currency 7 4 3 5" xfId="24043" xr:uid="{AAED6904-DDE5-49C8-B03D-F0123D41E1EA}"/>
    <cellStyle name="Currency 7 4 4" xfId="741" xr:uid="{00000000-0005-0000-0000-00007A040000}"/>
    <cellStyle name="Currency 7 4 4 2" xfId="1782" xr:uid="{00000000-0005-0000-0000-00007B040000}"/>
    <cellStyle name="Currency 7 4 4 2 2" xfId="3880" xr:uid="{00000000-0005-0000-0000-00007A040000}"/>
    <cellStyle name="Currency 7 4 4 2 2 2" xfId="10784" xr:uid="{2ACC43F2-3FB0-49D1-A58A-35C654249DF4}"/>
    <cellStyle name="Currency 7 4 4 2 2 2 2" xfId="33270" xr:uid="{837AE22A-35BA-41F2-B52D-9C3F4393AC98}"/>
    <cellStyle name="Currency 7 4 4 2 2 3" xfId="27079" xr:uid="{7069A922-9364-44FB-A7CB-4F2B31FC829F}"/>
    <cellStyle name="Currency 7 4 4 2 3" xfId="8782" xr:uid="{D87BDA99-D105-4763-8FF3-0B0238D57B36}"/>
    <cellStyle name="Currency 7 4 4 2 3 2" xfId="31365" xr:uid="{F745DCE1-9DD3-4D98-9D75-BD5CA83BFF49}"/>
    <cellStyle name="Currency 7 4 4 2 4" xfId="25188" xr:uid="{09F4DDEC-1A08-44D0-BE5B-24331D43BD27}"/>
    <cellStyle name="Currency 7 4 4 3" xfId="2881" xr:uid="{00000000-0005-0000-0000-000079040000}"/>
    <cellStyle name="Currency 7 4 4 3 2" xfId="9790" xr:uid="{A04FF5B3-72B8-4307-A8B5-8E3B87F1AC3A}"/>
    <cellStyle name="Currency 7 4 4 3 2 2" xfId="32320" xr:uid="{524F9A23-7E2C-462A-84A2-E3EBEA4324AF}"/>
    <cellStyle name="Currency 7 4 4 3 3" xfId="26172" xr:uid="{AFCD3E03-597A-40DE-ABAC-246B106091A8}"/>
    <cellStyle name="Currency 7 4 4 4" xfId="7863" xr:uid="{C243D05D-0700-4155-8EC9-D060DCC1418A}"/>
    <cellStyle name="Currency 7 4 4 4 2" xfId="30494" xr:uid="{CF5B6FDD-2600-4F44-91A2-7FEE3D9E1ED9}"/>
    <cellStyle name="Currency 7 4 4 5" xfId="24247" xr:uid="{EE718E7E-E54B-483E-9F74-9B4867302E48}"/>
    <cellStyle name="Currency 7 4 5" xfId="931" xr:uid="{00000000-0005-0000-0000-00007C040000}"/>
    <cellStyle name="Currency 7 4 5 2" xfId="1871" xr:uid="{00000000-0005-0000-0000-00007D040000}"/>
    <cellStyle name="Currency 7 4 5 2 2" xfId="3969" xr:uid="{00000000-0005-0000-0000-00007C040000}"/>
    <cellStyle name="Currency 7 4 5 2 2 2" xfId="10873" xr:uid="{8286763A-AEE6-4163-81FD-3EDC224AB719}"/>
    <cellStyle name="Currency 7 4 5 2 2 2 2" xfId="33359" xr:uid="{6B08ABCF-9EC2-4544-91B0-304698E38345}"/>
    <cellStyle name="Currency 7 4 5 2 2 3" xfId="27160" xr:uid="{AB1D5DAC-C04F-4525-A99D-717176D7DD96}"/>
    <cellStyle name="Currency 7 4 5 2 3" xfId="8854" xr:uid="{2CF543BF-C1BC-4E56-B380-FA8BF3987AFA}"/>
    <cellStyle name="Currency 7 4 5 2 3 2" xfId="31435" xr:uid="{9C0B0917-54EA-4F19-83FD-5B0D388F168A}"/>
    <cellStyle name="Currency 7 4 5 2 4" xfId="25267" xr:uid="{F5535889-216D-4CDF-97FE-FEA0EBF8A6EB}"/>
    <cellStyle name="Currency 7 4 5 3" xfId="3060" xr:uid="{00000000-0005-0000-0000-00007B040000}"/>
    <cellStyle name="Currency 7 4 5 3 2" xfId="9969" xr:uid="{316F374F-3C6F-4B77-A1F7-4241D89E55EB}"/>
    <cellStyle name="Currency 7 4 5 3 2 2" xfId="32486" xr:uid="{7170ED33-A1DC-43BD-8BBE-C7E79715044A}"/>
    <cellStyle name="Currency 7 4 5 3 3" xfId="26322" xr:uid="{3469545D-C7B7-4933-BE82-7B413CF4215E}"/>
    <cellStyle name="Currency 7 4 5 4" xfId="8032" xr:uid="{7947C130-D576-405C-AC42-E578C8303256}"/>
    <cellStyle name="Currency 7 4 5 4 2" xfId="30652" xr:uid="{00719270-5DA1-4704-8B34-798502DC6640}"/>
    <cellStyle name="Currency 7 4 5 5" xfId="24410" xr:uid="{3071B93E-1E68-4F21-AA2F-9DC7F4B5E645}"/>
    <cellStyle name="Currency 7 4 6" xfId="1114" xr:uid="{00000000-0005-0000-0000-00007E040000}"/>
    <cellStyle name="Currency 7 4 6 2" xfId="1966" xr:uid="{00000000-0005-0000-0000-00007F040000}"/>
    <cellStyle name="Currency 7 4 6 2 2" xfId="4062" xr:uid="{00000000-0005-0000-0000-00007E040000}"/>
    <cellStyle name="Currency 7 4 6 2 2 2" xfId="10966" xr:uid="{40F0413A-4E9A-4CC0-B030-28513947BC6D}"/>
    <cellStyle name="Currency 7 4 6 2 2 2 2" xfId="33452" xr:uid="{BE362D0D-7EC9-4B4E-B1A3-16F6147B3140}"/>
    <cellStyle name="Currency 7 4 6 2 2 3" xfId="27247" xr:uid="{5F52F6AD-7631-4A43-8840-117AC50C368F}"/>
    <cellStyle name="Currency 7 4 6 2 3" xfId="8924" xr:uid="{24021CAB-C6A3-422D-9BED-3DDC5BEF0A96}"/>
    <cellStyle name="Currency 7 4 6 2 3 2" xfId="31503" xr:uid="{8028A69E-D173-4F9F-8439-844FABCFFFDA}"/>
    <cellStyle name="Currency 7 4 6 2 4" xfId="25352" xr:uid="{1CF40498-9487-4433-90F8-8519715F961E}"/>
    <cellStyle name="Currency 7 4 6 3" xfId="3232" xr:uid="{00000000-0005-0000-0000-00007D040000}"/>
    <cellStyle name="Currency 7 4 6 3 2" xfId="10140" xr:uid="{230C3D62-DA1D-427E-949A-2537FDA3CDAB}"/>
    <cellStyle name="Currency 7 4 6 3 2 2" xfId="32641" xr:uid="{4B1B62CE-4860-49FD-B40C-8660B0B7218E}"/>
    <cellStyle name="Currency 7 4 6 3 3" xfId="26474" xr:uid="{06DBC0E1-C5CB-4A56-9DC6-1AFD3D293A10}"/>
    <cellStyle name="Currency 7 4 6 4" xfId="8196" xr:uid="{106B94B7-FAC6-4E2B-AAB2-6470ADA0FF5D}"/>
    <cellStyle name="Currency 7 4 6 4 2" xfId="30805" xr:uid="{2400957E-1A36-4311-A1BC-30A72C71FB9F}"/>
    <cellStyle name="Currency 7 4 6 5" xfId="24574" xr:uid="{54013073-81C1-4B72-84D1-03AA3036CF13}"/>
    <cellStyle name="Currency 7 4 7" xfId="1287" xr:uid="{00000000-0005-0000-0000-000080040000}"/>
    <cellStyle name="Currency 7 4 7 2" xfId="2056" xr:uid="{00000000-0005-0000-0000-000081040000}"/>
    <cellStyle name="Currency 7 4 7 2 2" xfId="4151" xr:uid="{00000000-0005-0000-0000-000080040000}"/>
    <cellStyle name="Currency 7 4 7 2 2 2" xfId="11055" xr:uid="{B7DB2ED0-3783-448B-9F28-CFF17C2B1022}"/>
    <cellStyle name="Currency 7 4 7 2 2 2 2" xfId="33541" xr:uid="{1C555F8E-08D7-4875-8ABE-5D456CF13658}"/>
    <cellStyle name="Currency 7 4 7 2 2 3" xfId="27329" xr:uid="{1B1E435F-5BF6-4D07-9C1C-199AF41F0FEA}"/>
    <cellStyle name="Currency 7 4 7 2 3" xfId="8995" xr:uid="{71DADDDB-B94D-463F-9522-90F543F38258}"/>
    <cellStyle name="Currency 7 4 7 2 3 2" xfId="31573" xr:uid="{B7DD5382-0592-49BD-BCB1-2DF1426DE222}"/>
    <cellStyle name="Currency 7 4 7 2 4" xfId="25436" xr:uid="{F66FB1A5-B0A5-4FCD-9596-00CEC97500BA}"/>
    <cellStyle name="Currency 7 4 7 3" xfId="3395" xr:uid="{00000000-0005-0000-0000-00007F040000}"/>
    <cellStyle name="Currency 7 4 7 3 2" xfId="10303" xr:uid="{BB783CF3-D3A3-4756-A1F9-3325A605F742}"/>
    <cellStyle name="Currency 7 4 7 3 2 2" xfId="32795" xr:uid="{F6A9D7B9-FB6D-4B42-92BE-E6CF2247CBB8}"/>
    <cellStyle name="Currency 7 4 7 3 3" xfId="26622" xr:uid="{B11F6537-3474-47FB-A369-982836F1E061}"/>
    <cellStyle name="Currency 7 4 7 4" xfId="8353" xr:uid="{890374EE-9B08-4B0F-85E6-E9833401C89F}"/>
    <cellStyle name="Currency 7 4 7 4 2" xfId="30947" xr:uid="{ECE9344F-518F-4F04-B9B9-57F336E4BD75}"/>
    <cellStyle name="Currency 7 4 7 5" xfId="24721" xr:uid="{7FD6A99D-7348-4E55-BA77-E3A8AF66A9F9}"/>
    <cellStyle name="Currency 7 4 8" xfId="1405" xr:uid="{00000000-0005-0000-0000-000082040000}"/>
    <cellStyle name="Currency 7 4 8 2" xfId="2134" xr:uid="{00000000-0005-0000-0000-000083040000}"/>
    <cellStyle name="Currency 7 4 8 2 2" xfId="4227" xr:uid="{00000000-0005-0000-0000-000082040000}"/>
    <cellStyle name="Currency 7 4 8 2 2 2" xfId="11131" xr:uid="{DF18ADEC-525C-43AA-A055-1865FA3A905D}"/>
    <cellStyle name="Currency 7 4 8 2 2 2 2" xfId="33617" xr:uid="{81037DCE-211E-459F-9294-2D4EEEB94329}"/>
    <cellStyle name="Currency 7 4 8 2 2 3" xfId="27399" xr:uid="{2EAD2F62-0087-4724-AA41-10FFA0BF7C80}"/>
    <cellStyle name="Currency 7 4 8 2 3" xfId="9053" xr:uid="{BF95793D-17EA-47CE-8F9F-AB1B2F531150}"/>
    <cellStyle name="Currency 7 4 8 2 3 2" xfId="31629" xr:uid="{56C25EF0-BEE7-4D06-9DBA-878DCE452AA2}"/>
    <cellStyle name="Currency 7 4 8 2 4" xfId="25504" xr:uid="{E4D7C029-EA40-47B9-A34E-276287B7F399}"/>
    <cellStyle name="Currency 7 4 8 3" xfId="3507" xr:uid="{00000000-0005-0000-0000-000081040000}"/>
    <cellStyle name="Currency 7 4 8 3 2" xfId="10414" xr:uid="{594F9152-45EC-4079-BA11-E67D94798607}"/>
    <cellStyle name="Currency 7 4 8 3 2 2" xfId="32901" xr:uid="{BDEDD9AC-1BDC-4C93-9079-2A5C717AAE38}"/>
    <cellStyle name="Currency 7 4 8 3 3" xfId="26721" xr:uid="{948CED56-06C0-4CB4-9C6C-A08B2486C63B}"/>
    <cellStyle name="Currency 7 4 8 4" xfId="8450" xr:uid="{00048D7B-6A15-4696-B772-78E5D5800DC2}"/>
    <cellStyle name="Currency 7 4 8 4 2" xfId="31038" xr:uid="{B05ED01E-5B56-493D-BB8B-27EC9B07F1D9}"/>
    <cellStyle name="Currency 7 4 8 5" xfId="24830" xr:uid="{FCAB43BE-D7A5-4FDF-9EDE-C2923DECC682}"/>
    <cellStyle name="Currency 7 4 9" xfId="1486" xr:uid="{00000000-0005-0000-0000-000084040000}"/>
    <cellStyle name="Currency 7 4 9 2" xfId="2213" xr:uid="{00000000-0005-0000-0000-000085040000}"/>
    <cellStyle name="Currency 7 4 9 2 2" xfId="4306" xr:uid="{00000000-0005-0000-0000-000084040000}"/>
    <cellStyle name="Currency 7 4 9 2 2 2" xfId="11210" xr:uid="{648EEBAE-DD3D-41B5-B139-4FED5E2BC656}"/>
    <cellStyle name="Currency 7 4 9 2 2 2 2" xfId="33696" xr:uid="{475304ED-2336-46A8-8CF4-0EC9157F84B7}"/>
    <cellStyle name="Currency 7 4 9 2 2 3" xfId="27478" xr:uid="{02E245E1-D809-4BC1-AE52-52A3825B425E}"/>
    <cellStyle name="Currency 7 4 9 2 3" xfId="9126" xr:uid="{3F02E8F3-7B74-44AC-82C8-2C0247057959}"/>
    <cellStyle name="Currency 7 4 9 2 3 2" xfId="31702" xr:uid="{5605B72B-26B0-451C-AAA6-CF3410605E49}"/>
    <cellStyle name="Currency 7 4 9 2 4" xfId="25581" xr:uid="{5CD572AB-50F8-4FE2-ACA3-7027926AD86F}"/>
    <cellStyle name="Currency 7 4 9 3" xfId="3587" xr:uid="{00000000-0005-0000-0000-000083040000}"/>
    <cellStyle name="Currency 7 4 9 3 2" xfId="10492" xr:uid="{65AC41FD-0A8D-4E9D-84CA-63C4F51F37DC}"/>
    <cellStyle name="Currency 7 4 9 3 2 2" xfId="32979" xr:uid="{4E71D979-0E9E-45BA-86AF-C94F6E88193F}"/>
    <cellStyle name="Currency 7 4 9 3 3" xfId="26800" xr:uid="{6CA5469A-9801-48A4-B549-C9DC9ADB1950}"/>
    <cellStyle name="Currency 7 4 9 4" xfId="8528" xr:uid="{AB87D1BD-04DE-4630-A869-39F86AEA261B}"/>
    <cellStyle name="Currency 7 4 9 4 2" xfId="31115" xr:uid="{DD11CE5D-2D10-440B-92B9-F1331B88883A}"/>
    <cellStyle name="Currency 7 4 9 5" xfId="24908" xr:uid="{A5397912-79C9-41F7-894D-103FCCC4DF39}"/>
    <cellStyle name="Currency 7 5" xfId="168" xr:uid="{00000000-0005-0000-0000-000086040000}"/>
    <cellStyle name="Currency 7 5 10" xfId="1549" xr:uid="{00000000-0005-0000-0000-000087040000}"/>
    <cellStyle name="Currency 7 5 10 2" xfId="3650" xr:uid="{00000000-0005-0000-0000-000086040000}"/>
    <cellStyle name="Currency 7 5 10 2 2" xfId="10554" xr:uid="{E3DA5F1D-498B-4933-9E35-CD76A5068BBD}"/>
    <cellStyle name="Currency 7 5 10 2 2 2" xfId="33040" xr:uid="{95A7FCE5-E215-4FC9-A206-C3F60CB39534}"/>
    <cellStyle name="Currency 7 5 10 2 3" xfId="26861" xr:uid="{F32E737E-D566-49DC-87F7-72E4A9549637}"/>
    <cellStyle name="Currency 7 5 10 3" xfId="8586" xr:uid="{4DB85437-E205-4DEF-9ED3-D61A05BBB7C0}"/>
    <cellStyle name="Currency 7 5 10 3 2" xfId="31173" xr:uid="{D527E597-2A86-4BE4-AD63-DE2724E0F4AF}"/>
    <cellStyle name="Currency 7 5 10 4" xfId="24971" xr:uid="{049CB175-0718-4EFB-B6D1-E185234587C7}"/>
    <cellStyle name="Currency 7 5 11" xfId="2354" xr:uid="{00000000-0005-0000-0000-000085040000}"/>
    <cellStyle name="Currency 7 5 11 2" xfId="9263" xr:uid="{5DFBF51A-A260-490B-ADEB-DCE98071D125}"/>
    <cellStyle name="Currency 7 5 11 2 2" xfId="31838" xr:uid="{A4182506-5E35-4F8A-9A78-A6968FCEE6F7}"/>
    <cellStyle name="Currency 7 5 11 3" xfId="25710" xr:uid="{A6EABF67-EAF5-431E-8AFD-342B40C72518}"/>
    <cellStyle name="Currency 7 5 12" xfId="7349" xr:uid="{A8578470-1DB8-4B1B-AC05-9752E0A8B093}"/>
    <cellStyle name="Currency 7 5 12 2" xfId="30035" xr:uid="{B804E288-0958-4106-8F3A-E9C063F78903}"/>
    <cellStyle name="Currency 7 5 13" xfId="23742" xr:uid="{A9AECBFC-4C90-49ED-926F-4AE2C8D8A719}"/>
    <cellStyle name="Currency 7 5 2" xfId="369" xr:uid="{00000000-0005-0000-0000-000088040000}"/>
    <cellStyle name="Currency 7 5 2 2" xfId="1605" xr:uid="{00000000-0005-0000-0000-000089040000}"/>
    <cellStyle name="Currency 7 5 2 2 2" xfId="3706" xr:uid="{00000000-0005-0000-0000-000088040000}"/>
    <cellStyle name="Currency 7 5 2 2 2 2" xfId="10610" xr:uid="{172FEFEE-1806-4126-8A51-ECEA4B011856}"/>
    <cellStyle name="Currency 7 5 2 2 2 2 2" xfId="33096" xr:uid="{AB3DC6ED-DBFA-4F09-9B1D-5E57DBA2E016}"/>
    <cellStyle name="Currency 7 5 2 2 2 3" xfId="26917" xr:uid="{D9FAD786-2BB4-4963-B8CC-63CD572C515D}"/>
    <cellStyle name="Currency 7 5 2 2 3" xfId="8640" xr:uid="{2FC08536-BC68-40F2-A4CF-ED82EAFAE837}"/>
    <cellStyle name="Currency 7 5 2 2 3 2" xfId="31226" xr:uid="{29636BF4-C049-4651-9A30-68C4B17AD5C5}"/>
    <cellStyle name="Currency 7 5 2 2 4" xfId="25026" xr:uid="{0EDAF4C5-B420-4B12-B2FB-1358814D5D21}"/>
    <cellStyle name="Currency 7 5 2 3" xfId="2529" xr:uid="{00000000-0005-0000-0000-000087040000}"/>
    <cellStyle name="Currency 7 5 2 3 2" xfId="9438" xr:uid="{6BDEE080-7167-4955-9AE8-D47279521DDA}"/>
    <cellStyle name="Currency 7 5 2 3 2 2" xfId="31995" xr:uid="{3820CD57-901A-4AC3-8920-F3634E6530B4}"/>
    <cellStyle name="Currency 7 5 2 3 3" xfId="25858" xr:uid="{D23FFC98-A01B-4436-A049-2CBD1D45AA13}"/>
    <cellStyle name="Currency 7 5 2 4" xfId="7532" xr:uid="{8E3E90C3-3634-4B0D-80E9-70AF26331B5C}"/>
    <cellStyle name="Currency 7 5 2 4 2" xfId="30197" xr:uid="{C0471DA9-0B9C-4139-B8C8-11874126DDEE}"/>
    <cellStyle name="Currency 7 5 2 5" xfId="23917" xr:uid="{0742BA36-20DA-4D4F-B4FF-662DED0B4DEC}"/>
    <cellStyle name="Currency 7 5 3" xfId="528" xr:uid="{00000000-0005-0000-0000-00008A040000}"/>
    <cellStyle name="Currency 7 5 3 2" xfId="1690" xr:uid="{00000000-0005-0000-0000-00008B040000}"/>
    <cellStyle name="Currency 7 5 3 2 2" xfId="3788" xr:uid="{00000000-0005-0000-0000-00008A040000}"/>
    <cellStyle name="Currency 7 5 3 2 2 2" xfId="10692" xr:uid="{67569654-1E7F-4FA7-BDFB-C08078FC8971}"/>
    <cellStyle name="Currency 7 5 3 2 2 2 2" xfId="33178" xr:uid="{E68926AE-17E3-4EE5-9E33-1A9B6FB38DA5}"/>
    <cellStyle name="Currency 7 5 3 2 2 3" xfId="26995" xr:uid="{EAA127CA-2E81-4CF8-945D-F971A900EDEA}"/>
    <cellStyle name="Currency 7 5 3 2 3" xfId="8705" xr:uid="{8A61446F-07E5-4372-A106-15B3AD4E6E93}"/>
    <cellStyle name="Currency 7 5 3 2 3 2" xfId="31290" xr:uid="{A257FB42-7F06-4DD5-AADE-6037662F4D3D}"/>
    <cellStyle name="Currency 7 5 3 2 4" xfId="25105" xr:uid="{98BBB664-BB00-487D-99F3-7B7F7DDBA87F}"/>
    <cellStyle name="Currency 7 5 3 3" xfId="2679" xr:uid="{00000000-0005-0000-0000-000089040000}"/>
    <cellStyle name="Currency 7 5 3 3 2" xfId="9588" xr:uid="{9706748F-C238-4B09-A0D8-E07F62C6F10B}"/>
    <cellStyle name="Currency 7 5 3 3 2 2" xfId="32138" xr:uid="{0158BAAE-A135-48E5-B76C-283516EAD454}"/>
    <cellStyle name="Currency 7 5 3 3 3" xfId="25991" xr:uid="{2DBE6CC4-BA95-41BE-A19F-B29002F3FCE1}"/>
    <cellStyle name="Currency 7 5 3 4" xfId="7671" xr:uid="{F0A433CC-D2D1-4CA1-A18A-51B7B62B234D}"/>
    <cellStyle name="Currency 7 5 3 4 2" xfId="30324" xr:uid="{9BDA5D59-7307-456D-BC51-1BBD34EE2F8D}"/>
    <cellStyle name="Currency 7 5 3 5" xfId="24059" xr:uid="{CB26659C-EE7D-4E50-BE6C-93F29EF94D2D}"/>
    <cellStyle name="Currency 7 5 4" xfId="761" xr:uid="{00000000-0005-0000-0000-00008C040000}"/>
    <cellStyle name="Currency 7 5 4 2" xfId="1787" xr:uid="{00000000-0005-0000-0000-00008D040000}"/>
    <cellStyle name="Currency 7 5 4 2 2" xfId="3885" xr:uid="{00000000-0005-0000-0000-00008C040000}"/>
    <cellStyle name="Currency 7 5 4 2 2 2" xfId="10789" xr:uid="{F60E4CBD-04B7-47AE-B3FE-D4063EA1A1E0}"/>
    <cellStyle name="Currency 7 5 4 2 2 2 2" xfId="33275" xr:uid="{BB2C40DE-9E63-437C-8A7A-23F38E6A0158}"/>
    <cellStyle name="Currency 7 5 4 2 2 3" xfId="27084" xr:uid="{E4155D6F-BEF3-4093-AAA9-8D8FED27282F}"/>
    <cellStyle name="Currency 7 5 4 2 3" xfId="8787" xr:uid="{959973F9-13B4-4603-99C3-1D0A31C62D35}"/>
    <cellStyle name="Currency 7 5 4 2 3 2" xfId="31370" xr:uid="{2DCC0839-07CA-4021-99BA-2F2B058753EC}"/>
    <cellStyle name="Currency 7 5 4 2 4" xfId="25193" xr:uid="{4B8CA769-5F4D-4BD9-AE4C-926656228A9D}"/>
    <cellStyle name="Currency 7 5 4 3" xfId="2900" xr:uid="{00000000-0005-0000-0000-00008B040000}"/>
    <cellStyle name="Currency 7 5 4 3 2" xfId="9809" xr:uid="{6AE1D189-CD3B-4803-BC40-410D618329AA}"/>
    <cellStyle name="Currency 7 5 4 3 2 2" xfId="32337" xr:uid="{4C4C14FB-5A44-45BA-BE92-60086ADB4BA6}"/>
    <cellStyle name="Currency 7 5 4 3 3" xfId="26191" xr:uid="{FEC22DEF-B04E-4B92-96CD-F4539222DE74}"/>
    <cellStyle name="Currency 7 5 4 4" xfId="7883" xr:uid="{F7E0076F-9762-410D-BC60-DD7E0D5D30A6}"/>
    <cellStyle name="Currency 7 5 4 4 2" xfId="30513" xr:uid="{FD4EDFED-B0D3-4958-8142-D132C75DD21A}"/>
    <cellStyle name="Currency 7 5 4 5" xfId="24262" xr:uid="{0B23B7A2-9868-4328-B361-68402D90D7D8}"/>
    <cellStyle name="Currency 7 5 5" xfId="950" xr:uid="{00000000-0005-0000-0000-00008E040000}"/>
    <cellStyle name="Currency 7 5 5 2" xfId="1876" xr:uid="{00000000-0005-0000-0000-00008F040000}"/>
    <cellStyle name="Currency 7 5 5 2 2" xfId="3974" xr:uid="{00000000-0005-0000-0000-00008E040000}"/>
    <cellStyle name="Currency 7 5 5 2 2 2" xfId="10878" xr:uid="{6C28D46B-3BCE-41A7-9875-D7676057F18D}"/>
    <cellStyle name="Currency 7 5 5 2 2 2 2" xfId="33364" xr:uid="{A8DFC4C3-474D-48D5-8011-81F37813C18E}"/>
    <cellStyle name="Currency 7 5 5 2 2 3" xfId="27165" xr:uid="{A2E7E87D-AE78-4DCE-9AC3-E64885AF3309}"/>
    <cellStyle name="Currency 7 5 5 2 3" xfId="8859" xr:uid="{97A3AF61-115E-4A32-8FEF-C7285473CEBB}"/>
    <cellStyle name="Currency 7 5 5 2 3 2" xfId="31440" xr:uid="{33C38C7A-A00A-486E-B5B7-E1D2C60F8AD7}"/>
    <cellStyle name="Currency 7 5 5 2 4" xfId="25272" xr:uid="{A86A6853-D93A-4958-AD79-6408F60725F0}"/>
    <cellStyle name="Currency 7 5 5 3" xfId="3079" xr:uid="{00000000-0005-0000-0000-00008D040000}"/>
    <cellStyle name="Currency 7 5 5 3 2" xfId="9988" xr:uid="{666D1E68-2DE9-4938-BAD1-AF8642F5D446}"/>
    <cellStyle name="Currency 7 5 5 3 2 2" xfId="32505" xr:uid="{DECDFC07-50E1-4362-9150-20FE4EE2EB18}"/>
    <cellStyle name="Currency 7 5 5 3 3" xfId="26338" xr:uid="{9D0D6DB7-9C4E-487B-9D81-0391D3056365}"/>
    <cellStyle name="Currency 7 5 5 4" xfId="8051" xr:uid="{3B518519-9384-47F2-8CAF-8961B29D124A}"/>
    <cellStyle name="Currency 7 5 5 4 2" xfId="30669" xr:uid="{F644E81A-C92E-41F4-ABE4-D104B967361D}"/>
    <cellStyle name="Currency 7 5 5 5" xfId="24428" xr:uid="{8225CAE1-2DD9-43FE-867E-121EF3E21932}"/>
    <cellStyle name="Currency 7 5 6" xfId="1133" xr:uid="{00000000-0005-0000-0000-000090040000}"/>
    <cellStyle name="Currency 7 5 6 2" xfId="1971" xr:uid="{00000000-0005-0000-0000-000091040000}"/>
    <cellStyle name="Currency 7 5 6 2 2" xfId="4067" xr:uid="{00000000-0005-0000-0000-000090040000}"/>
    <cellStyle name="Currency 7 5 6 2 2 2" xfId="10971" xr:uid="{79A5E4FD-5483-42B7-8EED-698ADFB1A295}"/>
    <cellStyle name="Currency 7 5 6 2 2 2 2" xfId="33457" xr:uid="{FF66C98E-F71C-4659-8D60-A457D74D582B}"/>
    <cellStyle name="Currency 7 5 6 2 2 3" xfId="27252" xr:uid="{DE8D9763-0460-452E-B043-CA2ABF97F4B0}"/>
    <cellStyle name="Currency 7 5 6 2 3" xfId="8929" xr:uid="{CB11DF6C-AA2B-4FBF-B962-701533560540}"/>
    <cellStyle name="Currency 7 5 6 2 3 2" xfId="31508" xr:uid="{C2DFCBC0-1C1F-4505-8645-5102A7F05386}"/>
    <cellStyle name="Currency 7 5 6 2 4" xfId="25357" xr:uid="{256DE940-BE78-41AF-B98D-27FE44C2E9AA}"/>
    <cellStyle name="Currency 7 5 6 3" xfId="3251" xr:uid="{00000000-0005-0000-0000-00008F040000}"/>
    <cellStyle name="Currency 7 5 6 3 2" xfId="10159" xr:uid="{1BA80057-FD22-4C64-A11E-134670DD1C8F}"/>
    <cellStyle name="Currency 7 5 6 3 2 2" xfId="32658" xr:uid="{C641C038-57EA-4CD0-9AC8-02FA5A120B2E}"/>
    <cellStyle name="Currency 7 5 6 3 3" xfId="26490" xr:uid="{C4ECD0DB-D775-45D0-944A-7CC0C0B7C070}"/>
    <cellStyle name="Currency 7 5 6 4" xfId="8215" xr:uid="{39F15657-B636-44AC-9418-82FECE315AAE}"/>
    <cellStyle name="Currency 7 5 6 4 2" xfId="30823" xr:uid="{D4E62E24-8A57-4709-94D6-8EB224EDB749}"/>
    <cellStyle name="Currency 7 5 6 5" xfId="24592" xr:uid="{D89DFF69-8435-45B5-B8B9-B8205866D949}"/>
    <cellStyle name="Currency 7 5 7" xfId="1304" xr:uid="{00000000-0005-0000-0000-000092040000}"/>
    <cellStyle name="Currency 7 5 7 2" xfId="2061" xr:uid="{00000000-0005-0000-0000-000093040000}"/>
    <cellStyle name="Currency 7 5 7 2 2" xfId="4156" xr:uid="{00000000-0005-0000-0000-000092040000}"/>
    <cellStyle name="Currency 7 5 7 2 2 2" xfId="11060" xr:uid="{8C92771A-30F9-43DF-9B7E-E718B09F41B1}"/>
    <cellStyle name="Currency 7 5 7 2 2 2 2" xfId="33546" xr:uid="{2A5FF43E-7F16-4F15-970E-F83B675F220A}"/>
    <cellStyle name="Currency 7 5 7 2 2 3" xfId="27334" xr:uid="{37C79F82-D31C-44E8-A705-DF70CF9DE155}"/>
    <cellStyle name="Currency 7 5 7 2 3" xfId="9000" xr:uid="{2BCABE3E-A47E-4D76-85C3-C194F21B3FB4}"/>
    <cellStyle name="Currency 7 5 7 2 3 2" xfId="31578" xr:uid="{DAC184E4-203A-4972-96F7-A039AA489E6B}"/>
    <cellStyle name="Currency 7 5 7 2 4" xfId="25441" xr:uid="{8752769B-1F6D-4428-B99A-884C48D1388E}"/>
    <cellStyle name="Currency 7 5 7 3" xfId="3412" xr:uid="{00000000-0005-0000-0000-000091040000}"/>
    <cellStyle name="Currency 7 5 7 3 2" xfId="10320" xr:uid="{8588B8F2-AD00-4939-9CB7-D93FCAEA974B}"/>
    <cellStyle name="Currency 7 5 7 3 2 2" xfId="32811" xr:uid="{8812597A-688C-48B1-9A35-6FE972611061}"/>
    <cellStyle name="Currency 7 5 7 3 3" xfId="26637" xr:uid="{75972964-D58D-4FC8-A9FC-DB73EEA7C590}"/>
    <cellStyle name="Currency 7 5 7 4" xfId="8370" xr:uid="{4EB241E6-21E0-4E11-BEEC-E3BDCA8BAB17}"/>
    <cellStyle name="Currency 7 5 7 4 2" xfId="30962" xr:uid="{079EDD17-8753-44A0-B9DA-E723752F3AEE}"/>
    <cellStyle name="Currency 7 5 7 5" xfId="24736" xr:uid="{F8A23F03-25B5-4505-AD92-D13F7E77B919}"/>
    <cellStyle name="Currency 7 5 8" xfId="1432" xr:uid="{00000000-0005-0000-0000-000094040000}"/>
    <cellStyle name="Currency 7 5 8 2" xfId="2160" xr:uid="{00000000-0005-0000-0000-000095040000}"/>
    <cellStyle name="Currency 7 5 8 2 2" xfId="4253" xr:uid="{00000000-0005-0000-0000-000094040000}"/>
    <cellStyle name="Currency 7 5 8 2 2 2" xfId="11157" xr:uid="{CB5F7CF9-666E-4D22-BFEA-B291D6C28C07}"/>
    <cellStyle name="Currency 7 5 8 2 2 2 2" xfId="33643" xr:uid="{88B23342-A049-41BB-A047-A1E6B2B0E019}"/>
    <cellStyle name="Currency 7 5 8 2 2 3" xfId="27425" xr:uid="{6DB48154-A597-4693-A707-CA12E7198DCE}"/>
    <cellStyle name="Currency 7 5 8 2 3" xfId="9077" xr:uid="{4E8E98F5-519B-4216-AA9C-7CE9DE619A78}"/>
    <cellStyle name="Currency 7 5 8 2 3 2" xfId="31653" xr:uid="{03B37385-E35B-4C24-A6FF-B6E46CAEDF00}"/>
    <cellStyle name="Currency 7 5 8 2 4" xfId="25530" xr:uid="{FE26301F-60AA-4370-8D28-9451DAFD5817}"/>
    <cellStyle name="Currency 7 5 8 3" xfId="3533" xr:uid="{00000000-0005-0000-0000-000093040000}"/>
    <cellStyle name="Currency 7 5 8 3 2" xfId="10439" xr:uid="{BEC436E3-EFB1-47BE-B8BB-AC5BC9B7ECD6}"/>
    <cellStyle name="Currency 7 5 8 3 2 2" xfId="32926" xr:uid="{E4F5A4F5-C7EA-4F85-B37F-6AE4BD173F4B}"/>
    <cellStyle name="Currency 7 5 8 3 3" xfId="26746" xr:uid="{FE9CFC30-6523-4FCE-81EE-F60B3C431091}"/>
    <cellStyle name="Currency 7 5 8 4" xfId="8475" xr:uid="{69129177-D255-491A-A892-0AFBFABF3E22}"/>
    <cellStyle name="Currency 7 5 8 4 2" xfId="31062" xr:uid="{9BC58C70-8D78-457F-97D8-1AD39E9AAE74}"/>
    <cellStyle name="Currency 7 5 8 5" xfId="24855" xr:uid="{B167B8E1-A9F2-44EE-97C9-2333AC7DDC1B}"/>
    <cellStyle name="Currency 7 5 9" xfId="1491" xr:uid="{00000000-0005-0000-0000-000096040000}"/>
    <cellStyle name="Currency 7 5 9 2" xfId="2218" xr:uid="{00000000-0005-0000-0000-000097040000}"/>
    <cellStyle name="Currency 7 5 9 2 2" xfId="4311" xr:uid="{00000000-0005-0000-0000-000096040000}"/>
    <cellStyle name="Currency 7 5 9 2 2 2" xfId="11215" xr:uid="{452C99BD-4721-4B23-A16E-C8DBD773C78E}"/>
    <cellStyle name="Currency 7 5 9 2 2 2 2" xfId="33701" xr:uid="{EBBC4CEB-0774-4B49-85DB-93E83A3FC3AC}"/>
    <cellStyle name="Currency 7 5 9 2 2 3" xfId="27483" xr:uid="{069CB8BE-6286-4AB5-87D7-5A7E8E2D5C0A}"/>
    <cellStyle name="Currency 7 5 9 2 3" xfId="9131" xr:uid="{406471E6-3753-4FA9-8E19-0BB71B6E98D7}"/>
    <cellStyle name="Currency 7 5 9 2 3 2" xfId="31707" xr:uid="{77DC16B7-64B3-46C4-B9AF-A0CAB9313C7B}"/>
    <cellStyle name="Currency 7 5 9 2 4" xfId="25586" xr:uid="{6620A08F-0F80-4A5E-B0BD-37986BFC6D9E}"/>
    <cellStyle name="Currency 7 5 9 3" xfId="3592" xr:uid="{00000000-0005-0000-0000-000095040000}"/>
    <cellStyle name="Currency 7 5 9 3 2" xfId="10497" xr:uid="{417F0F0D-A097-4183-95D8-23501D2AD804}"/>
    <cellStyle name="Currency 7 5 9 3 2 2" xfId="32984" xr:uid="{1539A8EA-BD8E-42D2-97AA-5756F717A545}"/>
    <cellStyle name="Currency 7 5 9 3 3" xfId="26805" xr:uid="{6F3F462F-405E-41EE-8018-98E3ADB0D7B1}"/>
    <cellStyle name="Currency 7 5 9 4" xfId="8533" xr:uid="{83F57F4F-5A21-4479-B8B0-03248BF113D6}"/>
    <cellStyle name="Currency 7 5 9 4 2" xfId="31120" xr:uid="{F30F9BDF-4951-4314-9274-3B78F01391B1}"/>
    <cellStyle name="Currency 7 5 9 5" xfId="24913" xr:uid="{A9B3AEDD-EEFD-4832-8BE2-06D9B9C90CD7}"/>
    <cellStyle name="Currency 7 6" xfId="189" xr:uid="{00000000-0005-0000-0000-000098040000}"/>
    <cellStyle name="Currency 7 6 10" xfId="1554" xr:uid="{00000000-0005-0000-0000-000099040000}"/>
    <cellStyle name="Currency 7 6 10 2" xfId="3655" xr:uid="{00000000-0005-0000-0000-000098040000}"/>
    <cellStyle name="Currency 7 6 10 2 2" xfId="10559" xr:uid="{42BBF7CC-E2A5-495A-8036-144865250C3D}"/>
    <cellStyle name="Currency 7 6 10 2 2 2" xfId="33045" xr:uid="{569CEF22-0E48-4234-9624-8AA66DFB6230}"/>
    <cellStyle name="Currency 7 6 10 2 3" xfId="26866" xr:uid="{794A4C03-7161-43F4-A394-6620563ECC97}"/>
    <cellStyle name="Currency 7 6 10 3" xfId="8591" xr:uid="{4F959951-D03C-4E1B-B4BF-F8378E1B2FD5}"/>
    <cellStyle name="Currency 7 6 10 3 2" xfId="31178" xr:uid="{613DD454-BF2E-4836-BD1C-A568EDED4F65}"/>
    <cellStyle name="Currency 7 6 10 4" xfId="24976" xr:uid="{9B0BBF8A-79CC-486A-AE8F-AAB8B7A05F89}"/>
    <cellStyle name="Currency 7 6 11" xfId="2366" xr:uid="{00000000-0005-0000-0000-000097040000}"/>
    <cellStyle name="Currency 7 6 11 2" xfId="9275" xr:uid="{ACDEC2FB-9225-4712-A7CD-7916F5237166}"/>
    <cellStyle name="Currency 7 6 11 2 2" xfId="31850" xr:uid="{7E070DEA-0D7F-4CC9-B555-3B6B9D013B79}"/>
    <cellStyle name="Currency 7 6 11 3" xfId="25722" xr:uid="{AFF2B261-793F-4572-9C18-75ADC25AED5C}"/>
    <cellStyle name="Currency 7 6 12" xfId="7365" xr:uid="{1D51FCEF-DAF8-4E75-971D-B2B32EA5D5D2}"/>
    <cellStyle name="Currency 7 6 12 2" xfId="30050" xr:uid="{1B1E679C-13EB-494E-B170-544C95555846}"/>
    <cellStyle name="Currency 7 6 13" xfId="23762" xr:uid="{FDB4E3BE-6153-4368-BAAE-5A07716C0044}"/>
    <cellStyle name="Currency 7 6 2" xfId="388" xr:uid="{00000000-0005-0000-0000-00009A040000}"/>
    <cellStyle name="Currency 7 6 2 2" xfId="1610" xr:uid="{00000000-0005-0000-0000-00009B040000}"/>
    <cellStyle name="Currency 7 6 2 2 2" xfId="3711" xr:uid="{00000000-0005-0000-0000-00009A040000}"/>
    <cellStyle name="Currency 7 6 2 2 2 2" xfId="10615" xr:uid="{6E833E26-BE68-4F87-BA22-32284DB60488}"/>
    <cellStyle name="Currency 7 6 2 2 2 2 2" xfId="33101" xr:uid="{3FB626C1-98C4-41D3-B1F8-AA5C921EA625}"/>
    <cellStyle name="Currency 7 6 2 2 2 3" xfId="26922" xr:uid="{2530C69F-4222-4650-8818-90148364F742}"/>
    <cellStyle name="Currency 7 6 2 2 3" xfId="8645" xr:uid="{68F159C9-DA56-4303-B34B-885B9A9CEC22}"/>
    <cellStyle name="Currency 7 6 2 2 3 2" xfId="31231" xr:uid="{3C6242F2-0F9D-4979-A3C8-E4FE216C16AB}"/>
    <cellStyle name="Currency 7 6 2 2 4" xfId="25031" xr:uid="{04D14D73-0539-4E25-909B-D0D2368EDECB}"/>
    <cellStyle name="Currency 7 6 2 3" xfId="2547" xr:uid="{00000000-0005-0000-0000-000099040000}"/>
    <cellStyle name="Currency 7 6 2 3 2" xfId="9456" xr:uid="{AF807D2D-7309-4227-8A37-7186D692175B}"/>
    <cellStyle name="Currency 7 6 2 3 2 2" xfId="32011" xr:uid="{4A569617-A49C-4C49-97B7-B14C7C8C329F}"/>
    <cellStyle name="Currency 7 6 2 3 3" xfId="25874" xr:uid="{18A6ABDF-3AFC-414F-96D0-0DA644D2400C}"/>
    <cellStyle name="Currency 7 6 2 4" xfId="7551" xr:uid="{DF356F63-E5AB-4D4F-99CB-099740FD0995}"/>
    <cellStyle name="Currency 7 6 2 4 2" xfId="30215" xr:uid="{C190BC7C-012B-48B6-87F2-CE50DA38E1B6}"/>
    <cellStyle name="Currency 7 6 2 5" xfId="23935" xr:uid="{52D1AB5F-216D-4F9F-875E-EB6B6DF48B39}"/>
    <cellStyle name="Currency 7 6 3" xfId="545" xr:uid="{00000000-0005-0000-0000-00009C040000}"/>
    <cellStyle name="Currency 7 6 3 2" xfId="1695" xr:uid="{00000000-0005-0000-0000-00009D040000}"/>
    <cellStyle name="Currency 7 6 3 2 2" xfId="3793" xr:uid="{00000000-0005-0000-0000-00009C040000}"/>
    <cellStyle name="Currency 7 6 3 2 2 2" xfId="10697" xr:uid="{584B2B0B-D346-4F44-9777-3826DB8E0592}"/>
    <cellStyle name="Currency 7 6 3 2 2 2 2" xfId="33183" xr:uid="{CC07360E-69C7-45D2-AC9E-A11EFE0088D2}"/>
    <cellStyle name="Currency 7 6 3 2 2 3" xfId="27000" xr:uid="{2D4BAD1B-7739-4A03-AD56-C5484341BD54}"/>
    <cellStyle name="Currency 7 6 3 2 3" xfId="8710" xr:uid="{C3DDCC50-8C9D-4DC3-B78F-703D1A539D93}"/>
    <cellStyle name="Currency 7 6 3 2 3 2" xfId="31295" xr:uid="{0DCCD80C-3D3D-4BA1-9282-FA0245585B0B}"/>
    <cellStyle name="Currency 7 6 3 2 4" xfId="25110" xr:uid="{E016F1D4-F755-402E-800E-4DB455A66478}"/>
    <cellStyle name="Currency 7 6 3 3" xfId="2696" xr:uid="{00000000-0005-0000-0000-00009B040000}"/>
    <cellStyle name="Currency 7 6 3 3 2" xfId="9605" xr:uid="{EB0D5D37-72B2-415A-AE12-AC38DFF1E8C9}"/>
    <cellStyle name="Currency 7 6 3 3 2 2" xfId="32154" xr:uid="{E9713BFA-66D6-4B45-9346-8840DD1EC584}"/>
    <cellStyle name="Currency 7 6 3 3 3" xfId="26006" xr:uid="{3DA0ABFA-BB62-4BFD-9A63-29D65B08A9E4}"/>
    <cellStyle name="Currency 7 6 3 4" xfId="7688" xr:uid="{A90FBAAE-D2B7-4E1E-BA69-A30AB6D37AB3}"/>
    <cellStyle name="Currency 7 6 3 4 2" xfId="30338" xr:uid="{330848F6-CF7A-41FE-B0B2-058AC4E516DE}"/>
    <cellStyle name="Currency 7 6 3 5" xfId="24073" xr:uid="{1C3EB5F6-2DB8-4F61-B0A1-DD1CDC05C667}"/>
    <cellStyle name="Currency 7 6 4" xfId="781" xr:uid="{00000000-0005-0000-0000-00009E040000}"/>
    <cellStyle name="Currency 7 6 4 2" xfId="1792" xr:uid="{00000000-0005-0000-0000-00009F040000}"/>
    <cellStyle name="Currency 7 6 4 2 2" xfId="3890" xr:uid="{00000000-0005-0000-0000-00009E040000}"/>
    <cellStyle name="Currency 7 6 4 2 2 2" xfId="10794" xr:uid="{DCC5A91C-6A92-4412-93D0-2EAFEB1DDB58}"/>
    <cellStyle name="Currency 7 6 4 2 2 2 2" xfId="33280" xr:uid="{A5594FAF-D3A5-4BC8-99B8-F4427D35B116}"/>
    <cellStyle name="Currency 7 6 4 2 2 3" xfId="27089" xr:uid="{75F7F6A4-6BAD-4ED1-9778-103B07D5D6AB}"/>
    <cellStyle name="Currency 7 6 4 2 3" xfId="8792" xr:uid="{EAB62938-BD73-440B-B40E-1495A7CDA97C}"/>
    <cellStyle name="Currency 7 6 4 2 3 2" xfId="31375" xr:uid="{71ACD63B-2B58-4F17-9A22-C7FAA05C5E0C}"/>
    <cellStyle name="Currency 7 6 4 2 4" xfId="25198" xr:uid="{8A613A9C-0325-4F08-B4B6-48ECAF42EB56}"/>
    <cellStyle name="Currency 7 6 4 3" xfId="2920" xr:uid="{00000000-0005-0000-0000-00009D040000}"/>
    <cellStyle name="Currency 7 6 4 3 2" xfId="9829" xr:uid="{AD095892-B4AA-4F55-A6E0-04E41D55BE81}"/>
    <cellStyle name="Currency 7 6 4 3 2 2" xfId="32354" xr:uid="{1A7155D9-50F3-47A5-8BA8-C7B98E6A1F48}"/>
    <cellStyle name="Currency 7 6 4 3 3" xfId="26209" xr:uid="{D1CAD9D3-5929-4AD0-B09F-05C25AF42F72}"/>
    <cellStyle name="Currency 7 6 4 4" xfId="7903" xr:uid="{4CFC64C4-B0DC-48EA-8E93-1C8F1D86FC43}"/>
    <cellStyle name="Currency 7 6 4 4 2" xfId="30531" xr:uid="{BB9D6E6B-2CFE-497D-B6CF-743F98BEFD1B}"/>
    <cellStyle name="Currency 7 6 4 5" xfId="24280" xr:uid="{8A03A64A-BB9D-45AE-83B6-CC21AD319817}"/>
    <cellStyle name="Currency 7 6 5" xfId="969" xr:uid="{00000000-0005-0000-0000-0000A0040000}"/>
    <cellStyle name="Currency 7 6 5 2" xfId="1881" xr:uid="{00000000-0005-0000-0000-0000A1040000}"/>
    <cellStyle name="Currency 7 6 5 2 2" xfId="3979" xr:uid="{00000000-0005-0000-0000-0000A0040000}"/>
    <cellStyle name="Currency 7 6 5 2 2 2" xfId="10883" xr:uid="{32F8D046-7002-4235-90A4-029797EB9179}"/>
    <cellStyle name="Currency 7 6 5 2 2 2 2" xfId="33369" xr:uid="{4E2555C8-E97A-45E2-A598-383B7C44C736}"/>
    <cellStyle name="Currency 7 6 5 2 2 3" xfId="27170" xr:uid="{C2292F7F-76CA-470E-8F3F-2B24A48788DA}"/>
    <cellStyle name="Currency 7 6 5 2 3" xfId="8864" xr:uid="{0C0B6E91-0CE1-4804-8C6A-73392802508D}"/>
    <cellStyle name="Currency 7 6 5 2 3 2" xfId="31445" xr:uid="{04D72BA2-293B-41C5-A1E7-ACB221D7A1B1}"/>
    <cellStyle name="Currency 7 6 5 2 4" xfId="25277" xr:uid="{5E2412CD-861D-484B-BFDB-641A9339BAFF}"/>
    <cellStyle name="Currency 7 6 5 3" xfId="3098" xr:uid="{00000000-0005-0000-0000-00009F040000}"/>
    <cellStyle name="Currency 7 6 5 3 2" xfId="10007" xr:uid="{65F78D3C-3533-49DB-A489-F759B2941E86}"/>
    <cellStyle name="Currency 7 6 5 3 2 2" xfId="32518" xr:uid="{BE28EB2C-AACE-43D3-BC3F-71AA18440E36}"/>
    <cellStyle name="Currency 7 6 5 3 3" xfId="26357" xr:uid="{B2E33FE3-37AF-484D-A2C2-B3270B54B87F}"/>
    <cellStyle name="Currency 7 6 5 4" xfId="8070" xr:uid="{3E1949C9-9375-4E4D-B9A0-F3DD45F673E0}"/>
    <cellStyle name="Currency 7 6 5 4 2" xfId="30687" xr:uid="{BEB86982-1466-46E3-83E6-B7E6E8748041}"/>
    <cellStyle name="Currency 7 6 5 5" xfId="24447" xr:uid="{C5A91E12-7DB6-4925-A563-D9A01BBF4A31}"/>
    <cellStyle name="Currency 7 6 6" xfId="1152" xr:uid="{00000000-0005-0000-0000-0000A2040000}"/>
    <cellStyle name="Currency 7 6 6 2" xfId="1976" xr:uid="{00000000-0005-0000-0000-0000A3040000}"/>
    <cellStyle name="Currency 7 6 6 2 2" xfId="4072" xr:uid="{00000000-0005-0000-0000-0000A2040000}"/>
    <cellStyle name="Currency 7 6 6 2 2 2" xfId="10976" xr:uid="{0498F3B0-3EAB-4084-A0B0-E803BBDEED69}"/>
    <cellStyle name="Currency 7 6 6 2 2 2 2" xfId="33462" xr:uid="{FF95FD61-EEAF-4FDA-92DB-3C66C8D47EB9}"/>
    <cellStyle name="Currency 7 6 6 2 2 3" xfId="27257" xr:uid="{84D9220D-8E41-4F03-BB84-9A39A3975796}"/>
    <cellStyle name="Currency 7 6 6 2 3" xfId="8934" xr:uid="{7AA21DC3-D9DA-46B2-BFC1-FE1D3148489A}"/>
    <cellStyle name="Currency 7 6 6 2 3 2" xfId="31513" xr:uid="{40DFAC62-0B48-4E27-84F2-9A93033143E3}"/>
    <cellStyle name="Currency 7 6 6 2 4" xfId="25362" xr:uid="{AAB6EE2D-078B-4ADC-B008-7C82515CAE69}"/>
    <cellStyle name="Currency 7 6 6 3" xfId="3270" xr:uid="{00000000-0005-0000-0000-0000A1040000}"/>
    <cellStyle name="Currency 7 6 6 3 2" xfId="10178" xr:uid="{70A4D31D-1EA3-4C4D-9C52-884F89086082}"/>
    <cellStyle name="Currency 7 6 6 3 2 2" xfId="32675" xr:uid="{E3625430-7827-4E24-BF15-5ECC5FF1CDEB}"/>
    <cellStyle name="Currency 7 6 6 3 3" xfId="26507" xr:uid="{F82AAE13-6863-4FDE-99B4-F65152060774}"/>
    <cellStyle name="Currency 7 6 6 4" xfId="8234" xr:uid="{5664F778-C777-449A-AC26-E1E73D950441}"/>
    <cellStyle name="Currency 7 6 6 4 2" xfId="30839" xr:uid="{21D4DA74-205B-479F-B463-589699309CAC}"/>
    <cellStyle name="Currency 7 6 6 5" xfId="24609" xr:uid="{0E1366DF-52DC-488F-8C44-20C8BD169844}"/>
    <cellStyle name="Currency 7 6 7" xfId="1321" xr:uid="{00000000-0005-0000-0000-0000A4040000}"/>
    <cellStyle name="Currency 7 6 7 2" xfId="2066" xr:uid="{00000000-0005-0000-0000-0000A5040000}"/>
    <cellStyle name="Currency 7 6 7 2 2" xfId="4161" xr:uid="{00000000-0005-0000-0000-0000A4040000}"/>
    <cellStyle name="Currency 7 6 7 2 2 2" xfId="11065" xr:uid="{94EC9255-E447-4A05-B24B-4E941E553979}"/>
    <cellStyle name="Currency 7 6 7 2 2 2 2" xfId="33551" xr:uid="{8BC3F410-22EF-4219-B4F7-1C6BE93E4A45}"/>
    <cellStyle name="Currency 7 6 7 2 2 3" xfId="27339" xr:uid="{BD42BD52-127E-4996-9C1B-FCBBB8A18E09}"/>
    <cellStyle name="Currency 7 6 7 2 3" xfId="9005" xr:uid="{762F3937-628E-4795-BC78-C3E3B4631325}"/>
    <cellStyle name="Currency 7 6 7 2 3 2" xfId="31583" xr:uid="{1681A2E1-1C18-4141-9F37-E5C042B78798}"/>
    <cellStyle name="Currency 7 6 7 2 4" xfId="25446" xr:uid="{A2F97515-863C-4E64-BDAB-7ECA41B7E9F5}"/>
    <cellStyle name="Currency 7 6 7 3" xfId="3429" xr:uid="{00000000-0005-0000-0000-0000A3040000}"/>
    <cellStyle name="Currency 7 6 7 3 2" xfId="10337" xr:uid="{D6951BF1-39BD-4833-9428-14292C35A962}"/>
    <cellStyle name="Currency 7 6 7 3 2 2" xfId="32826" xr:uid="{E35C6112-19A6-408C-8F05-384FFAE5FF85}"/>
    <cellStyle name="Currency 7 6 7 3 3" xfId="26653" xr:uid="{482ED8E7-FFB0-4A5A-B83F-03615BDB968D}"/>
    <cellStyle name="Currency 7 6 7 4" xfId="8387" xr:uid="{D32D65E1-A57D-4138-94FB-34F559E01D4C}"/>
    <cellStyle name="Currency 7 6 7 4 2" xfId="30977" xr:uid="{62376042-00DB-4F6A-A10E-96E203E3FD3D}"/>
    <cellStyle name="Currency 7 6 7 5" xfId="24751" xr:uid="{22FEA5EE-C3CB-4F6D-9DB5-F6B1BC39DD3D}"/>
    <cellStyle name="Currency 7 6 8" xfId="1414" xr:uid="{00000000-0005-0000-0000-0000A6040000}"/>
    <cellStyle name="Currency 7 6 8 2" xfId="2143" xr:uid="{00000000-0005-0000-0000-0000A7040000}"/>
    <cellStyle name="Currency 7 6 8 2 2" xfId="4236" xr:uid="{00000000-0005-0000-0000-0000A6040000}"/>
    <cellStyle name="Currency 7 6 8 2 2 2" xfId="11140" xr:uid="{82171F79-7C91-4A01-97FD-DB8B5E631EF9}"/>
    <cellStyle name="Currency 7 6 8 2 2 2 2" xfId="33626" xr:uid="{3EAA9B11-98E0-4F19-84C7-CD855C7C6E5C}"/>
    <cellStyle name="Currency 7 6 8 2 2 3" xfId="27408" xr:uid="{36EBC2BD-7F06-4412-A12F-E49FBB3E428F}"/>
    <cellStyle name="Currency 7 6 8 2 3" xfId="9060" xr:uid="{098F027F-3B60-43D2-8EDC-BDA152C4B3AE}"/>
    <cellStyle name="Currency 7 6 8 2 3 2" xfId="31636" xr:uid="{8ED62CFC-89F3-4CAE-9021-7C80F52306BA}"/>
    <cellStyle name="Currency 7 6 8 2 4" xfId="25513" xr:uid="{C178A972-8243-4957-9B8A-A4920285963B}"/>
    <cellStyle name="Currency 7 6 8 3" xfId="3515" xr:uid="{00000000-0005-0000-0000-0000A5040000}"/>
    <cellStyle name="Currency 7 6 8 3 2" xfId="10422" xr:uid="{32946D45-6F10-47A4-A647-89655CFA7473}"/>
    <cellStyle name="Currency 7 6 8 3 2 2" xfId="32909" xr:uid="{1524F46E-E318-4A22-B267-FAF709557071}"/>
    <cellStyle name="Currency 7 6 8 3 3" xfId="26728" xr:uid="{210908FF-D880-49EB-8256-D9690941C886}"/>
    <cellStyle name="Currency 7 6 8 4" xfId="8457" xr:uid="{06F57AD2-B3CB-403B-9317-A621B4D59B91}"/>
    <cellStyle name="Currency 7 6 8 4 2" xfId="31044" xr:uid="{B101436C-EA2D-49CC-9EE0-45527A886195}"/>
    <cellStyle name="Currency 7 6 8 5" xfId="24837" xr:uid="{66E64C29-118C-4592-8D5F-3539CD5B1A7D}"/>
    <cellStyle name="Currency 7 6 9" xfId="1496" xr:uid="{00000000-0005-0000-0000-0000A8040000}"/>
    <cellStyle name="Currency 7 6 9 2" xfId="2223" xr:uid="{00000000-0005-0000-0000-0000A9040000}"/>
    <cellStyle name="Currency 7 6 9 2 2" xfId="4316" xr:uid="{00000000-0005-0000-0000-0000A8040000}"/>
    <cellStyle name="Currency 7 6 9 2 2 2" xfId="11220" xr:uid="{0EC97C7B-FAD6-426E-B529-8258FBC2E17E}"/>
    <cellStyle name="Currency 7 6 9 2 2 2 2" xfId="33706" xr:uid="{FF4A9B6A-5A40-4C66-8D76-238FFFDE294C}"/>
    <cellStyle name="Currency 7 6 9 2 2 3" xfId="27488" xr:uid="{3E3542B9-A080-47E0-A164-B7F499604A20}"/>
    <cellStyle name="Currency 7 6 9 2 3" xfId="9136" xr:uid="{B1C145CA-83D1-4F41-BA21-97D8B76BEA44}"/>
    <cellStyle name="Currency 7 6 9 2 3 2" xfId="31712" xr:uid="{D0228D44-5E4C-4376-8940-EC1A67DBA037}"/>
    <cellStyle name="Currency 7 6 9 2 4" xfId="25591" xr:uid="{5F0BE0A1-8642-4267-93A5-81E59A1ACD00}"/>
    <cellStyle name="Currency 7 6 9 3" xfId="3597" xr:uid="{00000000-0005-0000-0000-0000A7040000}"/>
    <cellStyle name="Currency 7 6 9 3 2" xfId="10502" xr:uid="{DC92B86F-D493-4FF6-A365-C3012A9E2F9B}"/>
    <cellStyle name="Currency 7 6 9 3 2 2" xfId="32989" xr:uid="{FF242756-EDB6-44D1-9A04-1405E749E688}"/>
    <cellStyle name="Currency 7 6 9 3 3" xfId="26810" xr:uid="{83DDE226-B260-4B10-B457-97FE389CF7F2}"/>
    <cellStyle name="Currency 7 6 9 4" xfId="8538" xr:uid="{4CB2F57B-6E57-45BC-9F92-C4B02929DBE1}"/>
    <cellStyle name="Currency 7 6 9 4 2" xfId="31125" xr:uid="{382CAA93-118C-4C43-873B-E1D30566B5B6}"/>
    <cellStyle name="Currency 7 6 9 5" xfId="24918" xr:uid="{A1E7FEDF-62A1-4667-94F2-DA60FC150B0B}"/>
    <cellStyle name="Currency 7 7" xfId="210" xr:uid="{00000000-0005-0000-0000-0000AA040000}"/>
    <cellStyle name="Currency 7 7 10" xfId="1559" xr:uid="{00000000-0005-0000-0000-0000AB040000}"/>
    <cellStyle name="Currency 7 7 10 2" xfId="3660" xr:uid="{00000000-0005-0000-0000-0000AA040000}"/>
    <cellStyle name="Currency 7 7 10 2 2" xfId="10564" xr:uid="{A347224D-CE5C-41D0-B3FB-4163099EF653}"/>
    <cellStyle name="Currency 7 7 10 2 2 2" xfId="33050" xr:uid="{124E5F8E-831A-4EFD-A18C-F9EC3CB9F5F7}"/>
    <cellStyle name="Currency 7 7 10 2 3" xfId="26871" xr:uid="{75BF8A04-D34C-42D6-A4AF-F27062D48424}"/>
    <cellStyle name="Currency 7 7 10 3" xfId="8596" xr:uid="{F892D72D-9F5B-4C9D-8F73-EEE714FBCE9E}"/>
    <cellStyle name="Currency 7 7 10 3 2" xfId="31183" xr:uid="{AADEB591-5B42-48FF-A310-FF7BE772705C}"/>
    <cellStyle name="Currency 7 7 10 4" xfId="24981" xr:uid="{D571D514-1B8C-49E1-BEF4-723E913A660F}"/>
    <cellStyle name="Currency 7 7 11" xfId="2381" xr:uid="{00000000-0005-0000-0000-0000A9040000}"/>
    <cellStyle name="Currency 7 7 11 2" xfId="9290" xr:uid="{F9C0613A-D820-4EFB-9765-8B57398BB25D}"/>
    <cellStyle name="Currency 7 7 11 2 2" xfId="31865" xr:uid="{261C6962-93BC-4E41-B6F8-18F636B36995}"/>
    <cellStyle name="Currency 7 7 11 3" xfId="25734" xr:uid="{50BCCB76-4CEA-4626-943D-6BF5A783D008}"/>
    <cellStyle name="Currency 7 7 12" xfId="7382" xr:uid="{F524117A-5B84-4112-A765-130764722DDA}"/>
    <cellStyle name="Currency 7 7 12 2" xfId="30067" xr:uid="{91DDB39E-EEB5-4E03-9EEA-E2892B0E9DA1}"/>
    <cellStyle name="Currency 7 7 13" xfId="23781" xr:uid="{9ED4DCCB-BE43-4C28-BF4E-BB087B2B337B}"/>
    <cellStyle name="Currency 7 7 2" xfId="405" xr:uid="{00000000-0005-0000-0000-0000AC040000}"/>
    <cellStyle name="Currency 7 7 2 2" xfId="1615" xr:uid="{00000000-0005-0000-0000-0000AD040000}"/>
    <cellStyle name="Currency 7 7 2 2 2" xfId="3716" xr:uid="{00000000-0005-0000-0000-0000AC040000}"/>
    <cellStyle name="Currency 7 7 2 2 2 2" xfId="10620" xr:uid="{D1FC6D42-CF95-4B6C-9966-1B86F3E7877A}"/>
    <cellStyle name="Currency 7 7 2 2 2 2 2" xfId="33106" xr:uid="{44938F2D-E99A-4AE7-8553-60F604352176}"/>
    <cellStyle name="Currency 7 7 2 2 2 3" xfId="26927" xr:uid="{FD1696A6-E545-4B26-95BA-326DFFBEDDB5}"/>
    <cellStyle name="Currency 7 7 2 2 3" xfId="8650" xr:uid="{F946A5A7-0328-4EF2-9140-0826D6FE478D}"/>
    <cellStyle name="Currency 7 7 2 2 3 2" xfId="31236" xr:uid="{32BABAF9-41C3-4D45-B2E9-8E99D667E214}"/>
    <cellStyle name="Currency 7 7 2 2 4" xfId="25036" xr:uid="{2FD4F37F-C5AC-4A6C-8066-EDBE32323597}"/>
    <cellStyle name="Currency 7 7 2 3" xfId="2564" xr:uid="{00000000-0005-0000-0000-0000AB040000}"/>
    <cellStyle name="Currency 7 7 2 3 2" xfId="9473" xr:uid="{14D124F0-9613-4567-B5CF-77287C55E82C}"/>
    <cellStyle name="Currency 7 7 2 3 2 2" xfId="32025" xr:uid="{CB41D57B-DFF7-4C6A-B176-B5267C0E6043}"/>
    <cellStyle name="Currency 7 7 2 3 3" xfId="25889" xr:uid="{C3E4CC33-4EF4-45F7-8945-2427DB7F843A}"/>
    <cellStyle name="Currency 7 7 2 4" xfId="7568" xr:uid="{FAD74AD3-E989-430B-8301-174AFDEC6C49}"/>
    <cellStyle name="Currency 7 7 2 4 2" xfId="30231" xr:uid="{8446AF5A-CDFD-42E9-8A5C-0F5D64EAC6C7}"/>
    <cellStyle name="Currency 7 7 2 5" xfId="23949" xr:uid="{C59EF929-E274-4583-ADCE-72F3499B7574}"/>
    <cellStyle name="Currency 7 7 3" xfId="562" xr:uid="{00000000-0005-0000-0000-0000AE040000}"/>
    <cellStyle name="Currency 7 7 3 2" xfId="1700" xr:uid="{00000000-0005-0000-0000-0000AF040000}"/>
    <cellStyle name="Currency 7 7 3 2 2" xfId="3798" xr:uid="{00000000-0005-0000-0000-0000AE040000}"/>
    <cellStyle name="Currency 7 7 3 2 2 2" xfId="10702" xr:uid="{D39C6229-F310-4402-8D9C-4A808C4A5556}"/>
    <cellStyle name="Currency 7 7 3 2 2 2 2" xfId="33188" xr:uid="{B54AE181-9518-40B2-9138-0217283182A3}"/>
    <cellStyle name="Currency 7 7 3 2 2 3" xfId="27005" xr:uid="{727901E2-4A8B-4ACE-B7A3-C9E7476DA22B}"/>
    <cellStyle name="Currency 7 7 3 2 3" xfId="8715" xr:uid="{92C26167-9C63-4E2F-9FDA-E492D3E682AA}"/>
    <cellStyle name="Currency 7 7 3 2 3 2" xfId="31300" xr:uid="{48E61B04-0008-42C0-BDBD-7260FA3B00D5}"/>
    <cellStyle name="Currency 7 7 3 2 4" xfId="25115" xr:uid="{BAD4E265-AB19-40B3-B813-306E412BFF06}"/>
    <cellStyle name="Currency 7 7 3 3" xfId="2713" xr:uid="{00000000-0005-0000-0000-0000AD040000}"/>
    <cellStyle name="Currency 7 7 3 3 2" xfId="9622" xr:uid="{68520372-F5D7-4B15-9BCC-AB59A501E38F}"/>
    <cellStyle name="Currency 7 7 3 3 2 2" xfId="32170" xr:uid="{BFD9F8DF-8129-48AB-AE1E-D13E1BA88496}"/>
    <cellStyle name="Currency 7 7 3 3 3" xfId="26022" xr:uid="{A42A777F-2CBA-4E5D-8AF5-F724EA65AE14}"/>
    <cellStyle name="Currency 7 7 3 4" xfId="7705" xr:uid="{8B29D4B3-7D60-4916-A687-90F454E1C3F7}"/>
    <cellStyle name="Currency 7 7 3 4 2" xfId="30354" xr:uid="{703E1C9F-866D-41D2-BCBE-8E9FAD85CF3F}"/>
    <cellStyle name="Currency 7 7 3 5" xfId="24088" xr:uid="{D32B1E00-EAA0-46C2-BF87-B2BF1BBF9A44}"/>
    <cellStyle name="Currency 7 7 4" xfId="801" xr:uid="{00000000-0005-0000-0000-0000B0040000}"/>
    <cellStyle name="Currency 7 7 4 2" xfId="1797" xr:uid="{00000000-0005-0000-0000-0000B1040000}"/>
    <cellStyle name="Currency 7 7 4 2 2" xfId="3895" xr:uid="{00000000-0005-0000-0000-0000B0040000}"/>
    <cellStyle name="Currency 7 7 4 2 2 2" xfId="10799" xr:uid="{AA7318C1-2B8E-41E4-A85D-BDF4DA3B1F1F}"/>
    <cellStyle name="Currency 7 7 4 2 2 2 2" xfId="33285" xr:uid="{A72DB78A-D9DC-41AB-8677-63D6337EF105}"/>
    <cellStyle name="Currency 7 7 4 2 2 3" xfId="27094" xr:uid="{3312FB80-49AB-4772-AB80-E32E84B09C58}"/>
    <cellStyle name="Currency 7 7 4 2 3" xfId="8797" xr:uid="{78C0B391-FC89-4955-81F8-B8D0FF54E656}"/>
    <cellStyle name="Currency 7 7 4 2 3 2" xfId="31380" xr:uid="{7A6C5848-1BDB-4BAC-8684-152F8FDD0548}"/>
    <cellStyle name="Currency 7 7 4 2 4" xfId="25203" xr:uid="{BAABFAA5-90F1-455E-9725-DC6682C226D9}"/>
    <cellStyle name="Currency 7 7 4 3" xfId="2939" xr:uid="{00000000-0005-0000-0000-0000AF040000}"/>
    <cellStyle name="Currency 7 7 4 3 2" xfId="9848" xr:uid="{86C66087-4B33-4C98-BEC3-701FBF91DC71}"/>
    <cellStyle name="Currency 7 7 4 3 2 2" xfId="32372" xr:uid="{5DD48B98-AED7-4C25-A6CB-944C8B73951A}"/>
    <cellStyle name="Currency 7 7 4 3 3" xfId="26225" xr:uid="{5D5ADB66-7608-41D4-9407-32A77F5B9008}"/>
    <cellStyle name="Currency 7 7 4 4" xfId="7922" xr:uid="{566B1A92-3216-458C-9B7E-3D23DAE3E9CB}"/>
    <cellStyle name="Currency 7 7 4 4 2" xfId="30549" xr:uid="{E8319D3A-091D-4542-8915-4417862F8E21}"/>
    <cellStyle name="Currency 7 7 4 5" xfId="24298" xr:uid="{476D06DF-138A-47F1-A879-1ECAACC1AAB4}"/>
    <cellStyle name="Currency 7 7 5" xfId="988" xr:uid="{00000000-0005-0000-0000-0000B2040000}"/>
    <cellStyle name="Currency 7 7 5 2" xfId="1886" xr:uid="{00000000-0005-0000-0000-0000B3040000}"/>
    <cellStyle name="Currency 7 7 5 2 2" xfId="3984" xr:uid="{00000000-0005-0000-0000-0000B2040000}"/>
    <cellStyle name="Currency 7 7 5 2 2 2" xfId="10888" xr:uid="{B2269FB5-D82D-465A-936E-B878D917A592}"/>
    <cellStyle name="Currency 7 7 5 2 2 2 2" xfId="33374" xr:uid="{709E9D1E-CE55-4E8D-9587-4D07C7B6F176}"/>
    <cellStyle name="Currency 7 7 5 2 2 3" xfId="27175" xr:uid="{8FC1E238-F4F6-4717-B8ED-B5AA6CB1A301}"/>
    <cellStyle name="Currency 7 7 5 2 3" xfId="8869" xr:uid="{E6320D60-F614-459E-A29C-DE316EE927BF}"/>
    <cellStyle name="Currency 7 7 5 2 3 2" xfId="31450" xr:uid="{5E29028E-DEFF-45F6-AFB2-9ED1FC2532B5}"/>
    <cellStyle name="Currency 7 7 5 2 4" xfId="25282" xr:uid="{F94988A8-A125-4113-8C6D-84A528ECEBC2}"/>
    <cellStyle name="Currency 7 7 5 3" xfId="3117" xr:uid="{00000000-0005-0000-0000-0000B1040000}"/>
    <cellStyle name="Currency 7 7 5 3 2" xfId="10026" xr:uid="{B672F421-3EF4-4340-B44D-CF5ECA858EC8}"/>
    <cellStyle name="Currency 7 7 5 3 2 2" xfId="32534" xr:uid="{63236163-545E-4AA4-BCAA-92CF423ED798}"/>
    <cellStyle name="Currency 7 7 5 3 3" xfId="26374" xr:uid="{D348535D-3B58-409A-8303-8DF27AB9040F}"/>
    <cellStyle name="Currency 7 7 5 4" xfId="8089" xr:uid="{E4D31D9C-497D-4E4D-8F91-B0DCCC4B906F}"/>
    <cellStyle name="Currency 7 7 5 4 2" xfId="30704" xr:uid="{9F4AC4D3-B845-44FF-95EA-FAE4FE4B3617}"/>
    <cellStyle name="Currency 7 7 5 5" xfId="24465" xr:uid="{6471DAAE-1E64-401A-9E83-88C2B0FE4B49}"/>
    <cellStyle name="Currency 7 7 6" xfId="1172" xr:uid="{00000000-0005-0000-0000-0000B4040000}"/>
    <cellStyle name="Currency 7 7 6 2" xfId="1981" xr:uid="{00000000-0005-0000-0000-0000B5040000}"/>
    <cellStyle name="Currency 7 7 6 2 2" xfId="4077" xr:uid="{00000000-0005-0000-0000-0000B4040000}"/>
    <cellStyle name="Currency 7 7 6 2 2 2" xfId="10981" xr:uid="{984BD758-5D2C-4B97-9ABD-C42F0C0F24BE}"/>
    <cellStyle name="Currency 7 7 6 2 2 2 2" xfId="33467" xr:uid="{B5293909-AF1C-4935-AC47-7525BF256016}"/>
    <cellStyle name="Currency 7 7 6 2 2 3" xfId="27262" xr:uid="{46C2F280-2441-48BD-8492-BF052B4B7DAA}"/>
    <cellStyle name="Currency 7 7 6 2 3" xfId="8939" xr:uid="{3BAAFCD8-ADB7-4723-9744-CD81709C8832}"/>
    <cellStyle name="Currency 7 7 6 2 3 2" xfId="31518" xr:uid="{A7CAD2BE-AB0C-40DA-A3A7-10F46BE973D8}"/>
    <cellStyle name="Currency 7 7 6 2 4" xfId="25367" xr:uid="{31040DD1-D69E-44B0-A1AB-A8F64D5BFED8}"/>
    <cellStyle name="Currency 7 7 6 3" xfId="3290" xr:uid="{00000000-0005-0000-0000-0000B3040000}"/>
    <cellStyle name="Currency 7 7 6 3 2" xfId="10198" xr:uid="{37EB0C65-8E32-43AD-947F-8821D0CFB255}"/>
    <cellStyle name="Currency 7 7 6 3 2 2" xfId="32693" xr:uid="{8BD573D5-99BD-45D9-8B48-D030AB41F8C3}"/>
    <cellStyle name="Currency 7 7 6 3 3" xfId="26526" xr:uid="{9FE9679A-4660-4FC8-BD03-8AD1D772AC60}"/>
    <cellStyle name="Currency 7 7 6 4" xfId="8254" xr:uid="{A521D334-CAF5-446E-A9C8-13698E9DD065}"/>
    <cellStyle name="Currency 7 7 6 4 2" xfId="30858" xr:uid="{FD67C69C-83EA-46C7-861C-91A5EE2FE270}"/>
    <cellStyle name="Currency 7 7 6 5" xfId="24624" xr:uid="{8F8451C1-1D11-45E5-B0E9-B04FF663E2B0}"/>
    <cellStyle name="Currency 7 7 7" xfId="1338" xr:uid="{00000000-0005-0000-0000-0000B6040000}"/>
    <cellStyle name="Currency 7 7 7 2" xfId="2071" xr:uid="{00000000-0005-0000-0000-0000B7040000}"/>
    <cellStyle name="Currency 7 7 7 2 2" xfId="4166" xr:uid="{00000000-0005-0000-0000-0000B6040000}"/>
    <cellStyle name="Currency 7 7 7 2 2 2" xfId="11070" xr:uid="{842EA228-FB2D-4932-8075-7CECA3F0F961}"/>
    <cellStyle name="Currency 7 7 7 2 2 2 2" xfId="33556" xr:uid="{D3ED5000-E4DB-42FC-8741-9FDDB0C143C9}"/>
    <cellStyle name="Currency 7 7 7 2 2 3" xfId="27344" xr:uid="{0E12D96E-F490-4F4B-BB7E-022A91AB364E}"/>
    <cellStyle name="Currency 7 7 7 2 3" xfId="9010" xr:uid="{B7ED88B0-18BB-414B-8B6A-0174393B12D9}"/>
    <cellStyle name="Currency 7 7 7 2 3 2" xfId="31588" xr:uid="{859C50C8-14EB-4277-B0DB-D253D3912BC6}"/>
    <cellStyle name="Currency 7 7 7 2 4" xfId="25451" xr:uid="{306E3C88-5687-425B-A739-07EE1D16AC01}"/>
    <cellStyle name="Currency 7 7 7 3" xfId="3446" xr:uid="{00000000-0005-0000-0000-0000B5040000}"/>
    <cellStyle name="Currency 7 7 7 3 2" xfId="10354" xr:uid="{7C243D8A-E49B-489A-A226-BF9204ECABFB}"/>
    <cellStyle name="Currency 7 7 7 3 2 2" xfId="32841" xr:uid="{B00A749A-FD7D-4BE9-984C-4345F2EA2476}"/>
    <cellStyle name="Currency 7 7 7 3 3" xfId="26667" xr:uid="{072E41AC-83DE-4053-BEC3-7571A4760435}"/>
    <cellStyle name="Currency 7 7 7 4" xfId="8404" xr:uid="{251BECB2-99BF-4F2B-B6B0-2B849E7AF5D3}"/>
    <cellStyle name="Currency 7 7 7 4 2" xfId="30992" xr:uid="{FB7CF138-62F6-46C9-BB53-D35831A51F3D}"/>
    <cellStyle name="Currency 7 7 7 5" xfId="24766" xr:uid="{10C736BA-6EE5-4BB7-AD1F-02603D3F811F}"/>
    <cellStyle name="Currency 7 7 8" xfId="1423" xr:uid="{00000000-0005-0000-0000-0000B8040000}"/>
    <cellStyle name="Currency 7 7 8 2" xfId="2152" xr:uid="{00000000-0005-0000-0000-0000B9040000}"/>
    <cellStyle name="Currency 7 7 8 2 2" xfId="4245" xr:uid="{00000000-0005-0000-0000-0000B8040000}"/>
    <cellStyle name="Currency 7 7 8 2 2 2" xfId="11149" xr:uid="{277443C2-B495-40F8-8CCD-A8E240B1E51F}"/>
    <cellStyle name="Currency 7 7 8 2 2 2 2" xfId="33635" xr:uid="{C4E0F1E9-7E42-434B-86D4-996C2EFF4CF5}"/>
    <cellStyle name="Currency 7 7 8 2 2 3" xfId="27417" xr:uid="{780FF07B-ED7B-4A62-950B-97FC23B000E4}"/>
    <cellStyle name="Currency 7 7 8 2 3" xfId="9069" xr:uid="{72D74A93-4CE4-4D45-8321-413AF57F871F}"/>
    <cellStyle name="Currency 7 7 8 2 3 2" xfId="31645" xr:uid="{B753E0BB-B0E9-47AC-AB6B-D77F35860747}"/>
    <cellStyle name="Currency 7 7 8 2 4" xfId="25522" xr:uid="{2E031DB2-9246-484C-851B-FCC631B75716}"/>
    <cellStyle name="Currency 7 7 8 3" xfId="3524" xr:uid="{00000000-0005-0000-0000-0000B7040000}"/>
    <cellStyle name="Currency 7 7 8 3 2" xfId="10431" xr:uid="{079D8B1C-A462-46FD-8DC6-030D4E2B8AB1}"/>
    <cellStyle name="Currency 7 7 8 3 2 2" xfId="32918" xr:uid="{28A0D3FF-4F13-4EC8-9FB4-6F8661117BB8}"/>
    <cellStyle name="Currency 7 7 8 3 3" xfId="26737" xr:uid="{9DA1C729-2217-456F-953E-DE15F67B4B16}"/>
    <cellStyle name="Currency 7 7 8 4" xfId="8466" xr:uid="{2ABD7142-D167-41BA-AB18-3856D8D8CBA7}"/>
    <cellStyle name="Currency 7 7 8 4 2" xfId="31053" xr:uid="{D493B5C8-7CD2-40A3-9A42-E9236863FA7E}"/>
    <cellStyle name="Currency 7 7 8 5" xfId="24846" xr:uid="{1C842125-67D8-4899-89A1-EE8BA24A1658}"/>
    <cellStyle name="Currency 7 7 9" xfId="1501" xr:uid="{00000000-0005-0000-0000-0000BA040000}"/>
    <cellStyle name="Currency 7 7 9 2" xfId="2228" xr:uid="{00000000-0005-0000-0000-0000BB040000}"/>
    <cellStyle name="Currency 7 7 9 2 2" xfId="4321" xr:uid="{00000000-0005-0000-0000-0000BA040000}"/>
    <cellStyle name="Currency 7 7 9 2 2 2" xfId="11225" xr:uid="{3883C06A-FC2A-4DB8-B50E-1F5B438B36D0}"/>
    <cellStyle name="Currency 7 7 9 2 2 2 2" xfId="33711" xr:uid="{8F66C0A0-1010-416B-893A-F9EE3F84EDDB}"/>
    <cellStyle name="Currency 7 7 9 2 2 3" xfId="27493" xr:uid="{49207EBC-995D-4F2C-A9CD-C674B29C5145}"/>
    <cellStyle name="Currency 7 7 9 2 3" xfId="9141" xr:uid="{277CAC04-02E8-447F-B376-DD4BDBC265A4}"/>
    <cellStyle name="Currency 7 7 9 2 3 2" xfId="31717" xr:uid="{769797EE-F48B-43D0-8606-54572F5BFB93}"/>
    <cellStyle name="Currency 7 7 9 2 4" xfId="25596" xr:uid="{3D942141-0D40-4865-88F3-283EA9FD69EB}"/>
    <cellStyle name="Currency 7 7 9 3" xfId="3602" xr:uid="{00000000-0005-0000-0000-0000B9040000}"/>
    <cellStyle name="Currency 7 7 9 3 2" xfId="10507" xr:uid="{F889BA7D-8201-49A2-B699-1CC5AC0E76B0}"/>
    <cellStyle name="Currency 7 7 9 3 2 2" xfId="32994" xr:uid="{E9A5CF63-C3B8-434B-BCF7-93E9BCC3582E}"/>
    <cellStyle name="Currency 7 7 9 3 3" xfId="26815" xr:uid="{49789ECC-8090-4770-B394-B9396B39586A}"/>
    <cellStyle name="Currency 7 7 9 4" xfId="8543" xr:uid="{01528A92-D2CB-4927-9F5D-E9DDAA080BA9}"/>
    <cellStyle name="Currency 7 7 9 4 2" xfId="31130" xr:uid="{55654800-F563-425B-A090-4A69DA3FEFB5}"/>
    <cellStyle name="Currency 7 7 9 5" xfId="24923" xr:uid="{9396B244-EB68-49AE-8394-92D9F7383EF4}"/>
    <cellStyle name="Currency 7 8" xfId="268" xr:uid="{00000000-0005-0000-0000-0000BC040000}"/>
    <cellStyle name="Currency 7 8 2" xfId="1572" xr:uid="{00000000-0005-0000-0000-0000BD040000}"/>
    <cellStyle name="Currency 7 8 2 2" xfId="3673" xr:uid="{00000000-0005-0000-0000-0000BC040000}"/>
    <cellStyle name="Currency 7 8 2 2 2" xfId="10577" xr:uid="{E15364B2-F4BF-4BF5-910E-97D33AA71DF2}"/>
    <cellStyle name="Currency 7 8 2 2 2 2" xfId="33063" xr:uid="{70A42BA1-C24A-42A6-BFC5-FF132CEF0DB1}"/>
    <cellStyle name="Currency 7 8 2 2 3" xfId="26884" xr:uid="{996B2DC5-8B8C-4BB1-97DF-194B018E2C1D}"/>
    <cellStyle name="Currency 7 8 2 3" xfId="8609" xr:uid="{D24DD45E-7118-4951-AD23-D0BABF901CF7}"/>
    <cellStyle name="Currency 7 8 2 3 2" xfId="31196" xr:uid="{4D24B157-119D-4852-9160-5F1AD0C7E57C}"/>
    <cellStyle name="Currency 7 8 2 4" xfId="24994" xr:uid="{BC4AC0B2-1B0A-459D-B379-97117D331D56}"/>
    <cellStyle name="Currency 7 8 3" xfId="2432" xr:uid="{00000000-0005-0000-0000-0000BB040000}"/>
    <cellStyle name="Currency 7 8 3 2" xfId="9341" xr:uid="{C306E7D0-8D20-49DF-B92B-C6C39F43FB0A}"/>
    <cellStyle name="Currency 7 8 3 2 2" xfId="31910" xr:uid="{0CCAC8ED-4C29-49FC-82E7-DF114965E72C}"/>
    <cellStyle name="Currency 7 8 3 3" xfId="25777" xr:uid="{7B916CB7-E4E2-4894-9500-3B4CF4B0A5C0}"/>
    <cellStyle name="Currency 7 8 4" xfId="7436" xr:uid="{4EF61EEC-A06E-48EC-8371-6DE6987C82A9}"/>
    <cellStyle name="Currency 7 8 4 2" xfId="30113" xr:uid="{7532DD35-1066-4F78-A06C-D4DFE8CF50F7}"/>
    <cellStyle name="Currency 7 8 5" xfId="23830" xr:uid="{AC1BADCD-9433-4DA0-8CD9-57711EA572E3}"/>
    <cellStyle name="Currency 7 9" xfId="269" xr:uid="{00000000-0005-0000-0000-0000BE040000}"/>
    <cellStyle name="Currency 7 9 2" xfId="1573" xr:uid="{00000000-0005-0000-0000-0000BF040000}"/>
    <cellStyle name="Currency 7 9 2 2" xfId="3674" xr:uid="{00000000-0005-0000-0000-0000BE040000}"/>
    <cellStyle name="Currency 7 9 2 2 2" xfId="10578" xr:uid="{3E0C49A9-90C4-43B4-8437-BCC389331385}"/>
    <cellStyle name="Currency 7 9 2 2 2 2" xfId="33064" xr:uid="{2DF2FE2E-E9DC-4478-8E8A-A97B703F5876}"/>
    <cellStyle name="Currency 7 9 2 2 3" xfId="26885" xr:uid="{CCD5C5C0-7CEC-47D1-9F9C-0E6F9184939C}"/>
    <cellStyle name="Currency 7 9 2 3" xfId="8610" xr:uid="{CC482BE4-E92D-4A75-96D2-C0E5AB883828}"/>
    <cellStyle name="Currency 7 9 2 3 2" xfId="31197" xr:uid="{3A1AC32C-5491-4494-9B7A-476E0458ED15}"/>
    <cellStyle name="Currency 7 9 2 4" xfId="24995" xr:uid="{7AA2E754-1524-4173-B776-5241CEA12458}"/>
    <cellStyle name="Currency 7 9 3" xfId="2433" xr:uid="{00000000-0005-0000-0000-0000BD040000}"/>
    <cellStyle name="Currency 7 9 3 2" xfId="9342" xr:uid="{9791E399-E26B-4260-A0FC-7DF26EE484E1}"/>
    <cellStyle name="Currency 7 9 3 2 2" xfId="31911" xr:uid="{B2AFF377-755D-455B-A3A5-F4CDBC837D2F}"/>
    <cellStyle name="Currency 7 9 3 3" xfId="25778" xr:uid="{5F78C10B-F3F4-4C30-B6C6-69DAB3CDE55A}"/>
    <cellStyle name="Currency 7 9 4" xfId="7437" xr:uid="{724E26CD-5CB0-47EF-A871-1603E888E821}"/>
    <cellStyle name="Currency 7 9 4 2" xfId="30114" xr:uid="{64DDFCB5-E05E-4615-A87F-A8B3727CF419}"/>
    <cellStyle name="Currency 7 9 5" xfId="23831" xr:uid="{BB227DC7-A7E9-4D31-AC62-CB68387F66B7}"/>
    <cellStyle name="Currency 8" xfId="92" xr:uid="{00000000-0005-0000-0000-0000C0040000}"/>
    <cellStyle name="Currency 8 2" xfId="300" xr:uid="{00000000-0005-0000-0000-0000C1040000}"/>
    <cellStyle name="Currency 8 2 2" xfId="2464" xr:uid="{00000000-0005-0000-0000-0000C0040000}"/>
    <cellStyle name="Currency 8 2 2 2" xfId="9373" xr:uid="{F71CC33D-380E-41E7-B329-E7A9309EE4D2}"/>
    <cellStyle name="Currency 8 2 3" xfId="7465" xr:uid="{DFD04D35-0D92-42A4-9093-856E517C7AC0}"/>
    <cellStyle name="Currency 8 3" xfId="465" xr:uid="{00000000-0005-0000-0000-0000C2040000}"/>
    <cellStyle name="Currency 8 3 2" xfId="2617" xr:uid="{00000000-0005-0000-0000-0000C1040000}"/>
    <cellStyle name="Currency 8 3 2 2" xfId="9526" xr:uid="{2B475726-6A66-4CB4-82DC-F4A8014706C9}"/>
    <cellStyle name="Currency 8 3 3" xfId="7611" xr:uid="{672C83A6-5D1F-4B6E-AB94-C02AF207395B}"/>
    <cellStyle name="Currency 8 4" xfId="689" xr:uid="{00000000-0005-0000-0000-0000C3040000}"/>
    <cellStyle name="Currency 8 4 2" xfId="2831" xr:uid="{00000000-0005-0000-0000-0000C2040000}"/>
    <cellStyle name="Currency 8 4 2 2" xfId="9740" xr:uid="{2A05D594-6315-418F-949B-E36E491877F5}"/>
    <cellStyle name="Currency 8 4 3" xfId="7813" xr:uid="{4B24D202-143F-44A1-B0F4-261E3C410F18}"/>
    <cellStyle name="Currency 8 5" xfId="881" xr:uid="{00000000-0005-0000-0000-0000C4040000}"/>
    <cellStyle name="Currency 8 5 2" xfId="3011" xr:uid="{00000000-0005-0000-0000-0000C3040000}"/>
    <cellStyle name="Currency 8 5 2 2" xfId="9920" xr:uid="{FB5EAC3F-ECA1-41CF-803A-0E124F006439}"/>
    <cellStyle name="Currency 8 5 3" xfId="7984" xr:uid="{DC885ACC-71C2-4847-A3CA-FB5FA340FC7D}"/>
    <cellStyle name="Currency 8 6" xfId="1062" xr:uid="{00000000-0005-0000-0000-0000C5040000}"/>
    <cellStyle name="Currency 8 6 2" xfId="3182" xr:uid="{00000000-0005-0000-0000-0000C4040000}"/>
    <cellStyle name="Currency 8 6 2 2" xfId="10091" xr:uid="{C83908B1-B540-4489-934A-959BF17A6E20}"/>
    <cellStyle name="Currency 8 6 3" xfId="8145" xr:uid="{7C4F279C-21F9-448B-90CA-38065FE57BDA}"/>
    <cellStyle name="Currency 8 7" xfId="1241" xr:uid="{00000000-0005-0000-0000-0000C6040000}"/>
    <cellStyle name="Currency 8 7 2" xfId="3351" xr:uid="{00000000-0005-0000-0000-0000C5040000}"/>
    <cellStyle name="Currency 8 7 2 2" xfId="10259" xr:uid="{3149A6F1-AFAC-4CD9-81C4-3836DC1AC0D1}"/>
    <cellStyle name="Currency 8 7 3" xfId="8309" xr:uid="{BA1BEA65-8935-4983-B09A-4F832CB2E126}"/>
    <cellStyle name="Currency 9" xfId="95" xr:uid="{00000000-0005-0000-0000-0000C7040000}"/>
    <cellStyle name="Currency 9 10" xfId="1529" xr:uid="{00000000-0005-0000-0000-0000C8040000}"/>
    <cellStyle name="Currency 9 10 2" xfId="3630" xr:uid="{00000000-0005-0000-0000-0000C7040000}"/>
    <cellStyle name="Currency 9 10 2 2" xfId="10534" xr:uid="{4AF25DB7-653B-4A98-9498-3E651A389996}"/>
    <cellStyle name="Currency 9 10 2 2 2" xfId="33020" xr:uid="{7E882388-C44B-4C92-A1CE-A7A664EAD64D}"/>
    <cellStyle name="Currency 9 10 2 3" xfId="26841" xr:uid="{9E697A3C-6261-46BC-BBD4-B544C6BBD0A2}"/>
    <cellStyle name="Currency 9 10 3" xfId="8566" xr:uid="{8D88745E-AC3C-4101-A428-0EAEA377BE70}"/>
    <cellStyle name="Currency 9 10 3 2" xfId="31153" xr:uid="{3565F1F6-EBA4-4B1F-AB72-2BF8E4EFC077}"/>
    <cellStyle name="Currency 9 10 4" xfId="24951" xr:uid="{36437D61-D9B7-46A3-93B8-40A9C835602D}"/>
    <cellStyle name="Currency 9 11" xfId="2307" xr:uid="{00000000-0005-0000-0000-0000C6040000}"/>
    <cellStyle name="Currency 9 11 2" xfId="9217" xr:uid="{22E1ADD0-9795-4603-A33F-F53767D3FBA1}"/>
    <cellStyle name="Currency 9 11 2 2" xfId="31792" xr:uid="{80453D9F-0190-4718-A416-0F0562E11360}"/>
    <cellStyle name="Currency 9 11 3" xfId="25670" xr:uid="{B9EF934E-FDAD-482B-9A3B-9CA3D35C7505}"/>
    <cellStyle name="Currency 9 12" xfId="7299" xr:uid="{C80B1070-39F0-4200-9D3C-5BA05A28C5BC}"/>
    <cellStyle name="Currency 9 12 2" xfId="29987" xr:uid="{731D7C16-B28D-47CA-9343-5A1F1EE72CEB}"/>
    <cellStyle name="Currency 9 13" xfId="23681" xr:uid="{245235BE-187E-4A25-8B6D-6892B98DC461}"/>
    <cellStyle name="Currency 9 2" xfId="302" xr:uid="{00000000-0005-0000-0000-0000C9040000}"/>
    <cellStyle name="Currency 9 2 2" xfId="1585" xr:uid="{00000000-0005-0000-0000-0000CA040000}"/>
    <cellStyle name="Currency 9 2 2 2" xfId="3686" xr:uid="{00000000-0005-0000-0000-0000C9040000}"/>
    <cellStyle name="Currency 9 2 2 2 2" xfId="10590" xr:uid="{3E900FA2-6931-4EEF-B3FE-C8343AC2AD4B}"/>
    <cellStyle name="Currency 9 2 2 2 2 2" xfId="33076" xr:uid="{319736F7-AD01-4A49-9341-0964D8364349}"/>
    <cellStyle name="Currency 9 2 2 2 3" xfId="26897" xr:uid="{15FDC639-D25B-4153-A29E-41CAC23E0F81}"/>
    <cellStyle name="Currency 9 2 2 3" xfId="8620" xr:uid="{94087767-FDEA-4EF8-A218-3CF2B4282906}"/>
    <cellStyle name="Currency 9 2 2 3 2" xfId="31206" xr:uid="{2DC0B38D-9758-4795-99F8-013F0C6CE9C8}"/>
    <cellStyle name="Currency 9 2 2 4" xfId="25006" xr:uid="{EA23D635-EC2F-461A-AE77-71CC0307E19C}"/>
    <cellStyle name="Currency 9 2 3" xfId="2466" xr:uid="{00000000-0005-0000-0000-0000C8040000}"/>
    <cellStyle name="Currency 9 2 3 2" xfId="9375" xr:uid="{A45835EE-5E2B-42A5-9E23-BF5D0D12CF55}"/>
    <cellStyle name="Currency 9 2 3 2 2" xfId="31938" xr:uid="{A399C14F-3B6B-49B8-915C-8BE267D9B5BB}"/>
    <cellStyle name="Currency 9 2 3 3" xfId="25805" xr:uid="{84DADA09-05A9-49CD-9AFB-483E893CB121}"/>
    <cellStyle name="Currency 9 2 4" xfId="7467" xr:uid="{6D3E40B6-0D36-45D3-B08C-15DA13FBA1D4}"/>
    <cellStyle name="Currency 9 2 4 2" xfId="30137" xr:uid="{403A0CBE-804B-48D9-8524-16C9C8C50F79}"/>
    <cellStyle name="Currency 9 2 5" xfId="23861" xr:uid="{0C11E3C8-099A-4BB5-A39C-3D40034BAAC2}"/>
    <cellStyle name="Currency 9 3" xfId="467" xr:uid="{00000000-0005-0000-0000-0000CB040000}"/>
    <cellStyle name="Currency 9 3 2" xfId="1670" xr:uid="{00000000-0005-0000-0000-0000CC040000}"/>
    <cellStyle name="Currency 9 3 2 2" xfId="3768" xr:uid="{00000000-0005-0000-0000-0000CB040000}"/>
    <cellStyle name="Currency 9 3 2 2 2" xfId="10672" xr:uid="{0CB79A57-9C4C-499D-BC8D-7ECF0B8C4B6D}"/>
    <cellStyle name="Currency 9 3 2 2 2 2" xfId="33158" xr:uid="{02B7506F-B66C-4AAF-9819-F8B3EBAC8D5E}"/>
    <cellStyle name="Currency 9 3 2 2 3" xfId="26975" xr:uid="{9AF476B2-FD83-4474-BD19-60DDF6230160}"/>
    <cellStyle name="Currency 9 3 2 3" xfId="8685" xr:uid="{D4488DC8-3F9D-43A4-AA12-2D35656B7C1C}"/>
    <cellStyle name="Currency 9 3 2 3 2" xfId="31270" xr:uid="{782AFFE8-00F2-4C8E-81DB-220AF1418D24}"/>
    <cellStyle name="Currency 9 3 2 4" xfId="25085" xr:uid="{D841C08F-6275-4379-A682-F1107C229DD9}"/>
    <cellStyle name="Currency 9 3 3" xfId="2619" xr:uid="{00000000-0005-0000-0000-0000CA040000}"/>
    <cellStyle name="Currency 9 3 3 2" xfId="9528" xr:uid="{8AF84BE4-DDBC-4F2D-9AFE-70E7D6650504}"/>
    <cellStyle name="Currency 9 3 3 2 2" xfId="32079" xr:uid="{2BDEEE35-05BF-4F36-8985-29E34B73FA4D}"/>
    <cellStyle name="Currency 9 3 3 3" xfId="25939" xr:uid="{B079532D-CC02-4D4E-9A58-4DAAA7B5F81E}"/>
    <cellStyle name="Currency 9 3 4" xfId="7613" xr:uid="{B2F64C89-28B1-4FF9-9FC8-FB018B43C9A7}"/>
    <cellStyle name="Currency 9 3 4 2" xfId="30274" xr:uid="{A87D399A-91AB-4AC1-BED1-3171416D3E8B}"/>
    <cellStyle name="Currency 9 3 5" xfId="24001" xr:uid="{B4B0BBAE-E95F-44D4-9B7B-839B899158BE}"/>
    <cellStyle name="Currency 9 4" xfId="691" xr:uid="{00000000-0005-0000-0000-0000CD040000}"/>
    <cellStyle name="Currency 9 4 2" xfId="1767" xr:uid="{00000000-0005-0000-0000-0000CE040000}"/>
    <cellStyle name="Currency 9 4 2 2" xfId="3865" xr:uid="{00000000-0005-0000-0000-0000CD040000}"/>
    <cellStyle name="Currency 9 4 2 2 2" xfId="10769" xr:uid="{CBA73F2F-3609-46F8-90C1-3E57F2D31743}"/>
    <cellStyle name="Currency 9 4 2 2 2 2" xfId="33255" xr:uid="{0CCA38AF-4CA7-454B-8236-66CBC0D87330}"/>
    <cellStyle name="Currency 9 4 2 2 3" xfId="27064" xr:uid="{3EC4B158-CFF5-4B5C-8C9F-43A20CAD2EF3}"/>
    <cellStyle name="Currency 9 4 2 3" xfId="8767" xr:uid="{98048D18-4C6C-45ED-AF6C-5117FAFA159B}"/>
    <cellStyle name="Currency 9 4 2 3 2" xfId="31350" xr:uid="{6C965B84-A122-4ADC-8694-5DCC4B0403F0}"/>
    <cellStyle name="Currency 9 4 2 4" xfId="25173" xr:uid="{F17DC7E5-3AE4-4EF9-BE14-17C5D94F8BEE}"/>
    <cellStyle name="Currency 9 4 3" xfId="2833" xr:uid="{00000000-0005-0000-0000-0000CC040000}"/>
    <cellStyle name="Currency 9 4 3 2" xfId="9742" xr:uid="{AE025D72-7629-486A-BE19-AF458B3D57EE}"/>
    <cellStyle name="Currency 9 4 3 2 2" xfId="32279" xr:uid="{407C8378-4D15-4CAB-A067-A213140E65A3}"/>
    <cellStyle name="Currency 9 4 3 3" xfId="26128" xr:uid="{2CCE5B60-C6DE-4108-B9B2-5131978C12AC}"/>
    <cellStyle name="Currency 9 4 4" xfId="7815" xr:uid="{B0257AB5-892D-4DB4-9C44-6D3DB95CD637}"/>
    <cellStyle name="Currency 9 4 4 2" xfId="30449" xr:uid="{A1050C59-D2C8-40E7-84A5-AF7EB25AE670}"/>
    <cellStyle name="Currency 9 4 5" xfId="24202" xr:uid="{26D71DA1-721B-403E-9E1D-88A33F013B1B}"/>
    <cellStyle name="Currency 9 5" xfId="883" xr:uid="{00000000-0005-0000-0000-0000CF040000}"/>
    <cellStyle name="Currency 9 5 2" xfId="1856" xr:uid="{00000000-0005-0000-0000-0000D0040000}"/>
    <cellStyle name="Currency 9 5 2 2" xfId="3954" xr:uid="{00000000-0005-0000-0000-0000CF040000}"/>
    <cellStyle name="Currency 9 5 2 2 2" xfId="10858" xr:uid="{A20AD223-D923-4D40-A369-BB5C57C3B5B3}"/>
    <cellStyle name="Currency 9 5 2 2 2 2" xfId="33344" xr:uid="{B96A38FF-4F92-43D2-AA39-D23A4B4A9ADB}"/>
    <cellStyle name="Currency 9 5 2 2 3" xfId="27145" xr:uid="{E103F274-1E6B-4FAA-8255-CD78EEDAA57B}"/>
    <cellStyle name="Currency 9 5 2 3" xfId="8839" xr:uid="{2F13E1EE-D5D0-4278-AB2F-7EBD21B8E428}"/>
    <cellStyle name="Currency 9 5 2 3 2" xfId="31420" xr:uid="{80B4D2FD-6B1A-45C4-8DC7-B612245F480A}"/>
    <cellStyle name="Currency 9 5 2 4" xfId="25252" xr:uid="{97C66B19-6748-4BED-B0A7-55D5379106D7}"/>
    <cellStyle name="Currency 9 5 3" xfId="3013" xr:uid="{00000000-0005-0000-0000-0000CE040000}"/>
    <cellStyle name="Currency 9 5 3 2" xfId="9922" xr:uid="{EE232666-2185-4EA6-8D1F-93350FC0B258}"/>
    <cellStyle name="Currency 9 5 3 2 2" xfId="32442" xr:uid="{9B8E573D-07DA-4136-8BBC-2385E3A4C151}"/>
    <cellStyle name="Currency 9 5 3 3" xfId="26280" xr:uid="{A7CCFDE5-DEEF-4AFC-B106-E3AFFFAA8357}"/>
    <cellStyle name="Currency 9 5 4" xfId="7986" xr:uid="{FBFDA505-770A-4E4A-B67A-DBFBA4AC22E8}"/>
    <cellStyle name="Currency 9 5 4 2" xfId="30608" xr:uid="{8871855F-F286-4316-8425-39ABC569A936}"/>
    <cellStyle name="Currency 9 5 5" xfId="24367" xr:uid="{D722EF7D-0FD2-4B2B-827D-040886E3E866}"/>
    <cellStyle name="Currency 9 6" xfId="1065" xr:uid="{00000000-0005-0000-0000-0000D1040000}"/>
    <cellStyle name="Currency 9 6 2" xfId="1951" xr:uid="{00000000-0005-0000-0000-0000D2040000}"/>
    <cellStyle name="Currency 9 6 2 2" xfId="4047" xr:uid="{00000000-0005-0000-0000-0000D1040000}"/>
    <cellStyle name="Currency 9 6 2 2 2" xfId="10951" xr:uid="{D840300D-8E52-43C6-9798-55FD097A6732}"/>
    <cellStyle name="Currency 9 6 2 2 2 2" xfId="33437" xr:uid="{411C1A2B-F009-4156-84F7-A9F16DFEA6B7}"/>
    <cellStyle name="Currency 9 6 2 2 3" xfId="27232" xr:uid="{3F5D4382-DB36-4A5F-B183-B2D5A15F685F}"/>
    <cellStyle name="Currency 9 6 2 3" xfId="8909" xr:uid="{D433F6D5-1A97-4886-87F0-2A3D6A84B0CE}"/>
    <cellStyle name="Currency 9 6 2 3 2" xfId="31488" xr:uid="{A9CF97C7-66A1-49F2-ADF6-A6303BDB0856}"/>
    <cellStyle name="Currency 9 6 2 4" xfId="25337" xr:uid="{829E4839-FD0A-4108-9004-995218F32FBC}"/>
    <cellStyle name="Currency 9 6 3" xfId="3185" xr:uid="{00000000-0005-0000-0000-0000D0040000}"/>
    <cellStyle name="Currency 9 6 3 2" xfId="10094" xr:uid="{D49B4BB2-2FB1-4FAD-8620-3E0B8F5C4981}"/>
    <cellStyle name="Currency 9 6 3 2 2" xfId="32601" xr:uid="{7A5B857B-B356-4700-B998-4274D83502AB}"/>
    <cellStyle name="Currency 9 6 3 3" xfId="26433" xr:uid="{3B8693A1-8EBE-4591-A96A-5071B240F8A2}"/>
    <cellStyle name="Currency 9 6 4" xfId="8148" xr:uid="{C877B116-5E29-4C10-98F7-06C2C30033EF}"/>
    <cellStyle name="Currency 9 6 4 2" xfId="30760" xr:uid="{78848090-EADC-4022-9BCD-15A26C7B89CB}"/>
    <cellStyle name="Currency 9 6 5" xfId="24531" xr:uid="{88A435DA-310D-4B3A-B9A5-5D7F1C60DD4E}"/>
    <cellStyle name="Currency 9 7" xfId="1243" xr:uid="{00000000-0005-0000-0000-0000D3040000}"/>
    <cellStyle name="Currency 9 7 2" xfId="2041" xr:uid="{00000000-0005-0000-0000-0000D4040000}"/>
    <cellStyle name="Currency 9 7 2 2" xfId="4136" xr:uid="{00000000-0005-0000-0000-0000D3040000}"/>
    <cellStyle name="Currency 9 7 2 2 2" xfId="11040" xr:uid="{8D8BAA09-5A1C-48B3-B1EA-25DA6406807B}"/>
    <cellStyle name="Currency 9 7 2 2 2 2" xfId="33526" xr:uid="{6609B5AF-3322-4C34-A93D-24EA0E909C6A}"/>
    <cellStyle name="Currency 9 7 2 2 3" xfId="27314" xr:uid="{1743D6B7-3786-40D6-A47E-6664794AEE4B}"/>
    <cellStyle name="Currency 9 7 2 3" xfId="8980" xr:uid="{17983876-EFA7-410E-9175-D9382151DF51}"/>
    <cellStyle name="Currency 9 7 2 3 2" xfId="31558" xr:uid="{3A75CAB9-099F-44A2-BA28-91233866DF89}"/>
    <cellStyle name="Currency 9 7 2 4" xfId="25421" xr:uid="{E6882DFD-031F-4F45-9BFE-51ABE64C608D}"/>
    <cellStyle name="Currency 9 7 3" xfId="3353" xr:uid="{00000000-0005-0000-0000-0000D2040000}"/>
    <cellStyle name="Currency 9 7 3 2" xfId="10261" xr:uid="{36CE0E64-F646-4E07-A1D5-758324B8D3BB}"/>
    <cellStyle name="Currency 9 7 3 2 2" xfId="32755" xr:uid="{32634749-E8AF-4358-9304-FAE626AFF6BE}"/>
    <cellStyle name="Currency 9 7 3 3" xfId="26582" xr:uid="{C4CDBABC-A954-47CD-B47F-70A9B977598B}"/>
    <cellStyle name="Currency 9 7 4" xfId="8311" xr:uid="{A6E64DC5-66D5-40E8-B4AE-E731C2DC9CE5}"/>
    <cellStyle name="Currency 9 7 4 2" xfId="30909" xr:uid="{63C9CB8D-F2DB-4A6C-BA4F-2192E1A39CEF}"/>
    <cellStyle name="Currency 9 7 5" xfId="24683" xr:uid="{D57CA98F-B7A2-47AA-A2A2-1B51E2E5D00A}"/>
    <cellStyle name="Currency 9 8" xfId="1443" xr:uid="{00000000-0005-0000-0000-0000D5040000}"/>
    <cellStyle name="Currency 9 8 2" xfId="2171" xr:uid="{00000000-0005-0000-0000-0000D6040000}"/>
    <cellStyle name="Currency 9 8 2 2" xfId="4264" xr:uid="{00000000-0005-0000-0000-0000D5040000}"/>
    <cellStyle name="Currency 9 8 2 2 2" xfId="11168" xr:uid="{52C22A14-3F76-485D-ADAD-9DCF3B9C0834}"/>
    <cellStyle name="Currency 9 8 2 2 2 2" xfId="33654" xr:uid="{DDDB26EA-4A67-4658-8A3D-0780D24DBC33}"/>
    <cellStyle name="Currency 9 8 2 2 3" xfId="27436" xr:uid="{79615D91-9870-476A-A77B-BC23D4D0DED7}"/>
    <cellStyle name="Currency 9 8 2 3" xfId="9088" xr:uid="{ACF55085-C292-43EA-A741-93882CFB2BA0}"/>
    <cellStyle name="Currency 9 8 2 3 2" xfId="31664" xr:uid="{422E8773-5321-4985-9152-2672CB5AD4A5}"/>
    <cellStyle name="Currency 9 8 2 4" xfId="25541" xr:uid="{5D23C852-7921-40D9-8057-FDE5181F3008}"/>
    <cellStyle name="Currency 9 8 3" xfId="3544" xr:uid="{00000000-0005-0000-0000-0000D4040000}"/>
    <cellStyle name="Currency 9 8 3 2" xfId="10450" xr:uid="{5A3EA9E4-C44D-4987-8DD9-051694E752AE}"/>
    <cellStyle name="Currency 9 8 3 2 2" xfId="32937" xr:uid="{90CB174B-DC09-43B4-A622-4736C0005CC0}"/>
    <cellStyle name="Currency 9 8 3 3" xfId="26757" xr:uid="{A383D2EF-3A47-4C0F-BEFA-7FCDAE6818E2}"/>
    <cellStyle name="Currency 9 8 4" xfId="8486" xr:uid="{25B4A81F-036A-44C2-A697-52E0697AA124}"/>
    <cellStyle name="Currency 9 8 4 2" xfId="31073" xr:uid="{D61EBDF5-13E3-4219-89B5-A5E58F6AF548}"/>
    <cellStyle name="Currency 9 8 5" xfId="24866" xr:uid="{4CBA2792-6006-4C8D-B869-BC40412E3DFE}"/>
    <cellStyle name="Currency 9 9" xfId="1471" xr:uid="{00000000-0005-0000-0000-0000D7040000}"/>
    <cellStyle name="Currency 9 9 2" xfId="2198" xr:uid="{00000000-0005-0000-0000-0000D8040000}"/>
    <cellStyle name="Currency 9 9 2 2" xfId="4291" xr:uid="{00000000-0005-0000-0000-0000D7040000}"/>
    <cellStyle name="Currency 9 9 2 2 2" xfId="11195" xr:uid="{99180E3E-5724-4668-8023-AB2A3FC9CCA0}"/>
    <cellStyle name="Currency 9 9 2 2 2 2" xfId="33681" xr:uid="{0B27B6B3-C0C3-4938-AF1B-1BE017AAC18B}"/>
    <cellStyle name="Currency 9 9 2 2 3" xfId="27463" xr:uid="{35DD1B71-F1ED-4C70-952A-CCE1065C060F}"/>
    <cellStyle name="Currency 9 9 2 3" xfId="9111" xr:uid="{3934A66F-C12D-48BC-A49C-5EE7C050A249}"/>
    <cellStyle name="Currency 9 9 2 3 2" xfId="31687" xr:uid="{89864A86-F243-4362-BD04-7E07623D31BA}"/>
    <cellStyle name="Currency 9 9 2 4" xfId="25566" xr:uid="{35EBD40F-DF4D-41B6-88DB-23F677960892}"/>
    <cellStyle name="Currency 9 9 3" xfId="3572" xr:uid="{00000000-0005-0000-0000-0000D6040000}"/>
    <cellStyle name="Currency 9 9 3 2" xfId="10477" xr:uid="{B163EAB7-71FC-4360-9A7F-D15017C5F307}"/>
    <cellStyle name="Currency 9 9 3 2 2" xfId="32964" xr:uid="{B35C78C9-CB97-4B18-ADE7-064F3CB83624}"/>
    <cellStyle name="Currency 9 9 3 3" xfId="26785" xr:uid="{85360628-BCC8-46B1-86CC-41AF2EBEBC36}"/>
    <cellStyle name="Currency 9 9 4" xfId="8513" xr:uid="{CB5F4EF3-533D-4388-AB52-28B380218574}"/>
    <cellStyle name="Currency 9 9 4 2" xfId="31100" xr:uid="{519EE44D-19C5-45DC-A381-053702B6E22C}"/>
    <cellStyle name="Currency 9 9 5" xfId="24893" xr:uid="{D31CD0A5-DFA9-405E-BB01-BC0CF1BABF7F}"/>
    <cellStyle name="Explanatory Text 2" xfId="73" xr:uid="{00000000-0005-0000-0000-0000D9040000}"/>
    <cellStyle name="Good 2" xfId="74" xr:uid="{00000000-0005-0000-0000-0000DB040000}"/>
    <cellStyle name="Heading 1 2" xfId="75" xr:uid="{00000000-0005-0000-0000-0000DC040000}"/>
    <cellStyle name="Heading 2 2" xfId="76" xr:uid="{00000000-0005-0000-0000-0000DD040000}"/>
    <cellStyle name="Heading 3 2" xfId="77" xr:uid="{00000000-0005-0000-0000-0000DF040000}"/>
    <cellStyle name="Heading 3 2 2" xfId="418" xr:uid="{00000000-0005-0000-0000-0000E0040000}"/>
    <cellStyle name="Heading 3 2 2 2" xfId="1005" xr:uid="{00000000-0005-0000-0000-0000E1040000}"/>
    <cellStyle name="Heading 3 2 2 2 2" xfId="1895" xr:uid="{00000000-0005-0000-0000-0000E2040000}"/>
    <cellStyle name="Heading 3 2 2 3" xfId="1189" xr:uid="{00000000-0005-0000-0000-0000E3040000}"/>
    <cellStyle name="Heading 3 2 2 3 2" xfId="1990" xr:uid="{00000000-0005-0000-0000-0000E4040000}"/>
    <cellStyle name="Heading 3 2 2 4" xfId="1351" xr:uid="{00000000-0005-0000-0000-0000E5040000}"/>
    <cellStyle name="Heading 3 2 2 4 2" xfId="2080" xr:uid="{00000000-0005-0000-0000-0000E6040000}"/>
    <cellStyle name="Heading 3 2 2 5" xfId="1624" xr:uid="{00000000-0005-0000-0000-0000E7040000}"/>
    <cellStyle name="Heading 3 2 3" xfId="432" xr:uid="{00000000-0005-0000-0000-0000E8040000}"/>
    <cellStyle name="Heading 3 2 3 2" xfId="1019" xr:uid="{00000000-0005-0000-0000-0000E9040000}"/>
    <cellStyle name="Heading 3 2 3 2 2" xfId="1909" xr:uid="{00000000-0005-0000-0000-0000EA040000}"/>
    <cellStyle name="Heading 3 2 3 3" xfId="1203" xr:uid="{00000000-0005-0000-0000-0000EB040000}"/>
    <cellStyle name="Heading 3 2 3 3 2" xfId="2003" xr:uid="{00000000-0005-0000-0000-0000EC040000}"/>
    <cellStyle name="Heading 3 2 3 4" xfId="1365" xr:uid="{00000000-0005-0000-0000-0000ED040000}"/>
    <cellStyle name="Heading 3 2 3 4 2" xfId="2094" xr:uid="{00000000-0005-0000-0000-0000EE040000}"/>
    <cellStyle name="Heading 3 2 3 5" xfId="1637" xr:uid="{00000000-0005-0000-0000-0000EF040000}"/>
    <cellStyle name="Heading 3 2 4" xfId="431" xr:uid="{00000000-0005-0000-0000-0000F0040000}"/>
    <cellStyle name="Heading 3 2 4 2" xfId="1018" xr:uid="{00000000-0005-0000-0000-0000F1040000}"/>
    <cellStyle name="Heading 3 2 4 2 2" xfId="1908" xr:uid="{00000000-0005-0000-0000-0000F2040000}"/>
    <cellStyle name="Heading 3 2 4 3" xfId="1202" xr:uid="{00000000-0005-0000-0000-0000F3040000}"/>
    <cellStyle name="Heading 3 2 4 3 2" xfId="2002" xr:uid="{00000000-0005-0000-0000-0000F4040000}"/>
    <cellStyle name="Heading 3 2 4 4" xfId="1364" xr:uid="{00000000-0005-0000-0000-0000F5040000}"/>
    <cellStyle name="Heading 3 2 4 4 2" xfId="2093" xr:uid="{00000000-0005-0000-0000-0000F6040000}"/>
    <cellStyle name="Heading 3 2 4 5" xfId="1636" xr:uid="{00000000-0005-0000-0000-0000F7040000}"/>
    <cellStyle name="Heading 3 2 5" xfId="425" xr:uid="{00000000-0005-0000-0000-0000F8040000}"/>
    <cellStyle name="Heading 3 2 5 2" xfId="826" xr:uid="{00000000-0005-0000-0000-0000F9040000}"/>
    <cellStyle name="Heading 3 2 5 2 2" xfId="1812" xr:uid="{00000000-0005-0000-0000-0000FA040000}"/>
    <cellStyle name="Heading 3 2 5 3" xfId="1012" xr:uid="{00000000-0005-0000-0000-0000FB040000}"/>
    <cellStyle name="Heading 3 2 5 3 2" xfId="1902" xr:uid="{00000000-0005-0000-0000-0000FC040000}"/>
    <cellStyle name="Heading 3 2 5 4" xfId="1196" xr:uid="{00000000-0005-0000-0000-0000FD040000}"/>
    <cellStyle name="Heading 3 2 5 5" xfId="1358" xr:uid="{00000000-0005-0000-0000-0000FE040000}"/>
    <cellStyle name="Heading 3 2 5 5 2" xfId="2087" xr:uid="{00000000-0005-0000-0000-0000FF040000}"/>
    <cellStyle name="Heading 3 2 6" xfId="868" xr:uid="{00000000-0005-0000-0000-000000050000}"/>
    <cellStyle name="Heading 3 2 6 2" xfId="1847" xr:uid="{00000000-0005-0000-0000-000001050000}"/>
    <cellStyle name="Heading 3 2 7" xfId="1051" xr:uid="{00000000-0005-0000-0000-000002050000}"/>
    <cellStyle name="Heading 3 2 7 2" xfId="1941" xr:uid="{00000000-0005-0000-0000-000003050000}"/>
    <cellStyle name="Heading 3 2 8" xfId="1232" xr:uid="{00000000-0005-0000-0000-000004050000}"/>
    <cellStyle name="Heading 3 2 8 2" xfId="2032" xr:uid="{00000000-0005-0000-0000-000005050000}"/>
    <cellStyle name="Heading 4 2" xfId="78" xr:uid="{00000000-0005-0000-0000-000006050000}"/>
    <cellStyle name="Hyperlink 2" xfId="7240" xr:uid="{685EA0D0-D0E3-473B-8FDE-2C78646B32B9}"/>
    <cellStyle name="Input 2" xfId="79" xr:uid="{00000000-0005-0000-0000-000008050000}"/>
    <cellStyle name="Input 2 10" xfId="292" xr:uid="{00000000-0005-0000-0000-000009050000}"/>
    <cellStyle name="Input 2 10 10" xfId="13056" xr:uid="{8D0F6D5F-E51D-44FE-9DBC-53F504C7E74C}"/>
    <cellStyle name="Input 2 10 10 2" xfId="44558" xr:uid="{12AD381C-33F9-417F-8BA9-EAB4451D539D}"/>
    <cellStyle name="Input 2 10 11" xfId="43724" xr:uid="{BE816C76-BCED-453C-A98F-2E2F688C37BE}"/>
    <cellStyle name="Input 2 10 2" xfId="1577" xr:uid="{00000000-0005-0000-0000-00000A050000}"/>
    <cellStyle name="Input 2 10 2 10" xfId="14314" xr:uid="{97C33467-2838-4A8A-969F-1FF024FF531A}"/>
    <cellStyle name="Input 2 10 2 10 2" xfId="36783" xr:uid="{3F40B674-35DF-46DB-94F6-8F8E2FCC3012}"/>
    <cellStyle name="Input 2 10 2 10 3" xfId="46103" xr:uid="{B13E4DFD-9F7B-46A0-83DE-712C1A32E502}"/>
    <cellStyle name="Input 2 10 2 11" xfId="20717" xr:uid="{A3E61F28-21D6-4732-B85F-CFB7E11F9173}"/>
    <cellStyle name="Input 2 10 2 11 2" xfId="42988" xr:uid="{4931C859-845E-4BE3-9F02-D7725088B149}"/>
    <cellStyle name="Input 2 10 2 11 3" xfId="42358" xr:uid="{73B6878C-E54D-427B-8A7A-51AAFA89D5F5}"/>
    <cellStyle name="Input 2 10 2 12" xfId="19642" xr:uid="{D5BBBFFF-D5A7-4DA3-B037-5068396C7B55}"/>
    <cellStyle name="Input 2 10 2 12 2" xfId="24079" xr:uid="{A3AD1F0D-1BA6-40CB-A669-67D94B73A3C5}"/>
    <cellStyle name="Input 2 10 2 13" xfId="46100" xr:uid="{2BFE0EE3-97C2-444C-9765-1166DC690256}"/>
    <cellStyle name="Input 2 10 2 2" xfId="3678" xr:uid="{00000000-0005-0000-0000-000009050000}"/>
    <cellStyle name="Input 2 10 2 2 2" xfId="10582" xr:uid="{941FBF2C-1042-4BD1-B40E-6D25FAEC9F1D}"/>
    <cellStyle name="Input 2 10 2 2 2 2" xfId="33068" xr:uid="{FDCC6F3E-AB7F-474B-8F59-40523704B3AA}"/>
    <cellStyle name="Input 2 10 2 2 2 3" xfId="50389" xr:uid="{5E583830-59C0-49BA-B29D-42606A9AE25F}"/>
    <cellStyle name="Input 2 10 2 2 3" xfId="15783" xr:uid="{E55F70C0-1855-4B88-BEFF-B85B09589160}"/>
    <cellStyle name="Input 2 10 2 2 3 2" xfId="38193" xr:uid="{9ACC30B8-321B-4403-BFFA-DCB80FD9AC88}"/>
    <cellStyle name="Input 2 10 2 2 3 3" xfId="50069" xr:uid="{D79CCD26-84A6-4FA3-8A3A-D51F7375C019}"/>
    <cellStyle name="Input 2 10 2 2 4" xfId="20941" xr:uid="{128F9BD8-ACBF-4D58-AD47-DFBED6447FEA}"/>
    <cellStyle name="Input 2 10 2 2 4 2" xfId="28740" xr:uid="{37FC2AFF-7CC3-427D-8893-8B663BB11979}"/>
    <cellStyle name="Input 2 10 2 2 5" xfId="46261" xr:uid="{BEBF5EBB-5BB8-4990-AD83-2F5B96D91B18}"/>
    <cellStyle name="Input 2 10 2 3" xfId="5129" xr:uid="{00000000-0005-0000-0000-000009050000}"/>
    <cellStyle name="Input 2 10 2 3 2" xfId="12022" xr:uid="{B42FAC6D-CD82-421E-89BD-0D5EFB041BF5}"/>
    <cellStyle name="Input 2 10 2 3 2 2" xfId="34508" xr:uid="{33FEA064-0AAA-469D-AABB-281AD3FCDA05}"/>
    <cellStyle name="Input 2 10 2 3 2 3" xfId="43836" xr:uid="{43715197-2005-4ACD-A0BE-FDFD51389340}"/>
    <cellStyle name="Input 2 10 2 3 3" xfId="17066" xr:uid="{DC6AC78A-CF64-40DB-8978-06CFC4CB971D}"/>
    <cellStyle name="Input 2 10 2 3 3 2" xfId="39456" xr:uid="{4AD2DA88-94A0-47A7-9183-AA1C50E33DE4}"/>
    <cellStyle name="Input 2 10 2 3 3 3" xfId="28800" xr:uid="{13B9B3F4-9588-42ED-B194-1E3DA5FFB3C8}"/>
    <cellStyle name="Input 2 10 2 3 4" xfId="21490" xr:uid="{CC9C7DFC-D0EB-41D5-B742-AFFE31F4608A}"/>
    <cellStyle name="Input 2 10 2 3 4 2" xfId="50752" xr:uid="{DD61912E-F0C6-4E41-908F-988FDC98AB1C}"/>
    <cellStyle name="Input 2 10 2 3 5" xfId="52055" xr:uid="{B69A7C8B-0056-4F7D-93DD-65944C7916EF}"/>
    <cellStyle name="Input 2 10 2 4" xfId="4503" xr:uid="{00000000-0005-0000-0000-000009050000}"/>
    <cellStyle name="Input 2 10 2 4 2" xfId="11405" xr:uid="{1516589E-D241-4BD9-89BF-4876892D25C7}"/>
    <cellStyle name="Input 2 10 2 4 2 2" xfId="33891" xr:uid="{D9B3A3A4-7B42-41A6-B184-33E7A1F704DB}"/>
    <cellStyle name="Input 2 10 2 4 2 3" xfId="29029" xr:uid="{A9C4C3C1-411B-4E33-B2D2-A480EBCE97D3}"/>
    <cellStyle name="Input 2 10 2 4 3" xfId="16440" xr:uid="{97FA5C93-3C0F-4F22-9CC5-46E146E03CFE}"/>
    <cellStyle name="Input 2 10 2 4 3 2" xfId="38830" xr:uid="{5D542B7C-BE2E-4C2F-B735-F1AAE629C5E1}"/>
    <cellStyle name="Input 2 10 2 4 3 3" xfId="30636" xr:uid="{8D83FFC7-D65E-47FF-98EC-86B3166E2219}"/>
    <cellStyle name="Input 2 10 2 4 4" xfId="15286" xr:uid="{71119EE2-8217-4B62-BC96-5EAD4A0E76BF}"/>
    <cellStyle name="Input 2 10 2 4 4 2" xfId="48437" xr:uid="{33F90C4B-25A7-48AB-9C5E-B7F7102822DD}"/>
    <cellStyle name="Input 2 10 2 4 5" xfId="51704" xr:uid="{032E0520-AB7D-4666-BB38-9080DD0865AC}"/>
    <cellStyle name="Input 2 10 2 5" xfId="4857" xr:uid="{00000000-0005-0000-0000-000009050000}"/>
    <cellStyle name="Input 2 10 2 5 2" xfId="11753" xr:uid="{294CF613-146E-4D26-8224-E447E694C6E0}"/>
    <cellStyle name="Input 2 10 2 5 2 2" xfId="34239" xr:uid="{73753053-7E0D-4755-B3E0-3160461B9A10}"/>
    <cellStyle name="Input 2 10 2 5 2 3" xfId="45736" xr:uid="{D210441C-AAA4-4817-A5EB-D1A7F0348E97}"/>
    <cellStyle name="Input 2 10 2 5 3" xfId="16794" xr:uid="{617D6518-D773-441B-AE72-4AB921363991}"/>
    <cellStyle name="Input 2 10 2 5 3 2" xfId="39184" xr:uid="{A23707E1-FF2A-4BDA-AC3B-64810202E81D}"/>
    <cellStyle name="Input 2 10 2 5 3 3" xfId="42455" xr:uid="{BDE70732-B5C0-4095-8F92-00F97DB9C0F8}"/>
    <cellStyle name="Input 2 10 2 5 4" xfId="8970" xr:uid="{25166383-BA3A-475D-884D-8ADAD3539699}"/>
    <cellStyle name="Input 2 10 2 5 4 2" xfId="24437" xr:uid="{73E07A57-6E8C-4E72-9190-20C9A7197BE5}"/>
    <cellStyle name="Input 2 10 2 5 5" xfId="44012" xr:uid="{6BAD0505-EDEA-49DA-95E1-E96086E351A7}"/>
    <cellStyle name="Input 2 10 2 6" xfId="5867" xr:uid="{00000000-0005-0000-0000-000009050000}"/>
    <cellStyle name="Input 2 10 2 6 2" xfId="12749" xr:uid="{3645611A-F069-44F4-B618-E03E8382ED0E}"/>
    <cellStyle name="Input 2 10 2 6 2 2" xfId="35233" xr:uid="{E603C1E2-9B95-4440-A773-F13754292CB1}"/>
    <cellStyle name="Input 2 10 2 6 2 3" xfId="45582" xr:uid="{52D28CE1-03AD-4124-996E-93630F317227}"/>
    <cellStyle name="Input 2 10 2 6 3" xfId="17804" xr:uid="{9B94E281-328B-4D70-87F6-A3D02E17DAFE}"/>
    <cellStyle name="Input 2 10 2 6 3 2" xfId="40194" xr:uid="{D5679207-BE28-473E-AB64-43C6D78F24F0}"/>
    <cellStyle name="Input 2 10 2 6 3 3" xfId="28570" xr:uid="{BC00F51A-9D33-42CE-A737-A45B46216510}"/>
    <cellStyle name="Input 2 10 2 6 4" xfId="22228" xr:uid="{C8D96773-D6B5-44B4-8685-5AF71F30E526}"/>
    <cellStyle name="Input 2 10 2 6 4 2" xfId="53647" xr:uid="{F8A026EB-D6AD-473D-801F-7143FE9848F9}"/>
    <cellStyle name="Input 2 10 2 6 5" xfId="29770" xr:uid="{95379619-A582-4ABD-9AF1-0756F5F440B6}"/>
    <cellStyle name="Input 2 10 2 7" xfId="4473" xr:uid="{00000000-0005-0000-0000-000009050000}"/>
    <cellStyle name="Input 2 10 2 7 2" xfId="11375" xr:uid="{59663305-328E-41B3-8DD4-97D039103792}"/>
    <cellStyle name="Input 2 10 2 7 2 2" xfId="33861" xr:uid="{46E1D53A-D676-4856-93E2-199E98444B4F}"/>
    <cellStyle name="Input 2 10 2 7 2 3" xfId="30211" xr:uid="{0998C360-55E1-4764-9310-E27AF4F37997}"/>
    <cellStyle name="Input 2 10 2 7 3" xfId="16410" xr:uid="{92D15738-3F15-43AD-8BC4-7E24B795AF24}"/>
    <cellStyle name="Input 2 10 2 7 3 2" xfId="38800" xr:uid="{0F0142FC-547C-4FC7-ABFB-2F94EF35CBBA}"/>
    <cellStyle name="Input 2 10 2 7 3 3" xfId="43167" xr:uid="{FF9EE43F-670C-47DD-A47C-D017DF7DCC64}"/>
    <cellStyle name="Input 2 10 2 7 4" xfId="19571" xr:uid="{D6EF26AA-CD0B-43CE-8E50-D5D1BA6C3C83}"/>
    <cellStyle name="Input 2 10 2 7 4 2" xfId="26264" xr:uid="{68F4B66B-34B4-4819-B6F3-45922CF23B39}"/>
    <cellStyle name="Input 2 10 2 7 5" xfId="45560" xr:uid="{FCE9735B-D443-402B-9B1B-AE18E0D41571}"/>
    <cellStyle name="Input 2 10 2 8" xfId="6609" xr:uid="{00000000-0005-0000-0000-000009050000}"/>
    <cellStyle name="Input 2 10 2 8 2" xfId="13475" xr:uid="{FCFFB878-0CD8-466F-9A4F-1128B9EF8D10}"/>
    <cellStyle name="Input 2 10 2 8 2 2" xfId="35959" xr:uid="{640B7DD2-F143-45E7-AE08-7BE04AB05FEB}"/>
    <cellStyle name="Input 2 10 2 8 2 3" xfId="48594" xr:uid="{BAE77A6B-CCD7-4899-8BBD-E8E11D114537}"/>
    <cellStyle name="Input 2 10 2 8 3" xfId="18546" xr:uid="{0409DAD5-3C47-42F5-8D9B-311BA7A09004}"/>
    <cellStyle name="Input 2 10 2 8 3 2" xfId="40936" xr:uid="{9664A261-06BF-4D21-8295-281A3EC728D2}"/>
    <cellStyle name="Input 2 10 2 8 3 3" xfId="24516" xr:uid="{78218200-782A-45B6-BF5B-4476528E8104}"/>
    <cellStyle name="Input 2 10 2 8 4" xfId="22970" xr:uid="{07248E79-7282-4A3C-BEBE-8DC95EC9130F}"/>
    <cellStyle name="Input 2 10 2 8 4 2" xfId="25215" xr:uid="{BCBC751A-F725-4179-8301-BBD0D7005A22}"/>
    <cellStyle name="Input 2 10 2 8 5" xfId="23969" xr:uid="{C4C51E50-D8FD-49D0-9A8F-CAF35F1F9700}"/>
    <cellStyle name="Input 2 10 2 9" xfId="6936" xr:uid="{00000000-0005-0000-0000-000009050000}"/>
    <cellStyle name="Input 2 10 2 9 2" xfId="18873" xr:uid="{665F32E4-B99A-4387-8082-19C72A8EDCB6}"/>
    <cellStyle name="Input 2 10 2 9 2 2" xfId="41263" xr:uid="{49F0070B-04D3-4164-8E89-8C12F1241172}"/>
    <cellStyle name="Input 2 10 2 9 2 3" xfId="42623" xr:uid="{E9161D6B-5531-4F68-8998-552D415C1542}"/>
    <cellStyle name="Input 2 10 2 9 3" xfId="23297" xr:uid="{94383629-E3D1-4778-8123-DE655BC99D38}"/>
    <cellStyle name="Input 2 10 2 9 3 2" xfId="53931" xr:uid="{1EA9A239-5015-4EA6-BE86-0583F74C066F}"/>
    <cellStyle name="Input 2 10 2 9 4" xfId="52770" xr:uid="{D2800A9E-5CC9-4881-88C6-DA1DA68D097F}"/>
    <cellStyle name="Input 2 10 3" xfId="2456" xr:uid="{00000000-0005-0000-0000-000008050000}"/>
    <cellStyle name="Input 2 10 3 2" xfId="9365" xr:uid="{85BE3299-9B19-49DE-A8B2-681FE96C3036}"/>
    <cellStyle name="Input 2 10 3 2 2" xfId="31930" xr:uid="{0FD6788D-0EB8-4615-A343-4D610080028B}"/>
    <cellStyle name="Input 2 10 3 2 3" xfId="49722" xr:uid="{77C25BF2-81FB-427E-8B1D-9725C59F9FE2}"/>
    <cellStyle name="Input 2 10 3 3" xfId="14981" xr:uid="{5AD03FC2-A23A-43AF-B5F6-87BF8A0352A9}"/>
    <cellStyle name="Input 2 10 3 3 2" xfId="37432" xr:uid="{9D0147DD-0092-4E96-B94D-4380B49E16BD}"/>
    <cellStyle name="Input 2 10 3 3 3" xfId="51130" xr:uid="{A61E86B3-10E1-46AA-82A7-455ECC51B853}"/>
    <cellStyle name="Input 2 10 3 4" xfId="20801" xr:uid="{BC3C3B45-E27B-47C2-A068-746ADBF70E13}"/>
    <cellStyle name="Input 2 10 3 4 2" xfId="54070" xr:uid="{555983B8-DBCF-45C0-845E-4820C5E1D30E}"/>
    <cellStyle name="Input 2 10 3 5" xfId="31899" xr:uid="{12E355A4-C19C-4480-8B69-E52C2E5F574C}"/>
    <cellStyle name="Input 2 10 4" xfId="2257" xr:uid="{00000000-0005-0000-0000-000008050000}"/>
    <cellStyle name="Input 2 10 4 2" xfId="9169" xr:uid="{19BFFCA7-1068-44D6-81EA-59FF28E0F919}"/>
    <cellStyle name="Input 2 10 4 2 2" xfId="31744" xr:uid="{D5B7C54F-AE15-4EAA-8C57-9E3EF2BFD8A5}"/>
    <cellStyle name="Input 2 10 4 2 3" xfId="47187" xr:uid="{FE11416E-F879-4FBA-B5B6-9E77E15E736D}"/>
    <cellStyle name="Input 2 10 4 3" xfId="14827" xr:uid="{B843F5E8-2B0C-41B5-BBF3-EAF206009F95}"/>
    <cellStyle name="Input 2 10 4 3 2" xfId="37281" xr:uid="{AB1E47FC-AEF5-437B-8BD5-33AC1CFC14C2}"/>
    <cellStyle name="Input 2 10 4 3 3" xfId="52060" xr:uid="{CF9EBD97-A746-413D-81F3-8B9558C989D5}"/>
    <cellStyle name="Input 2 10 4 4" xfId="14122" xr:uid="{C9887601-39CB-46F1-A277-E5D635695941}"/>
    <cellStyle name="Input 2 10 4 4 2" xfId="31530" xr:uid="{A5CFC554-3E79-42C7-8E01-6DF3AB44EB51}"/>
    <cellStyle name="Input 2 10 4 5" xfId="49238" xr:uid="{9F4DCFD6-E39B-4A93-B315-19EF45433589}"/>
    <cellStyle name="Input 2 10 5" xfId="2316" xr:uid="{00000000-0005-0000-0000-000008050000}"/>
    <cellStyle name="Input 2 10 5 2" xfId="9226" xr:uid="{E6331F49-1A7D-411A-A6B8-48D8077AAF8B}"/>
    <cellStyle name="Input 2 10 5 2 2" xfId="31801" xr:uid="{C5B058E5-6E1F-41DA-A21E-D56DA8480A51}"/>
    <cellStyle name="Input 2 10 5 2 3" xfId="53210" xr:uid="{995E4562-D094-47F7-89EB-A510325ED7F8}"/>
    <cellStyle name="Input 2 10 5 3" xfId="14879" xr:uid="{8E565F83-E5C3-4679-BED8-6DA7E72D38E9}"/>
    <cellStyle name="Input 2 10 5 3 2" xfId="37333" xr:uid="{3C0B40EA-A18C-4918-AF81-EAB7FD8ADA28}"/>
    <cellStyle name="Input 2 10 5 3 3" xfId="50144" xr:uid="{4B73043B-E430-4BA2-8EF9-9D5B01992662}"/>
    <cellStyle name="Input 2 10 5 4" xfId="19583" xr:uid="{A1275F62-05A5-40EC-B447-BE23BA3C0E78}"/>
    <cellStyle name="Input 2 10 5 4 2" xfId="27680" xr:uid="{B926D698-88D3-420C-9D46-B01E5B3ACF7B}"/>
    <cellStyle name="Input 2 10 5 5" xfId="46560" xr:uid="{7DB41862-1202-4549-A77B-784A66C2ED2F}"/>
    <cellStyle name="Input 2 10 6" xfId="6253" xr:uid="{00000000-0005-0000-0000-000008050000}"/>
    <cellStyle name="Input 2 10 6 2" xfId="13126" xr:uid="{0D336DA6-D09B-4FDF-B84D-33B88E9FE30C}"/>
    <cellStyle name="Input 2 10 6 2 2" xfId="35610" xr:uid="{BEF0FE72-3F2B-4C6E-97A7-3C6444B1A849}"/>
    <cellStyle name="Input 2 10 6 2 3" xfId="48684" xr:uid="{0BAB6865-67B1-4AB0-90F0-B573F19C5F84}"/>
    <cellStyle name="Input 2 10 6 3" xfId="18190" xr:uid="{2343FEA8-DB42-4599-94DA-4DC63AD54B78}"/>
    <cellStyle name="Input 2 10 6 3 2" xfId="40580" xr:uid="{A949A83B-DAB8-4742-B628-E9E11F72D526}"/>
    <cellStyle name="Input 2 10 6 3 3" xfId="43156" xr:uid="{6144237A-2E64-4A88-B2B2-4F895AB26167}"/>
    <cellStyle name="Input 2 10 6 4" xfId="22614" xr:uid="{0FDF05D4-D1A8-4A0E-89CA-9CBF54CDE699}"/>
    <cellStyle name="Input 2 10 6 4 2" xfId="51368" xr:uid="{7E03FFE2-67EC-4310-A13B-D0A6F8FE153F}"/>
    <cellStyle name="Input 2 10 6 5" xfId="47277" xr:uid="{6EE67649-C35C-49A9-900F-B96519E03D17}"/>
    <cellStyle name="Input 2 10 7" xfId="4615" xr:uid="{00000000-0005-0000-0000-000008050000}"/>
    <cellStyle name="Input 2 10 7 2" xfId="11516" xr:uid="{FA0652F0-C554-43DC-814F-041805843EB5}"/>
    <cellStyle name="Input 2 10 7 2 2" xfId="34002" xr:uid="{2BABCB7F-EE03-4C89-A06D-C41B1FD4BB61}"/>
    <cellStyle name="Input 2 10 7 2 3" xfId="42216" xr:uid="{AE12563E-DE10-493E-9372-493A33A19273}"/>
    <cellStyle name="Input 2 10 7 3" xfId="16552" xr:uid="{43578F8C-4D56-44AF-92CB-70304053145E}"/>
    <cellStyle name="Input 2 10 7 3 2" xfId="38942" xr:uid="{873EE147-3115-4ACA-AADF-495575A4D00F}"/>
    <cellStyle name="Input 2 10 7 3 3" xfId="28838" xr:uid="{8BFEA3A1-8593-4E25-993D-376450F1A48E}"/>
    <cellStyle name="Input 2 10 7 4" xfId="20590" xr:uid="{BADB6230-EE9F-4772-BC00-2F13DFEC936A}"/>
    <cellStyle name="Input 2 10 7 4 2" xfId="46505" xr:uid="{9D78248B-CD5C-4434-8089-D659AFF4E782}"/>
    <cellStyle name="Input 2 10 7 5" xfId="27656" xr:uid="{D272260E-B2B9-4277-AEBC-894DEB19416B}"/>
    <cellStyle name="Input 2 10 8" xfId="13996" xr:uid="{2CAA52AB-AD4C-41D0-9023-3915CED7BD9B}"/>
    <cellStyle name="Input 2 10 8 2" xfId="36479" xr:uid="{77C35AE7-6583-4FFB-A366-22E8B7B9516A}"/>
    <cellStyle name="Input 2 10 8 3" xfId="43670" xr:uid="{5E43482B-6CAB-4E70-A73B-D7C8692967E9}"/>
    <cellStyle name="Input 2 10 9" xfId="19812" xr:uid="{A3364661-F930-4962-BDDE-7788F65B4F93}"/>
    <cellStyle name="Input 2 10 9 2" xfId="42150" xr:uid="{61308322-7AE2-485E-896F-B3B19B3FDE2F}"/>
    <cellStyle name="Input 2 10 9 3" xfId="32801" xr:uid="{7D79832F-4D43-4D9F-8795-406B66B7C494}"/>
    <cellStyle name="Input 2 11" xfId="678" xr:uid="{00000000-0005-0000-0000-00000B050000}"/>
    <cellStyle name="Input 2 11 10" xfId="21066" xr:uid="{AE7619B7-52BF-4C7F-A004-E6D576EA0DDD}"/>
    <cellStyle name="Input 2 11 10 2" xfId="45785" xr:uid="{EBF5FD77-788E-4ED8-B5EE-32447519C876}"/>
    <cellStyle name="Input 2 11 11" xfId="47750" xr:uid="{8988DF94-B5EE-44D7-80D1-CA6626A4F81C}"/>
    <cellStyle name="Input 2 11 2" xfId="1758" xr:uid="{00000000-0005-0000-0000-00000C050000}"/>
    <cellStyle name="Input 2 11 2 10" xfId="14456" xr:uid="{7859A347-7F7C-4D89-B804-D40062B8E55E}"/>
    <cellStyle name="Input 2 11 2 10 2" xfId="36921" xr:uid="{547A8210-BAF9-4169-8733-EEE2E2FEB0BF}"/>
    <cellStyle name="Input 2 11 2 10 3" xfId="29625" xr:uid="{2FBE984C-5D9B-4126-B4FA-8C8CEC90F540}"/>
    <cellStyle name="Input 2 11 2 11" xfId="20458" xr:uid="{53FA9FB2-111B-4557-8EE0-179BA3476090}"/>
    <cellStyle name="Input 2 11 2 11 2" xfId="42747" xr:uid="{14A11E24-BB03-464D-BC26-E8E58AD1A3C2}"/>
    <cellStyle name="Input 2 11 2 11 3" xfId="53640" xr:uid="{136A4850-D21C-4E5C-8AA4-CAD21ADD0F20}"/>
    <cellStyle name="Input 2 11 2 12" xfId="19440" xr:uid="{9A970F45-861D-4D15-AB13-4EF653D1C3AE}"/>
    <cellStyle name="Input 2 11 2 12 2" xfId="44351" xr:uid="{AE5F19DC-91C5-469E-9B91-2D4DE075A788}"/>
    <cellStyle name="Input 2 11 2 13" xfId="44155" xr:uid="{C5302478-AA15-429A-9A58-5F9A57D35543}"/>
    <cellStyle name="Input 2 11 2 2" xfId="3856" xr:uid="{00000000-0005-0000-0000-00000B050000}"/>
    <cellStyle name="Input 2 11 2 2 2" xfId="10760" xr:uid="{12CF2FBD-D116-4098-9B3D-5727FCA4A008}"/>
    <cellStyle name="Input 2 11 2 2 2 2" xfId="33246" xr:uid="{987E9C5D-D771-4E1F-BC80-B93432105957}"/>
    <cellStyle name="Input 2 11 2 2 2 3" xfId="51061" xr:uid="{62E2149D-752C-41FF-93C6-EE11531381FB}"/>
    <cellStyle name="Input 2 11 2 2 3" xfId="15912" xr:uid="{4493412B-7FC8-4CD9-9CF9-562AF7538EF5}"/>
    <cellStyle name="Input 2 11 2 2 3 2" xfId="38318" xr:uid="{DE7AE6E2-6F49-4ED3-8B84-6B280D6E6BA3}"/>
    <cellStyle name="Input 2 11 2 2 3 3" xfId="52556" xr:uid="{FE4D57C9-7985-4EBB-86F1-1E76953067C4}"/>
    <cellStyle name="Input 2 11 2 2 4" xfId="14001" xr:uid="{687A524A-30D8-46F9-BAD2-6463598FDEEB}"/>
    <cellStyle name="Input 2 11 2 2 4 2" xfId="51428" xr:uid="{C10EB453-C3FE-4121-A933-6133389A69D5}"/>
    <cellStyle name="Input 2 11 2 2 5" xfId="47087" xr:uid="{F4B4F7B7-424D-43D5-8098-21099067E5D0}"/>
    <cellStyle name="Input 2 11 2 3" xfId="5270" xr:uid="{00000000-0005-0000-0000-00000B050000}"/>
    <cellStyle name="Input 2 11 2 3 2" xfId="12162" xr:uid="{719F3DD7-0C52-4F4F-98A4-5192075E6A23}"/>
    <cellStyle name="Input 2 11 2 3 2 2" xfId="34647" xr:uid="{E49697C5-2FC5-4B08-A921-BFD6E0B2AC53}"/>
    <cellStyle name="Input 2 11 2 3 2 3" xfId="42459" xr:uid="{854E3C3E-4618-49CE-AA36-1E8EBA03348D}"/>
    <cellStyle name="Input 2 11 2 3 3" xfId="17207" xr:uid="{5370AECB-F27A-4B5E-940B-4AFC259729FD}"/>
    <cellStyle name="Input 2 11 2 3 3 2" xfId="39597" xr:uid="{29B97D16-D79D-4D32-8439-EDD00E89D9F0}"/>
    <cellStyle name="Input 2 11 2 3 3 3" xfId="29695" xr:uid="{64321889-A104-4A09-873C-11CAF14998F2}"/>
    <cellStyle name="Input 2 11 2 3 4" xfId="21631" xr:uid="{18D6DDCA-1DBB-4F5B-95EE-D39B03DE2670}"/>
    <cellStyle name="Input 2 11 2 3 4 2" xfId="51001" xr:uid="{0846EB5C-A69F-4313-8285-7503D7900F7B}"/>
    <cellStyle name="Input 2 11 2 3 5" xfId="28237" xr:uid="{F8C4A515-7B87-4125-AAB9-C4950A4EED1D}"/>
    <cellStyle name="Input 2 11 2 4" xfId="5680" xr:uid="{00000000-0005-0000-0000-00000B050000}"/>
    <cellStyle name="Input 2 11 2 4 2" xfId="12564" xr:uid="{CF07AC11-6C3E-42BC-83B5-3769AF230DBD}"/>
    <cellStyle name="Input 2 11 2 4 2 2" xfId="35049" xr:uid="{117550A5-7440-4EE4-885E-A6ADFA7662D3}"/>
    <cellStyle name="Input 2 11 2 4 2 3" xfId="44780" xr:uid="{CB89F09C-157B-4400-B002-9ECE00EC5E2B}"/>
    <cellStyle name="Input 2 11 2 4 3" xfId="17617" xr:uid="{7208949A-C9AA-49B5-BCB1-39B4C78C8562}"/>
    <cellStyle name="Input 2 11 2 4 3 2" xfId="40007" xr:uid="{D3A1C83C-B451-42B2-9FC3-742CC570037A}"/>
    <cellStyle name="Input 2 11 2 4 3 3" xfId="27863" xr:uid="{5E2743A2-89C4-49B1-AEF6-4FE648E9D712}"/>
    <cellStyle name="Input 2 11 2 4 4" xfId="22041" xr:uid="{D417E144-EC33-47F1-AFA1-65BC5C7B6725}"/>
    <cellStyle name="Input 2 11 2 4 4 2" xfId="28611" xr:uid="{1BCF6D1A-637C-4637-AEB2-411095FA3333}"/>
    <cellStyle name="Input 2 11 2 4 5" xfId="48407" xr:uid="{F2621985-31D6-4023-8BF8-BFF55D7663A7}"/>
    <cellStyle name="Input 2 11 2 5" xfId="6041" xr:uid="{00000000-0005-0000-0000-00000B050000}"/>
    <cellStyle name="Input 2 11 2 5 2" xfId="12920" xr:uid="{BB071F40-E8A7-4707-93E1-0D145C69E356}"/>
    <cellStyle name="Input 2 11 2 5 2 2" xfId="35404" xr:uid="{62A8238A-4500-45AC-8B52-1AF056F6EBD4}"/>
    <cellStyle name="Input 2 11 2 5 2 3" xfId="48396" xr:uid="{85F7A632-4048-4C31-8266-316A1DF104C2}"/>
    <cellStyle name="Input 2 11 2 5 3" xfId="17978" xr:uid="{F125E675-B236-4B0B-B9E7-4D16AF9A231E}"/>
    <cellStyle name="Input 2 11 2 5 3 2" xfId="40368" xr:uid="{9A35E6D5-9AAA-4C7D-8EE3-2E9969B643D2}"/>
    <cellStyle name="Input 2 11 2 5 3 3" xfId="25064" xr:uid="{6B9DFCBA-73FC-4AA2-9F10-23E7C0E686CE}"/>
    <cellStyle name="Input 2 11 2 5 4" xfId="22402" xr:uid="{D828EA3F-3808-4FF5-98B4-A25ED403E628}"/>
    <cellStyle name="Input 2 11 2 5 4 2" xfId="30673" xr:uid="{C6CDD03F-E784-493B-8288-2776C10735EC}"/>
    <cellStyle name="Input 2 11 2 5 5" xfId="50537" xr:uid="{A9113F1A-5587-4951-AED8-A927D083D169}"/>
    <cellStyle name="Input 2 11 2 6" xfId="6419" xr:uid="{00000000-0005-0000-0000-00000B050000}"/>
    <cellStyle name="Input 2 11 2 6 2" xfId="13291" xr:uid="{308384ED-8F1F-4369-BB2D-13335B48B1E3}"/>
    <cellStyle name="Input 2 11 2 6 2 2" xfId="35775" xr:uid="{6F015AD4-A690-4E41-8041-6B3C6B248E0A}"/>
    <cellStyle name="Input 2 11 2 6 2 3" xfId="46655" xr:uid="{84096A6E-75E5-49C6-9FB9-509A8DFB1D09}"/>
    <cellStyle name="Input 2 11 2 6 3" xfId="18356" xr:uid="{268A7F9F-DF0D-4852-B72E-54FBCCEFE29D}"/>
    <cellStyle name="Input 2 11 2 6 3 2" xfId="40746" xr:uid="{64B768CA-737F-49B8-B0CE-05D7CC104470}"/>
    <cellStyle name="Input 2 11 2 6 3 3" xfId="26682" xr:uid="{F1B778D4-D184-4281-A0A3-758D60AA5908}"/>
    <cellStyle name="Input 2 11 2 6 4" xfId="22780" xr:uid="{8B8F94D3-A5AA-4360-88D9-D953A55434F6}"/>
    <cellStyle name="Input 2 11 2 6 4 2" xfId="52613" xr:uid="{6E0B22F4-44AC-4E37-A594-BAA410E1B5E8}"/>
    <cellStyle name="Input 2 11 2 6 5" xfId="48369" xr:uid="{1B807E26-9C29-4276-B8B4-DD1441E0CEF7}"/>
    <cellStyle name="Input 2 11 2 7" xfId="6824" xr:uid="{00000000-0005-0000-0000-00000B050000}"/>
    <cellStyle name="Input 2 11 2 7 2" xfId="13670" xr:uid="{D8911EB2-D695-4990-9700-B0DC7B640665}"/>
    <cellStyle name="Input 2 11 2 7 2 2" xfId="36154" xr:uid="{0D82FE89-C45F-4D5A-82B9-931221D10E93}"/>
    <cellStyle name="Input 2 11 2 7 2 3" xfId="44946" xr:uid="{8D306F75-B104-40CB-B6F4-A968E2B8FD1F}"/>
    <cellStyle name="Input 2 11 2 7 3" xfId="18761" xr:uid="{377C1FDC-F7E2-4AF3-88F5-DB926AFDDC1E}"/>
    <cellStyle name="Input 2 11 2 7 3 2" xfId="41151" xr:uid="{DBDDDA9A-7B69-43DB-A53C-CF21B789057C}"/>
    <cellStyle name="Input 2 11 2 7 3 3" xfId="26779" xr:uid="{4D18D822-2D59-41AE-A0E8-DFB1694F0C24}"/>
    <cellStyle name="Input 2 11 2 7 4" xfId="23185" xr:uid="{B5133E59-6CB4-4FAD-A5FE-868413AA5CCD}"/>
    <cellStyle name="Input 2 11 2 7 4 2" xfId="46383" xr:uid="{6B14BC35-CC41-4DE7-A86F-A65F48E19A9E}"/>
    <cellStyle name="Input 2 11 2 7 5" xfId="47447" xr:uid="{909E312F-7854-4B23-B9BF-C06D77290C2B}"/>
    <cellStyle name="Input 2 11 2 8" xfId="6932" xr:uid="{00000000-0005-0000-0000-00000B050000}"/>
    <cellStyle name="Input 2 11 2 8 2" xfId="13770" xr:uid="{9D0B848E-7B88-4F17-BF7F-2669A3249DE3}"/>
    <cellStyle name="Input 2 11 2 8 2 2" xfId="36254" xr:uid="{DC458A25-A019-4875-BF13-ADB2D33C81DE}"/>
    <cellStyle name="Input 2 11 2 8 2 3" xfId="49116" xr:uid="{CC928617-0959-4FEC-B066-C3E2FD64494C}"/>
    <cellStyle name="Input 2 11 2 8 3" xfId="18869" xr:uid="{11889CFF-2C9A-4E6C-8FF1-B4FA28948680}"/>
    <cellStyle name="Input 2 11 2 8 3 2" xfId="41259" xr:uid="{525AAD5F-D6CB-4E63-90F0-BF6BCC3FEEF9}"/>
    <cellStyle name="Input 2 11 2 8 3 3" xfId="29216" xr:uid="{8A4D5428-1FDE-4507-99CC-29839743490F}"/>
    <cellStyle name="Input 2 11 2 8 4" xfId="23293" xr:uid="{10809C86-24F3-4BFA-96E2-6BF920F841F5}"/>
    <cellStyle name="Input 2 11 2 8 4 2" xfId="27601" xr:uid="{322A9A93-EA38-4FC6-96D1-1132F8AE95BD}"/>
    <cellStyle name="Input 2 11 2 8 5" xfId="48866" xr:uid="{72D44A77-0F05-4D4D-9114-D63570D4F5DE}"/>
    <cellStyle name="Input 2 11 2 9" xfId="5607" xr:uid="{00000000-0005-0000-0000-00000B050000}"/>
    <cellStyle name="Input 2 11 2 9 2" xfId="17544" xr:uid="{82C5C7A8-A951-4656-ADE6-9A99EC63CE98}"/>
    <cellStyle name="Input 2 11 2 9 2 2" xfId="39934" xr:uid="{6BD77491-D073-42A8-8F9B-799DF69476F4}"/>
    <cellStyle name="Input 2 11 2 9 2 3" xfId="42606" xr:uid="{F4C7CDA5-A9FC-441B-A521-81E9586AD681}"/>
    <cellStyle name="Input 2 11 2 9 3" xfId="21968" xr:uid="{24CA57C5-6202-4CF2-8FB9-268DE6096C47}"/>
    <cellStyle name="Input 2 11 2 9 3 2" xfId="29357" xr:uid="{CA0C1CE1-E008-4396-9C4C-A8E0495E2EF6}"/>
    <cellStyle name="Input 2 11 2 9 4" xfId="53433" xr:uid="{A81A1EFE-9AB1-4E5D-82F0-5ADB45E2A7A1}"/>
    <cellStyle name="Input 2 11 3" xfId="2821" xr:uid="{00000000-0005-0000-0000-00000A050000}"/>
    <cellStyle name="Input 2 11 3 2" xfId="9730" xr:uid="{834647BC-8FFC-4E07-BAA5-0B6FB2901434}"/>
    <cellStyle name="Input 2 11 3 2 2" xfId="32270" xr:uid="{0CB3FC36-33E9-452E-8397-EC01289F3395}"/>
    <cellStyle name="Input 2 11 3 2 3" xfId="49006" xr:uid="{DC6E2E7D-6751-446E-8DAC-9C91B9E0045B}"/>
    <cellStyle name="Input 2 11 3 3" xfId="15221" xr:uid="{88A3D567-DEA9-45E4-965F-EBF295613EF7}"/>
    <cellStyle name="Input 2 11 3 3 2" xfId="37658" xr:uid="{BD26C1CE-4F9B-46BD-9E4A-4B45020FB123}"/>
    <cellStyle name="Input 2 11 3 3 3" xfId="49270" xr:uid="{49710251-04E7-4720-A997-B0E82FA30B30}"/>
    <cellStyle name="Input 2 11 3 4" xfId="20082" xr:uid="{82B37BC9-8B7C-4821-86ED-3C2F1258BEB5}"/>
    <cellStyle name="Input 2 11 3 4 2" xfId="38545" xr:uid="{A1FCE1F7-DC24-484C-9284-EE97805BF256}"/>
    <cellStyle name="Input 2 11 3 5" xfId="27795" xr:uid="{5C215D5F-8CB3-4C48-B688-1572C6121584}"/>
    <cellStyle name="Input 2 11 4" xfId="4586" xr:uid="{00000000-0005-0000-0000-00000A050000}"/>
    <cellStyle name="Input 2 11 4 2" xfId="11488" xr:uid="{037771AD-4A50-4A67-A549-A05AA02F8CE5}"/>
    <cellStyle name="Input 2 11 4 2 2" xfId="33974" xr:uid="{8DDDD4EB-7BEA-48EB-9DD3-5CC94ADBBAB9}"/>
    <cellStyle name="Input 2 11 4 2 3" xfId="36500" xr:uid="{B3C38B6C-A03A-40DB-8F8B-C13AFF093276}"/>
    <cellStyle name="Input 2 11 4 3" xfId="16523" xr:uid="{F9850FCE-8C99-4F59-830D-0D5C013F2F70}"/>
    <cellStyle name="Input 2 11 4 3 2" xfId="38913" xr:uid="{D779108A-BA6C-494C-8941-89E2F6ADD3FB}"/>
    <cellStyle name="Input 2 11 4 3 3" xfId="24849" xr:uid="{A248E083-7C35-432C-8CD7-1224524B7C6C}"/>
    <cellStyle name="Input 2 11 4 4" xfId="20494" xr:uid="{D2D46962-35B4-48A9-B354-51ECB8F4B4C5}"/>
    <cellStyle name="Input 2 11 4 4 2" xfId="51375" xr:uid="{64C8750B-52BE-4667-906C-EA9326C4C871}"/>
    <cellStyle name="Input 2 11 4 5" xfId="53897" xr:uid="{78C129CB-66F3-4832-B3B3-931AF8970F2B}"/>
    <cellStyle name="Input 2 11 5" xfId="5692" xr:uid="{00000000-0005-0000-0000-00000A050000}"/>
    <cellStyle name="Input 2 11 5 2" xfId="12576" xr:uid="{7D543EB5-3DA8-4DC6-899D-42D5D50B1BAA}"/>
    <cellStyle name="Input 2 11 5 2 2" xfId="35061" xr:uid="{027A80C5-0F0A-45D4-9EA4-3C8A340210D9}"/>
    <cellStyle name="Input 2 11 5 2 3" xfId="27690" xr:uid="{79D7408E-F32F-4F4C-BB37-5A280B1EC357}"/>
    <cellStyle name="Input 2 11 5 3" xfId="17629" xr:uid="{679B4323-5FA0-4CB0-A7C9-A0BDB188A310}"/>
    <cellStyle name="Input 2 11 5 3 2" xfId="40019" xr:uid="{833A4F1A-562C-481F-ADB8-D23BE244F240}"/>
    <cellStyle name="Input 2 11 5 3 3" xfId="27823" xr:uid="{F6E0AD9F-FED0-4F6A-9F6F-31795C236E73}"/>
    <cellStyle name="Input 2 11 5 4" xfId="22053" xr:uid="{F069028C-8100-4ADD-B6A7-ED14B62DA95E}"/>
    <cellStyle name="Input 2 11 5 4 2" xfId="53330" xr:uid="{70B813DE-89DD-4AA3-94C6-251571A79000}"/>
    <cellStyle name="Input 2 11 5 5" xfId="46600" xr:uid="{BFF32A89-43F6-431D-90DF-3413563F0CEE}"/>
    <cellStyle name="Input 2 11 6" xfId="3310" xr:uid="{00000000-0005-0000-0000-00000A050000}"/>
    <cellStyle name="Input 2 11 6 2" xfId="10218" xr:uid="{24BA3EDF-1725-4673-A65D-6890EC686804}"/>
    <cellStyle name="Input 2 11 6 2 2" xfId="32712" xr:uid="{9F5B03CB-6770-4EB6-8BCF-D3F926BE0A1A}"/>
    <cellStyle name="Input 2 11 6 2 3" xfId="46929" xr:uid="{C096ADDA-5189-497D-A696-BF92070F9224}"/>
    <cellStyle name="Input 2 11 6 3" xfId="15536" xr:uid="{0D62811F-2412-4EE2-A3C8-549820C84537}"/>
    <cellStyle name="Input 2 11 6 3 2" xfId="37955" xr:uid="{CD2C1DFF-F932-4BF1-950A-6970CFBE0660}"/>
    <cellStyle name="Input 2 11 6 3 3" xfId="47299" xr:uid="{7CBF948C-2590-4E76-BA79-B1F178A8F4E5}"/>
    <cellStyle name="Input 2 11 6 4" xfId="20597" xr:uid="{9A1C8F5B-40C7-4FDA-9128-7C433A6E9840}"/>
    <cellStyle name="Input 2 11 6 4 2" xfId="52326" xr:uid="{B26681DB-F7DD-4876-BDF4-6ABA1E0D6C7E}"/>
    <cellStyle name="Input 2 11 6 5" xfId="51609" xr:uid="{5A6B983D-A614-4B88-9FAC-6553E2E32E44}"/>
    <cellStyle name="Input 2 11 7" xfId="6845" xr:uid="{00000000-0005-0000-0000-00000A050000}"/>
    <cellStyle name="Input 2 11 7 2" xfId="13688" xr:uid="{D27F8928-D8C6-4728-9BAC-45B15434622B}"/>
    <cellStyle name="Input 2 11 7 2 2" xfId="36172" xr:uid="{EA12BDB1-B28D-4A64-AC76-28908429DCC9}"/>
    <cellStyle name="Input 2 11 7 2 3" xfId="46720" xr:uid="{27A8ECBE-ED81-4107-B141-6BD68E822656}"/>
    <cellStyle name="Input 2 11 7 3" xfId="18782" xr:uid="{96217B4B-D0FF-4B93-B1B4-8A484EC0236F}"/>
    <cellStyle name="Input 2 11 7 3 2" xfId="41172" xr:uid="{444B23BB-068B-4980-A5C1-42801B341AFD}"/>
    <cellStyle name="Input 2 11 7 3 3" xfId="27811" xr:uid="{5A786D2A-0759-4D67-9CA2-A02B6B7305EC}"/>
    <cellStyle name="Input 2 11 7 4" xfId="23206" xr:uid="{DB18DC1F-0FBF-4905-8EFF-5D159ED7AC2F}"/>
    <cellStyle name="Input 2 11 7 4 2" xfId="45396" xr:uid="{FB726058-2DBD-46C0-BE2C-9AD766ACDEEB}"/>
    <cellStyle name="Input 2 11 7 5" xfId="44493" xr:uid="{6262A2AD-D72D-4B34-B899-BD82469897F5}"/>
    <cellStyle name="Input 2 11 8" xfId="8882" xr:uid="{48862D5A-A1F2-4E21-ACDC-5C3E84D3BC81}"/>
    <cellStyle name="Input 2 11 8 2" xfId="31463" xr:uid="{620084A9-C02E-4CFF-80BB-F4DA917632E8}"/>
    <cellStyle name="Input 2 11 8 3" xfId="47693" xr:uid="{E4894698-099D-4504-B594-2B2729F26748}"/>
    <cellStyle name="Input 2 11 9" xfId="20870" xr:uid="{F1A2F412-A5B1-4DDF-9137-CAF8CB1888D8}"/>
    <cellStyle name="Input 2 11 9 2" xfId="43135" xr:uid="{9ACFA7FC-78D1-4AF6-AE12-25DD3AD95B65}"/>
    <cellStyle name="Input 2 11 9 3" xfId="27810" xr:uid="{A927A11C-5EF4-46CA-B887-70737D58998E}"/>
    <cellStyle name="Input 2 12" xfId="870" xr:uid="{00000000-0005-0000-0000-00000D050000}"/>
    <cellStyle name="Input 2 12 10" xfId="19935" xr:uid="{53111744-5A22-4E02-B78C-460FCEEC5353}"/>
    <cellStyle name="Input 2 12 10 2" xfId="43577" xr:uid="{D77B3A20-5085-4E32-A538-5A446455ED33}"/>
    <cellStyle name="Input 2 12 11" xfId="36869" xr:uid="{C62B1334-E750-4E3F-85AE-6A154258CA83}"/>
    <cellStyle name="Input 2 12 2" xfId="1848" xr:uid="{00000000-0005-0000-0000-00000E050000}"/>
    <cellStyle name="Input 2 12 2 10" xfId="14532" xr:uid="{1CEDB55D-135C-4B74-A24A-F9057F91A4EA}"/>
    <cellStyle name="Input 2 12 2 10 2" xfId="36993" xr:uid="{56155B7C-913B-47EB-870C-8356FCDB1687}"/>
    <cellStyle name="Input 2 12 2 10 3" xfId="49234" xr:uid="{48AF6AB6-CC56-41E8-9814-13C100890BD0}"/>
    <cellStyle name="Input 2 12 2 11" xfId="14814" xr:uid="{150C412C-D232-4BC5-A8C7-7B98D5E9162C}"/>
    <cellStyle name="Input 2 12 2 11 2" xfId="37269" xr:uid="{865C7529-DBD2-4535-8EF8-F136A51C4773}"/>
    <cellStyle name="Input 2 12 2 11 3" xfId="28589" xr:uid="{C912E81B-A6DE-4590-9211-B94280AADB23}"/>
    <cellStyle name="Input 2 12 2 12" xfId="19295" xr:uid="{630D364E-3803-46BA-87EA-C5748539F7F6}"/>
    <cellStyle name="Input 2 12 2 12 2" xfId="44390" xr:uid="{BD3C1622-562A-497F-82BB-3573015D5952}"/>
    <cellStyle name="Input 2 12 2 13" xfId="52285" xr:uid="{5C95EE18-5415-4D26-8B9E-35A85820A208}"/>
    <cellStyle name="Input 2 12 2 2" xfId="3946" xr:uid="{00000000-0005-0000-0000-00000D050000}"/>
    <cellStyle name="Input 2 12 2 2 2" xfId="10850" xr:uid="{C32F9F3D-5B1F-4C7C-856E-7F0963B4963A}"/>
    <cellStyle name="Input 2 12 2 2 2 2" xfId="33336" xr:uid="{0AA54129-42D0-4588-9D44-DABA9378B24A}"/>
    <cellStyle name="Input 2 12 2 2 2 3" xfId="52243" xr:uid="{3450760C-92C2-4B1F-891B-80D6F85A5E06}"/>
    <cellStyle name="Input 2 12 2 2 3" xfId="15988" xr:uid="{83A109E2-7335-4813-8242-1BD03E8CD431}"/>
    <cellStyle name="Input 2 12 2 2 3 2" xfId="38391" xr:uid="{9204E607-A311-43EB-924B-3C7B2E202B59}"/>
    <cellStyle name="Input 2 12 2 2 3 3" xfId="49417" xr:uid="{8ACECAD0-9079-4F88-B4FA-606297F8D24D}"/>
    <cellStyle name="Input 2 12 2 2 4" xfId="15050" xr:uid="{0941B7E0-B851-4252-9D11-3344BE621115}"/>
    <cellStyle name="Input 2 12 2 2 4 2" xfId="44936" xr:uid="{3639D4DA-50DD-4D95-A4B9-342001063B0D}"/>
    <cellStyle name="Input 2 12 2 2 5" xfId="48817" xr:uid="{18159205-A2EC-4DC2-9506-33F204022D31}"/>
    <cellStyle name="Input 2 12 2 3" xfId="5340" xr:uid="{00000000-0005-0000-0000-00000D050000}"/>
    <cellStyle name="Input 2 12 2 3 2" xfId="12232" xr:uid="{55E879BE-D46B-4013-9E4C-8F8F6CFA1026}"/>
    <cellStyle name="Input 2 12 2 3 2 2" xfId="34717" xr:uid="{7D4B89F2-8BB2-401E-B53A-AE67513F94B2}"/>
    <cellStyle name="Input 2 12 2 3 2 3" xfId="45662" xr:uid="{7AAEA6FD-5A18-4ED1-910F-454BC10083FF}"/>
    <cellStyle name="Input 2 12 2 3 3" xfId="17277" xr:uid="{070F0E5E-7BFC-4C91-9AFC-02ADF1385770}"/>
    <cellStyle name="Input 2 12 2 3 3 2" xfId="39667" xr:uid="{B2A086A3-81CC-4984-AD13-CC48F966E45B}"/>
    <cellStyle name="Input 2 12 2 3 3 3" xfId="24129" xr:uid="{3740256D-BB25-42D8-95D3-FF73E78CFFEE}"/>
    <cellStyle name="Input 2 12 2 3 4" xfId="21701" xr:uid="{8E396CB4-D633-4928-9FDF-5B1F9801B7B3}"/>
    <cellStyle name="Input 2 12 2 3 4 2" xfId="47213" xr:uid="{14277333-8663-4CDC-9EE1-B4E5936B6EBD}"/>
    <cellStyle name="Input 2 12 2 3 5" xfId="51836" xr:uid="{C32A8171-9078-48EA-8280-E622CB18A6D0}"/>
    <cellStyle name="Input 2 12 2 4" xfId="5751" xr:uid="{00000000-0005-0000-0000-00000D050000}"/>
    <cellStyle name="Input 2 12 2 4 2" xfId="12635" xr:uid="{9ED56F1B-C991-4580-9A64-44528CDAB873}"/>
    <cellStyle name="Input 2 12 2 4 2 2" xfId="35120" xr:uid="{4A260240-75E2-4BD3-8B87-D4C455CB6D73}"/>
    <cellStyle name="Input 2 12 2 4 2 3" xfId="25218" xr:uid="{DA429731-36F0-4050-9FD3-30BFDCC5E226}"/>
    <cellStyle name="Input 2 12 2 4 3" xfId="17688" xr:uid="{2B0F8B68-5783-4839-98B1-D3CA253B3F34}"/>
    <cellStyle name="Input 2 12 2 4 3 2" xfId="40078" xr:uid="{C6DF7C0F-50C0-4701-828B-6BB58CD96D01}"/>
    <cellStyle name="Input 2 12 2 4 3 3" xfId="44230" xr:uid="{AA472E65-D48F-42C6-8620-A66F1DC96495}"/>
    <cellStyle name="Input 2 12 2 4 4" xfId="22112" xr:uid="{729DE788-A4F0-48CC-8DDD-D0C8BF8B3858}"/>
    <cellStyle name="Input 2 12 2 4 4 2" xfId="47425" xr:uid="{9488C7F5-2BE2-4805-84A4-9DBEAA809195}"/>
    <cellStyle name="Input 2 12 2 4 5" xfId="53353" xr:uid="{004D3255-D5CD-43E8-AED7-01BA42548DAD}"/>
    <cellStyle name="Input 2 12 2 5" xfId="6105" xr:uid="{00000000-0005-0000-0000-00000D050000}"/>
    <cellStyle name="Input 2 12 2 5 2" xfId="12983" xr:uid="{63BC4BA0-BB37-4311-AA02-FEA48FD38524}"/>
    <cellStyle name="Input 2 12 2 5 2 2" xfId="35467" xr:uid="{FBCABD5E-B1BD-4EC4-ADA5-612915832ED2}"/>
    <cellStyle name="Input 2 12 2 5 2 3" xfId="50724" xr:uid="{A5EE706A-2E28-47C2-AD87-04CB5F0DE1CF}"/>
    <cellStyle name="Input 2 12 2 5 3" xfId="18042" xr:uid="{FCC0CED6-2F5D-43E4-BCB7-16A4A034D79A}"/>
    <cellStyle name="Input 2 12 2 5 3 2" xfId="40432" xr:uid="{40361C72-8320-42BB-8A9D-935FA831E62C}"/>
    <cellStyle name="Input 2 12 2 5 3 3" xfId="29822" xr:uid="{66D15ADB-E8E3-48AF-953B-E988867F1EE6}"/>
    <cellStyle name="Input 2 12 2 5 4" xfId="22466" xr:uid="{965465A4-8CDC-4125-AD8C-67C340F2AD03}"/>
    <cellStyle name="Input 2 12 2 5 4 2" xfId="47422" xr:uid="{D7870C7D-D5AC-43CC-BF82-0B5B000C5B29}"/>
    <cellStyle name="Input 2 12 2 5 5" xfId="26942" xr:uid="{A9586F5A-BEF4-40E7-AC69-7C8D41F02CA2}"/>
    <cellStyle name="Input 2 12 2 6" xfId="6480" xr:uid="{00000000-0005-0000-0000-00000D050000}"/>
    <cellStyle name="Input 2 12 2 6 2" xfId="13350" xr:uid="{7E742789-576C-4308-A3AB-4906A5BFFE86}"/>
    <cellStyle name="Input 2 12 2 6 2 2" xfId="35834" xr:uid="{F5E405C5-651E-4A87-AE44-D5592B1DDD6E}"/>
    <cellStyle name="Input 2 12 2 6 2 3" xfId="46616" xr:uid="{05B268C4-D1A7-43EF-8CB7-DFC9045858D3}"/>
    <cellStyle name="Input 2 12 2 6 3" xfId="18417" xr:uid="{4058B2D1-4BC0-474E-85F7-DC2F2632E06B}"/>
    <cellStyle name="Input 2 12 2 6 3 2" xfId="40807" xr:uid="{314EA380-083B-457D-9720-2F2CFBA94DA4}"/>
    <cellStyle name="Input 2 12 2 6 3 3" xfId="29363" xr:uid="{90083388-7AE1-4083-AC32-AF0CF3750317}"/>
    <cellStyle name="Input 2 12 2 6 4" xfId="22841" xr:uid="{A02936D8-8EA0-48AA-AA6F-BAE4B0AC57D8}"/>
    <cellStyle name="Input 2 12 2 6 4 2" xfId="53254" xr:uid="{86864C20-B1E9-45ED-8144-CA8F6F57E494}"/>
    <cellStyle name="Input 2 12 2 6 5" xfId="25237" xr:uid="{B0A2B761-0ADA-42F9-8567-4ED0A6CC633C}"/>
    <cellStyle name="Input 2 12 2 7" xfId="5977" xr:uid="{00000000-0005-0000-0000-00000D050000}"/>
    <cellStyle name="Input 2 12 2 7 2" xfId="12858" xr:uid="{130A8DED-6F4C-4626-83EE-C39C42B55CDC}"/>
    <cellStyle name="Input 2 12 2 7 2 2" xfId="35342" xr:uid="{861F0B07-F342-4B4C-820B-6760CF340EEE}"/>
    <cellStyle name="Input 2 12 2 7 2 3" xfId="47714" xr:uid="{BA75B6F9-B9E6-477A-9D41-1D4CB13CE464}"/>
    <cellStyle name="Input 2 12 2 7 3" xfId="17914" xr:uid="{E09643E5-5BDB-47DF-B903-51BF2F2B3C74}"/>
    <cellStyle name="Input 2 12 2 7 3 2" xfId="40304" xr:uid="{28E2ACBE-F6A8-4D15-A60C-51BD32D048A5}"/>
    <cellStyle name="Input 2 12 2 7 3 3" xfId="43117" xr:uid="{BA85807D-5C31-4B12-A3F0-37F9566274D5}"/>
    <cellStyle name="Input 2 12 2 7 4" xfId="22338" xr:uid="{D00C136B-E445-4F15-984A-127DB0FB5B58}"/>
    <cellStyle name="Input 2 12 2 7 4 2" xfId="53912" xr:uid="{784C4F30-BDB7-4A09-A70F-E9DD2717278E}"/>
    <cellStyle name="Input 2 12 2 7 5" xfId="52978" xr:uid="{A80F4A76-E469-4D60-861F-DB9BA149DC00}"/>
    <cellStyle name="Input 2 12 2 8" xfId="6979" xr:uid="{00000000-0005-0000-0000-00000D050000}"/>
    <cellStyle name="Input 2 12 2 8 2" xfId="13816" xr:uid="{E46240C3-3CEB-42BE-81F8-F2A4777BA3E6}"/>
    <cellStyle name="Input 2 12 2 8 2 2" xfId="36300" xr:uid="{052359A4-3D41-48D6-8691-098A746F16A1}"/>
    <cellStyle name="Input 2 12 2 8 2 3" xfId="53061" xr:uid="{7D9FF51E-2ED6-457A-AE31-C5814A47971F}"/>
    <cellStyle name="Input 2 12 2 8 3" xfId="18916" xr:uid="{CF3424A6-9939-43A9-80A1-15A8399877CC}"/>
    <cellStyle name="Input 2 12 2 8 3 2" xfId="41306" xr:uid="{2394EA53-0D53-43DD-A4B7-3FC08972FD30}"/>
    <cellStyle name="Input 2 12 2 8 3 3" xfId="42153" xr:uid="{9DFF0174-FAB5-46E9-9235-CB659BE1BE15}"/>
    <cellStyle name="Input 2 12 2 8 4" xfId="23340" xr:uid="{156CBE31-A0D3-4BAB-A083-61A6D63611A1}"/>
    <cellStyle name="Input 2 12 2 8 4 2" xfId="44837" xr:uid="{0E156CE2-7B76-400F-8711-A5EDD891787F}"/>
    <cellStyle name="Input 2 12 2 8 5" xfId="29798" xr:uid="{18B5F927-96D2-4191-863A-2992EBEF2153}"/>
    <cellStyle name="Input 2 12 2 9" xfId="6701" xr:uid="{00000000-0005-0000-0000-00000D050000}"/>
    <cellStyle name="Input 2 12 2 9 2" xfId="18638" xr:uid="{BA54BE5A-AB0C-4E2D-A4FB-B45C6058F583}"/>
    <cellStyle name="Input 2 12 2 9 2 2" xfId="41028" xr:uid="{A4F30CD1-5E10-4A98-BF65-59E9F6625EEA}"/>
    <cellStyle name="Input 2 12 2 9 2 3" xfId="28122" xr:uid="{2DB0A595-2E9B-4E0B-9E60-4F4E84FBB3E6}"/>
    <cellStyle name="Input 2 12 2 9 3" xfId="23062" xr:uid="{9677A57E-A58D-4E68-B4BC-EDC2A4D714CE}"/>
    <cellStyle name="Input 2 12 2 9 3 2" xfId="50996" xr:uid="{FBBA4810-7BCE-452B-8510-8A3DC85F83C0}"/>
    <cellStyle name="Input 2 12 2 9 4" xfId="28500" xr:uid="{6EF86229-9B72-4AE4-8C95-864559BD2C87}"/>
    <cellStyle name="Input 2 12 3" xfId="3001" xr:uid="{00000000-0005-0000-0000-00000C050000}"/>
    <cellStyle name="Input 2 12 3 2" xfId="9910" xr:uid="{C24724F8-4275-461A-B7FA-947DF8DEB722}"/>
    <cellStyle name="Input 2 12 3 2 2" xfId="32431" xr:uid="{C440FE2F-0960-4207-98F1-CB90B6CDDA38}"/>
    <cellStyle name="Input 2 12 3 2 3" xfId="49248" xr:uid="{B7BD8F1B-6DFD-4267-A167-96F955212F8E}"/>
    <cellStyle name="Input 2 12 3 3" xfId="15344" xr:uid="{0629CDBC-EB02-42DA-A2C9-70B132838040}"/>
    <cellStyle name="Input 2 12 3 3 2" xfId="37776" xr:uid="{E0F0B727-95E0-4BB2-9114-5439161D58F0}"/>
    <cellStyle name="Input 2 12 3 3 3" xfId="28767" xr:uid="{B0C98237-BFB2-4910-ABB9-6117851FA2B6}"/>
    <cellStyle name="Input 2 12 3 4" xfId="15787" xr:uid="{79C8CC1B-3FE9-491C-B77C-8A35864AB430}"/>
    <cellStyle name="Input 2 12 3 4 2" xfId="49209" xr:uid="{258C168E-1E5B-4CB5-A982-56BFBA048468}"/>
    <cellStyle name="Input 2 12 3 5" xfId="47806" xr:uid="{D1EB16DE-EE1F-452D-B88D-B0A718D68338}"/>
    <cellStyle name="Input 2 12 4" xfId="4710" xr:uid="{00000000-0005-0000-0000-00000C050000}"/>
    <cellStyle name="Input 2 12 4 2" xfId="11608" xr:uid="{03D3F473-77D7-4FBC-AB55-3CAA68444820}"/>
    <cellStyle name="Input 2 12 4 2 2" xfId="34094" xr:uid="{205B54F6-8BAF-4580-ADE9-2EC9BBABD0D1}"/>
    <cellStyle name="Input 2 12 4 2 3" xfId="32243" xr:uid="{F993AD5A-0195-4D54-94B0-EC394CE8FCF2}"/>
    <cellStyle name="Input 2 12 4 3" xfId="16647" xr:uid="{10841CCE-1832-42B7-B78B-AE6CCF3A1EAD}"/>
    <cellStyle name="Input 2 12 4 3 2" xfId="39037" xr:uid="{A8EA4887-D74E-474B-9CFC-E1CAABECDB7E}"/>
    <cellStyle name="Input 2 12 4 3 3" xfId="44955" xr:uid="{339F156E-827A-4503-877B-984F028E9DA7}"/>
    <cellStyle name="Input 2 12 4 4" xfId="20887" xr:uid="{D9AE6FAF-B6A3-4C10-BB09-03214A90E7AB}"/>
    <cellStyle name="Input 2 12 4 4 2" xfId="51948" xr:uid="{22C38B7A-8529-4837-B809-C7A5EEE3922D}"/>
    <cellStyle name="Input 2 12 4 5" xfId="48570" xr:uid="{762EF8AA-D874-41FB-A2BA-218F659F3822}"/>
    <cellStyle name="Input 2 12 5" xfId="5079" xr:uid="{00000000-0005-0000-0000-00000C050000}"/>
    <cellStyle name="Input 2 12 5 2" xfId="11972" xr:uid="{C7C0BA69-D46B-4159-816F-C722BA029AB5}"/>
    <cellStyle name="Input 2 12 5 2 2" xfId="34458" xr:uid="{3D5E08D1-44BD-4EEB-B0D4-42A3DC28F5F1}"/>
    <cellStyle name="Input 2 12 5 2 3" xfId="29654" xr:uid="{9D48E2C3-76D1-4DCB-86D2-2B05EFE1BC3C}"/>
    <cellStyle name="Input 2 12 5 3" xfId="17016" xr:uid="{99C3743F-E1A7-44CF-A94F-701CCCB8D10D}"/>
    <cellStyle name="Input 2 12 5 3 2" xfId="39406" xr:uid="{70E6194B-B8D3-4236-A408-A48D23723965}"/>
    <cellStyle name="Input 2 12 5 3 3" xfId="26215" xr:uid="{193126B5-489D-4690-8EF4-53D93EA48C5F}"/>
    <cellStyle name="Input 2 12 5 4" xfId="21440" xr:uid="{8F0E7FFB-62C8-4941-8117-FB1C62EE1BD0}"/>
    <cellStyle name="Input 2 12 5 4 2" xfId="47033" xr:uid="{291E5BFE-2AD4-4AD0-B7AC-939A205805DC}"/>
    <cellStyle name="Input 2 12 5 5" xfId="52299" xr:uid="{4545AC00-D8D4-471D-84BB-6D0FD658B135}"/>
    <cellStyle name="Input 2 12 6" xfId="5087" xr:uid="{00000000-0005-0000-0000-00000C050000}"/>
    <cellStyle name="Input 2 12 6 2" xfId="11980" xr:uid="{22365D49-5BAF-4B2B-A177-B14E98908A58}"/>
    <cellStyle name="Input 2 12 6 2 2" xfId="34466" xr:uid="{5088DC0C-3E12-4574-AF49-DB7C102C2E45}"/>
    <cellStyle name="Input 2 12 6 2 3" xfId="32342" xr:uid="{A2ADA47A-E619-48FB-BE52-2EAC40D69FF8}"/>
    <cellStyle name="Input 2 12 6 3" xfId="17024" xr:uid="{6939913A-D5A5-48B2-97B2-BB03B7A2E886}"/>
    <cellStyle name="Input 2 12 6 3 2" xfId="39414" xr:uid="{B546B9EB-DF0D-42AC-9AE6-64E2E9940BC2}"/>
    <cellStyle name="Input 2 12 6 3 3" xfId="32781" xr:uid="{A0DFDB80-A661-4DE1-9F24-259DCFD7B958}"/>
    <cellStyle name="Input 2 12 6 4" xfId="21448" xr:uid="{677C244B-B848-4C7D-8256-C5C7AE800578}"/>
    <cellStyle name="Input 2 12 6 4 2" xfId="27753" xr:uid="{9EC4F4F4-1983-488B-9DA1-700243DA3233}"/>
    <cellStyle name="Input 2 12 6 5" xfId="32134" xr:uid="{2E877415-FA8F-4E68-9EAC-01716F038EA2}"/>
    <cellStyle name="Input 2 12 7" xfId="6360" xr:uid="{00000000-0005-0000-0000-00000C050000}"/>
    <cellStyle name="Input 2 12 7 2" xfId="13232" xr:uid="{4C03F364-ABDB-4619-9B3C-0E157605D350}"/>
    <cellStyle name="Input 2 12 7 2 2" xfId="35716" xr:uid="{0A634673-05C7-44B8-8C22-F3B83B0A7D9C}"/>
    <cellStyle name="Input 2 12 7 2 3" xfId="46698" xr:uid="{FE6A2AC1-C6FD-4055-ACE7-786E7D0575FB}"/>
    <cellStyle name="Input 2 12 7 3" xfId="18297" xr:uid="{BBC57B1C-4BC7-4EEA-8044-72E814DD100C}"/>
    <cellStyle name="Input 2 12 7 3 2" xfId="40687" xr:uid="{9CD3B1B0-F50B-49EE-B1CF-5233733E7269}"/>
    <cellStyle name="Input 2 12 7 3 3" xfId="27952" xr:uid="{89B30A58-C1D2-4E2F-A531-2331BF06335D}"/>
    <cellStyle name="Input 2 12 7 4" xfId="22721" xr:uid="{3611875F-C189-4DFE-8608-3AA55DAD0796}"/>
    <cellStyle name="Input 2 12 7 4 2" xfId="51514" xr:uid="{D05E2551-BDD9-4273-8943-F48D12207B1A}"/>
    <cellStyle name="Input 2 12 7 5" xfId="53466" xr:uid="{1D9A39EF-10CB-47A1-963C-AF35A9437BF0}"/>
    <cellStyle name="Input 2 12 8" xfId="8496" xr:uid="{370E88E2-2027-414E-AF4D-6E94C5962372}"/>
    <cellStyle name="Input 2 12 8 2" xfId="31083" xr:uid="{5DB8797F-FEF5-4806-A530-DFE680BEAD3E}"/>
    <cellStyle name="Input 2 12 8 3" xfId="51137" xr:uid="{BF875DAD-C90C-40D2-AF64-BCE08EBFF219}"/>
    <cellStyle name="Input 2 12 9" xfId="8138" xr:uid="{93DD1CA9-5DC3-4074-8241-4F7FE04636BE}"/>
    <cellStyle name="Input 2 12 9 2" xfId="30750" xr:uid="{106D5CC2-6216-4ADD-AEB0-0ABAF2A62449}"/>
    <cellStyle name="Input 2 12 9 3" xfId="26587" xr:uid="{8B9CB38F-B8D4-4A47-8882-89A11518CF79}"/>
    <cellStyle name="Input 2 13" xfId="1053" xr:uid="{00000000-0005-0000-0000-00000F050000}"/>
    <cellStyle name="Input 2 13 10" xfId="21256" xr:uid="{FC2533B5-63BB-4828-8722-DD320E49F5DE}"/>
    <cellStyle name="Input 2 13 10 2" xfId="44369" xr:uid="{F238D528-9258-431C-965D-F465674B4A11}"/>
    <cellStyle name="Input 2 13 11" xfId="52310" xr:uid="{49E50521-7DEF-47D2-BC4F-0A1F51EB0F8C}"/>
    <cellStyle name="Input 2 13 2" xfId="1943" xr:uid="{00000000-0005-0000-0000-000010050000}"/>
    <cellStyle name="Input 2 13 2 10" xfId="14610" xr:uid="{2CFEA291-AE68-4B86-BDE1-65A3E67B1EEE}"/>
    <cellStyle name="Input 2 13 2 10 2" xfId="37071" xr:uid="{3CA8B630-233E-48C7-9F09-E80A42267E6E}"/>
    <cellStyle name="Input 2 13 2 10 3" xfId="28541" xr:uid="{7BECAB65-E126-4B94-9159-25F4625C6A6B}"/>
    <cellStyle name="Input 2 13 2 11" xfId="14381" xr:uid="{C47FD1A1-F8F7-4BE3-8B0F-29CAB08297CC}"/>
    <cellStyle name="Input 2 13 2 11 2" xfId="36849" xr:uid="{B234D671-0700-48DF-B65F-6AFC91FF27F0}"/>
    <cellStyle name="Input 2 13 2 11 3" xfId="46231" xr:uid="{91F36F6A-3916-4841-8EF4-A61EB3EF5153}"/>
    <cellStyle name="Input 2 13 2 12" xfId="14774" xr:uid="{28C3DDD2-7843-4132-A303-D5796379CC6F}"/>
    <cellStyle name="Input 2 13 2 12 2" xfId="48137" xr:uid="{111FE63E-2EA1-40E5-B821-F73CACCC1ED4}"/>
    <cellStyle name="Input 2 13 2 13" xfId="41612" xr:uid="{234B3075-1A8D-4280-84C4-F45971129DFF}"/>
    <cellStyle name="Input 2 13 2 2" xfId="4039" xr:uid="{00000000-0005-0000-0000-00000F050000}"/>
    <cellStyle name="Input 2 13 2 2 2" xfId="10943" xr:uid="{6F80C6E0-68F1-4831-84D3-F4631819DA94}"/>
    <cellStyle name="Input 2 13 2 2 2 2" xfId="33429" xr:uid="{C8EEB4DB-2BE2-460D-9B44-2B14A93BABE9}"/>
    <cellStyle name="Input 2 13 2 2 2 3" xfId="50319" xr:uid="{99AE63C4-E359-4D77-BEE4-1E38272F5498}"/>
    <cellStyle name="Input 2 13 2 2 3" xfId="16060" xr:uid="{15E55ED8-B313-4258-A48F-B90C4558DD61}"/>
    <cellStyle name="Input 2 13 2 2 3 2" xfId="38461" xr:uid="{9FEA3597-5705-442F-8BC0-FE58AB1FC397}"/>
    <cellStyle name="Input 2 13 2 2 3 3" xfId="28401" xr:uid="{DB28DB2D-82C6-4D55-84FA-9C4D399CC7EE}"/>
    <cellStyle name="Input 2 13 2 2 4" xfId="8273" xr:uid="{7A3E360B-EF5C-4742-BB5E-11D7C69EF27A}"/>
    <cellStyle name="Input 2 13 2 2 4 2" xfId="50978" xr:uid="{747F55A6-1ED2-4D2F-B802-9ED348085958}"/>
    <cellStyle name="Input 2 13 2 2 5" xfId="27585" xr:uid="{2EC7777E-4E89-4725-93CF-5D55D30D34F0}"/>
    <cellStyle name="Input 2 13 2 3" xfId="5412" xr:uid="{00000000-0005-0000-0000-00000F050000}"/>
    <cellStyle name="Input 2 13 2 3 2" xfId="12303" xr:uid="{C89E956A-F216-4FCA-A119-288E8B22D402}"/>
    <cellStyle name="Input 2 13 2 3 2 2" xfId="34788" xr:uid="{8E8E0A00-3F88-459D-8607-CD562DDB8B35}"/>
    <cellStyle name="Input 2 13 2 3 2 3" xfId="30522" xr:uid="{0BF8BF65-E5EA-438C-8C36-61ED70F16967}"/>
    <cellStyle name="Input 2 13 2 3 3" xfId="17349" xr:uid="{BB40EB48-8A78-41B5-91D5-D6270464F79A}"/>
    <cellStyle name="Input 2 13 2 3 3 2" xfId="39739" xr:uid="{A6729E31-D928-41E4-85A0-BE0E623C2871}"/>
    <cellStyle name="Input 2 13 2 3 3 3" xfId="25914" xr:uid="{FF23FE84-94A6-4E6B-9986-2378E7101DD9}"/>
    <cellStyle name="Input 2 13 2 3 4" xfId="21773" xr:uid="{4432BA29-3362-4771-8DBF-EDD25053FF22}"/>
    <cellStyle name="Input 2 13 2 3 4 2" xfId="49201" xr:uid="{59E69756-F563-4CE8-A9D3-C3AECFC8FE3C}"/>
    <cellStyle name="Input 2 13 2 3 5" xfId="52333" xr:uid="{222C562C-A760-4E92-983D-2C3216FCD3D2}"/>
    <cellStyle name="Input 2 13 2 4" xfId="5824" xr:uid="{00000000-0005-0000-0000-00000F050000}"/>
    <cellStyle name="Input 2 13 2 4 2" xfId="12707" xr:uid="{6A781A28-2546-4F3B-82EB-4ED42E402237}"/>
    <cellStyle name="Input 2 13 2 4 2 2" xfId="35192" xr:uid="{1B4B5D69-6D22-40BC-9216-8DF780BAA176}"/>
    <cellStyle name="Input 2 13 2 4 2 3" xfId="37420" xr:uid="{A32404A5-B9B4-405F-8264-DC73538756ED}"/>
    <cellStyle name="Input 2 13 2 4 3" xfId="17761" xr:uid="{BAFC31BE-7AEE-49C8-8925-ECFB81FDA14A}"/>
    <cellStyle name="Input 2 13 2 4 3 2" xfId="40151" xr:uid="{58E00B35-5A95-4DF1-A0F5-315BF62B170F}"/>
    <cellStyle name="Input 2 13 2 4 3 3" xfId="26705" xr:uid="{1FC6BF46-7E6F-414F-B528-3A025E44BC66}"/>
    <cellStyle name="Input 2 13 2 4 4" xfId="22185" xr:uid="{96B116F6-2B2F-4844-A8C8-F77C401C0EE0}"/>
    <cellStyle name="Input 2 13 2 4 4 2" xfId="51731" xr:uid="{5DF4B873-B68D-4096-9508-2120B9F2ADF6}"/>
    <cellStyle name="Input 2 13 2 4 5" xfId="48745" xr:uid="{55D7946C-5EB1-4D0C-B0C6-65BF0B717F75}"/>
    <cellStyle name="Input 2 13 2 5" xfId="6170" xr:uid="{00000000-0005-0000-0000-00000F050000}"/>
    <cellStyle name="Input 2 13 2 5 2" xfId="13047" xr:uid="{079A23D1-2BDE-4A46-83FE-2AD85F10F094}"/>
    <cellStyle name="Input 2 13 2 5 2 2" xfId="35531" xr:uid="{14347B48-CECA-42C5-B11C-6229D77C2F2A}"/>
    <cellStyle name="Input 2 13 2 5 2 3" xfId="47063" xr:uid="{39578570-2437-4FEB-9C12-E2828FD0F13A}"/>
    <cellStyle name="Input 2 13 2 5 3" xfId="18107" xr:uid="{B7548C30-1B34-43B2-AB01-E69ABF3E3670}"/>
    <cellStyle name="Input 2 13 2 5 3 2" xfId="40497" xr:uid="{A6940DCD-CFE6-4E9E-985B-3EBF26FB41A6}"/>
    <cellStyle name="Input 2 13 2 5 3 3" xfId="28343" xr:uid="{8E2FDDEE-09CC-4799-9AC9-E7D155D6AC8F}"/>
    <cellStyle name="Input 2 13 2 5 4" xfId="22531" xr:uid="{C86B7840-BC14-40E9-8040-6EA6454E7B5C}"/>
    <cellStyle name="Input 2 13 2 5 4 2" xfId="53215" xr:uid="{6225D9D7-F7D4-4B46-A22D-471EFE228D11}"/>
    <cellStyle name="Input 2 13 2 5 5" xfId="51049" xr:uid="{55320101-1871-432C-8730-49132A674268}"/>
    <cellStyle name="Input 2 13 2 6" xfId="6541" xr:uid="{00000000-0005-0000-0000-00000F050000}"/>
    <cellStyle name="Input 2 13 2 6 2" xfId="13410" xr:uid="{66CE65BA-3751-46D1-8EF8-BAF8CF230021}"/>
    <cellStyle name="Input 2 13 2 6 2 2" xfId="35894" xr:uid="{81286E2B-86A8-4A5E-AEEE-E86A18B6E372}"/>
    <cellStyle name="Input 2 13 2 6 2 3" xfId="27802" xr:uid="{2545CD6F-AEAB-4EDB-9270-A08D40A2C065}"/>
    <cellStyle name="Input 2 13 2 6 3" xfId="18478" xr:uid="{AB70964E-E2B2-42A8-9DCC-B76042B7535A}"/>
    <cellStyle name="Input 2 13 2 6 3 2" xfId="40868" xr:uid="{0F87328E-FEB8-479D-8B68-5E39BEBABCA2}"/>
    <cellStyle name="Input 2 13 2 6 3 3" xfId="44420" xr:uid="{1358FA95-31A4-43DE-9B9F-30D3F1215E12}"/>
    <cellStyle name="Input 2 13 2 6 4" xfId="22902" xr:uid="{DE8F6DCD-8779-4DC1-8884-7987A18AE286}"/>
    <cellStyle name="Input 2 13 2 6 4 2" xfId="46917" xr:uid="{11AEB0AD-0E37-449B-BA52-4FE2FD229F18}"/>
    <cellStyle name="Input 2 13 2 6 5" xfId="47356" xr:uid="{068734CF-8D5B-4EB4-ADE8-927CA10BEE53}"/>
    <cellStyle name="Input 2 13 2 7" xfId="6058" xr:uid="{00000000-0005-0000-0000-00000F050000}"/>
    <cellStyle name="Input 2 13 2 7 2" xfId="12936" xr:uid="{75F56197-EFA8-4E61-AED4-9D6DE9100E52}"/>
    <cellStyle name="Input 2 13 2 7 2 2" xfId="35420" xr:uid="{C417B14C-15E5-48D4-B14A-9A208A2F7091}"/>
    <cellStyle name="Input 2 13 2 7 2 3" xfId="49995" xr:uid="{5EA4F71A-0CFE-4981-8AF1-FD69A5E2004C}"/>
    <cellStyle name="Input 2 13 2 7 3" xfId="17995" xr:uid="{DD24CAEF-B665-4228-AD3E-A7FFCAF35033}"/>
    <cellStyle name="Input 2 13 2 7 3 2" xfId="40385" xr:uid="{506E1134-D6C1-48E1-A12B-1B3B29D7DABE}"/>
    <cellStyle name="Input 2 13 2 7 3 3" xfId="25819" xr:uid="{5F8CB113-442F-4DCD-A44B-3A51E8B565E2}"/>
    <cellStyle name="Input 2 13 2 7 4" xfId="22419" xr:uid="{F0994EC1-371C-48C6-B526-8F2C43F381B2}"/>
    <cellStyle name="Input 2 13 2 7 4 2" xfId="52734" xr:uid="{C83B6D10-E501-481D-AFFB-4261081F5093}"/>
    <cellStyle name="Input 2 13 2 7 5" xfId="45395" xr:uid="{22BE9519-0BD7-4683-9B7B-259A5ACE4911}"/>
    <cellStyle name="Input 2 13 2 8" xfId="7025" xr:uid="{00000000-0005-0000-0000-00000F050000}"/>
    <cellStyle name="Input 2 13 2 8 2" xfId="13862" xr:uid="{284C51E9-497D-4373-8387-A07A76AF78DE}"/>
    <cellStyle name="Input 2 13 2 8 2 2" xfId="36346" xr:uid="{CDFC9DFC-2430-4A23-8758-397F9E78CA82}"/>
    <cellStyle name="Input 2 13 2 8 2 3" xfId="50879" xr:uid="{B3531923-5C51-4330-BE35-03CA734A633C}"/>
    <cellStyle name="Input 2 13 2 8 3" xfId="18962" xr:uid="{0830FE43-894A-46CE-A811-39D69B8FA2EA}"/>
    <cellStyle name="Input 2 13 2 8 3 2" xfId="41352" xr:uid="{E386C419-B7A4-454C-9D8C-5CEDF894FAE0}"/>
    <cellStyle name="Input 2 13 2 8 3 3" xfId="27295" xr:uid="{94A4E268-7BBC-4E9C-8866-8F80F9AC1771}"/>
    <cellStyle name="Input 2 13 2 8 4" xfId="23386" xr:uid="{0017B66A-F018-4F48-8522-1DA9A4BB3B2C}"/>
    <cellStyle name="Input 2 13 2 8 4 2" xfId="48148" xr:uid="{8EB1F390-A315-40D6-826F-8C35EA65CDAB}"/>
    <cellStyle name="Input 2 13 2 8 5" xfId="48618" xr:uid="{BDD0050E-615C-49B8-9B2B-43CB237809AA}"/>
    <cellStyle name="Input 2 13 2 9" xfId="7141" xr:uid="{00000000-0005-0000-0000-00000F050000}"/>
    <cellStyle name="Input 2 13 2 9 2" xfId="19078" xr:uid="{E0013FD1-9EDE-4753-9EB6-0A68017C3C87}"/>
    <cellStyle name="Input 2 13 2 9 2 2" xfId="41468" xr:uid="{5C3DE4A1-8C5E-4A5C-A4C1-D0A899AD2B88}"/>
    <cellStyle name="Input 2 13 2 9 2 3" xfId="24018" xr:uid="{CC1E2219-DE31-4E0E-B180-DFF597C1BBB6}"/>
    <cellStyle name="Input 2 13 2 9 3" xfId="23502" xr:uid="{85789EAD-0FFF-4753-AD20-926B9E68C593}"/>
    <cellStyle name="Input 2 13 2 9 3 2" xfId="48432" xr:uid="{0DC4A433-61BA-45AF-AEAB-6CF014A759B8}"/>
    <cellStyle name="Input 2 13 2 9 4" xfId="48031" xr:uid="{3ADFAAAB-2265-4E04-A01B-CDC3ED2DB10C}"/>
    <cellStyle name="Input 2 13 3" xfId="3174" xr:uid="{00000000-0005-0000-0000-00000E050000}"/>
    <cellStyle name="Input 2 13 3 2" xfId="10083" xr:uid="{06C74E1E-DBD7-49B8-9108-42202332A8E2}"/>
    <cellStyle name="Input 2 13 3 2 2" xfId="32590" xr:uid="{EFFCD737-E57A-4C6B-8FBD-024220E1D3FA}"/>
    <cellStyle name="Input 2 13 3 2 3" xfId="29933" xr:uid="{B9979482-6ECD-495D-BFA9-035960943236}"/>
    <cellStyle name="Input 2 13 3 3" xfId="15460" xr:uid="{8E818849-97E8-4F2D-9176-FCC777F31508}"/>
    <cellStyle name="Input 2 13 3 3 2" xfId="37886" xr:uid="{0E5CC5C7-2702-4596-8A11-CCB741DBDAFA}"/>
    <cellStyle name="Input 2 13 3 3 3" xfId="51347" xr:uid="{094C4A7A-9962-4A61-A4CA-886D51BD929C}"/>
    <cellStyle name="Input 2 13 3 4" xfId="20616" xr:uid="{500720F0-B5D5-4514-AF8A-F72EB614AAB1}"/>
    <cellStyle name="Input 2 13 3 4 2" xfId="29634" xr:uid="{EB63B8EB-588F-42C0-A87E-F5659D40339C}"/>
    <cellStyle name="Input 2 13 3 5" xfId="46070" xr:uid="{6410FED6-E956-474F-8874-412DCCD31841}"/>
    <cellStyle name="Input 2 13 4" xfId="4826" xr:uid="{00000000-0005-0000-0000-00000E050000}"/>
    <cellStyle name="Input 2 13 4 2" xfId="11723" xr:uid="{317B8F3B-40EE-4A03-B1CF-77E1ECB2FBBF}"/>
    <cellStyle name="Input 2 13 4 2 2" xfId="34209" xr:uid="{CF1F7FC1-9D3E-452D-A6DA-27DA5524EC06}"/>
    <cellStyle name="Input 2 13 4 2 3" xfId="45045" xr:uid="{6A73AF95-B0E8-4CEB-BA76-522FE52DD942}"/>
    <cellStyle name="Input 2 13 4 3" xfId="16763" xr:uid="{C60A8879-1679-406E-AE82-67FB4ECEB229}"/>
    <cellStyle name="Input 2 13 4 3 2" xfId="39153" xr:uid="{B1E7D0D7-E68D-47FD-86A3-6F3F79B78EC4}"/>
    <cellStyle name="Input 2 13 4 3 3" xfId="45406" xr:uid="{110164AF-9999-4F01-AE5A-FC76EF62851A}"/>
    <cellStyle name="Input 2 13 4 4" xfId="16238" xr:uid="{B343CA67-727C-4E51-ADB8-D8DBB183C9DB}"/>
    <cellStyle name="Input 2 13 4 4 2" xfId="28333" xr:uid="{77D08DDF-F8BE-456A-9A27-7A62A6399C1B}"/>
    <cellStyle name="Input 2 13 4 5" xfId="48332" xr:uid="{E1F2DB37-E1D6-4FB9-BEA1-6E1FDAF75086}"/>
    <cellStyle name="Input 2 13 5" xfId="4462" xr:uid="{00000000-0005-0000-0000-00000E050000}"/>
    <cellStyle name="Input 2 13 5 2" xfId="11364" xr:uid="{C3C6B845-4E94-4DDE-A9C2-C6352C385E9F}"/>
    <cellStyle name="Input 2 13 5 2 2" xfId="33850" xr:uid="{BBE408B7-1A55-4FDB-82DE-F2914B840CDA}"/>
    <cellStyle name="Input 2 13 5 2 3" xfId="30793" xr:uid="{0B2F32F6-85AB-4F94-B5D3-4D3F3C2E7DE3}"/>
    <cellStyle name="Input 2 13 5 3" xfId="16399" xr:uid="{4A4DCE47-8BE7-48AE-890C-5A760B9E5B6B}"/>
    <cellStyle name="Input 2 13 5 3 2" xfId="38789" xr:uid="{8A68572A-2BFB-4AC8-BAD0-88ABDC6743AC}"/>
    <cellStyle name="Input 2 13 5 3 3" xfId="29076" xr:uid="{D5A14950-24CC-400B-9460-967070C7B2EE}"/>
    <cellStyle name="Input 2 13 5 4" xfId="7728" xr:uid="{B5B4B8A0-2626-47E8-9F44-6910C17E9100}"/>
    <cellStyle name="Input 2 13 5 4 2" xfId="48002" xr:uid="{50B0EF28-EFD8-4FC3-9E31-1F3567CB02EF}"/>
    <cellStyle name="Input 2 13 5 5" xfId="50199" xr:uid="{578271C2-D60E-4AA3-9D40-EE7B2142085C}"/>
    <cellStyle name="Input 2 13 6" xfId="4643" xr:uid="{00000000-0005-0000-0000-00000E050000}"/>
    <cellStyle name="Input 2 13 6 2" xfId="11543" xr:uid="{451A6DAA-AC81-499F-A776-40CDF4D760F2}"/>
    <cellStyle name="Input 2 13 6 2 2" xfId="34029" xr:uid="{425E82BD-3FB3-4354-A95E-CCF1BC4A5F95}"/>
    <cellStyle name="Input 2 13 6 2 3" xfId="41871" xr:uid="{877F7546-D3B6-4A95-970C-5A97D5DED524}"/>
    <cellStyle name="Input 2 13 6 3" xfId="16580" xr:uid="{2F42BB4D-5496-46ED-AD73-EB7ED879E324}"/>
    <cellStyle name="Input 2 13 6 3 2" xfId="38970" xr:uid="{EAA9D21B-E62A-48CB-A36F-FF7C70A46A3F}"/>
    <cellStyle name="Input 2 13 6 3 3" xfId="27532" xr:uid="{9CC3E0A5-FB05-45D2-A66A-874F8CAEAEBF}"/>
    <cellStyle name="Input 2 13 6 4" xfId="19532" xr:uid="{B3C744D3-E81F-4A11-8FDD-3EE3EF92FDDF}"/>
    <cellStyle name="Input 2 13 6 4 2" xfId="42201" xr:uid="{127858FE-826F-47DF-A8A4-4695E0DA4637}"/>
    <cellStyle name="Input 2 13 6 5" xfId="48757" xr:uid="{47081B93-362A-49D6-A014-DFA8091A38B0}"/>
    <cellStyle name="Input 2 13 7" xfId="6801" xr:uid="{00000000-0005-0000-0000-00000E050000}"/>
    <cellStyle name="Input 2 13 7 2" xfId="13650" xr:uid="{FD029652-B710-4698-ABB5-A9E03593F81B}"/>
    <cellStyle name="Input 2 13 7 2 2" xfId="36134" xr:uid="{B0CB43C1-D256-43DD-A94D-81A66E89506D}"/>
    <cellStyle name="Input 2 13 7 2 3" xfId="44330" xr:uid="{6B94F3B7-CC0F-4345-88F2-5873906E75A0}"/>
    <cellStyle name="Input 2 13 7 3" xfId="18738" xr:uid="{A2C9ED8A-B10E-445D-8AA9-30AADA35A7E2}"/>
    <cellStyle name="Input 2 13 7 3 2" xfId="41128" xr:uid="{CA5D11C6-9393-4B17-9CB9-E41E0EBEB993}"/>
    <cellStyle name="Input 2 13 7 3 3" xfId="24693" xr:uid="{81E29F5B-AF55-4F34-A0E4-A5281B69B75A}"/>
    <cellStyle name="Input 2 13 7 4" xfId="23162" xr:uid="{F111DAD6-2FBA-46C3-A796-5264B10A31BF}"/>
    <cellStyle name="Input 2 13 7 4 2" xfId="45715" xr:uid="{4556F771-0ED1-459B-B66C-F551CAC49171}"/>
    <cellStyle name="Input 2 13 7 5" xfId="25462" xr:uid="{FFDF66FC-F47E-45AC-B71A-3D5063481CAB}"/>
    <cellStyle name="Input 2 13 8" xfId="13604" xr:uid="{BE72EF8B-152C-4C93-A489-B5E0F8A1442D}"/>
    <cellStyle name="Input 2 13 8 2" xfId="36088" xr:uid="{DB119002-B5CA-410C-8DE4-28E41B445BB3}"/>
    <cellStyle name="Input 2 13 8 3" xfId="48580" xr:uid="{AB7EAEAA-B13E-44AE-8460-BD2D0152E6E7}"/>
    <cellStyle name="Input 2 13 9" xfId="20602" xr:uid="{468F3029-BDEF-4447-A28D-E29169862602}"/>
    <cellStyle name="Input 2 13 9 2" xfId="42883" xr:uid="{B2F3C698-D14B-4462-8471-9C4AE76A684E}"/>
    <cellStyle name="Input 2 13 9 3" xfId="52445" xr:uid="{8D4D26AA-4945-4A6B-AD1B-422C6EA9BF8D}"/>
    <cellStyle name="Input 2 14" xfId="1233" xr:uid="{00000000-0005-0000-0000-000011050000}"/>
    <cellStyle name="Input 2 14 10" xfId="15684" xr:uid="{5FDD1629-E922-46C4-B09B-501D9E1685A7}"/>
    <cellStyle name="Input 2 14 10 2" xfId="53196" xr:uid="{06533194-2F03-451F-ABE9-3AB7A8297B78}"/>
    <cellStyle name="Input 2 14 11" xfId="53920" xr:uid="{6C8523DA-ECAE-4B53-BAAE-3F275DC50B06}"/>
    <cellStyle name="Input 2 14 2" xfId="2033" xr:uid="{00000000-0005-0000-0000-000012050000}"/>
    <cellStyle name="Input 2 14 2 10" xfId="14681" xr:uid="{52903BD7-4E28-405E-AE52-F6F1A6A648F4}"/>
    <cellStyle name="Input 2 14 2 10 2" xfId="37141" xr:uid="{4F17746D-8902-4669-898B-76201884CE56}"/>
    <cellStyle name="Input 2 14 2 10 3" xfId="30901" xr:uid="{691BC79A-A07D-43FE-AC1D-EEE0F17C43E6}"/>
    <cellStyle name="Input 2 14 2 11" xfId="21169" xr:uid="{CD22DAE2-D440-4475-9BA6-9552F2BA3537}"/>
    <cellStyle name="Input 2 14 2 11 2" xfId="43410" xr:uid="{6687EDF0-5095-4E06-9725-A85AB56E9C3B}"/>
    <cellStyle name="Input 2 14 2 11 3" xfId="45383" xr:uid="{74A1E564-47C5-426E-8540-27537CEF756A}"/>
    <cellStyle name="Input 2 14 2 12" xfId="14485" xr:uid="{7F1A6840-F504-4C2A-81F3-73DB2E4923AB}"/>
    <cellStyle name="Input 2 14 2 12 2" xfId="47966" xr:uid="{8FAF79A0-2879-45A1-A145-4F04736C798D}"/>
    <cellStyle name="Input 2 14 2 13" xfId="46072" xr:uid="{5CADBBF7-A0F5-4D11-BF12-F73A85B9B844}"/>
    <cellStyle name="Input 2 14 2 2" xfId="4128" xr:uid="{00000000-0005-0000-0000-000011050000}"/>
    <cellStyle name="Input 2 14 2 2 2" xfId="11032" xr:uid="{42574946-4571-4451-921F-1787D2A36818}"/>
    <cellStyle name="Input 2 14 2 2 2 2" xfId="33518" xr:uid="{8CD233D0-6AEB-4612-BCF5-6893E5237BC3}"/>
    <cellStyle name="Input 2 14 2 2 2 3" xfId="44212" xr:uid="{76D9C135-19E8-45C3-9B93-1FF56D7527E5}"/>
    <cellStyle name="Input 2 14 2 2 3" xfId="16132" xr:uid="{A2914B83-AC4D-4936-BBB7-92AA648B0D78}"/>
    <cellStyle name="Input 2 14 2 2 3 2" xfId="38532" xr:uid="{4C2BCE61-8780-47A2-BA0E-C9E03CC4481F}"/>
    <cellStyle name="Input 2 14 2 2 3 3" xfId="36504" xr:uid="{C88CC4B7-7075-45EF-8AF0-CBD28C829511}"/>
    <cellStyle name="Input 2 14 2 2 4" xfId="20101" xr:uid="{AB863A40-3836-47CB-ADED-792F69418524}"/>
    <cellStyle name="Input 2 14 2 2 4 2" xfId="29331" xr:uid="{C9DFB7DA-3F0B-453E-B764-93CB0650E9C9}"/>
    <cellStyle name="Input 2 14 2 2 5" xfId="29915" xr:uid="{F77F104B-BA34-4E3F-A5DD-57A656DE3BF3}"/>
    <cellStyle name="Input 2 14 2 3" xfId="5473" xr:uid="{00000000-0005-0000-0000-000011050000}"/>
    <cellStyle name="Input 2 14 2 3 2" xfId="12362" xr:uid="{BCD8F455-1DC4-450F-ADF0-F97367723DA1}"/>
    <cellStyle name="Input 2 14 2 3 2 2" xfId="34847" xr:uid="{C049C3FE-F5DF-4CA2-9467-3574C03DF5D5}"/>
    <cellStyle name="Input 2 14 2 3 2 3" xfId="27691" xr:uid="{511A0780-2EBF-4C38-A710-A3B0011E325D}"/>
    <cellStyle name="Input 2 14 2 3 3" xfId="17410" xr:uid="{43F959F5-FE49-407A-A925-B90F1B365BEE}"/>
    <cellStyle name="Input 2 14 2 3 3 2" xfId="39800" xr:uid="{8EA9199D-0742-4AC2-B0DE-B2B593EEADC6}"/>
    <cellStyle name="Input 2 14 2 3 3 3" xfId="28195" xr:uid="{F5287A67-056A-4894-8139-AB394BA3B693}"/>
    <cellStyle name="Input 2 14 2 3 4" xfId="21834" xr:uid="{1C1B7347-B7E0-4052-B639-F3DDDAAA6EB9}"/>
    <cellStyle name="Input 2 14 2 3 4 2" xfId="28735" xr:uid="{4ABBCBF3-1BA9-4F16-9B55-97EEFF0683C9}"/>
    <cellStyle name="Input 2 14 2 3 5" xfId="46110" xr:uid="{DD3B72A7-9047-48F0-A109-E4183F627C12}"/>
    <cellStyle name="Input 2 14 2 4" xfId="5897" xr:uid="{00000000-0005-0000-0000-000011050000}"/>
    <cellStyle name="Input 2 14 2 4 2" xfId="12779" xr:uid="{6C63BCC7-C5AD-416A-B6B8-8586508F394C}"/>
    <cellStyle name="Input 2 14 2 4 2 2" xfId="35263" xr:uid="{2CF9D69D-6AC2-4FED-AE3F-4CC0A61DDF2B}"/>
    <cellStyle name="Input 2 14 2 4 2 3" xfId="29755" xr:uid="{DBB6780D-ABAB-4565-9CC2-3BEEE7700211}"/>
    <cellStyle name="Input 2 14 2 4 3" xfId="17834" xr:uid="{AE19D811-D4CF-4729-AD51-21A64B48B08B}"/>
    <cellStyle name="Input 2 14 2 4 3 2" xfId="40224" xr:uid="{B64CD775-BE0A-488D-B02D-A7C318F39F25}"/>
    <cellStyle name="Input 2 14 2 4 3 3" xfId="31979" xr:uid="{DCC0189D-3A10-4099-AAD5-DFBC9D86D33F}"/>
    <cellStyle name="Input 2 14 2 4 4" xfId="22258" xr:uid="{2DD5CC37-018F-45E8-A4C0-711B902C7566}"/>
    <cellStyle name="Input 2 14 2 4 4 2" xfId="46060" xr:uid="{A0B04006-3B2F-44A4-90A0-F3F2A6C71CBB}"/>
    <cellStyle name="Input 2 14 2 4 5" xfId="52125" xr:uid="{D424FCC5-8A30-4155-B646-C149CC46D815}"/>
    <cellStyle name="Input 2 14 2 5" xfId="6235" xr:uid="{00000000-0005-0000-0000-000011050000}"/>
    <cellStyle name="Input 2 14 2 5 2" xfId="13110" xr:uid="{8BBD9835-C28E-4E30-A2AA-94E03C3A16BC}"/>
    <cellStyle name="Input 2 14 2 5 2 2" xfId="35594" xr:uid="{B78801C1-BA41-413D-8127-F04A3F490001}"/>
    <cellStyle name="Input 2 14 2 5 2 3" xfId="46772" xr:uid="{1046134B-824A-4C56-BB6B-37CBB510D072}"/>
    <cellStyle name="Input 2 14 2 5 3" xfId="18172" xr:uid="{32AF58A8-6B20-4D38-9FB3-09DD1892A171}"/>
    <cellStyle name="Input 2 14 2 5 3 2" xfId="40562" xr:uid="{47A669B1-A9F9-48FA-8A51-37245D2F83B1}"/>
    <cellStyle name="Input 2 14 2 5 3 3" xfId="25403" xr:uid="{DAE33388-5C89-4CD6-A73F-13FB90C7FD6C}"/>
    <cellStyle name="Input 2 14 2 5 4" xfId="22596" xr:uid="{246B225E-888F-49CF-9722-EDF7CE0AEF70}"/>
    <cellStyle name="Input 2 14 2 5 4 2" xfId="46603" xr:uid="{F0E6D7AF-6EA5-47F4-BA40-E2F5235F4275}"/>
    <cellStyle name="Input 2 14 2 5 5" xfId="43548" xr:uid="{F369813A-6158-479C-A573-B770147D1063}"/>
    <cellStyle name="Input 2 14 2 6" xfId="6600" xr:uid="{00000000-0005-0000-0000-000011050000}"/>
    <cellStyle name="Input 2 14 2 6 2" xfId="13466" xr:uid="{0328F417-A344-4761-BFE6-8D8C80D9BA84}"/>
    <cellStyle name="Input 2 14 2 6 2 2" xfId="35950" xr:uid="{A1F4EEFC-0D8E-42DF-85F9-870EFA0476A7}"/>
    <cellStyle name="Input 2 14 2 6 2 3" xfId="52793" xr:uid="{5EC23439-2175-4BA9-86E3-BE79E7071DDA}"/>
    <cellStyle name="Input 2 14 2 6 3" xfId="18537" xr:uid="{A35895DA-0315-4CB7-BF45-64453B7A54EA}"/>
    <cellStyle name="Input 2 14 2 6 3 2" xfId="40927" xr:uid="{F0B9EC16-7E1A-4DBB-9E16-78C09FDCC0DC}"/>
    <cellStyle name="Input 2 14 2 6 3 3" xfId="32597" xr:uid="{ADFAB938-E219-4B8A-BF97-D104C76EC1F0}"/>
    <cellStyle name="Input 2 14 2 6 4" xfId="22961" xr:uid="{B87713BA-EF6E-48F6-85B7-23DC8DC0BC56}"/>
    <cellStyle name="Input 2 14 2 6 4 2" xfId="46866" xr:uid="{0D248616-97DD-4AC8-AE58-FCC46A0051A0}"/>
    <cellStyle name="Input 2 14 2 6 5" xfId="53959" xr:uid="{424ECB6A-A6D7-4F20-9DB3-2705D3CE3A36}"/>
    <cellStyle name="Input 2 14 2 7" xfId="5846" xr:uid="{00000000-0005-0000-0000-000011050000}"/>
    <cellStyle name="Input 2 14 2 7 2" xfId="12728" xr:uid="{B940DC1D-76AB-45B1-8E3D-0BFFAA4B4B16}"/>
    <cellStyle name="Input 2 14 2 7 2 2" xfId="35212" xr:uid="{A42FAF13-13D3-4926-B597-6F4FA09404C8}"/>
    <cellStyle name="Input 2 14 2 7 2 3" xfId="41769" xr:uid="{D13B7122-470E-4BFC-AC61-543960E2A76D}"/>
    <cellStyle name="Input 2 14 2 7 3" xfId="17783" xr:uid="{DA92914A-0AA6-41CD-A31C-6DAE42FD4DD8}"/>
    <cellStyle name="Input 2 14 2 7 3 2" xfId="40173" xr:uid="{E938133E-3961-4ABF-B0A2-4916F6B160DF}"/>
    <cellStyle name="Input 2 14 2 7 3 3" xfId="42675" xr:uid="{E4DF2A9B-BB8E-4A43-A938-A81AB9B94C40}"/>
    <cellStyle name="Input 2 14 2 7 4" xfId="22207" xr:uid="{E1BBFFD3-A156-450B-929A-0686D198E6EF}"/>
    <cellStyle name="Input 2 14 2 7 4 2" xfId="46020" xr:uid="{3DAE1FC1-3A94-44EC-B4CC-A1F65D77AA1A}"/>
    <cellStyle name="Input 2 14 2 7 5" xfId="44845" xr:uid="{3A1D1214-39AF-4D3E-8748-9ACEFD7A2FBD}"/>
    <cellStyle name="Input 2 14 2 8" xfId="7070" xr:uid="{00000000-0005-0000-0000-000011050000}"/>
    <cellStyle name="Input 2 14 2 8 2" xfId="13906" xr:uid="{FEE6D2C2-A3B8-4699-95E1-A86BEFF60EFF}"/>
    <cellStyle name="Input 2 14 2 8 2 2" xfId="36390" xr:uid="{0E3C6D0B-3B49-42CD-A1F3-0D570C8D8EE7}"/>
    <cellStyle name="Input 2 14 2 8 2 3" xfId="43915" xr:uid="{F96A3130-8D95-4897-9FC7-EE71D2222884}"/>
    <cellStyle name="Input 2 14 2 8 3" xfId="19007" xr:uid="{E168A1CC-26AB-43F1-87B9-0DD7538FC255}"/>
    <cellStyle name="Input 2 14 2 8 3 2" xfId="41397" xr:uid="{CFE9178B-B90B-4D60-B1A0-AC87DD69DBCF}"/>
    <cellStyle name="Input 2 14 2 8 3 3" xfId="45744" xr:uid="{AF2E3DE2-9EFF-41DB-9F8D-894380D5277A}"/>
    <cellStyle name="Input 2 14 2 8 4" xfId="23431" xr:uid="{1050AD13-DE0C-4342-B2A9-E36BEA1C8BD0}"/>
    <cellStyle name="Input 2 14 2 8 4 2" xfId="53135" xr:uid="{E90A0700-DF9F-49BF-B76B-B2BB739C5CED}"/>
    <cellStyle name="Input 2 14 2 8 5" xfId="42580" xr:uid="{1C7441D2-2C1A-44AB-8B75-5160348F8D01}"/>
    <cellStyle name="Input 2 14 2 9" xfId="7185" xr:uid="{00000000-0005-0000-0000-000011050000}"/>
    <cellStyle name="Input 2 14 2 9 2" xfId="19122" xr:uid="{1E5F8837-5379-4759-9970-CF2BBE10FA40}"/>
    <cellStyle name="Input 2 14 2 9 2 2" xfId="41512" xr:uid="{A1021F7F-2368-4D00-B94F-236C9D511ABA}"/>
    <cellStyle name="Input 2 14 2 9 2 3" xfId="29538" xr:uid="{B2586EBD-5EE1-4CCB-996D-147EF3939BB2}"/>
    <cellStyle name="Input 2 14 2 9 3" xfId="23546" xr:uid="{FB120E6C-995C-47B7-95DB-9D2BAB7B7E96}"/>
    <cellStyle name="Input 2 14 2 9 3 2" xfId="49396" xr:uid="{ECC5F9BB-EB4B-4F08-B7F8-400A577257EA}"/>
    <cellStyle name="Input 2 14 2 9 4" xfId="44568" xr:uid="{4B977BEF-5484-44EA-A20D-EFCE5CBE031A}"/>
    <cellStyle name="Input 2 14 3" xfId="3344" xr:uid="{00000000-0005-0000-0000-000010050000}"/>
    <cellStyle name="Input 2 14 3 2" xfId="10252" xr:uid="{7FBE1F57-4363-4384-A7E4-F6A000FFB7F8}"/>
    <cellStyle name="Input 2 14 3 2 2" xfId="32746" xr:uid="{B0E15192-589E-4ED8-B585-7FFA4846ACBE}"/>
    <cellStyle name="Input 2 14 3 2 3" xfId="53673" xr:uid="{4DAF72AE-3407-4ED1-9941-EEE553B441F2}"/>
    <cellStyle name="Input 2 14 3 3" xfId="15570" xr:uid="{B48880B0-7040-45B2-804D-6F6EEBCA3FA9}"/>
    <cellStyle name="Input 2 14 3 3 2" xfId="37989" xr:uid="{26296909-1C82-4875-9A39-8C4641D28A3F}"/>
    <cellStyle name="Input 2 14 3 3 3" xfId="53140" xr:uid="{88B55007-4EAD-459F-923A-DE9707E98D89}"/>
    <cellStyle name="Input 2 14 3 4" xfId="21005" xr:uid="{434530B7-460B-4583-A772-2C1B47A0A40C}"/>
    <cellStyle name="Input 2 14 3 4 2" xfId="46481" xr:uid="{1F50D54D-C36F-4A0E-A6D2-ADCDDEFEDD6A}"/>
    <cellStyle name="Input 2 14 3 5" xfId="53601" xr:uid="{7355F924-FC58-44FD-AAF5-D6D5CB2B40E8}"/>
    <cellStyle name="Input 2 14 4" xfId="4933" xr:uid="{00000000-0005-0000-0000-000010050000}"/>
    <cellStyle name="Input 2 14 4 2" xfId="11828" xr:uid="{0B687186-7F05-4802-8650-633A4892B9BC}"/>
    <cellStyle name="Input 2 14 4 2 2" xfId="34314" xr:uid="{62FFA49E-6870-40C8-A378-CA2512FE4486}"/>
    <cellStyle name="Input 2 14 4 2 3" xfId="27563" xr:uid="{B0810282-683D-49DE-ACFE-FE6730F6D5C6}"/>
    <cellStyle name="Input 2 14 4 3" xfId="16870" xr:uid="{9161580B-F440-40B3-981A-BC065F39D6DB}"/>
    <cellStyle name="Input 2 14 4 3 2" xfId="39260" xr:uid="{F111533B-C2EB-4558-9E77-4EB14B5D67CD}"/>
    <cellStyle name="Input 2 14 4 3 3" xfId="43483" xr:uid="{61FB792A-8919-4831-9C1C-120A8580278C}"/>
    <cellStyle name="Input 2 14 4 4" xfId="21294" xr:uid="{7E7BFC55-6FAF-4B5B-83D7-6FB3A4107F0B}"/>
    <cellStyle name="Input 2 14 4 4 2" xfId="46795" xr:uid="{E9058B67-489D-48CD-BEB1-AF11AFEDC4E3}"/>
    <cellStyle name="Input 2 14 4 5" xfId="46033" xr:uid="{A4FF070C-14E5-4FEA-9BD7-BDDA1B963A09}"/>
    <cellStyle name="Input 2 14 5" xfId="3330" xr:uid="{00000000-0005-0000-0000-000010050000}"/>
    <cellStyle name="Input 2 14 5 2" xfId="10238" xr:uid="{4BE1C7B2-08B7-4FD3-AEA6-B099F7483CDE}"/>
    <cellStyle name="Input 2 14 5 2 2" xfId="32732" xr:uid="{A990AF89-D4C4-4DE7-8ED9-CE4DC6D5A006}"/>
    <cellStyle name="Input 2 14 5 2 3" xfId="47530" xr:uid="{61541008-B0F0-4A4A-AA18-7D17B8FB4C6F}"/>
    <cellStyle name="Input 2 14 5 3" xfId="15556" xr:uid="{25651E61-7B15-4D7D-B403-D3B9FE6337B1}"/>
    <cellStyle name="Input 2 14 5 3 2" xfId="37975" xr:uid="{C46962FD-5C87-49C6-841E-9A677106B569}"/>
    <cellStyle name="Input 2 14 5 3 3" xfId="48076" xr:uid="{B770FD7B-1885-460A-86D9-36C180FB55A2}"/>
    <cellStyle name="Input 2 14 5 4" xfId="14556" xr:uid="{78F38409-2ED8-45AC-A42C-D8D0E23FBCF6}"/>
    <cellStyle name="Input 2 14 5 4 2" xfId="29461" xr:uid="{0D2BDC6D-756C-4400-B65E-E3B4F111A641}"/>
    <cellStyle name="Input 2 14 5 5" xfId="53785" xr:uid="{A28E20AB-4A2C-4301-896C-8379D4E64A3F}"/>
    <cellStyle name="Input 2 14 6" xfId="5428" xr:uid="{00000000-0005-0000-0000-000010050000}"/>
    <cellStyle name="Input 2 14 6 2" xfId="12318" xr:uid="{51E09520-0AD1-4E2F-9D1E-45012323498B}"/>
    <cellStyle name="Input 2 14 6 2 2" xfId="34803" xr:uid="{A564A484-744E-4C63-8DF5-32B84AD1226F}"/>
    <cellStyle name="Input 2 14 6 2 3" xfId="45420" xr:uid="{CB103E33-B76B-4A3C-B44E-E8F47AA02395}"/>
    <cellStyle name="Input 2 14 6 3" xfId="17365" xr:uid="{29A096AA-A811-4B7B-A4A3-E0B3579B99B7}"/>
    <cellStyle name="Input 2 14 6 3 2" xfId="39755" xr:uid="{1D9042D3-9CEB-4101-8DA2-741545784C32}"/>
    <cellStyle name="Input 2 14 6 3 3" xfId="29707" xr:uid="{7B767596-BD2A-4451-AC07-D5DE4C9A99FA}"/>
    <cellStyle name="Input 2 14 6 4" xfId="21789" xr:uid="{5FA18DC9-4EC0-4BC7-93D9-43DE39B42B71}"/>
    <cellStyle name="Input 2 14 6 4 2" xfId="48331" xr:uid="{349EE74F-E722-4A1D-8640-EE882DA124C6}"/>
    <cellStyle name="Input 2 14 6 5" xfId="47057" xr:uid="{EB8C0555-688B-456A-8E04-7CA553621E2C}"/>
    <cellStyle name="Input 2 14 7" xfId="6819" xr:uid="{00000000-0005-0000-0000-000010050000}"/>
    <cellStyle name="Input 2 14 7 2" xfId="13666" xr:uid="{78D94A19-B75D-4884-9973-2DC51A3B4005}"/>
    <cellStyle name="Input 2 14 7 2 2" xfId="36150" xr:uid="{FE5392BB-3B54-4876-B24B-618DA0C7F508}"/>
    <cellStyle name="Input 2 14 7 2 3" xfId="44779" xr:uid="{2F29E20B-F7E6-4298-87C6-FAFF7489A645}"/>
    <cellStyle name="Input 2 14 7 3" xfId="18756" xr:uid="{FE25F246-3B28-4834-9D5E-0E991742CBB5}"/>
    <cellStyle name="Input 2 14 7 3 2" xfId="41146" xr:uid="{C7D0300F-0437-4679-BA0A-233963140A01}"/>
    <cellStyle name="Input 2 14 7 3 3" xfId="26033" xr:uid="{8330A346-31F7-431E-9D83-3A0B2C00B2A6}"/>
    <cellStyle name="Input 2 14 7 4" xfId="23180" xr:uid="{365A10FE-459D-4C8B-8359-EADF804FAAE8}"/>
    <cellStyle name="Input 2 14 7 4 2" xfId="51156" xr:uid="{38ED9C28-2D80-4D2B-9C84-9628CD7C4C0A}"/>
    <cellStyle name="Input 2 14 7 5" xfId="47720" xr:uid="{21E7AD4A-ECEB-4606-AB5D-E12DAC7BEE0C}"/>
    <cellStyle name="Input 2 14 8" xfId="14108" xr:uid="{4E0EE517-C408-4C9C-9EC7-912811BE1E9C}"/>
    <cellStyle name="Input 2 14 8 2" xfId="36586" xr:uid="{A0B20CF8-D5BA-4F30-BF5F-06AC23E8B8F6}"/>
    <cellStyle name="Input 2 14 8 3" xfId="50451" xr:uid="{BAF11556-5C03-41C0-A3BC-F0D15B77847D}"/>
    <cellStyle name="Input 2 14 9" xfId="20595" xr:uid="{342B12F7-B548-4843-89B4-1ABE8527046C}"/>
    <cellStyle name="Input 2 14 9 2" xfId="42877" xr:uid="{5618597D-2269-414E-B302-0E94E02C492A}"/>
    <cellStyle name="Input 2 14 9 3" xfId="29617" xr:uid="{53C8CB52-1691-4DA7-8A9B-CE077A117C01}"/>
    <cellStyle name="Input 2 15" xfId="1409" xr:uid="{00000000-0005-0000-0000-000013050000}"/>
    <cellStyle name="Input 2 15 10" xfId="11775" xr:uid="{CF1EB64B-794A-4EC6-B8DB-C420A463C6C5}"/>
    <cellStyle name="Input 2 15 10 2" xfId="45276" xr:uid="{C38A4D53-2499-45D8-A0E1-1AD2BA7CD9B0}"/>
    <cellStyle name="Input 2 15 11" xfId="49197" xr:uid="{3895A142-7DC4-4ECB-A8F5-489E2615513D}"/>
    <cellStyle name="Input 2 15 2" xfId="2138" xr:uid="{00000000-0005-0000-0000-000014050000}"/>
    <cellStyle name="Input 2 15 2 10" xfId="14759" xr:uid="{2A4B3F1A-76EC-451C-BCF7-DA108A56E847}"/>
    <cellStyle name="Input 2 15 2 10 2" xfId="37217" xr:uid="{FF25DC61-CB86-40F6-9D66-C90C8A8052ED}"/>
    <cellStyle name="Input 2 15 2 10 3" xfId="29412" xr:uid="{4E3E5CC0-59C4-42A8-9A8A-D4E2FDC75C31}"/>
    <cellStyle name="Input 2 15 2 11" xfId="15365" xr:uid="{6F5E38B8-F3F3-43A7-A79C-C2B56412E921}"/>
    <cellStyle name="Input 2 15 2 11 2" xfId="37796" xr:uid="{F0256EC5-E193-4192-80DA-BFE4CCAB6B7B}"/>
    <cellStyle name="Input 2 15 2 11 3" xfId="53255" xr:uid="{C66493B8-4D88-420C-8089-C9F7021D12EC}"/>
    <cellStyle name="Input 2 15 2 12" xfId="15016" xr:uid="{6A3546F5-1CF2-4A4D-92F2-F3B1627DFFC0}"/>
    <cellStyle name="Input 2 15 2 12 2" xfId="51337" xr:uid="{C7A4DD2C-327D-4D0F-A42E-5861B95FE870}"/>
    <cellStyle name="Input 2 15 2 13" xfId="51983" xr:uid="{233E66DA-DD65-444B-AA6B-6A605AC6FF5F}"/>
    <cellStyle name="Input 2 15 2 2" xfId="4231" xr:uid="{00000000-0005-0000-0000-000013050000}"/>
    <cellStyle name="Input 2 15 2 2 2" xfId="11135" xr:uid="{6B4B6F7C-52AE-4AB8-B8CC-B2115601F0AC}"/>
    <cellStyle name="Input 2 15 2 2 2 2" xfId="33621" xr:uid="{FE0061D7-0B39-44E9-A12F-854D3EAB13F4}"/>
    <cellStyle name="Input 2 15 2 2 2 3" xfId="52414" xr:uid="{4D928719-CA58-4737-8149-18FA98258755}"/>
    <cellStyle name="Input 2 15 2 2 3" xfId="16217" xr:uid="{6DAFB6EB-A878-424D-B600-B855ED37C40C}"/>
    <cellStyle name="Input 2 15 2 2 3 2" xfId="38615" xr:uid="{2B228C91-FBF9-407E-A005-7614A170B72A}"/>
    <cellStyle name="Input 2 15 2 2 3 3" xfId="43786" xr:uid="{6E33328A-7E87-4F58-BFC6-0A6FCBFB397F}"/>
    <cellStyle name="Input 2 15 2 2 4" xfId="15044" xr:uid="{5FFBD395-E4A5-4626-BCE0-2A7C44AF269B}"/>
    <cellStyle name="Input 2 15 2 2 4 2" xfId="49328" xr:uid="{4C116E02-E6FF-4D57-988F-5E1F04F2A15E}"/>
    <cellStyle name="Input 2 15 2 2 5" xfId="48707" xr:uid="{C6AA9338-6C95-4782-8AFA-FBF4966F4A4F}"/>
    <cellStyle name="Input 2 15 2 3" xfId="5551" xr:uid="{00000000-0005-0000-0000-000013050000}"/>
    <cellStyle name="Input 2 15 2 3 2" xfId="12439" xr:uid="{D092493F-9FA6-4999-BE70-EAEA6AE05C63}"/>
    <cellStyle name="Input 2 15 2 3 2 2" xfId="34924" xr:uid="{34EC0278-3356-4FD3-A5D0-A8DE3D424740}"/>
    <cellStyle name="Input 2 15 2 3 2 3" xfId="43640" xr:uid="{9A480930-B535-43C4-B1B3-DAFD33703FC6}"/>
    <cellStyle name="Input 2 15 2 3 3" xfId="17488" xr:uid="{0C276D84-CA3E-4A63-989E-098F211E8CD7}"/>
    <cellStyle name="Input 2 15 2 3 3 2" xfId="39878" xr:uid="{5EFE04DF-8666-4F3D-84BA-4ADF21FED4CB}"/>
    <cellStyle name="Input 2 15 2 3 3 3" xfId="30775" xr:uid="{EA771203-DB1E-4A88-9B75-3159AC4E6A10}"/>
    <cellStyle name="Input 2 15 2 3 4" xfId="21912" xr:uid="{78BA823F-3C06-441F-9D01-A1FD3A6A1A55}"/>
    <cellStyle name="Input 2 15 2 3 4 2" xfId="46442" xr:uid="{D9DED601-EBB2-49B5-8910-630714902135}"/>
    <cellStyle name="Input 2 15 2 3 5" xfId="49225" xr:uid="{5D1A9172-1FD5-4782-B2AA-6D5EE214D172}"/>
    <cellStyle name="Input 2 15 2 4" xfId="5974" xr:uid="{00000000-0005-0000-0000-000013050000}"/>
    <cellStyle name="Input 2 15 2 4 2" xfId="12855" xr:uid="{D7302993-A984-4F4C-AEC6-40977139877C}"/>
    <cellStyle name="Input 2 15 2 4 2 2" xfId="35339" xr:uid="{5B229E3C-A243-4543-B3E2-B9FB6DC6E14B}"/>
    <cellStyle name="Input 2 15 2 4 2 3" xfId="24588" xr:uid="{6B734AD4-FC05-4A04-B9C1-4130000B2EEF}"/>
    <cellStyle name="Input 2 15 2 4 3" xfId="17911" xr:uid="{A84141A7-1F5B-4229-9C59-E3F5529F7062}"/>
    <cellStyle name="Input 2 15 2 4 3 2" xfId="40301" xr:uid="{B2CF026A-56A4-4E8A-BAC6-27045D515902}"/>
    <cellStyle name="Input 2 15 2 4 3 3" xfId="28948" xr:uid="{30AAC5FD-FF95-42A4-A027-B74DA1AFDBEB}"/>
    <cellStyle name="Input 2 15 2 4 4" xfId="22335" xr:uid="{42309A63-6CEF-484D-BB35-4D2991683687}"/>
    <cellStyle name="Input 2 15 2 4 4 2" xfId="48663" xr:uid="{32D3B2F4-BD6B-440C-B2DD-BBC4AAAD3B9B}"/>
    <cellStyle name="Input 2 15 2 4 5" xfId="50356" xr:uid="{54105A26-1560-4A05-BDE1-107EF4BD4C67}"/>
    <cellStyle name="Input 2 15 2 5" xfId="6314" xr:uid="{00000000-0005-0000-0000-000013050000}"/>
    <cellStyle name="Input 2 15 2 5 2" xfId="13186" xr:uid="{5E0AB231-3FDA-4C3C-807E-39B26475979B}"/>
    <cellStyle name="Input 2 15 2 5 2 2" xfId="35670" xr:uid="{F86022F8-420D-4B7E-8F28-74EF33CC65DF}"/>
    <cellStyle name="Input 2 15 2 5 2 3" xfId="47895" xr:uid="{9245B49E-22F3-41CA-9D54-07A1259C9F97}"/>
    <cellStyle name="Input 2 15 2 5 3" xfId="18251" xr:uid="{05E185EA-CBA5-4ACE-B719-13C10DD30526}"/>
    <cellStyle name="Input 2 15 2 5 3 2" xfId="40641" xr:uid="{4C0FC384-0E92-4429-AD7F-C29F49C629C8}"/>
    <cellStyle name="Input 2 15 2 5 3 3" xfId="28178" xr:uid="{BDA378B8-B4F2-4E9C-96BA-3D48B860FD0B}"/>
    <cellStyle name="Input 2 15 2 5 4" xfId="22675" xr:uid="{BFC50C04-ECA3-4E6A-9098-53D7176A1450}"/>
    <cellStyle name="Input 2 15 2 5 4 2" xfId="46755" xr:uid="{BEF54635-9876-4241-9B3D-E74DD10FA802}"/>
    <cellStyle name="Input 2 15 2 5 5" xfId="51673" xr:uid="{2F254BE2-669E-4082-AB4A-56E3B9858703}"/>
    <cellStyle name="Input 2 15 2 6" xfId="6662" xr:uid="{00000000-0005-0000-0000-000013050000}"/>
    <cellStyle name="Input 2 15 2 6 2" xfId="13528" xr:uid="{2B160DA5-A41A-433E-BD13-D77DFEF5DC1C}"/>
    <cellStyle name="Input 2 15 2 6 2 2" xfId="36012" xr:uid="{0C02F165-AA90-4B0B-8C44-983A34F56538}"/>
    <cellStyle name="Input 2 15 2 6 2 3" xfId="49812" xr:uid="{FC48D4E6-4AE2-401D-86E0-E460B3D54E78}"/>
    <cellStyle name="Input 2 15 2 6 3" xfId="18599" xr:uid="{91A5FD6F-2D40-4890-8953-DF327ECFA792}"/>
    <cellStyle name="Input 2 15 2 6 3 2" xfId="40989" xr:uid="{5983DFE9-B165-48FB-BAD6-88A943D86452}"/>
    <cellStyle name="Input 2 15 2 6 3 3" xfId="43650" xr:uid="{0F2DF29A-9B2F-496B-B959-0E170A9193DE}"/>
    <cellStyle name="Input 2 15 2 6 4" xfId="23023" xr:uid="{5A56FA7F-9E45-4BD6-8D3A-CDD91BD7BB7C}"/>
    <cellStyle name="Input 2 15 2 6 4 2" xfId="49907" xr:uid="{2E147260-8B8F-4D6A-B083-BFAE00EC777E}"/>
    <cellStyle name="Input 2 15 2 6 5" xfId="42190" xr:uid="{1951EFE3-DE90-4948-B6FF-B80F40445441}"/>
    <cellStyle name="Input 2 15 2 7" xfId="4967" xr:uid="{00000000-0005-0000-0000-000013050000}"/>
    <cellStyle name="Input 2 15 2 7 2" xfId="11862" xr:uid="{42344010-3D88-42FC-8139-64E5254AADF3}"/>
    <cellStyle name="Input 2 15 2 7 2 2" xfId="34348" xr:uid="{1134B50A-54D1-4C32-8A0D-2BD414F04C5D}"/>
    <cellStyle name="Input 2 15 2 7 2 3" xfId="44397" xr:uid="{3E93DFE3-2984-4854-AC7F-9FCAE9647838}"/>
    <cellStyle name="Input 2 15 2 7 3" xfId="16904" xr:uid="{0C7EA263-2CA0-4D8E-9E05-0F9671A16AF2}"/>
    <cellStyle name="Input 2 15 2 7 3 2" xfId="39294" xr:uid="{8D2B99D4-AB55-4C9D-8F81-21422A5E8271}"/>
    <cellStyle name="Input 2 15 2 7 3 3" xfId="24385" xr:uid="{0C4F754B-8A18-4FF1-BD3A-D1B733B8720E}"/>
    <cellStyle name="Input 2 15 2 7 4" xfId="21328" xr:uid="{F7A6DEEA-66CB-4D3E-AC10-C8B2241D5654}"/>
    <cellStyle name="Input 2 15 2 7 4 2" xfId="45947" xr:uid="{DCD9459C-6507-4729-92D4-B55687C19CB8}"/>
    <cellStyle name="Input 2 15 2 7 5" xfId="46781" xr:uid="{F8B6AC14-0B92-4760-A950-8847411AF1D0}"/>
    <cellStyle name="Input 2 15 2 8" xfId="7119" xr:uid="{00000000-0005-0000-0000-000013050000}"/>
    <cellStyle name="Input 2 15 2 8 2" xfId="13955" xr:uid="{00B544CF-7643-45AB-8136-2245053DCBA6}"/>
    <cellStyle name="Input 2 15 2 8 2 2" xfId="36439" xr:uid="{64E965F0-AECC-48E6-BF41-CE4C348D7C91}"/>
    <cellStyle name="Input 2 15 2 8 2 3" xfId="50981" xr:uid="{21679E4F-37F6-4DAF-8E6E-3C906A63E707}"/>
    <cellStyle name="Input 2 15 2 8 3" xfId="19056" xr:uid="{9492E100-358B-445C-81F0-38AFF3D1F97C}"/>
    <cellStyle name="Input 2 15 2 8 3 2" xfId="41446" xr:uid="{C0D27F65-F86A-4BF9-AEA3-4D4BCD53F5F8}"/>
    <cellStyle name="Input 2 15 2 8 3 3" xfId="28326" xr:uid="{0FA97C86-9098-4FF2-8866-43466658DABF}"/>
    <cellStyle name="Input 2 15 2 8 4" xfId="23480" xr:uid="{0321A7CB-E37F-4F51-879F-E85715B0C631}"/>
    <cellStyle name="Input 2 15 2 8 4 2" xfId="46491" xr:uid="{21099498-90E2-4CD2-B8AE-928B9AAE6D63}"/>
    <cellStyle name="Input 2 15 2 8 5" xfId="51860" xr:uid="{0E310506-9F4F-4A37-A820-28D1E198FCA1}"/>
    <cellStyle name="Input 2 15 2 9" xfId="7230" xr:uid="{00000000-0005-0000-0000-000013050000}"/>
    <cellStyle name="Input 2 15 2 9 2" xfId="19167" xr:uid="{A069D9E4-B8D6-4473-95AA-40C9A1B6BBF6}"/>
    <cellStyle name="Input 2 15 2 9 2 2" xfId="41557" xr:uid="{9B9B6782-B58F-4459-B592-7518CF686B10}"/>
    <cellStyle name="Input 2 15 2 9 2 3" xfId="45590" xr:uid="{1CED5C27-1141-437D-9730-EBC8772EB206}"/>
    <cellStyle name="Input 2 15 2 9 3" xfId="23591" xr:uid="{AB5B33C3-DB38-4E23-90FA-6EBBB3A9ABA3}"/>
    <cellStyle name="Input 2 15 2 9 3 2" xfId="42794" xr:uid="{9ED9690E-98A4-4983-9022-E5A4594F6B68}"/>
    <cellStyle name="Input 2 15 2 9 4" xfId="51939" xr:uid="{1DE8687C-38FB-4A69-91B9-F4D495A1A572}"/>
    <cellStyle name="Input 2 15 3" xfId="3511" xr:uid="{00000000-0005-0000-0000-000012050000}"/>
    <cellStyle name="Input 2 15 3 2" xfId="10418" xr:uid="{AB59BBC1-F28F-4B63-8DED-6AD884457495}"/>
    <cellStyle name="Input 2 15 3 2 2" xfId="32905" xr:uid="{7B0F7BA5-8A9A-423D-8B5E-C8C51CBAF971}"/>
    <cellStyle name="Input 2 15 3 2 3" xfId="49895" xr:uid="{9D6E9938-611D-4952-B6EE-D9017946C96B}"/>
    <cellStyle name="Input 2 15 3 3" xfId="15683" xr:uid="{22FE2F84-9312-4214-8BAB-2FFB4671053F}"/>
    <cellStyle name="Input 2 15 3 3 2" xfId="38099" xr:uid="{353EC668-A88A-44D7-8E21-8B9780B8CA43}"/>
    <cellStyle name="Input 2 15 3 3 3" xfId="28535" xr:uid="{492F1A11-431B-493A-8AD3-D510E2C107F0}"/>
    <cellStyle name="Input 2 15 3 4" xfId="20231" xr:uid="{1AD0B00D-CD29-48DB-85A5-FC2D86819B16}"/>
    <cellStyle name="Input 2 15 3 4 2" xfId="26589" xr:uid="{7D7647A2-29AC-484C-90A7-DB764E3E1C16}"/>
    <cellStyle name="Input 2 15 3 5" xfId="48283" xr:uid="{875C903E-ED77-462E-BA3A-E6C909029136}"/>
    <cellStyle name="Input 2 15 4" xfId="5036" xr:uid="{00000000-0005-0000-0000-000012050000}"/>
    <cellStyle name="Input 2 15 4 2" xfId="11930" xr:uid="{AECB2159-2A5C-4E80-BE4B-FB9A9B002FC7}"/>
    <cellStyle name="Input 2 15 4 2 2" xfId="34416" xr:uid="{35924922-CD3F-4683-9D7F-E7B6E2C869D6}"/>
    <cellStyle name="Input 2 15 4 2 3" xfId="42732" xr:uid="{2EFBDA09-CF60-4BA0-8364-A1E020A1F09E}"/>
    <cellStyle name="Input 2 15 4 3" xfId="16973" xr:uid="{CEF31633-6338-4371-8A1D-EA362E61B6C5}"/>
    <cellStyle name="Input 2 15 4 3 2" xfId="39363" xr:uid="{4C487EAB-EB34-4F64-902D-7333FACF800D}"/>
    <cellStyle name="Input 2 15 4 3 3" xfId="24876" xr:uid="{D2192D27-87CE-40CF-B992-6EEFA9E4B672}"/>
    <cellStyle name="Input 2 15 4 4" xfId="21397" xr:uid="{FAB9F2FD-BD96-49FA-9E87-18E18D174E97}"/>
    <cellStyle name="Input 2 15 4 4 2" xfId="32095" xr:uid="{F97907B8-D8AE-4470-81F5-03B8BA1B8202}"/>
    <cellStyle name="Input 2 15 4 5" xfId="46379" xr:uid="{C7A54E51-107D-47F6-9856-2BC8BD60AAF8}"/>
    <cellStyle name="Input 2 15 5" xfId="4975" xr:uid="{00000000-0005-0000-0000-000012050000}"/>
    <cellStyle name="Input 2 15 5 2" xfId="11870" xr:uid="{A3D4B928-43C8-41F2-AE1C-89E63369CF2B}"/>
    <cellStyle name="Input 2 15 5 2 2" xfId="34356" xr:uid="{AEA0B718-6DFC-4EA1-818B-EBF8D06D1985}"/>
    <cellStyle name="Input 2 15 5 2 3" xfId="26707" xr:uid="{6296237D-B1E0-4274-8748-19A998AB121C}"/>
    <cellStyle name="Input 2 15 5 3" xfId="16912" xr:uid="{9EEE61E2-145A-4D56-8ED2-079345D3C6BE}"/>
    <cellStyle name="Input 2 15 5 3 2" xfId="39302" xr:uid="{ECAA6FD4-43AF-4491-8297-49252E1896DD}"/>
    <cellStyle name="Input 2 15 5 3 3" xfId="44242" xr:uid="{52070F5B-BCE7-40A6-9112-4696BA74A8BF}"/>
    <cellStyle name="Input 2 15 5 4" xfId="21336" xr:uid="{B51468FC-4E41-4A28-92AF-F952E989B65C}"/>
    <cellStyle name="Input 2 15 5 4 2" xfId="30757" xr:uid="{CCC5F4A0-1D77-4804-A158-066D0FE6176B}"/>
    <cellStyle name="Input 2 15 5 5" xfId="51672" xr:uid="{D386A519-6EAE-4672-8B1A-B2C292952F45}"/>
    <cellStyle name="Input 2 15 6" xfId="5345" xr:uid="{00000000-0005-0000-0000-000012050000}"/>
    <cellStyle name="Input 2 15 6 2" xfId="12237" xr:uid="{7F84395B-8EED-493B-BC79-F54B1C81472F}"/>
    <cellStyle name="Input 2 15 6 2 2" xfId="34722" xr:uid="{CF7CC3B6-8C34-495A-B9AE-93503EBBF1DE}"/>
    <cellStyle name="Input 2 15 6 2 3" xfId="29970" xr:uid="{6501E303-DE61-460A-B39A-A633EE154872}"/>
    <cellStyle name="Input 2 15 6 3" xfId="17282" xr:uid="{5F9AE1AD-A569-42A9-8B46-E2B1AEC7BB38}"/>
    <cellStyle name="Input 2 15 6 3 2" xfId="39672" xr:uid="{EB04F30D-5ED8-434A-A59B-C64D2B33AF1A}"/>
    <cellStyle name="Input 2 15 6 3 3" xfId="29374" xr:uid="{F4446322-7022-4800-8F9F-7DB620EA75B0}"/>
    <cellStyle name="Input 2 15 6 4" xfId="21706" xr:uid="{F7408BCE-191C-4DF7-A6FD-A3F4F55E33DD}"/>
    <cellStyle name="Input 2 15 6 4 2" xfId="30443" xr:uid="{7BD7BF80-12BD-45ED-9E9E-E4A979314F08}"/>
    <cellStyle name="Input 2 15 6 5" xfId="51560" xr:uid="{6D570507-311E-4D16-B4E1-1DA3B05D81F3}"/>
    <cellStyle name="Input 2 15 7" xfId="6671" xr:uid="{00000000-0005-0000-0000-000012050000}"/>
    <cellStyle name="Input 2 15 7 2" xfId="13537" xr:uid="{532B10CA-0C84-4521-AC8D-F372FF5382DC}"/>
    <cellStyle name="Input 2 15 7 2 2" xfId="36021" xr:uid="{26C32381-1806-45A8-8E6F-4D527A27F971}"/>
    <cellStyle name="Input 2 15 7 2 3" xfId="47980" xr:uid="{78B30E9F-3A05-458C-91E7-2B9555878226}"/>
    <cellStyle name="Input 2 15 7 3" xfId="18608" xr:uid="{55CC7201-13C4-4A38-8A97-4274967B48F9}"/>
    <cellStyle name="Input 2 15 7 3 2" xfId="40998" xr:uid="{9C562EE3-74C4-4C56-BAE4-9B5327399439}"/>
    <cellStyle name="Input 2 15 7 3 3" xfId="44866" xr:uid="{98E95F9A-7B6F-4D91-B543-24ADCBAAE2C8}"/>
    <cellStyle name="Input 2 15 7 4" xfId="23032" xr:uid="{A3A1DB51-B875-4F8A-9232-1FF7C21205D3}"/>
    <cellStyle name="Input 2 15 7 4 2" xfId="48075" xr:uid="{E6E97801-2E72-4D03-A8F5-27EF8587DAF1}"/>
    <cellStyle name="Input 2 15 7 5" xfId="25798" xr:uid="{03C31A24-342B-4D76-B073-F723344D92FE}"/>
    <cellStyle name="Input 2 15 8" xfId="14220" xr:uid="{644E13DE-A11A-43A6-8540-0673E7E8280C}"/>
    <cellStyle name="Input 2 15 8 2" xfId="36694" xr:uid="{66005B5A-E849-45FB-B1EE-4A98E8F8303B}"/>
    <cellStyle name="Input 2 15 8 3" xfId="48343" xr:uid="{C9DEB228-E6CA-45E3-B3AE-5969EBDA1845}"/>
    <cellStyle name="Input 2 15 9" xfId="21176" xr:uid="{91DCBCFC-837A-4511-A359-ED983A0121E7}"/>
    <cellStyle name="Input 2 15 9 2" xfId="43417" xr:uid="{0CD08483-12DC-42FC-92C0-29FD7FE09B36}"/>
    <cellStyle name="Input 2 15 9 3" xfId="46891" xr:uid="{ACD17A2A-474C-4B8D-B795-F0D5C1484204}"/>
    <cellStyle name="Input 2 16" xfId="1464" xr:uid="{00000000-0005-0000-0000-000015050000}"/>
    <cellStyle name="Input 2 16 10" xfId="13612" xr:uid="{068FB993-33F4-47D4-932B-45DFF6EFF61E}"/>
    <cellStyle name="Input 2 16 10 2" xfId="51990" xr:uid="{3D25EE8C-155A-4135-BA40-8DE01B69F434}"/>
    <cellStyle name="Input 2 16 11" xfId="53457" xr:uid="{4C0C5BFE-97CA-4ACE-B540-44E1EE4D623E}"/>
    <cellStyle name="Input 2 16 2" xfId="2191" xr:uid="{00000000-0005-0000-0000-000016050000}"/>
    <cellStyle name="Input 2 16 2 10" xfId="14792" xr:uid="{13B6B396-0400-4454-84DB-BF3ACB7CE70E}"/>
    <cellStyle name="Input 2 16 2 10 2" xfId="37248" xr:uid="{5364AC4B-8EEC-433F-BEF9-5CC63BCDB273}"/>
    <cellStyle name="Input 2 16 2 10 3" xfId="51498" xr:uid="{53058B56-02CC-484C-A5AD-C548E5A4A95C}"/>
    <cellStyle name="Input 2 16 2 11" xfId="20648" xr:uid="{C92BEF2B-727A-42C1-9FE0-97F9991D09FF}"/>
    <cellStyle name="Input 2 16 2 11 2" xfId="42926" xr:uid="{52D0AECC-DA7A-4368-B222-5E539E3C38DA}"/>
    <cellStyle name="Input 2 16 2 11 3" xfId="44306" xr:uid="{DCBA5E43-39C2-48AE-B8AB-565D896B9E1B}"/>
    <cellStyle name="Input 2 16 2 12" xfId="15491" xr:uid="{355D1785-F640-4E91-BFFD-DDDF4128224F}"/>
    <cellStyle name="Input 2 16 2 12 2" xfId="51429" xr:uid="{FDFC15BE-6C8B-4BD9-8D24-3FEF0E4FB17C}"/>
    <cellStyle name="Input 2 16 2 13" xfId="52323" xr:uid="{5D815694-FE98-41B0-B75B-B64CB38C6A21}"/>
    <cellStyle name="Input 2 16 2 2" xfId="4284" xr:uid="{00000000-0005-0000-0000-000015050000}"/>
    <cellStyle name="Input 2 16 2 2 2" xfId="11188" xr:uid="{8C55352C-8CA8-4B20-B418-3658CFEEA7EF}"/>
    <cellStyle name="Input 2 16 2 2 2 2" xfId="33674" xr:uid="{120B7BB1-E20B-46F6-9064-0DC4EB05F9B3}"/>
    <cellStyle name="Input 2 16 2 2 2 3" xfId="26078" xr:uid="{8AE822D5-C376-43BE-AEC3-0D023CB67F7F}"/>
    <cellStyle name="Input 2 16 2 2 3" xfId="16249" xr:uid="{AB40587E-DA7D-416B-8856-E85418E9F111}"/>
    <cellStyle name="Input 2 16 2 2 3 2" xfId="38642" xr:uid="{46686D54-A9A2-4B27-9251-28572DA36478}"/>
    <cellStyle name="Input 2 16 2 2 3 3" xfId="28626" xr:uid="{7E59425E-E382-4EBE-81FE-03046AB2A18D}"/>
    <cellStyle name="Input 2 16 2 2 4" xfId="15035" xr:uid="{3744ECCF-A082-45A5-9D24-8BCD655A47F3}"/>
    <cellStyle name="Input 2 16 2 2 4 2" xfId="28288" xr:uid="{95E633F3-795E-4E1F-9FBD-294349213092}"/>
    <cellStyle name="Input 2 16 2 2 5" xfId="49648" xr:uid="{E7F265B7-580E-4372-8E99-A215A84C5C76}"/>
    <cellStyle name="Input 2 16 2 3" xfId="5586" xr:uid="{00000000-0005-0000-0000-000015050000}"/>
    <cellStyle name="Input 2 16 2 3 2" xfId="12471" xr:uid="{324F1A56-90CE-426F-8743-983BA1D631D3}"/>
    <cellStyle name="Input 2 16 2 3 2 2" xfId="34956" xr:uid="{E6F0AEEA-D118-42D1-9727-8896E83ADC86}"/>
    <cellStyle name="Input 2 16 2 3 2 3" xfId="29730" xr:uid="{9C3B832D-63A7-49A9-80C5-7F93A17FF88A}"/>
    <cellStyle name="Input 2 16 2 3 3" xfId="17523" xr:uid="{B63ED2B2-2C2F-41C9-B262-AE21DB7E4EF0}"/>
    <cellStyle name="Input 2 16 2 3 3 2" xfId="39913" xr:uid="{E5D130ED-8347-40B9-8FDB-E6D2E80DBB96}"/>
    <cellStyle name="Input 2 16 2 3 3 3" xfId="44442" xr:uid="{0DB76E13-BA06-45D8-901C-D07F2337BA2A}"/>
    <cellStyle name="Input 2 16 2 3 4" xfId="21947" xr:uid="{F6EC3F5E-E6DF-403F-B3C7-177E56B55E8E}"/>
    <cellStyle name="Input 2 16 2 3 4 2" xfId="46580" xr:uid="{8BBED757-D74E-4913-98B2-DD85E0CFF548}"/>
    <cellStyle name="Input 2 16 2 3 5" xfId="29513" xr:uid="{D6B309C8-04C4-4794-A622-D12211D8C63D}"/>
    <cellStyle name="Input 2 16 2 4" xfId="6002" xr:uid="{00000000-0005-0000-0000-000015050000}"/>
    <cellStyle name="Input 2 16 2 4 2" xfId="12883" xr:uid="{E7155A37-36E6-43BE-B23E-E645D806C42E}"/>
    <cellStyle name="Input 2 16 2 4 2 2" xfId="35367" xr:uid="{72200064-48DC-41A9-902C-C36EC56E17DE}"/>
    <cellStyle name="Input 2 16 2 4 2 3" xfId="28272" xr:uid="{BB4DC449-0EEA-4869-A6F5-9497868C3C05}"/>
    <cellStyle name="Input 2 16 2 4 3" xfId="17939" xr:uid="{1655FF28-C211-4D54-9E4C-2A9DCBAA131B}"/>
    <cellStyle name="Input 2 16 2 4 3 2" xfId="40329" xr:uid="{E0173C91-FD9C-41BC-B465-A75B37F5D4CD}"/>
    <cellStyle name="Input 2 16 2 4 3 3" xfId="42441" xr:uid="{076F19BE-3779-45CF-8B6F-2241EEF31BCA}"/>
    <cellStyle name="Input 2 16 2 4 4" xfId="22363" xr:uid="{AA415A7D-885B-482F-901E-58CAD7002665}"/>
    <cellStyle name="Input 2 16 2 4 4 2" xfId="48992" xr:uid="{CEDFAD22-EA77-4A0C-88CE-1E771F317081}"/>
    <cellStyle name="Input 2 16 2 4 5" xfId="49732" xr:uid="{3898D128-DD59-44FF-A936-F923CF33F44F}"/>
    <cellStyle name="Input 2 16 2 5" xfId="6339" xr:uid="{00000000-0005-0000-0000-000015050000}"/>
    <cellStyle name="Input 2 16 2 5 2" xfId="13211" xr:uid="{6325D17B-FB1A-4B9A-8F61-EAB8DA0E424B}"/>
    <cellStyle name="Input 2 16 2 5 2 2" xfId="35695" xr:uid="{A4B9FF4B-5086-4042-B627-5A8B678A99FE}"/>
    <cellStyle name="Input 2 16 2 5 2 3" xfId="51138" xr:uid="{1E82BE23-69D2-4046-B371-786B2C95BF09}"/>
    <cellStyle name="Input 2 16 2 5 3" xfId="18276" xr:uid="{EAB848C3-82C1-454D-BBC1-5C56B4A1C07F}"/>
    <cellStyle name="Input 2 16 2 5 3 2" xfId="40666" xr:uid="{D85C7A07-AF29-455C-B8EA-EF154D7E4672}"/>
    <cellStyle name="Input 2 16 2 5 3 3" xfId="45473" xr:uid="{0DB1C83E-C7C6-43F7-84BA-50FE2EE9F7EF}"/>
    <cellStyle name="Input 2 16 2 5 4" xfId="22700" xr:uid="{E46BC381-2443-4E65-AA4E-E9F5E2195093}"/>
    <cellStyle name="Input 2 16 2 5 4 2" xfId="53562" xr:uid="{292B9EA4-3469-4BA4-BE56-30FA2A1EF5E8}"/>
    <cellStyle name="Input 2 16 2 5 5" xfId="52748" xr:uid="{98015083-16D6-4D1D-8BFE-2712A1C93771}"/>
    <cellStyle name="Input 2 16 2 6" xfId="6682" xr:uid="{00000000-0005-0000-0000-000015050000}"/>
    <cellStyle name="Input 2 16 2 6 2" xfId="13548" xr:uid="{D760D569-6568-453B-8708-22B711A8EF18}"/>
    <cellStyle name="Input 2 16 2 6 2 2" xfId="36032" xr:uid="{2F9E0703-6E3E-43E3-AD74-9E078C40D426}"/>
    <cellStyle name="Input 2 16 2 6 2 3" xfId="24522" xr:uid="{96020AA0-0D18-47FE-9B8B-A1CBDFA64E3B}"/>
    <cellStyle name="Input 2 16 2 6 3" xfId="18619" xr:uid="{6F75193B-F670-4122-8C0D-B5E44B9DE61F}"/>
    <cellStyle name="Input 2 16 2 6 3 2" xfId="41009" xr:uid="{D34F3EFE-D453-4DF9-9ACE-9BB6405BC761}"/>
    <cellStyle name="Input 2 16 2 6 3 3" xfId="25717" xr:uid="{8677877C-45FC-4B6D-B5B6-F18B4BBB4B4C}"/>
    <cellStyle name="Input 2 16 2 6 4" xfId="23043" xr:uid="{AB54FBE1-60C1-49F3-B6D0-8E9763C617C6}"/>
    <cellStyle name="Input 2 16 2 6 4 2" xfId="50605" xr:uid="{E3ECFF08-FA71-4F0A-8465-F87A3CDEB568}"/>
    <cellStyle name="Input 2 16 2 6 5" xfId="53576" xr:uid="{61729E70-3798-46C5-9CFC-4942CC70500C}"/>
    <cellStyle name="Input 2 16 2 7" xfId="5691" xr:uid="{00000000-0005-0000-0000-000015050000}"/>
    <cellStyle name="Input 2 16 2 7 2" xfId="12575" xr:uid="{D62BA103-3296-4803-A004-62E87473ABE7}"/>
    <cellStyle name="Input 2 16 2 7 2 2" xfId="35060" xr:uid="{8BDB1411-403E-4BC7-9218-497DCF933F36}"/>
    <cellStyle name="Input 2 16 2 7 2 3" xfId="29218" xr:uid="{7B8898B8-BF8A-4028-8AB4-864442C98E12}"/>
    <cellStyle name="Input 2 16 2 7 3" xfId="17628" xr:uid="{3389BDA7-8FFA-4910-9B93-45749EF6D33E}"/>
    <cellStyle name="Input 2 16 2 7 3 2" xfId="40018" xr:uid="{BD42DD20-DEFD-4652-8486-7E683FDF0761}"/>
    <cellStyle name="Input 2 16 2 7 3 3" xfId="25814" xr:uid="{DDBF076A-DF1D-4320-90EB-D659ECE23A18}"/>
    <cellStyle name="Input 2 16 2 7 4" xfId="22052" xr:uid="{75B2EB9A-BDF7-4B9E-B7F1-965604F7D0B5}"/>
    <cellStyle name="Input 2 16 2 7 4 2" xfId="25965" xr:uid="{B918A7CD-668F-4BD6-B430-E308091478B5}"/>
    <cellStyle name="Input 2 16 2 7 5" xfId="49956" xr:uid="{CA198381-08C2-4FEC-A1CF-B005E498E971}"/>
    <cellStyle name="Input 2 16 2 8" xfId="7124" xr:uid="{00000000-0005-0000-0000-000015050000}"/>
    <cellStyle name="Input 2 16 2 8 2" xfId="13960" xr:uid="{DD774D9E-44D1-480A-A32D-8B7950C5F514}"/>
    <cellStyle name="Input 2 16 2 8 2 2" xfId="36444" xr:uid="{442EC5F1-9586-4B1D-8EA3-B446B200F540}"/>
    <cellStyle name="Input 2 16 2 8 2 3" xfId="28012" xr:uid="{0FB0E421-E402-47E0-AC7F-5F55F5DED73A}"/>
    <cellStyle name="Input 2 16 2 8 3" xfId="19061" xr:uid="{AC5AF487-E531-4D13-A0B3-B6AB2751AAE5}"/>
    <cellStyle name="Input 2 16 2 8 3 2" xfId="41451" xr:uid="{80CA8A5F-F6A8-4785-98AA-FE49C1090351}"/>
    <cellStyle name="Input 2 16 2 8 3 3" xfId="44924" xr:uid="{73292096-722A-46E6-BF44-CE3E47A5596E}"/>
    <cellStyle name="Input 2 16 2 8 4" xfId="23485" xr:uid="{ACB5E5F1-3F41-4519-91CB-4709C291E963}"/>
    <cellStyle name="Input 2 16 2 8 4 2" xfId="45224" xr:uid="{5BCFCFB6-56B3-4E4B-A5A5-E2DA977B50F3}"/>
    <cellStyle name="Input 2 16 2 8 5" xfId="53065" xr:uid="{59820D62-2E6C-4545-A03D-AD3735F7826B}"/>
    <cellStyle name="Input 2 16 2 9" xfId="7235" xr:uid="{00000000-0005-0000-0000-000015050000}"/>
    <cellStyle name="Input 2 16 2 9 2" xfId="19172" xr:uid="{2C2A41E2-EC73-495F-AB79-5122CB860704}"/>
    <cellStyle name="Input 2 16 2 9 2 2" xfId="41562" xr:uid="{373A7C77-4B39-4E09-8C78-93EABB413825}"/>
    <cellStyle name="Input 2 16 2 9 2 3" xfId="44687" xr:uid="{58EC631B-CA85-41BD-B8A7-9ECF72CB7FA7}"/>
    <cellStyle name="Input 2 16 2 9 3" xfId="23596" xr:uid="{8FD73B34-951E-4DBC-ADE6-2B2984069EF9}"/>
    <cellStyle name="Input 2 16 2 9 3 2" xfId="54142" xr:uid="{6BBBC545-C67E-44DA-8F67-DA243E6462E6}"/>
    <cellStyle name="Input 2 16 2 9 4" xfId="45940" xr:uid="{F1253370-4D22-4B08-9563-4E71DC7DBD14}"/>
    <cellStyle name="Input 2 16 3" xfId="3565" xr:uid="{00000000-0005-0000-0000-000014050000}"/>
    <cellStyle name="Input 2 16 3 2" xfId="10471" xr:uid="{50884B38-D701-4531-8812-8BFB09BCD84D}"/>
    <cellStyle name="Input 2 16 3 2 2" xfId="32958" xr:uid="{A570E27A-04A8-4A20-ACB9-2B77DB7C3CA8}"/>
    <cellStyle name="Input 2 16 3 2 3" xfId="48265" xr:uid="{DCC2C499-9F0F-4AD8-A06D-28F27D90D2C7}"/>
    <cellStyle name="Input 2 16 3 3" xfId="15715" xr:uid="{E01EF409-2729-48DA-91C1-72CA8BBFAFB4}"/>
    <cellStyle name="Input 2 16 3 3 2" xfId="38128" xr:uid="{BCD38140-D9C4-4F5B-92DA-4EB7F6E3B096}"/>
    <cellStyle name="Input 2 16 3 3 3" xfId="53531" xr:uid="{9AF94182-F74D-4ADB-B8B8-305E37A3897E}"/>
    <cellStyle name="Input 2 16 3 4" xfId="21125" xr:uid="{D847345D-E67A-41C1-B013-03B0B227706B}"/>
    <cellStyle name="Input 2 16 3 4 2" xfId="45713" xr:uid="{75DD7BF6-61E0-4920-AE59-A48C0F257184}"/>
    <cellStyle name="Input 2 16 3 5" xfId="53533" xr:uid="{291D71C1-3BEC-4E49-B22F-ECE0EC6288AE}"/>
    <cellStyle name="Input 2 16 4" xfId="5066" xr:uid="{00000000-0005-0000-0000-000014050000}"/>
    <cellStyle name="Input 2 16 4 2" xfId="11959" xr:uid="{517AF964-848B-425E-B236-CBC9F541C92C}"/>
    <cellStyle name="Input 2 16 4 2 2" xfId="34445" xr:uid="{256361B9-571B-4454-8345-64FB81E8B50A}"/>
    <cellStyle name="Input 2 16 4 2 3" xfId="29056" xr:uid="{5F676BDA-B153-431C-9FE9-4A4E0A85B156}"/>
    <cellStyle name="Input 2 16 4 3" xfId="17003" xr:uid="{D87FE202-362F-405F-B1FB-1A27C82B1C7D}"/>
    <cellStyle name="Input 2 16 4 3 2" xfId="39393" xr:uid="{35592629-1AE3-45FE-A09F-A435EF8EDBAE}"/>
    <cellStyle name="Input 2 16 4 3 3" xfId="28601" xr:uid="{1AF32897-99BD-4904-8739-CADF1436D538}"/>
    <cellStyle name="Input 2 16 4 4" xfId="21427" xr:uid="{BC33A2E5-0DD6-4EB8-9375-B5D82A4A83EA}"/>
    <cellStyle name="Input 2 16 4 4 2" xfId="29187" xr:uid="{1A8F8739-517C-46CA-BBAB-B3BDDB46EA69}"/>
    <cellStyle name="Input 2 16 4 5" xfId="50423" xr:uid="{D620D507-4DAA-4509-B909-B2F30EFC5277}"/>
    <cellStyle name="Input 2 16 5" xfId="2752" xr:uid="{00000000-0005-0000-0000-000014050000}"/>
    <cellStyle name="Input 2 16 5 2" xfId="9661" xr:uid="{C5949C73-456D-4EBD-9825-D13BBFFE7309}"/>
    <cellStyle name="Input 2 16 5 2 2" xfId="32209" xr:uid="{4D7B2C3B-8C87-416C-983D-F8E182081B33}"/>
    <cellStyle name="Input 2 16 5 2 3" xfId="28297" xr:uid="{7303DC31-4BA3-4C82-AA44-730F892BD4F4}"/>
    <cellStyle name="Input 2 16 5 3" xfId="15179" xr:uid="{490CF7B4-0D4C-4E90-83AD-6F7FF78E9A57}"/>
    <cellStyle name="Input 2 16 5 3 2" xfId="37619" xr:uid="{D63A47D3-D63F-4B1C-BBB9-200B60A786BA}"/>
    <cellStyle name="Input 2 16 5 3 3" xfId="46566" xr:uid="{DAD8FC4F-4ECB-49B7-A073-1229639F55C9}"/>
    <cellStyle name="Input 2 16 5 4" xfId="19503" xr:uid="{EC77EC6B-20E9-4487-931D-CCD35B826101}"/>
    <cellStyle name="Input 2 16 5 4 2" xfId="26960" xr:uid="{E6F65380-772F-4036-9A72-92D5482AE3D1}"/>
    <cellStyle name="Input 2 16 5 5" xfId="50774" xr:uid="{4EF11139-21FE-4DC7-8280-FAC7B583D34C}"/>
    <cellStyle name="Input 2 16 6" xfId="5839" xr:uid="{00000000-0005-0000-0000-000014050000}"/>
    <cellStyle name="Input 2 16 6 2" xfId="12722" xr:uid="{C3F645E6-1D8B-4F99-A2EE-DE8A63205336}"/>
    <cellStyle name="Input 2 16 6 2 2" xfId="35206" xr:uid="{2DB87077-7C2E-4FFC-A135-D9D584C000C8}"/>
    <cellStyle name="Input 2 16 6 2 3" xfId="28588" xr:uid="{D1AF700D-FE0A-4206-9BBB-265E5CB5A89D}"/>
    <cellStyle name="Input 2 16 6 3" xfId="17776" xr:uid="{B4E9065D-32E3-42A8-850A-1B4B7E5BC12F}"/>
    <cellStyle name="Input 2 16 6 3 2" xfId="40166" xr:uid="{F9D79259-AFC7-4F1D-B7F0-D6DAAA40E3B9}"/>
    <cellStyle name="Input 2 16 6 3 3" xfId="24433" xr:uid="{EDB00395-24F1-45DE-AC5C-6141BF944F36}"/>
    <cellStyle name="Input 2 16 6 4" xfId="22200" xr:uid="{520DF016-829E-43F5-ADCE-D67EE0C719AB}"/>
    <cellStyle name="Input 2 16 6 4 2" xfId="45230" xr:uid="{E58E40B1-5D2F-4DC6-B7D4-54B5EDEAAAFF}"/>
    <cellStyle name="Input 2 16 6 5" xfId="51975" xr:uid="{A8FE5C66-905E-419A-B64E-10A2DA951215}"/>
    <cellStyle name="Input 2 16 7" xfId="4845" xr:uid="{00000000-0005-0000-0000-000014050000}"/>
    <cellStyle name="Input 2 16 7 2" xfId="11741" xr:uid="{2A0F1503-AEFB-4323-9110-66EEC9F32FE7}"/>
    <cellStyle name="Input 2 16 7 2 2" xfId="34227" xr:uid="{D898BDD5-F00A-4BB4-953F-F742491FBA57}"/>
    <cellStyle name="Input 2 16 7 2 3" xfId="25784" xr:uid="{EECF8A8C-4CA7-4597-B9DD-F31CB1B1AA2D}"/>
    <cellStyle name="Input 2 16 7 3" xfId="16782" xr:uid="{43DAA984-3A6D-4154-91C0-B36111F84584}"/>
    <cellStyle name="Input 2 16 7 3 2" xfId="39172" xr:uid="{D25D3DDE-738B-4848-A252-AAC5BB630A41}"/>
    <cellStyle name="Input 2 16 7 3 3" xfId="41841" xr:uid="{D1B31694-94FE-4914-848F-E8E4FBCCADF4}"/>
    <cellStyle name="Input 2 16 7 4" xfId="19208" xr:uid="{685A7006-F116-4234-9205-AC5B55698AB7}"/>
    <cellStyle name="Input 2 16 7 4 2" xfId="27214" xr:uid="{36C5382A-71B2-4355-B04B-A97CA18F9677}"/>
    <cellStyle name="Input 2 16 7 5" xfId="50977" xr:uid="{281BA258-467E-4AB9-AE98-D73ABAC5546F}"/>
    <cellStyle name="Input 2 16 8" xfId="14249" xr:uid="{C790E7AD-1033-46DF-AD65-A1523196DD38}"/>
    <cellStyle name="Input 2 16 8 2" xfId="36722" xr:uid="{62195064-27CA-48FB-BE75-4A8EC2466510}"/>
    <cellStyle name="Input 2 16 8 3" xfId="53318" xr:uid="{4BC07BB0-A5AA-4B1D-B1D1-7E606F7BDA73}"/>
    <cellStyle name="Input 2 16 9" xfId="19943" xr:uid="{BE59C000-3345-4F84-A347-179AFDB14522}"/>
    <cellStyle name="Input 2 16 9 2" xfId="42273" xr:uid="{FD78FBFB-682F-41DF-9C67-C79DAA3886EE}"/>
    <cellStyle name="Input 2 16 9 3" xfId="29862" xr:uid="{AF70F6EE-311B-4EE5-907B-94FCDA29BEF5}"/>
    <cellStyle name="Input 2 17" xfId="1521" xr:uid="{00000000-0005-0000-0000-000017050000}"/>
    <cellStyle name="Input 2 17 10" xfId="14285" xr:uid="{A1314445-DCAD-4252-A81A-B3C52EF76315}"/>
    <cellStyle name="Input 2 17 10 2" xfId="36754" xr:uid="{32B8D462-E379-497C-B1BD-5C84D83F057E}"/>
    <cellStyle name="Input 2 17 10 3" xfId="50585" xr:uid="{5167D01E-F734-43E6-825E-599374917BA4}"/>
    <cellStyle name="Input 2 17 11" xfId="15593" xr:uid="{57481A48-6A85-4EC3-9D92-C724E0CFCBD3}"/>
    <cellStyle name="Input 2 17 11 2" xfId="38010" xr:uid="{963E18F6-7673-4A10-9379-A2B76EFC77A2}"/>
    <cellStyle name="Input 2 17 11 3" xfId="53556" xr:uid="{2B98F7B9-F29E-4298-A321-6925897CE406}"/>
    <cellStyle name="Input 2 17 12" xfId="20337" xr:uid="{D2B48C81-7B24-4C92-AAEF-5057E8E515EB}"/>
    <cellStyle name="Input 2 17 12 2" xfId="50852" xr:uid="{7D1D66DE-7908-4B1F-AF81-46B979A31B45}"/>
    <cellStyle name="Input 2 17 13" xfId="53991" xr:uid="{351322A6-BD56-464A-AEAB-8C802AA20403}"/>
    <cellStyle name="Input 2 17 2" xfId="3622" xr:uid="{00000000-0005-0000-0000-000016050000}"/>
    <cellStyle name="Input 2 17 2 2" xfId="10526" xr:uid="{315FB322-1AD6-433B-875B-09D6EA1E5343}"/>
    <cellStyle name="Input 2 17 2 2 2" xfId="33012" xr:uid="{E8C36EA4-FC9B-413A-94E9-982F5D4BC87E}"/>
    <cellStyle name="Input 2 17 2 2 3" xfId="53552" xr:uid="{82B0BB0C-8777-48EB-81C1-B0481AA5770B}"/>
    <cellStyle name="Input 2 17 2 3" xfId="15745" xr:uid="{5D12069D-B449-4C24-85BE-9F47998A80D8}"/>
    <cellStyle name="Input 2 17 2 3 2" xfId="38157" xr:uid="{26438326-124F-4ECD-A094-723195B88873}"/>
    <cellStyle name="Input 2 17 2 3 3" xfId="46585" xr:uid="{52FE3ED3-4C04-4516-B87E-EE00DA15FC40}"/>
    <cellStyle name="Input 2 17 2 4" xfId="14536" xr:uid="{435D9035-18E2-476A-AECA-7CC203C3A7FD}"/>
    <cellStyle name="Input 2 17 2 4 2" xfId="51297" xr:uid="{96715AD2-DEC3-4433-81E4-39DE1F179C12}"/>
    <cellStyle name="Input 2 17 2 5" xfId="54062" xr:uid="{7FB2D0C7-8762-4367-B1B9-A89DEA837C0F}"/>
    <cellStyle name="Input 2 17 3" xfId="5104" xr:uid="{00000000-0005-0000-0000-000016050000}"/>
    <cellStyle name="Input 2 17 3 2" xfId="11997" xr:uid="{5224C799-345A-4BA6-BAAE-5A0B5E232181}"/>
    <cellStyle name="Input 2 17 3 2 2" xfId="34483" xr:uid="{1932F003-2AED-43FD-B49E-E9AC2003CC55}"/>
    <cellStyle name="Input 2 17 3 2 3" xfId="28124" xr:uid="{6828195B-0C9C-4A42-B1C3-B710933F9F54}"/>
    <cellStyle name="Input 2 17 3 3" xfId="17041" xr:uid="{4E5F23CE-52DF-423B-A88F-75F672971AEA}"/>
    <cellStyle name="Input 2 17 3 3 2" xfId="39431" xr:uid="{AEF400B2-CB4A-4C8A-A71A-5EB8E42D9CFA}"/>
    <cellStyle name="Input 2 17 3 3 3" xfId="29338" xr:uid="{027893E6-F6A1-45BA-89BF-1396AFAA99B9}"/>
    <cellStyle name="Input 2 17 3 4" xfId="21465" xr:uid="{A902DB1E-CA16-4286-B3D9-78A15F1E1094}"/>
    <cellStyle name="Input 2 17 3 4 2" xfId="53435" xr:uid="{0EE4F9C6-51D0-4963-A3CE-2BC478A7AD8D}"/>
    <cellStyle name="Input 2 17 3 5" xfId="26138" xr:uid="{17A36F60-5C64-4C93-AC55-B794A1635289}"/>
    <cellStyle name="Input 2 17 4" xfId="4381" xr:uid="{00000000-0005-0000-0000-000016050000}"/>
    <cellStyle name="Input 2 17 4 2" xfId="11283" xr:uid="{91C6A217-2985-4A68-90FC-B606AB03DD81}"/>
    <cellStyle name="Input 2 17 4 2 2" xfId="33769" xr:uid="{0AA0DCB7-690F-4C68-964D-F78BBC2F254F}"/>
    <cellStyle name="Input 2 17 4 2 3" xfId="37436" xr:uid="{567944B8-93BA-4484-B558-7DC32B5D91C5}"/>
    <cellStyle name="Input 2 17 4 3" xfId="16318" xr:uid="{8DD9DCF3-A4FE-465E-B0CF-D20215FA5B4E}"/>
    <cellStyle name="Input 2 17 4 3 2" xfId="38708" xr:uid="{F78C444C-8FFD-43CC-AAAD-3C4189AC1BD8}"/>
    <cellStyle name="Input 2 17 4 3 3" xfId="26091" xr:uid="{981C8B0C-FD45-4487-8744-E134E4B289BE}"/>
    <cellStyle name="Input 2 17 4 4" xfId="16269" xr:uid="{59C43FD1-2377-441D-ABDC-5F8437059DEC}"/>
    <cellStyle name="Input 2 17 4 4 2" xfId="30919" xr:uid="{2E79012A-8E28-4317-B8FE-042B616AEFF4}"/>
    <cellStyle name="Input 2 17 4 5" xfId="47349" xr:uid="{A0EA2358-045C-459A-8B4C-E1DBE07EE53B}"/>
    <cellStyle name="Input 2 17 5" xfId="4978" xr:uid="{00000000-0005-0000-0000-000016050000}"/>
    <cellStyle name="Input 2 17 5 2" xfId="11873" xr:uid="{AE33CDAB-34E6-44AF-87DB-A86D3E55599C}"/>
    <cellStyle name="Input 2 17 5 2 2" xfId="34359" xr:uid="{A8FEAD7C-4400-43D3-AFA8-0796655502B9}"/>
    <cellStyle name="Input 2 17 5 2 3" xfId="29451" xr:uid="{6D179C2A-448C-4A83-AC5A-039DE1617974}"/>
    <cellStyle name="Input 2 17 5 3" xfId="16915" xr:uid="{4CCB94EC-FAE2-4230-B889-504787C660F1}"/>
    <cellStyle name="Input 2 17 5 3 2" xfId="39305" xr:uid="{46F8CB03-3536-4E7B-BBB1-35546A0C4456}"/>
    <cellStyle name="Input 2 17 5 3 3" xfId="27978" xr:uid="{106DC8FC-E8E6-4206-A404-CF2EC806F571}"/>
    <cellStyle name="Input 2 17 5 4" xfId="21339" xr:uid="{5632B8A1-A55E-469C-9AAA-8B84640AE740}"/>
    <cellStyle name="Input 2 17 5 4 2" xfId="47090" xr:uid="{42BC5B2D-6A31-4FB8-9387-07757A5E973A}"/>
    <cellStyle name="Input 2 17 5 5" xfId="36534" xr:uid="{A5367737-31B6-4B20-B8F9-AB67F3E3ADD2}"/>
    <cellStyle name="Input 2 17 6" xfId="5632" xr:uid="{00000000-0005-0000-0000-000016050000}"/>
    <cellStyle name="Input 2 17 6 2" xfId="12516" xr:uid="{07EC8D05-AF3B-4145-8F77-FAD1762D3212}"/>
    <cellStyle name="Input 2 17 6 2 2" xfId="35001" xr:uid="{D04DFF1C-AA56-4241-9523-4691CAA6E709}"/>
    <cellStyle name="Input 2 17 6 2 3" xfId="44171" xr:uid="{71BC5175-057E-43E1-90F5-B4BB57AD8B6D}"/>
    <cellStyle name="Input 2 17 6 3" xfId="17569" xr:uid="{C0CC1D68-4886-40E5-B7F5-65406240F90D}"/>
    <cellStyle name="Input 2 17 6 3 2" xfId="39959" xr:uid="{5695A0AF-B6E9-4564-8729-2F3BF07334A6}"/>
    <cellStyle name="Input 2 17 6 3 3" xfId="29871" xr:uid="{ED750F5E-3AC0-4964-9F06-F0D8F873EFAC}"/>
    <cellStyle name="Input 2 17 6 4" xfId="21993" xr:uid="{F3F84D3C-1117-4DCC-9389-E6DDB2DB294F}"/>
    <cellStyle name="Input 2 17 6 4 2" xfId="50666" xr:uid="{7C27AA73-82E9-4D0C-AB08-2E0DD0FB57C1}"/>
    <cellStyle name="Input 2 17 6 5" xfId="38632" xr:uid="{45E5C716-EA6D-4FFF-92A3-3D047143B365}"/>
    <cellStyle name="Input 2 17 7" xfId="4490" xr:uid="{00000000-0005-0000-0000-000016050000}"/>
    <cellStyle name="Input 2 17 7 2" xfId="11392" xr:uid="{1E7482A2-1FE3-4AD3-98C6-FBF18F7C6721}"/>
    <cellStyle name="Input 2 17 7 2 2" xfId="33878" xr:uid="{9D58E257-251D-4FFB-B0A9-0C8A7E3EAEE7}"/>
    <cellStyle name="Input 2 17 7 2 3" xfId="28118" xr:uid="{8B44003E-C391-44C6-AF17-205C95C9BF05}"/>
    <cellStyle name="Input 2 17 7 3" xfId="16427" xr:uid="{BA5330CF-575A-4F86-99E1-7C7EBC5FE962}"/>
    <cellStyle name="Input 2 17 7 3 2" xfId="38817" xr:uid="{9E289EE5-A8C2-4A18-B6AE-5D083B53F3B5}"/>
    <cellStyle name="Input 2 17 7 3 3" xfId="41603" xr:uid="{D71495B2-D1A9-41F6-B513-49A1AF3BA530}"/>
    <cellStyle name="Input 2 17 7 4" xfId="15737" xr:uid="{AC56571C-02AA-43EF-ACAB-2E457B6B757C}"/>
    <cellStyle name="Input 2 17 7 4 2" xfId="52503" xr:uid="{449FBC2B-D076-4BF2-B2F5-0DB3E97393C8}"/>
    <cellStyle name="Input 2 17 7 5" xfId="49537" xr:uid="{DEEEE193-DBDC-4670-B6C9-71860D7BC296}"/>
    <cellStyle name="Input 2 17 8" xfId="5280" xr:uid="{00000000-0005-0000-0000-000016050000}"/>
    <cellStyle name="Input 2 17 8 2" xfId="12172" xr:uid="{6600595D-71F6-4BC6-8F24-1BA08F45F5E6}"/>
    <cellStyle name="Input 2 17 8 2 2" xfId="34657" xr:uid="{C4A21444-3340-4231-B5FC-F289C7102EAD}"/>
    <cellStyle name="Input 2 17 8 2 3" xfId="26065" xr:uid="{09CC6C8A-27FC-4295-AAEC-E62078269A22}"/>
    <cellStyle name="Input 2 17 8 3" xfId="17217" xr:uid="{EA5FD9C3-E463-4625-979F-D34F905C3AE6}"/>
    <cellStyle name="Input 2 17 8 3 2" xfId="39607" xr:uid="{F444A0BB-202C-4059-A318-0F481767AA44}"/>
    <cellStyle name="Input 2 17 8 3 3" xfId="42885" xr:uid="{96CF76EA-B5EF-4DCA-9406-FBE4D45160DB}"/>
    <cellStyle name="Input 2 17 8 4" xfId="21641" xr:uid="{AED3D3B5-54B0-4295-A60A-0AA8ED2AFF6F}"/>
    <cellStyle name="Input 2 17 8 4 2" xfId="37261" xr:uid="{FA35C486-1220-4F89-AABA-007050F4C6E4}"/>
    <cellStyle name="Input 2 17 8 5" xfId="52863" xr:uid="{60AD2C12-1AB5-4B38-AA88-E88B22A7F99E}"/>
    <cellStyle name="Input 2 17 9" xfId="2377" xr:uid="{00000000-0005-0000-0000-000016050000}"/>
    <cellStyle name="Input 2 17 9 2" xfId="14930" xr:uid="{0E37B2C7-A932-4EAA-99EE-F91A9359A684}"/>
    <cellStyle name="Input 2 17 9 2 2" xfId="37384" xr:uid="{BCBD7935-E3F6-480D-87B2-185F3268D57A}"/>
    <cellStyle name="Input 2 17 9 2 3" xfId="31965" xr:uid="{D21DD79D-A5B7-4E5A-A026-AD0879692E8E}"/>
    <cellStyle name="Input 2 17 9 3" xfId="14936" xr:uid="{B8B0F27C-A3B6-48C9-A410-C862D90834D4}"/>
    <cellStyle name="Input 2 17 9 3 2" xfId="49681" xr:uid="{4BD5C13D-A0B8-4DDD-B0E7-A5035BCCE6B6}"/>
    <cellStyle name="Input 2 17 9 4" xfId="48254" xr:uid="{A884A2BD-C60B-4C64-9CED-C4D16D66A7A3}"/>
    <cellStyle name="Input 2 18" xfId="2297" xr:uid="{00000000-0005-0000-0000-000007050000}"/>
    <cellStyle name="Input 2 18 2" xfId="9207" xr:uid="{809F1BD7-DB1A-48B5-B59E-080E7787B115}"/>
    <cellStyle name="Input 2 18 2 2" xfId="31782" xr:uid="{A60A8487-4DF6-46C6-B17E-B70ECF96CA99}"/>
    <cellStyle name="Input 2 18 2 3" xfId="54080" xr:uid="{B6317A4D-37D6-44C0-806B-52D05F48A5E0}"/>
    <cellStyle name="Input 2 18 3" xfId="14864" xr:uid="{B21EA3E2-5556-42CA-B029-A175CB4682BD}"/>
    <cellStyle name="Input 2 18 3 2" xfId="37318" xr:uid="{B3BEBA76-3E3B-4727-8084-8C17E410D6E5}"/>
    <cellStyle name="Input 2 18 3 3" xfId="47596" xr:uid="{633962ED-FDD9-4CDB-AD23-F42C933758D3}"/>
    <cellStyle name="Input 2 18 4" xfId="15728" xr:uid="{29A7899B-7A35-44B7-8AA7-D1C35731BDBA}"/>
    <cellStyle name="Input 2 18 4 2" xfId="49232" xr:uid="{96B1D412-6AF6-413F-BC9D-77D2C65D8051}"/>
    <cellStyle name="Input 2 18 5" xfId="46298" xr:uid="{D01035D4-A424-45B6-9CFC-766460FBC13F}"/>
    <cellStyle name="Input 2 19" xfId="2625" xr:uid="{00000000-0005-0000-0000-000007050000}"/>
    <cellStyle name="Input 2 19 2" xfId="9534" xr:uid="{26DB353E-FB5B-4325-8F6E-EEE0BE3508F8}"/>
    <cellStyle name="Input 2 19 2 2" xfId="32085" xr:uid="{C56DFE9D-B81D-4560-97B7-6459D37EB526}"/>
    <cellStyle name="Input 2 19 2 3" xfId="49654" xr:uid="{5B5EC5CC-8D97-4269-A345-C4DC329706B4}"/>
    <cellStyle name="Input 2 19 3" xfId="15096" xr:uid="{A3A9A965-AEE4-4308-9963-25ED935D4205}"/>
    <cellStyle name="Input 2 19 3 2" xfId="37540" xr:uid="{4FA15472-F467-4F4D-9635-38BFA7D402B5}"/>
    <cellStyle name="Input 2 19 3 3" xfId="49734" xr:uid="{9757C95D-7306-48E0-A3C0-7C83555F31D7}"/>
    <cellStyle name="Input 2 19 4" xfId="19963" xr:uid="{9CA562C9-7A1A-4152-B09C-CBFDFC9F9948}"/>
    <cellStyle name="Input 2 19 4 2" xfId="25978" xr:uid="{08F697F7-1DF7-4B2A-BC4A-3444FF5138DA}"/>
    <cellStyle name="Input 2 19 5" xfId="49818" xr:uid="{2F7CAC7B-A816-45F8-A9C9-34D3289663BC}"/>
    <cellStyle name="Input 2 2" xfId="419" xr:uid="{00000000-0005-0000-0000-000018050000}"/>
    <cellStyle name="Input 2 2 10" xfId="5630" xr:uid="{00000000-0005-0000-0000-000017050000}"/>
    <cellStyle name="Input 2 2 10 2" xfId="12514" xr:uid="{7D76B431-E6BA-42D0-A5CA-BA921C4BAF72}"/>
    <cellStyle name="Input 2 2 10 2 2" xfId="34999" xr:uid="{047837A8-B9BF-407E-B046-ED9137ABDD12}"/>
    <cellStyle name="Input 2 2 10 2 3" xfId="43299" xr:uid="{6D5A6199-F3F6-415D-8B52-7431EC0CB46A}"/>
    <cellStyle name="Input 2 2 10 3" xfId="17567" xr:uid="{FB5BF607-D19F-4873-B4AA-5220309D6876}"/>
    <cellStyle name="Input 2 2 10 3 2" xfId="39957" xr:uid="{1547F14A-2ABE-47EE-B175-A6BA2A0EB78B}"/>
    <cellStyle name="Input 2 2 10 3 3" xfId="28430" xr:uid="{0B1E2AC4-1CA1-4EBE-B1EF-994B6704E14A}"/>
    <cellStyle name="Input 2 2 10 4" xfId="21991" xr:uid="{1A51EB1D-84B9-4E81-8107-C30694FDB521}"/>
    <cellStyle name="Input 2 2 10 4 2" xfId="26936" xr:uid="{2988869E-55E4-4539-B09E-01AD15D613A4}"/>
    <cellStyle name="Input 2 2 10 5" xfId="41617" xr:uid="{66E5AC58-3B60-411A-8CD6-6032DB3A4109}"/>
    <cellStyle name="Input 2 2 11" xfId="5284" xr:uid="{00000000-0005-0000-0000-000017050000}"/>
    <cellStyle name="Input 2 2 11 2" xfId="12176" xr:uid="{8AC1478F-4142-4E93-A16B-B54290070362}"/>
    <cellStyle name="Input 2 2 11 2 2" xfId="34661" xr:uid="{68F0AD56-723F-4762-985F-6E094042C867}"/>
    <cellStyle name="Input 2 2 11 2 3" xfId="45524" xr:uid="{8F891773-77DD-49EA-B8DD-7DF866D618C8}"/>
    <cellStyle name="Input 2 2 11 3" xfId="17221" xr:uid="{215BB19B-2CA1-4B3B-BE91-F0929FC2A59A}"/>
    <cellStyle name="Input 2 2 11 3 2" xfId="39611" xr:uid="{77D8C0B0-3EEC-4728-BAF9-0F7E9AD1D46E}"/>
    <cellStyle name="Input 2 2 11 3 3" xfId="29554" xr:uid="{E7B6B93F-C109-4C7C-9583-0497CAA432E8}"/>
    <cellStyle name="Input 2 2 11 4" xfId="21645" xr:uid="{F79A7992-9E07-4BDB-BA6A-B9142FD75682}"/>
    <cellStyle name="Input 2 2 11 4 2" xfId="28096" xr:uid="{0F3AEBDE-C642-43A9-852B-EA5AA61414EE}"/>
    <cellStyle name="Input 2 2 11 5" xfId="27673" xr:uid="{4E4C4932-6208-4C92-9AB4-4CEFFFE00538}"/>
    <cellStyle name="Input 2 2 12" xfId="5916" xr:uid="{00000000-0005-0000-0000-000017050000}"/>
    <cellStyle name="Input 2 2 12 2" xfId="12797" xr:uid="{F91EE364-3F79-47A2-9307-D4BFA2125F37}"/>
    <cellStyle name="Input 2 2 12 2 2" xfId="35281" xr:uid="{683E124A-853F-4B2C-93DF-5D1FC25D6089}"/>
    <cellStyle name="Input 2 2 12 2 3" xfId="50552" xr:uid="{A7639C32-D0DC-487C-A31F-7F2F112D09E8}"/>
    <cellStyle name="Input 2 2 12 3" xfId="17853" xr:uid="{D28B5604-0354-4F17-9E27-B4C28C37F6E0}"/>
    <cellStyle name="Input 2 2 12 3 2" xfId="40243" xr:uid="{E15D154B-1AE5-4936-9E49-17C42A8E4908}"/>
    <cellStyle name="Input 2 2 12 3 3" xfId="27766" xr:uid="{40098518-18DF-4152-A74A-B1C8AE44893E}"/>
    <cellStyle name="Input 2 2 12 4" xfId="22277" xr:uid="{95233A9D-A01E-4DA2-9D88-A6D0A6579B95}"/>
    <cellStyle name="Input 2 2 12 4 2" xfId="50918" xr:uid="{EDA245F0-33BD-4B4F-AC2C-E1919D7A4BDD}"/>
    <cellStyle name="Input 2 2 12 5" xfId="29866" xr:uid="{D2AFF975-D7AB-45B8-AB16-B14FA6381696}"/>
    <cellStyle name="Input 2 2 13" xfId="9019" xr:uid="{941B21C2-A847-4C52-8984-4DFFACEA88E6}"/>
    <cellStyle name="Input 2 2 13 2" xfId="31597" xr:uid="{B684270C-C030-44CB-9EFF-4C152D16EBA9}"/>
    <cellStyle name="Input 2 2 13 3" xfId="51929" xr:uid="{77ACC008-7D93-475C-8338-883E76F8D85B}"/>
    <cellStyle name="Input 2 2 14" xfId="15278" xr:uid="{F280E1EA-EA7E-4059-8A3E-BD10FF4195EC}"/>
    <cellStyle name="Input 2 2 14 2" xfId="37711" xr:uid="{BDFBE741-983B-455B-A2D5-2A0CCCA95515}"/>
    <cellStyle name="Input 2 2 14 3" xfId="49759" xr:uid="{14B5318B-CC78-4653-8C97-BE9EC851736D}"/>
    <cellStyle name="Input 2 2 15" xfId="20946" xr:uid="{3E2972D4-56FF-4BE5-B5EC-A8C978E813A7}"/>
    <cellStyle name="Input 2 2 15 2" xfId="48756" xr:uid="{1644C345-EDCF-4A9C-BC14-1CE4370452C5}"/>
    <cellStyle name="Input 2 2 16" xfId="31896" xr:uid="{A0775B20-A09D-406F-BF62-4E5F131A465B}"/>
    <cellStyle name="Input 2 2 2" xfId="575" xr:uid="{00000000-0005-0000-0000-000019050000}"/>
    <cellStyle name="Input 2 2 2 10" xfId="20744" xr:uid="{693B77BC-C84B-4921-B60D-88604C063824}"/>
    <cellStyle name="Input 2 2 2 10 2" xfId="30334" xr:uid="{7CFDE087-E477-4098-8413-2186E7E2611D}"/>
    <cellStyle name="Input 2 2 2 11" xfId="41747" xr:uid="{E9A261BC-5726-491B-95BE-6C8CFE45E0D6}"/>
    <cellStyle name="Input 2 2 2 2" xfId="1709" xr:uid="{00000000-0005-0000-0000-00001A050000}"/>
    <cellStyle name="Input 2 2 2 2 10" xfId="14410" xr:uid="{91C3DED6-9A2F-49CC-B901-C55A1069EF8E}"/>
    <cellStyle name="Input 2 2 2 2 10 2" xfId="36876" xr:uid="{07D9E000-887D-4BB1-9C9A-29D89C888A83}"/>
    <cellStyle name="Input 2 2 2 2 10 3" xfId="52894" xr:uid="{5D69E1D9-FBFD-49F9-8422-6A47FE191634}"/>
    <cellStyle name="Input 2 2 2 2 11" xfId="20007" xr:uid="{433026BB-155C-4819-B53B-A8070D036EBD}"/>
    <cellStyle name="Input 2 2 2 2 11 2" xfId="42332" xr:uid="{6E92D1C5-D8D2-44A1-9AF0-878A7E137361}"/>
    <cellStyle name="Input 2 2 2 2 11 3" xfId="44636" xr:uid="{996DB115-DE0B-42B0-BC2E-62EDF0B1BCE1}"/>
    <cellStyle name="Input 2 2 2 2 12" xfId="14761" xr:uid="{A2B95FD8-829A-4512-882B-70DCDC82EB03}"/>
    <cellStyle name="Input 2 2 2 2 12 2" xfId="50248" xr:uid="{10ED57F8-16D0-4007-B5FD-A9A13EAA411F}"/>
    <cellStyle name="Input 2 2 2 2 13" xfId="53004" xr:uid="{58681E0B-3817-4693-9D9B-A6605F8CA4C6}"/>
    <cellStyle name="Input 2 2 2 2 2" xfId="3807" xr:uid="{00000000-0005-0000-0000-000019050000}"/>
    <cellStyle name="Input 2 2 2 2 2 2" xfId="10711" xr:uid="{AC88EF14-9A2B-40C6-97D8-60BE5B9FC089}"/>
    <cellStyle name="Input 2 2 2 2 2 2 2" xfId="33197" xr:uid="{A7E45C8D-C953-4E7D-973E-6EF1A17488EF}"/>
    <cellStyle name="Input 2 2 2 2 2 2 3" xfId="49989" xr:uid="{B1F704EE-3F90-40AA-B46D-9CB6E291A45E}"/>
    <cellStyle name="Input 2 2 2 2 2 3" xfId="15867" xr:uid="{3B347FE5-6A0F-4813-80DC-F9723E038CFF}"/>
    <cellStyle name="Input 2 2 2 2 2 3 2" xfId="38273" xr:uid="{6F8D72A5-7AF1-44AF-9669-9EBD4F377A1C}"/>
    <cellStyle name="Input 2 2 2 2 2 3 3" xfId="45981" xr:uid="{AB106477-1A30-455A-93A1-9CD6F7D72E13}"/>
    <cellStyle name="Input 2 2 2 2 2 4" xfId="21109" xr:uid="{18A0BBA9-E3BC-4215-9EB6-F34978873336}"/>
    <cellStyle name="Input 2 2 2 2 2 4 2" xfId="47403" xr:uid="{AFD0CBFF-A908-4180-AD4C-A09B1E294C81}"/>
    <cellStyle name="Input 2 2 2 2 2 5" xfId="51495" xr:uid="{F7BF04DD-955E-40E9-B408-4776BDA6049C}"/>
    <cellStyle name="Input 2 2 2 2 3" xfId="5223" xr:uid="{00000000-0005-0000-0000-000019050000}"/>
    <cellStyle name="Input 2 2 2 2 3 2" xfId="12115" xr:uid="{328490DB-CC5E-4E42-AB8F-0FE904D487F2}"/>
    <cellStyle name="Input 2 2 2 2 3 2 2" xfId="34600" xr:uid="{53B74C19-ED3A-4AA7-BAFC-B494A7B4D3E7}"/>
    <cellStyle name="Input 2 2 2 2 3 2 3" xfId="28778" xr:uid="{179C2F62-78EB-4176-8FD8-78F3883C97BC}"/>
    <cellStyle name="Input 2 2 2 2 3 3" xfId="17160" xr:uid="{5826D0EB-285D-456A-A1BD-DA2CF520A5A2}"/>
    <cellStyle name="Input 2 2 2 2 3 3 2" xfId="39550" xr:uid="{75D4F4EF-790A-4B78-A6BE-CA9CF1798E32}"/>
    <cellStyle name="Input 2 2 2 2 3 3 3" xfId="45496" xr:uid="{9195C97F-403A-4C21-88E1-99DADD768CD8}"/>
    <cellStyle name="Input 2 2 2 2 3 4" xfId="21584" xr:uid="{76EEA858-28B7-4B10-9765-6EE04095010C}"/>
    <cellStyle name="Input 2 2 2 2 3 4 2" xfId="50434" xr:uid="{5CCF7C9B-A9BF-415F-9EB6-B45843E0FAA9}"/>
    <cellStyle name="Input 2 2 2 2 3 5" xfId="51548" xr:uid="{C44EFEC9-3932-4F6A-83DF-3FCB4E110FBE}"/>
    <cellStyle name="Input 2 2 2 2 4" xfId="5635" xr:uid="{00000000-0005-0000-0000-000019050000}"/>
    <cellStyle name="Input 2 2 2 2 4 2" xfId="12519" xr:uid="{922B0DD4-A7A6-4F67-AF69-7CB45AFCBF95}"/>
    <cellStyle name="Input 2 2 2 2 4 2 2" xfId="35004" xr:uid="{7A40BC52-C49B-4527-87E6-8A34CDE72A69}"/>
    <cellStyle name="Input 2 2 2 2 4 2 3" xfId="29248" xr:uid="{404B79CD-2021-42B3-BF41-768E2BA75A32}"/>
    <cellStyle name="Input 2 2 2 2 4 3" xfId="17572" xr:uid="{D23AF9DE-3802-4445-8F07-E402FC7550BB}"/>
    <cellStyle name="Input 2 2 2 2 4 3 2" xfId="39962" xr:uid="{585CB9B1-0C57-4366-AE7F-3E6084ADCF6A}"/>
    <cellStyle name="Input 2 2 2 2 4 3 3" xfId="44812" xr:uid="{A8285BE3-B577-4347-9195-7C7BF2B50CDC}"/>
    <cellStyle name="Input 2 2 2 2 4 4" xfId="21996" xr:uid="{5B7D1631-201E-440A-B68F-A3C324401EC0}"/>
    <cellStyle name="Input 2 2 2 2 4 4 2" xfId="53044" xr:uid="{B7974058-A23A-435E-8F6E-90B0053643E8}"/>
    <cellStyle name="Input 2 2 2 2 4 5" xfId="53630" xr:uid="{1EB16355-F9E0-44CD-89A0-2F6DBA12E423}"/>
    <cellStyle name="Input 2 2 2 2 5" xfId="5201" xr:uid="{00000000-0005-0000-0000-000019050000}"/>
    <cellStyle name="Input 2 2 2 2 5 2" xfId="12094" xr:uid="{B8E239E9-05BF-45B6-9E2F-F675EB50905C}"/>
    <cellStyle name="Input 2 2 2 2 5 2 2" xfId="34580" xr:uid="{2C3AA30B-3448-4E1A-9140-2E166C0F159E}"/>
    <cellStyle name="Input 2 2 2 2 5 2 3" xfId="29161" xr:uid="{867A64BE-0542-47C5-8435-163A631DB9A4}"/>
    <cellStyle name="Input 2 2 2 2 5 3" xfId="17138" xr:uid="{793E58DA-F7B6-4093-A9C1-6FA7237EF21A}"/>
    <cellStyle name="Input 2 2 2 2 5 3 2" xfId="39528" xr:uid="{35E389B2-3094-467A-9F1B-B46F1C32B9EF}"/>
    <cellStyle name="Input 2 2 2 2 5 3 3" xfId="28722" xr:uid="{27B8F919-F71F-4D8F-B003-A581F5BB6D4B}"/>
    <cellStyle name="Input 2 2 2 2 5 4" xfId="21562" xr:uid="{5B61B08C-9C32-48A0-B573-7DDCB1860CD3}"/>
    <cellStyle name="Input 2 2 2 2 5 4 2" xfId="46132" xr:uid="{41CC1531-11FD-4B51-BB59-AE672D7840D2}"/>
    <cellStyle name="Input 2 2 2 2 5 5" xfId="48479" xr:uid="{A82E52BC-E63A-4ED6-9CF8-3781607C0BE4}"/>
    <cellStyle name="Input 2 2 2 2 6" xfId="6374" xr:uid="{00000000-0005-0000-0000-000019050000}"/>
    <cellStyle name="Input 2 2 2 2 6 2" xfId="13246" xr:uid="{FC7C18C6-C65A-4B11-8AE2-947C6D7C6BC1}"/>
    <cellStyle name="Input 2 2 2 2 6 2 2" xfId="35730" xr:uid="{FA5D24B7-ADE9-4497-B73B-4A93CCDF93F7}"/>
    <cellStyle name="Input 2 2 2 2 6 2 3" xfId="53816" xr:uid="{E0478DA5-C732-48BB-9497-2798F1F1D239}"/>
    <cellStyle name="Input 2 2 2 2 6 3" xfId="18311" xr:uid="{DB6B2D8D-4481-428E-AEEB-DAD3E5E55DEB}"/>
    <cellStyle name="Input 2 2 2 2 6 3 2" xfId="40701" xr:uid="{BBBC5EEB-F3E0-4D96-826D-803734DDDFA1}"/>
    <cellStyle name="Input 2 2 2 2 6 3 3" xfId="30362" xr:uid="{BEC07816-2371-48C2-87FC-229198500D29}"/>
    <cellStyle name="Input 2 2 2 2 6 4" xfId="22735" xr:uid="{9D4B0016-ACE2-4A70-ACF9-5A7C3D164AFB}"/>
    <cellStyle name="Input 2 2 2 2 6 4 2" xfId="47245" xr:uid="{DE7AAF24-066E-456F-9C5B-7D9DEBD3D0C4}"/>
    <cellStyle name="Input 2 2 2 2 6 5" xfId="24159" xr:uid="{0E8697CE-005F-4AF6-9675-DA69836AA9A3}"/>
    <cellStyle name="Input 2 2 2 2 7" xfId="6827" xr:uid="{00000000-0005-0000-0000-000019050000}"/>
    <cellStyle name="Input 2 2 2 2 7 2" xfId="13673" xr:uid="{CA20FBA7-B288-493C-9AB6-4050B8A96C56}"/>
    <cellStyle name="Input 2 2 2 2 7 2 2" xfId="36157" xr:uid="{BED6AE0F-F5A2-42B9-B4A7-11B36F44F867}"/>
    <cellStyle name="Input 2 2 2 2 7 2 3" xfId="46217" xr:uid="{C6E749C7-4548-4FCF-9F58-10E717E99CE8}"/>
    <cellStyle name="Input 2 2 2 2 7 3" xfId="18764" xr:uid="{D064C7E4-3126-4DCC-8776-DE77B4DBD2A5}"/>
    <cellStyle name="Input 2 2 2 2 7 3 2" xfId="41154" xr:uid="{29A97730-4890-4B2A-9F21-D6EC62B0F418}"/>
    <cellStyle name="Input 2 2 2 2 7 3 3" xfId="42519" xr:uid="{1DCDDB61-BD08-444D-9AF5-8CCF4FAC4467}"/>
    <cellStyle name="Input 2 2 2 2 7 4" xfId="23188" xr:uid="{14B128E7-194A-4066-9301-D73AAA163B1A}"/>
    <cellStyle name="Input 2 2 2 2 7 4 2" xfId="50846" xr:uid="{EF629711-1430-4C3F-9479-A4EF0FC771D4}"/>
    <cellStyle name="Input 2 2 2 2 7 5" xfId="51508" xr:uid="{6C9A5D2E-C35A-4EF0-93FC-610056D9ED2F}"/>
    <cellStyle name="Input 2 2 2 2 8" xfId="6891" xr:uid="{00000000-0005-0000-0000-000019050000}"/>
    <cellStyle name="Input 2 2 2 2 8 2" xfId="13729" xr:uid="{B6BB3C05-A728-433E-B017-5530E05427B0}"/>
    <cellStyle name="Input 2 2 2 2 8 2 2" xfId="36213" xr:uid="{8662A9ED-9D5E-4CEE-AC47-F4580355A390}"/>
    <cellStyle name="Input 2 2 2 2 8 2 3" xfId="29259" xr:uid="{EC5B0010-96B0-488A-BCC1-18F80B24799E}"/>
    <cellStyle name="Input 2 2 2 2 8 3" xfId="18828" xr:uid="{6C9447CA-22DB-4555-BE31-37F0170DCC3F}"/>
    <cellStyle name="Input 2 2 2 2 8 3 2" xfId="41218" xr:uid="{51795C18-B2BA-4FC2-9095-14FF03F9BDFA}"/>
    <cellStyle name="Input 2 2 2 2 8 3 3" xfId="28835" xr:uid="{CAE66F66-DE39-4910-8741-FA5E70BB199A}"/>
    <cellStyle name="Input 2 2 2 2 8 4" xfId="23252" xr:uid="{62F77E86-E6CD-42BF-97C4-4D0C57123C0F}"/>
    <cellStyle name="Input 2 2 2 2 8 4 2" xfId="47232" xr:uid="{CBD1EDE8-B3A9-4857-B554-7076AA9D7EBF}"/>
    <cellStyle name="Input 2 2 2 2 8 5" xfId="47688" xr:uid="{1859171D-CD2C-4364-886F-F482A7F95C0A}"/>
    <cellStyle name="Input 2 2 2 2 9" xfId="4770" xr:uid="{00000000-0005-0000-0000-000019050000}"/>
    <cellStyle name="Input 2 2 2 2 9 2" xfId="16707" xr:uid="{EED4BB68-0D8C-449C-B9EC-03E047CA1BBC}"/>
    <cellStyle name="Input 2 2 2 2 9 2 2" xfId="39097" xr:uid="{5B25F9CA-5054-4B2E-8AFA-82707B1FB7D8}"/>
    <cellStyle name="Input 2 2 2 2 9 2 3" xfId="43380" xr:uid="{C05FC6CD-80FD-4CDB-B3D4-3F44525F3026}"/>
    <cellStyle name="Input 2 2 2 2 9 3" xfId="19293" xr:uid="{FBBFFA58-5EC9-4FDD-971E-E0986CAB114F}"/>
    <cellStyle name="Input 2 2 2 2 9 3 2" xfId="45350" xr:uid="{502F9904-F47B-47A6-803C-C4CF0AEFA12A}"/>
    <cellStyle name="Input 2 2 2 2 9 4" xfId="47751" xr:uid="{5B7CB023-9117-437B-B3A6-CC39659D1C74}"/>
    <cellStyle name="Input 2 2 2 3" xfId="2724" xr:uid="{00000000-0005-0000-0000-000018050000}"/>
    <cellStyle name="Input 2 2 2 3 2" xfId="9633" xr:uid="{DFC802BE-BC1B-4122-AA61-D337EF2A6ABC}"/>
    <cellStyle name="Input 2 2 2 3 2 2" xfId="32181" xr:uid="{A0C82648-F84A-45B7-A394-D2F3C0303088}"/>
    <cellStyle name="Input 2 2 2 3 2 3" xfId="47466" xr:uid="{A403DD3B-87DC-4D75-8AD7-3624B4ABA603}"/>
    <cellStyle name="Input 2 2 2 3 3" xfId="15151" xr:uid="{82DF7ACB-15D2-45C6-93D0-FF5E0A1DDB4F}"/>
    <cellStyle name="Input 2 2 2 3 3 2" xfId="37591" xr:uid="{B7482112-C995-4146-AC48-E8BA5B627CC5}"/>
    <cellStyle name="Input 2 2 2 3 3 3" xfId="48616" xr:uid="{2ABA7EF3-C9E6-4433-8E7F-04878E710A91}"/>
    <cellStyle name="Input 2 2 2 3 4" xfId="19709" xr:uid="{D6C7D3B2-2C81-494D-A766-0E9EEC66759A}"/>
    <cellStyle name="Input 2 2 2 3 4 2" xfId="44996" xr:uid="{7E1D9B15-1062-4C3B-A444-F020C9ABC795}"/>
    <cellStyle name="Input 2 2 2 3 5" xfId="44692" xr:uid="{66734687-0DA7-4118-9F34-17C3C87AF20D}"/>
    <cellStyle name="Input 2 2 2 4" xfId="4514" xr:uid="{00000000-0005-0000-0000-000018050000}"/>
    <cellStyle name="Input 2 2 2 4 2" xfId="11416" xr:uid="{D46C382C-922D-4003-A345-B9FF2F724F91}"/>
    <cellStyle name="Input 2 2 2 4 2 2" xfId="33902" xr:uid="{4889EB38-6F4C-4831-AC04-A62D3AE72553}"/>
    <cellStyle name="Input 2 2 2 4 2 3" xfId="44712" xr:uid="{CA1A2CD4-D605-4FB6-9A10-8AA605B49DAE}"/>
    <cellStyle name="Input 2 2 2 4 3" xfId="16451" xr:uid="{828CE549-4D6E-41CE-BD82-3195393A3CC2}"/>
    <cellStyle name="Input 2 2 2 4 3 2" xfId="38841" xr:uid="{2A577974-2E8A-408A-9F7F-97029657921F}"/>
    <cellStyle name="Input 2 2 2 4 3 3" xfId="24637" xr:uid="{2FA8950F-B230-4D08-BEB1-270220F19A5C}"/>
    <cellStyle name="Input 2 2 2 4 4" xfId="15243" xr:uid="{E8EFD44D-AEE4-42E3-B29B-6F1E487CC00F}"/>
    <cellStyle name="Input 2 2 2 4 4 2" xfId="28667" xr:uid="{2D92C9DE-92A0-416B-99A0-564CD6F18BF3}"/>
    <cellStyle name="Input 2 2 2 4 5" xfId="51012" xr:uid="{873B92A4-F1A1-446C-876F-544DBA17C72B}"/>
    <cellStyle name="Input 2 2 2 5" xfId="5757" xr:uid="{00000000-0005-0000-0000-000018050000}"/>
    <cellStyle name="Input 2 2 2 5 2" xfId="12641" xr:uid="{80A392EA-43DE-4074-8159-3AD42C8DD7CB}"/>
    <cellStyle name="Input 2 2 2 5 2 2" xfId="35126" xr:uid="{56FA10AE-3F88-40A5-93A5-B2A2D0B6D97C}"/>
    <cellStyle name="Input 2 2 2 5 2 3" xfId="30317" xr:uid="{CFCBDDC9-3F7D-4A5E-A7CF-2EB71A31235A}"/>
    <cellStyle name="Input 2 2 2 5 3" xfId="17694" xr:uid="{BA067C8E-A316-4C8D-8AFC-126734809B44}"/>
    <cellStyle name="Input 2 2 2 5 3 2" xfId="40084" xr:uid="{500276AD-BB54-4CED-B451-44D528EFC35A}"/>
    <cellStyle name="Input 2 2 2 5 3 3" xfId="28395" xr:uid="{FDF9CCD0-BF91-416C-8371-8ABE29810972}"/>
    <cellStyle name="Input 2 2 2 5 4" xfId="22118" xr:uid="{3DCFD9C0-AFBC-4BEA-886D-D9BC8B14BA05}"/>
    <cellStyle name="Input 2 2 2 5 4 2" xfId="53268" xr:uid="{9E5A62B6-7022-4556-864D-ED9CF943BB21}"/>
    <cellStyle name="Input 2 2 2 5 5" xfId="48487" xr:uid="{48ED307F-2632-4DF6-99F1-34ECD44C0EDE}"/>
    <cellStyle name="Input 2 2 2 6" xfId="4468" xr:uid="{00000000-0005-0000-0000-000018050000}"/>
    <cellStyle name="Input 2 2 2 6 2" xfId="11370" xr:uid="{6C410504-4614-4155-9679-10719D52639C}"/>
    <cellStyle name="Input 2 2 2 6 2 2" xfId="33856" xr:uid="{796B4F55-5C4A-4C3D-862B-C6A2B096A3F1}"/>
    <cellStyle name="Input 2 2 2 6 2 3" xfId="27639" xr:uid="{8E65257A-19D0-4B19-AD07-6815E8C55518}"/>
    <cellStyle name="Input 2 2 2 6 3" xfId="16405" xr:uid="{C823294A-CA64-4F4F-B25B-B0C195F499BF}"/>
    <cellStyle name="Input 2 2 2 6 3 2" xfId="38795" xr:uid="{C2D73122-AD73-475C-95DF-039413ADC82A}"/>
    <cellStyle name="Input 2 2 2 6 3 3" xfId="31902" xr:uid="{DFEE5653-CB76-435F-B524-DF6351A515E6}"/>
    <cellStyle name="Input 2 2 2 6 4" xfId="14046" xr:uid="{967FC43D-A028-43C3-B208-21DD661A115C}"/>
    <cellStyle name="Input 2 2 2 6 4 2" xfId="47359" xr:uid="{8387D59C-8F2B-450C-A6F5-6C47D115B281}"/>
    <cellStyle name="Input 2 2 2 6 5" xfId="46572" xr:uid="{4B1F010D-8A08-49D8-B66C-E037CD58206A}"/>
    <cellStyle name="Input 2 2 2 7" xfId="6818" xr:uid="{00000000-0005-0000-0000-000018050000}"/>
    <cellStyle name="Input 2 2 2 7 2" xfId="13665" xr:uid="{792858C1-21AE-43B8-BE75-66EA3A4F8535}"/>
    <cellStyle name="Input 2 2 2 7 2 2" xfId="36149" xr:uid="{3CFF3309-3DC2-41EF-BCC4-E1D53E157F74}"/>
    <cellStyle name="Input 2 2 2 7 2 3" xfId="46464" xr:uid="{B6E4D2AD-287C-422C-8B91-0D2F2A26C253}"/>
    <cellStyle name="Input 2 2 2 7 3" xfId="18755" xr:uid="{CCC704D9-098E-439A-AE93-1214D9D30320}"/>
    <cellStyle name="Input 2 2 2 7 3 2" xfId="41145" xr:uid="{BE47193C-CB90-4BB3-AA7E-86058DD25FEA}"/>
    <cellStyle name="Input 2 2 2 7 3 3" xfId="43904" xr:uid="{8A167A03-09FB-4376-8E16-ACF237C34EBF}"/>
    <cellStyle name="Input 2 2 2 7 4" xfId="23179" xr:uid="{E170E6BB-002A-4CBB-9C7E-88206D455D93}"/>
    <cellStyle name="Input 2 2 2 7 4 2" xfId="54064" xr:uid="{BEFE073B-0DBB-4040-89EB-D7E3B9706036}"/>
    <cellStyle name="Input 2 2 2 7 5" xfId="51132" xr:uid="{6AFCAAC9-3236-43ED-9D85-A41206B13227}"/>
    <cellStyle name="Input 2 2 2 8" xfId="7426" xr:uid="{467D44B3-7DE3-40EA-9CE2-5683BD068707}"/>
    <cellStyle name="Input 2 2 2 8 2" xfId="30103" xr:uid="{4ADD2D09-82D8-4A4C-BB21-95F7E5AB9722}"/>
    <cellStyle name="Input 2 2 2 8 3" xfId="51415" xr:uid="{DFF73416-6B59-4A53-AFDD-7D58E5F4AD30}"/>
    <cellStyle name="Input 2 2 2 9" xfId="20641" xr:uid="{E220AC55-A537-4104-8A9D-A9D7FE5C1883}"/>
    <cellStyle name="Input 2 2 2 9 2" xfId="42919" xr:uid="{0384BB25-CE34-4DD6-9BB6-7E5AD0900DA0}"/>
    <cellStyle name="Input 2 2 2 9 3" xfId="53286" xr:uid="{59181056-3240-4DA0-8AFB-D622A7C62BD8}"/>
    <cellStyle name="Input 2 2 3" xfId="820" xr:uid="{00000000-0005-0000-0000-00001B050000}"/>
    <cellStyle name="Input 2 2 3 10" xfId="20598" xr:uid="{BC3759AE-4CF8-414B-94C8-AEA702F6658D}"/>
    <cellStyle name="Input 2 2 3 10 2" xfId="48022" xr:uid="{4253B260-0474-4560-8DD5-DA3F47F15CCB}"/>
    <cellStyle name="Input 2 2 3 11" xfId="44337" xr:uid="{AFD15894-D91F-49DD-B823-0A561A44CF49}"/>
    <cellStyle name="Input 2 2 3 2" xfId="1806" xr:uid="{00000000-0005-0000-0000-00001C050000}"/>
    <cellStyle name="Input 2 2 3 2 10" xfId="14490" xr:uid="{9D54C337-A06D-4B1C-B0C7-3142EBDF33A5}"/>
    <cellStyle name="Input 2 2 3 2 10 2" xfId="36951" xr:uid="{00DBFE58-AAE9-46A1-8489-DAF258FC15B8}"/>
    <cellStyle name="Input 2 2 3 2 10 3" xfId="50560" xr:uid="{F5905C86-62D9-4C49-A516-14099DD680F6}"/>
    <cellStyle name="Input 2 2 3 2 11" xfId="20693" xr:uid="{2952144E-D767-4B63-AE39-AE83CEFFF448}"/>
    <cellStyle name="Input 2 2 3 2 11 2" xfId="42965" xr:uid="{2ED3C639-5179-4F42-B4E0-24736FBF38EC}"/>
    <cellStyle name="Input 2 2 3 2 11 3" xfId="29035" xr:uid="{1425A1D3-958D-40E6-86AF-3B7032AB43E5}"/>
    <cellStyle name="Input 2 2 3 2 12" xfId="14617" xr:uid="{33343FDD-245B-440E-9C6E-883EE2F08C57}"/>
    <cellStyle name="Input 2 2 3 2 12 2" xfId="46361" xr:uid="{F627CF9C-1DDC-4D2D-B4DC-84BAD6286D11}"/>
    <cellStyle name="Input 2 2 3 2 13" xfId="48157" xr:uid="{25103A53-A028-45BC-8E02-EFC4D65AE359}"/>
    <cellStyle name="Input 2 2 3 2 2" xfId="3904" xr:uid="{00000000-0005-0000-0000-00001B050000}"/>
    <cellStyle name="Input 2 2 3 2 2 2" xfId="10808" xr:uid="{649DC370-3752-49ED-946A-A99C984B1B57}"/>
    <cellStyle name="Input 2 2 3 2 2 2 2" xfId="33294" xr:uid="{4E8562DD-3CA0-4363-BD1C-4284AF2C70BB}"/>
    <cellStyle name="Input 2 2 3 2 2 2 3" xfId="29454" xr:uid="{2EA0798E-B9CA-4D29-B232-6137E81B583C}"/>
    <cellStyle name="Input 2 2 3 2 2 3" xfId="15946" xr:uid="{1D087E67-485F-4680-BD3A-90626BC41A14}"/>
    <cellStyle name="Input 2 2 3 2 2 3 2" xfId="38349" xr:uid="{B18A3E33-8671-4697-A1F1-B8B55E54A583}"/>
    <cellStyle name="Input 2 2 3 2 2 3 3" xfId="37714" xr:uid="{78717085-E7F5-4D6C-AD2D-795F3123C8F7}"/>
    <cellStyle name="Input 2 2 3 2 2 4" xfId="8880" xr:uid="{3706A2C9-7DD8-4A10-B288-8EC7BDD3A605}"/>
    <cellStyle name="Input 2 2 3 2 2 4 2" xfId="54016" xr:uid="{78A3E15F-AC50-4DBE-A5F0-3384787B278A}"/>
    <cellStyle name="Input 2 2 3 2 2 5" xfId="27019" xr:uid="{63A55CFB-0BB2-42EB-AB86-E0ABE5786938}"/>
    <cellStyle name="Input 2 2 3 2 3" xfId="5299" xr:uid="{00000000-0005-0000-0000-00001B050000}"/>
    <cellStyle name="Input 2 2 3 2 3 2" xfId="12191" xr:uid="{16BAB428-E1CD-4DCE-B51C-0BB7A4E80E8D}"/>
    <cellStyle name="Input 2 2 3 2 3 2 2" xfId="34676" xr:uid="{58926350-6473-4C89-BF5C-321426155881}"/>
    <cellStyle name="Input 2 2 3 2 3 2 3" xfId="25854" xr:uid="{46760480-141C-423F-B389-B8471DC65B47}"/>
    <cellStyle name="Input 2 2 3 2 3 3" xfId="17236" xr:uid="{7157B539-C363-4B8B-8A9A-922463DBF6CB}"/>
    <cellStyle name="Input 2 2 3 2 3 3 2" xfId="39626" xr:uid="{A2DA73BD-CEE2-4B37-8679-189C97C73524}"/>
    <cellStyle name="Input 2 2 3 2 3 3 3" xfId="28049" xr:uid="{02BBF86A-4BF5-4457-B7C0-66ED84BABAF3}"/>
    <cellStyle name="Input 2 2 3 2 3 4" xfId="21660" xr:uid="{A2F39B8E-A2FA-4A6A-8F21-86D5C535D819}"/>
    <cellStyle name="Input 2 2 3 2 3 4 2" xfId="48025" xr:uid="{58E720D6-FEFD-4DF1-9628-91918444C701}"/>
    <cellStyle name="Input 2 2 3 2 3 5" xfId="42806" xr:uid="{B8048BF9-9E12-4EB6-878A-497EC3478E53}"/>
    <cellStyle name="Input 2 2 3 2 4" xfId="5710" xr:uid="{00000000-0005-0000-0000-00001B050000}"/>
    <cellStyle name="Input 2 2 3 2 4 2" xfId="12594" xr:uid="{7ADE0C1C-4733-46D7-B082-38488A9D8B32}"/>
    <cellStyle name="Input 2 2 3 2 4 2 2" xfId="35079" xr:uid="{34079173-B179-400F-BD33-54C779B12F29}"/>
    <cellStyle name="Input 2 2 3 2 4 2 3" xfId="44578" xr:uid="{2E28F0B3-7E2E-411E-BAAC-C636238DC6A3}"/>
    <cellStyle name="Input 2 2 3 2 4 3" xfId="17647" xr:uid="{54B2BAEA-CFB6-4B89-9DC3-1298EEC8C38E}"/>
    <cellStyle name="Input 2 2 3 2 4 3 2" xfId="40037" xr:uid="{557A2AEE-46D7-4B4B-B2E7-5A1C0BB23AED}"/>
    <cellStyle name="Input 2 2 3 2 4 3 3" xfId="44604" xr:uid="{F8BB3CE9-3BE8-415F-AEA6-58B8F388914B}"/>
    <cellStyle name="Input 2 2 3 2 4 4" xfId="22071" xr:uid="{CD360D85-8AAC-432E-9021-8DEE866C5B75}"/>
    <cellStyle name="Input 2 2 3 2 4 4 2" xfId="27137" xr:uid="{E63ED7EF-ACB2-4E94-A3F9-3E5A29BE080D}"/>
    <cellStyle name="Input 2 2 3 2 4 5" xfId="46551" xr:uid="{2C9FF590-C3CA-4356-B5BA-659A50F2F7F4}"/>
    <cellStyle name="Input 2 2 3 2 5" xfId="6064" xr:uid="{00000000-0005-0000-0000-00001B050000}"/>
    <cellStyle name="Input 2 2 3 2 5 2" xfId="12942" xr:uid="{7F323257-DBF3-4621-A024-93412BC3C78A}"/>
    <cellStyle name="Input 2 2 3 2 5 2 2" xfId="35426" xr:uid="{A38B53BA-D5BA-46E6-9317-BBB2CD48DD07}"/>
    <cellStyle name="Input 2 2 3 2 5 2 3" xfId="29377" xr:uid="{BC0AA2F3-3F32-45D1-8845-50728D500D33}"/>
    <cellStyle name="Input 2 2 3 2 5 3" xfId="18001" xr:uid="{E3283A24-686A-4611-8158-00BF45CD74A7}"/>
    <cellStyle name="Input 2 2 3 2 5 3 2" xfId="40391" xr:uid="{519A2D02-DFC1-46C9-BB34-339D072A03DE}"/>
    <cellStyle name="Input 2 2 3 2 5 3 3" xfId="43718" xr:uid="{B3D711D3-E3D7-4A57-9E6C-9371A670B059}"/>
    <cellStyle name="Input 2 2 3 2 5 4" xfId="22425" xr:uid="{E30F2CD6-4817-4A75-AD64-9473B7C4B7D2}"/>
    <cellStyle name="Input 2 2 3 2 5 4 2" xfId="43870" xr:uid="{610CAE9E-2E28-4CCC-8B9F-3B7A7792A993}"/>
    <cellStyle name="Input 2 2 3 2 5 5" xfId="25224" xr:uid="{AC59BA8E-3A75-4E7D-A673-FCBA822C9DBF}"/>
    <cellStyle name="Input 2 2 3 2 6" xfId="6439" xr:uid="{00000000-0005-0000-0000-00001B050000}"/>
    <cellStyle name="Input 2 2 3 2 6 2" xfId="13309" xr:uid="{9407B354-44CD-4044-9401-B0052D67AE8E}"/>
    <cellStyle name="Input 2 2 3 2 6 2 2" xfId="35793" xr:uid="{4AD54D41-FF1E-4A66-A623-1B93BE14CA4C}"/>
    <cellStyle name="Input 2 2 3 2 6 2 3" xfId="53202" xr:uid="{5741D5AD-DDE5-4D80-B6B4-33676125EBE5}"/>
    <cellStyle name="Input 2 2 3 2 6 3" xfId="18376" xr:uid="{028812B0-D9AF-4668-BC56-F7BB3742B685}"/>
    <cellStyle name="Input 2 2 3 2 6 3 2" xfId="40766" xr:uid="{D8D0C466-88A7-4EE5-BA2B-560C6394AF67}"/>
    <cellStyle name="Input 2 2 3 2 6 3 3" xfId="42928" xr:uid="{72172889-4CD1-41C5-9EC1-2EB4DB3534E2}"/>
    <cellStyle name="Input 2 2 3 2 6 4" xfId="22800" xr:uid="{610CF27E-C71E-491A-8705-02597028D48D}"/>
    <cellStyle name="Input 2 2 3 2 6 4 2" xfId="52435" xr:uid="{7F06B4F6-C149-429E-A67E-16C038C051C2}"/>
    <cellStyle name="Input 2 2 3 2 6 5" xfId="49780" xr:uid="{018842AA-930F-4FE9-946C-66679D15FBB6}"/>
    <cellStyle name="Input 2 2 3 2 7" xfId="4393" xr:uid="{00000000-0005-0000-0000-00001B050000}"/>
    <cellStyle name="Input 2 2 3 2 7 2" xfId="11295" xr:uid="{581BB05D-2206-4698-8DAA-211C458E86E4}"/>
    <cellStyle name="Input 2 2 3 2 7 2 2" xfId="33781" xr:uid="{B9AC7685-77BB-40B0-8EFF-539F4395AA74}"/>
    <cellStyle name="Input 2 2 3 2 7 2 3" xfId="24249" xr:uid="{1D42A006-7214-4016-A866-FAD8CFBDF554}"/>
    <cellStyle name="Input 2 2 3 2 7 3" xfId="16330" xr:uid="{04A0511A-7F32-49E3-BF50-A41721862ADC}"/>
    <cellStyle name="Input 2 2 3 2 7 3 2" xfId="38720" xr:uid="{7CB24F46-8738-4C8F-BD81-01CB894177BD}"/>
    <cellStyle name="Input 2 2 3 2 7 3 3" xfId="27745" xr:uid="{4B47E624-593F-46BA-AC4D-2DA51BAACC7D}"/>
    <cellStyle name="Input 2 2 3 2 7 4" xfId="14957" xr:uid="{A4AED86E-9B15-42EB-A295-84D7CEE4C615}"/>
    <cellStyle name="Input 2 2 3 2 7 4 2" xfId="51630" xr:uid="{850478B7-A457-4406-8079-0181BD65B50D}"/>
    <cellStyle name="Input 2 2 3 2 7 5" xfId="52887" xr:uid="{DF7A1DED-7D33-4669-9AF3-AC30108FC83E}"/>
    <cellStyle name="Input 2 2 3 2 8" xfId="6939" xr:uid="{00000000-0005-0000-0000-00001B050000}"/>
    <cellStyle name="Input 2 2 3 2 8 2" xfId="13776" xr:uid="{7A8FAEAC-CC5C-42A2-977A-317601046C85}"/>
    <cellStyle name="Input 2 2 3 2 8 2 2" xfId="36260" xr:uid="{325B5B25-F289-4E8B-9682-DFD01D6B87AE}"/>
    <cellStyle name="Input 2 2 3 2 8 2 3" xfId="32359" xr:uid="{541323B8-796C-416C-86C4-92EEDF762060}"/>
    <cellStyle name="Input 2 2 3 2 8 3" xfId="18876" xr:uid="{CF04A772-B4A4-4BD3-A437-AE792305DBA0}"/>
    <cellStyle name="Input 2 2 3 2 8 3 2" xfId="41266" xr:uid="{7F7F6F06-6CE6-4C92-B0A4-B1637E680E1E}"/>
    <cellStyle name="Input 2 2 3 2 8 3 3" xfId="29405" xr:uid="{37270A38-AEEF-4833-B9CB-B47E0282BBD5}"/>
    <cellStyle name="Input 2 2 3 2 8 4" xfId="23300" xr:uid="{7BAD1D48-2272-4EEA-B7C0-9AE3D9F8E859}"/>
    <cellStyle name="Input 2 2 3 2 8 4 2" xfId="30835" xr:uid="{42931B67-C695-45F2-9435-F69271A6DB09}"/>
    <cellStyle name="Input 2 2 3 2 8 5" xfId="46499" xr:uid="{2735F030-307F-4C26-BC33-647AFCC5A685}"/>
    <cellStyle name="Input 2 2 3 2 9" xfId="6878" xr:uid="{00000000-0005-0000-0000-00001B050000}"/>
    <cellStyle name="Input 2 2 3 2 9 2" xfId="18815" xr:uid="{85320050-9C69-45F3-A835-FA61E9E9E0DD}"/>
    <cellStyle name="Input 2 2 3 2 9 2 2" xfId="41205" xr:uid="{E2039EA0-4C57-4665-8A7D-8E632CBEB4B3}"/>
    <cellStyle name="Input 2 2 3 2 9 2 3" xfId="44454" xr:uid="{543D6A88-5E8E-4E0C-A19B-71F9807D5933}"/>
    <cellStyle name="Input 2 2 3 2 9 3" xfId="23239" xr:uid="{5EE2F51E-A5D1-4A5E-AC89-833C16BF497A}"/>
    <cellStyle name="Input 2 2 3 2 9 3 2" xfId="51155" xr:uid="{5BFCC3ED-E2CB-471C-9CDD-A0147FCFEC74}"/>
    <cellStyle name="Input 2 2 3 2 9 4" xfId="29400" xr:uid="{7B5F373B-B81C-4EB4-8763-36491213825D}"/>
    <cellStyle name="Input 2 2 3 3" xfId="2956" xr:uid="{00000000-0005-0000-0000-00001A050000}"/>
    <cellStyle name="Input 2 2 3 3 2" xfId="9865" xr:uid="{73B58497-B611-47C8-A860-F5F790F57063}"/>
    <cellStyle name="Input 2 2 3 3 2 2" xfId="32388" xr:uid="{5F844E51-80EE-4360-B805-BBC25686C51F}"/>
    <cellStyle name="Input 2 2 3 3 2 3" xfId="46304" xr:uid="{2A0AA691-57AF-4E4D-A187-EFB55C0F012E}"/>
    <cellStyle name="Input 2 2 3 3 3" xfId="15304" xr:uid="{5DFA9FC2-3787-487F-A526-A43FC0C572D3}"/>
    <cellStyle name="Input 2 2 3 3 3 2" xfId="37736" xr:uid="{E3CD0A3E-2462-4900-97B5-BB0E042BCC50}"/>
    <cellStyle name="Input 2 2 3 3 3 3" xfId="23817" xr:uid="{99D33611-CC8A-47C1-BA42-0BF9C73B0B3B}"/>
    <cellStyle name="Input 2 2 3 3 4" xfId="15848" xr:uid="{B672F7D9-16D5-482E-AA44-D6F9CFE3DE84}"/>
    <cellStyle name="Input 2 2 3 3 4 2" xfId="28391" xr:uid="{F0959B32-89C2-4BA5-B899-C56F9D1DF89A}"/>
    <cellStyle name="Input 2 2 3 3 5" xfId="53915" xr:uid="{138CDA1E-C5C3-459C-B410-10AE46F3976D}"/>
    <cellStyle name="Input 2 2 3 4" xfId="4664" xr:uid="{00000000-0005-0000-0000-00001A050000}"/>
    <cellStyle name="Input 2 2 3 4 2" xfId="11562" xr:uid="{2F697751-A1D8-473F-BA2C-4EC75BC6968A}"/>
    <cellStyle name="Input 2 2 3 4 2 2" xfId="34048" xr:uid="{4A63A691-9428-4658-A741-D5E9662F8070}"/>
    <cellStyle name="Input 2 2 3 4 2 3" xfId="29792" xr:uid="{4551ABCE-303B-4EDB-9737-C8610AEF6A34}"/>
    <cellStyle name="Input 2 2 3 4 3" xfId="16601" xr:uid="{08C9FB36-CFA7-4C9A-983B-F449A6B89E0C}"/>
    <cellStyle name="Input 2 2 3 4 3 2" xfId="38991" xr:uid="{CAB14BDC-B238-41BF-867C-F16B585457BF}"/>
    <cellStyle name="Input 2 2 3 4 3 3" xfId="44689" xr:uid="{85C837A0-C708-43C5-8348-1032DB64E6D7}"/>
    <cellStyle name="Input 2 2 3 4 4" xfId="20544" xr:uid="{53CA2A06-5738-4C26-8EBF-B8DE9C75F94B}"/>
    <cellStyle name="Input 2 2 3 4 4 2" xfId="24453" xr:uid="{95C6707A-094D-432D-B3BD-D7849AA12D8A}"/>
    <cellStyle name="Input 2 2 3 4 5" xfId="46349" xr:uid="{59B27F8A-2033-4AA5-BF0D-DAB90716AAEA}"/>
    <cellStyle name="Input 2 2 3 5" xfId="4881" xr:uid="{00000000-0005-0000-0000-00001A050000}"/>
    <cellStyle name="Input 2 2 3 5 2" xfId="11776" xr:uid="{A4EA8F27-08B1-4C1C-93D1-FEF6DA28F947}"/>
    <cellStyle name="Input 2 2 3 5 2 2" xfId="34262" xr:uid="{A34CB6C8-59BD-4B58-96EC-6D9F7D0726D3}"/>
    <cellStyle name="Input 2 2 3 5 2 3" xfId="26607" xr:uid="{638FFFA7-E2FA-4E68-91D5-54E84D2E7AAE}"/>
    <cellStyle name="Input 2 2 3 5 3" xfId="16818" xr:uid="{BCEB88FF-55DB-48AB-898C-54A7FFA8E4D3}"/>
    <cellStyle name="Input 2 2 3 5 3 2" xfId="39208" xr:uid="{073F394D-E21A-4899-8527-1E4DE7C4EDB1}"/>
    <cellStyle name="Input 2 2 3 5 3 3" xfId="25311" xr:uid="{A03522FC-97F8-4EC0-94DA-F3161D1F13DB}"/>
    <cellStyle name="Input 2 2 3 5 4" xfId="16261" xr:uid="{7E673B6C-CE7B-4D2D-9AEA-6309C15DC1D1}"/>
    <cellStyle name="Input 2 2 3 5 4 2" xfId="30415" xr:uid="{72C92D51-7B74-4420-A210-798EC0BDC6F8}"/>
    <cellStyle name="Input 2 2 3 5 5" xfId="24780" xr:uid="{367936FB-8A5C-446E-92B9-BB1D27BEA855}"/>
    <cellStyle name="Input 2 2 3 6" xfId="6330" xr:uid="{00000000-0005-0000-0000-00001A050000}"/>
    <cellStyle name="Input 2 2 3 6 2" xfId="13202" xr:uid="{545A3320-3EE8-4C58-8193-96E043713873}"/>
    <cellStyle name="Input 2 2 3 6 2 2" xfId="35686" xr:uid="{D34687DA-BAB5-4A41-989F-8E6CA3890065}"/>
    <cellStyle name="Input 2 2 3 6 2 3" xfId="26824" xr:uid="{DE2746B3-2AFD-4C41-A922-A15D3AD6FC1C}"/>
    <cellStyle name="Input 2 2 3 6 3" xfId="18267" xr:uid="{0A679D07-4C7C-4EB2-A94F-709A7342CD3F}"/>
    <cellStyle name="Input 2 2 3 6 3 2" xfId="40657" xr:uid="{7B80FE34-FCE8-4BCE-BEB3-2293E52E5124}"/>
    <cellStyle name="Input 2 2 3 6 3 3" xfId="26482" xr:uid="{E720F8CF-E389-43B3-B039-94B98079BA32}"/>
    <cellStyle name="Input 2 2 3 6 4" xfId="22691" xr:uid="{FD7E3E10-30C1-44DB-9D03-9C752994CF0E}"/>
    <cellStyle name="Input 2 2 3 6 4 2" xfId="27035" xr:uid="{9A9668BA-A383-43E4-8202-9B29C0198523}"/>
    <cellStyle name="Input 2 2 3 6 5" xfId="51597" xr:uid="{3828E60D-419A-4A38-85A1-3543A57D82F9}"/>
    <cellStyle name="Input 2 2 3 7" xfId="6880" xr:uid="{00000000-0005-0000-0000-00001A050000}"/>
    <cellStyle name="Input 2 2 3 7 2" xfId="13719" xr:uid="{B16DE8E3-77C4-4EAB-8EFE-3C0CB195D3AE}"/>
    <cellStyle name="Input 2 2 3 7 2 2" xfId="36203" xr:uid="{F0DFA50F-5BB9-4BC5-8EB8-A5759007FEEF}"/>
    <cellStyle name="Input 2 2 3 7 2 3" xfId="49468" xr:uid="{9C1EA765-872C-4DD2-97AF-C405233912B6}"/>
    <cellStyle name="Input 2 2 3 7 3" xfId="18817" xr:uid="{476254B1-F7F8-4396-9344-ED8D40ECC576}"/>
    <cellStyle name="Input 2 2 3 7 3 2" xfId="41207" xr:uid="{5BB394FD-5F54-486D-9E38-E6142A532E10}"/>
    <cellStyle name="Input 2 2 3 7 3 3" xfId="28600" xr:uid="{5638B4E6-53AD-4C13-83CE-A87D3B28E239}"/>
    <cellStyle name="Input 2 2 3 7 4" xfId="23241" xr:uid="{7AD2CE7D-5BA1-4D71-A1E4-E873ECB99D37}"/>
    <cellStyle name="Input 2 2 3 7 4 2" xfId="25793" xr:uid="{A5E974D1-5886-4F1E-AFF9-CD92E8609A2E}"/>
    <cellStyle name="Input 2 2 3 7 5" xfId="51528" xr:uid="{AEB7DF1D-CFB9-485A-9A88-5D4D68A59976}"/>
    <cellStyle name="Input 2 2 3 8" xfId="8955" xr:uid="{7C381DB7-F8CE-4EFC-92A4-3ABFDB35A557}"/>
    <cellStyle name="Input 2 2 3 8 2" xfId="31534" xr:uid="{14B73B68-7D6F-4E5D-92B0-1DA9C18DCD4D}"/>
    <cellStyle name="Input 2 2 3 8 3" xfId="52886" xr:uid="{9A68AEEB-5312-401F-AB0F-F81D0547BF74}"/>
    <cellStyle name="Input 2 2 3 9" xfId="19629" xr:uid="{0E554957-FABB-4054-86F9-9279EB399C87}"/>
    <cellStyle name="Input 2 2 3 9 2" xfId="41980" xr:uid="{FA0FC20F-D901-4D61-AB78-83E13F3F3261}"/>
    <cellStyle name="Input 2 2 3 9 3" xfId="32109" xr:uid="{93AE9662-3F6D-46A3-A9CE-A826C7FF7CC1}"/>
    <cellStyle name="Input 2 2 4" xfId="1006" xr:uid="{00000000-0005-0000-0000-00001D050000}"/>
    <cellStyle name="Input 2 2 4 10" xfId="20176" xr:uid="{0005C198-0B08-4C77-9812-17BB62C2F05F}"/>
    <cellStyle name="Input 2 2 4 10 2" xfId="37391" xr:uid="{D8CCB141-B678-4E78-84E1-D1B5E7DF43C8}"/>
    <cellStyle name="Input 2 2 4 11" xfId="46297" xr:uid="{2C5ACD27-1BCD-4F10-B98A-2E5669AF2201}"/>
    <cellStyle name="Input 2 2 4 2" xfId="1896" xr:uid="{00000000-0005-0000-0000-00001E050000}"/>
    <cellStyle name="Input 2 2 4 2 10" xfId="14567" xr:uid="{2C9C4E74-4CE5-4839-8BC6-527A0930606C}"/>
    <cellStyle name="Input 2 2 4 2 10 2" xfId="37028" xr:uid="{779C93E5-693D-4845-BE46-A21B05FA469D}"/>
    <cellStyle name="Input 2 2 4 2 10 3" xfId="48315" xr:uid="{93343786-6090-4F16-B595-1B7D4CB46AEE}"/>
    <cellStyle name="Input 2 2 4 2 11" xfId="20310" xr:uid="{EE956D2E-7DC4-4EC4-BFAE-37C9D4185701}"/>
    <cellStyle name="Input 2 2 4 2 11 2" xfId="42609" xr:uid="{899B8D27-62F3-44F6-939C-534886246947}"/>
    <cellStyle name="Input 2 2 4 2 11 3" xfId="49755" xr:uid="{3A2BF3A2-1143-4870-A6C7-D48001D20D78}"/>
    <cellStyle name="Input 2 2 4 2 12" xfId="19430" xr:uid="{F1D75691-03E9-43AC-8269-792973B21CA5}"/>
    <cellStyle name="Input 2 2 4 2 12 2" xfId="32455" xr:uid="{A761B2D7-F951-44BA-B00E-D80D1BEC0F62}"/>
    <cellStyle name="Input 2 2 4 2 13" xfId="53453" xr:uid="{D7393D42-80C4-438A-B485-9F7A02E4C270}"/>
    <cellStyle name="Input 2 2 4 2 2" xfId="3994" xr:uid="{00000000-0005-0000-0000-00001D050000}"/>
    <cellStyle name="Input 2 2 4 2 2 2" xfId="10898" xr:uid="{827FA0B4-0BAF-4F3B-A334-2E757A318B70}"/>
    <cellStyle name="Input 2 2 4 2 2 2 2" xfId="33384" xr:uid="{1F968243-F5EB-4797-8A2A-9794518F439E}"/>
    <cellStyle name="Input 2 2 4 2 2 2 3" xfId="29428" xr:uid="{4C1B72DF-7E5A-46BB-B916-626BA8D81E9B}"/>
    <cellStyle name="Input 2 2 4 2 2 3" xfId="16018" xr:uid="{6DF1815F-2887-40C6-8EA3-2782B24E92D9}"/>
    <cellStyle name="Input 2 2 4 2 2 3 2" xfId="38419" xr:uid="{1A8DBCAF-F64E-4E17-8BC7-917EB2CFADA4}"/>
    <cellStyle name="Input 2 2 4 2 2 3 3" xfId="52807" xr:uid="{14D18B26-B36D-4BCA-81A7-AB616C72EFCC}"/>
    <cellStyle name="Input 2 2 4 2 2 4" xfId="19490" xr:uid="{DA9DA753-0B4A-4C9D-A8D5-07607C11B1DF}"/>
    <cellStyle name="Input 2 2 4 2 2 4 2" xfId="43612" xr:uid="{1C7AB43C-0A5F-4498-8A46-7AA4F798FABC}"/>
    <cellStyle name="Input 2 2 4 2 2 5" xfId="48440" xr:uid="{D408D891-315C-483D-9F9F-58C38BA6D5A1}"/>
    <cellStyle name="Input 2 2 4 2 3" xfId="5368" xr:uid="{00000000-0005-0000-0000-00001D050000}"/>
    <cellStyle name="Input 2 2 4 2 3 2" xfId="12260" xr:uid="{C5E142F2-DDC6-40CB-BF4E-3D2F27B5F31B}"/>
    <cellStyle name="Input 2 2 4 2 3 2 2" xfId="34745" xr:uid="{1A7EF9AB-3AF3-4ABE-9895-062D1A8C95BE}"/>
    <cellStyle name="Input 2 2 4 2 3 2 3" xfId="24214" xr:uid="{31FD2D05-5036-42F3-BB6E-3696E83CD091}"/>
    <cellStyle name="Input 2 2 4 2 3 3" xfId="17305" xr:uid="{25F9E13C-9492-4125-BCD5-F5446BADBFDF}"/>
    <cellStyle name="Input 2 2 4 2 3 3 2" xfId="39695" xr:uid="{3F7BFDC2-7809-4CE9-BB54-24F26E87B19F}"/>
    <cellStyle name="Input 2 2 4 2 3 3 3" xfId="25966" xr:uid="{16B107BD-98A2-4D78-ADEC-160DE263C019}"/>
    <cellStyle name="Input 2 2 4 2 3 4" xfId="21729" xr:uid="{1F68BE23-B553-4B12-9AC3-2632A8E6114A}"/>
    <cellStyle name="Input 2 2 4 2 3 4 2" xfId="30716" xr:uid="{6CE0A99F-0988-41C2-8C5A-93B11BAAA8AF}"/>
    <cellStyle name="Input 2 2 4 2 3 5" xfId="48807" xr:uid="{C57BEBE0-99BD-42F1-BCA9-309389DFFBD7}"/>
    <cellStyle name="Input 2 2 4 2 4" xfId="5783" xr:uid="{00000000-0005-0000-0000-00001D050000}"/>
    <cellStyle name="Input 2 2 4 2 4 2" xfId="12666" xr:uid="{905D3ED6-6971-4DBA-8AF3-217873A037B1}"/>
    <cellStyle name="Input 2 2 4 2 4 2 2" xfId="35151" xr:uid="{DBE7E9A6-B7DA-4C12-9668-A1982F91E820}"/>
    <cellStyle name="Input 2 2 4 2 4 2 3" xfId="29718" xr:uid="{FB5459D1-AA54-4FFA-A257-7F8F27428FCA}"/>
    <cellStyle name="Input 2 2 4 2 4 3" xfId="17720" xr:uid="{C794BF2B-CA98-4FA7-808A-C2EB07737C81}"/>
    <cellStyle name="Input 2 2 4 2 4 3 2" xfId="40110" xr:uid="{C20A5C1E-6C2E-4C15-A083-C8443D5B0BF3}"/>
    <cellStyle name="Input 2 2 4 2 4 3 3" xfId="44920" xr:uid="{E05F904B-A140-418C-8EA5-1551DB951486}"/>
    <cellStyle name="Input 2 2 4 2 4 4" xfId="22144" xr:uid="{DD284BD6-58D8-4A1D-9CF5-8FEE54999A81}"/>
    <cellStyle name="Input 2 2 4 2 4 4 2" xfId="46182" xr:uid="{69913565-3839-490D-BBFE-37C93C527D50}"/>
    <cellStyle name="Input 2 2 4 2 4 5" xfId="25045" xr:uid="{E8128919-4426-4F5C-9E47-C287768CD4D9}"/>
    <cellStyle name="Input 2 2 4 2 5" xfId="6128" xr:uid="{00000000-0005-0000-0000-00001D050000}"/>
    <cellStyle name="Input 2 2 4 2 5 2" xfId="13005" xr:uid="{D9C59EED-E468-416B-95FD-BD2307E795D3}"/>
    <cellStyle name="Input 2 2 4 2 5 2 2" xfId="35489" xr:uid="{A6AD0881-6B5C-401C-9B99-E6456835EF6C}"/>
    <cellStyle name="Input 2 2 4 2 5 2 3" xfId="27822" xr:uid="{FCBD2753-E392-403E-8026-DA2133496B8D}"/>
    <cellStyle name="Input 2 2 4 2 5 3" xfId="18065" xr:uid="{C2CCF2B8-6B18-471F-8838-14E7CCAF92CB}"/>
    <cellStyle name="Input 2 2 4 2 5 3 2" xfId="40455" xr:uid="{5D71CF5B-872A-4EDF-B659-92286D8CD32B}"/>
    <cellStyle name="Input 2 2 4 2 5 3 3" xfId="44002" xr:uid="{443B4440-94E4-4DF7-8D3F-E4D315D883C4}"/>
    <cellStyle name="Input 2 2 4 2 5 4" xfId="22489" xr:uid="{29FC269C-3B21-4B66-BD67-BEE09EB3FE87}"/>
    <cellStyle name="Input 2 2 4 2 5 4 2" xfId="45268" xr:uid="{9B3F0997-CEBA-4C80-87BF-1960EF311CC8}"/>
    <cellStyle name="Input 2 2 4 2 5 5" xfId="49100" xr:uid="{50953A27-9AFD-45E0-BB82-90CCFED11234}"/>
    <cellStyle name="Input 2 2 4 2 6" xfId="6501" xr:uid="{00000000-0005-0000-0000-00001D050000}"/>
    <cellStyle name="Input 2 2 4 2 6 2" xfId="13370" xr:uid="{FCC07372-FA6B-43DF-9F16-D467CF0B7959}"/>
    <cellStyle name="Input 2 2 4 2 6 2 2" xfId="35854" xr:uid="{D4AFA052-9591-4A40-9149-F2CAD443F799}"/>
    <cellStyle name="Input 2 2 4 2 6 2 3" xfId="45929" xr:uid="{F6AEC7F7-30DA-4DD2-8A2D-968D5D078F74}"/>
    <cellStyle name="Input 2 2 4 2 6 3" xfId="18438" xr:uid="{0FAD0BDA-E930-427F-B22B-EC70C32A82AF}"/>
    <cellStyle name="Input 2 2 4 2 6 3 2" xfId="40828" xr:uid="{EAFDB078-CCA2-42E9-8197-B6795182EDD1}"/>
    <cellStyle name="Input 2 2 4 2 6 3 3" xfId="45456" xr:uid="{9C941814-15CE-442D-8710-FEFD9580CFF3}"/>
    <cellStyle name="Input 2 2 4 2 6 4" xfId="22862" xr:uid="{0FE30514-B90B-48A6-B411-F998BA6882DF}"/>
    <cellStyle name="Input 2 2 4 2 6 4 2" xfId="50762" xr:uid="{4E93C5BE-03BE-4143-8376-3ACBEBD84041}"/>
    <cellStyle name="Input 2 2 4 2 6 5" xfId="50600" xr:uid="{85CEFCAF-2D53-4D89-8C7E-6E61A8B21B1B}"/>
    <cellStyle name="Input 2 2 4 2 7" xfId="3303" xr:uid="{00000000-0005-0000-0000-00001D050000}"/>
    <cellStyle name="Input 2 2 4 2 7 2" xfId="10211" xr:uid="{D53FD1DA-8563-4E63-8E79-B231D65BB746}"/>
    <cellStyle name="Input 2 2 4 2 7 2 2" xfId="32706" xr:uid="{591ED0CC-74CE-4F3E-BCC8-C10472E1DA0C}"/>
    <cellStyle name="Input 2 2 4 2 7 2 3" xfId="44627" xr:uid="{37780071-DC02-4E89-8E82-96AFD9A68941}"/>
    <cellStyle name="Input 2 2 4 2 7 3" xfId="15530" xr:uid="{93652E7B-872A-409A-9F56-4F4DA4FD80D8}"/>
    <cellStyle name="Input 2 2 4 2 7 3 2" xfId="37949" xr:uid="{220FDD26-FBC4-4127-9B0E-8CF1729CC365}"/>
    <cellStyle name="Input 2 2 4 2 7 3 3" xfId="48379" xr:uid="{240B5284-6614-41E0-A6A3-908362326A60}"/>
    <cellStyle name="Input 2 2 4 2 7 4" xfId="21144" xr:uid="{65D323A0-EF3B-4408-83E5-E8CB5F65C42D}"/>
    <cellStyle name="Input 2 2 4 2 7 4 2" xfId="48363" xr:uid="{BF696C4D-D804-4DCB-9364-5560017678D9}"/>
    <cellStyle name="Input 2 2 4 2 7 5" xfId="51668" xr:uid="{E45CAB6D-76E4-4DE2-96BB-259638211D26}"/>
    <cellStyle name="Input 2 2 4 2 8" xfId="6985" xr:uid="{00000000-0005-0000-0000-00001D050000}"/>
    <cellStyle name="Input 2 2 4 2 8 2" xfId="13822" xr:uid="{213859A8-B33B-4EAE-9871-7E4F63A89674}"/>
    <cellStyle name="Input 2 2 4 2 8 2 2" xfId="36306" xr:uid="{71D65B4E-D37A-41B4-BC79-9C36FFAC12FE}"/>
    <cellStyle name="Input 2 2 4 2 8 2 3" xfId="46510" xr:uid="{801458CB-8AE9-4897-83B1-FBF8B3A3E987}"/>
    <cellStyle name="Input 2 2 4 2 8 3" xfId="18922" xr:uid="{98BF6B08-5EDB-4FAD-8406-20E598245ABA}"/>
    <cellStyle name="Input 2 2 4 2 8 3 2" xfId="41312" xr:uid="{DF2BA8AD-160B-4B85-81E1-D45FD823965D}"/>
    <cellStyle name="Input 2 2 4 2 8 3 3" xfId="36941" xr:uid="{057CB853-14AE-4C31-BDE6-6368F9C5D779}"/>
    <cellStyle name="Input 2 2 4 2 8 4" xfId="23346" xr:uid="{75693ECB-D80B-4B42-A342-B88E3542AB9F}"/>
    <cellStyle name="Input 2 2 4 2 8 4 2" xfId="49590" xr:uid="{76BE04CE-72AB-4EDC-AF7D-EB623F14C81B}"/>
    <cellStyle name="Input 2 2 4 2 8 5" xfId="52882" xr:uid="{F5AA3729-0B6E-40C7-818B-38B6D01DAEAE}"/>
    <cellStyle name="Input 2 2 4 2 9" xfId="6721" xr:uid="{00000000-0005-0000-0000-00001D050000}"/>
    <cellStyle name="Input 2 2 4 2 9 2" xfId="18658" xr:uid="{33892E9D-6676-4536-8B61-6D13370AB5B8}"/>
    <cellStyle name="Input 2 2 4 2 9 2 2" xfId="41048" xr:uid="{AF8CA72A-74D5-4B20-9FC6-5215CFC4448D}"/>
    <cellStyle name="Input 2 2 4 2 9 2 3" xfId="29522" xr:uid="{7A8C2D42-C365-4C2D-91EC-D44618D89B31}"/>
    <cellStyle name="Input 2 2 4 2 9 3" xfId="23082" xr:uid="{ABE8F55F-C32A-4D27-8A3D-6A5F78188B93}"/>
    <cellStyle name="Input 2 2 4 2 9 3 2" xfId="49852" xr:uid="{3C1C0961-ABDD-4D4A-A66C-6BFA69B8FC11}"/>
    <cellStyle name="Input 2 2 4 2 9 4" xfId="53297" xr:uid="{D4CA7E17-CFA6-411C-A333-2BF6EC0C8B1C}"/>
    <cellStyle name="Input 2 2 4 3" xfId="3133" xr:uid="{00000000-0005-0000-0000-00001C050000}"/>
    <cellStyle name="Input 2 2 4 3 2" xfId="10042" xr:uid="{044B335F-B611-43D2-8B1C-C6B311910314}"/>
    <cellStyle name="Input 2 2 4 3 2 2" xfId="32549" xr:uid="{B4C1AB87-99E3-4422-ABAB-6394B3FBA808}"/>
    <cellStyle name="Input 2 2 4 3 2 3" xfId="44944" xr:uid="{5FD9071B-4788-4C03-BAE6-5E744806EA1B}"/>
    <cellStyle name="Input 2 2 4 3 3" xfId="15420" xr:uid="{F2B4AA07-314A-46D8-9F5F-047E02978558}"/>
    <cellStyle name="Input 2 2 4 3 3 2" xfId="37846" xr:uid="{2A83D05B-39E3-4DE5-AA35-BAE74D80B72C}"/>
    <cellStyle name="Input 2 2 4 3 3 3" xfId="53430" xr:uid="{07C87DA7-602C-4547-BDD2-33A888802098}"/>
    <cellStyle name="Input 2 2 4 3 4" xfId="19358" xr:uid="{96623F16-13B3-434E-9B9B-16B15A3501CB}"/>
    <cellStyle name="Input 2 2 4 3 4 2" xfId="43597" xr:uid="{D0276447-39B7-453F-A024-5BEE859A9492}"/>
    <cellStyle name="Input 2 2 4 3 5" xfId="53482" xr:uid="{37F4BB2A-D79C-4534-A3C9-91CD0D42B051}"/>
    <cellStyle name="Input 2 2 4 4" xfId="4781" xr:uid="{00000000-0005-0000-0000-00001C050000}"/>
    <cellStyle name="Input 2 2 4 4 2" xfId="11678" xr:uid="{FA990412-14F6-4786-BC16-4FD1B01A038D}"/>
    <cellStyle name="Input 2 2 4 4 2 2" xfId="34164" xr:uid="{F5F81A98-A3A3-4A66-8875-D17C3053A04E}"/>
    <cellStyle name="Input 2 2 4 4 2 3" xfId="29040" xr:uid="{FBBC1761-4698-4E83-B3BD-A795B1CB2E8C}"/>
    <cellStyle name="Input 2 2 4 4 3" xfId="16718" xr:uid="{34EAB6CE-4ABA-464F-9A2F-C227E427C3D5}"/>
    <cellStyle name="Input 2 2 4 4 3 2" xfId="39108" xr:uid="{8605F8BF-0D91-416B-BD95-F001BCC817D9}"/>
    <cellStyle name="Input 2 2 4 4 3 3" xfId="36540" xr:uid="{4C371F1F-E10B-443A-8A08-C97F311C83B5}"/>
    <cellStyle name="Input 2 2 4 4 4" xfId="14806" xr:uid="{36C50CF0-AAB4-44A9-BBBA-4D551EB1EA4D}"/>
    <cellStyle name="Input 2 2 4 4 4 2" xfId="24160" xr:uid="{5578516C-7CC8-487F-9C3B-730974ADFD90}"/>
    <cellStyle name="Input 2 2 4 4 5" xfId="26313" xr:uid="{88255058-F5C7-4DA6-ACDA-9905C583F5D2}"/>
    <cellStyle name="Input 2 2 4 5" xfId="5085" xr:uid="{00000000-0005-0000-0000-00001C050000}"/>
    <cellStyle name="Input 2 2 4 5 2" xfId="11978" xr:uid="{6A306F71-DB72-4485-9C4B-523F305EF9D9}"/>
    <cellStyle name="Input 2 2 4 5 2 2" xfId="34464" xr:uid="{964838CE-0A0E-4F2A-80DE-C6B94519632D}"/>
    <cellStyle name="Input 2 2 4 5 2 3" xfId="27288" xr:uid="{BDB57202-12FB-4A8A-BF83-4D53FEF62955}"/>
    <cellStyle name="Input 2 2 4 5 3" xfId="17022" xr:uid="{AE53EAEA-2F1A-4941-8420-7BE95986608C}"/>
    <cellStyle name="Input 2 2 4 5 3 2" xfId="39412" xr:uid="{C65581F8-3787-4488-BEA6-8EAA4CD66FCF}"/>
    <cellStyle name="Input 2 2 4 5 3 3" xfId="29144" xr:uid="{38F2F0BA-E96B-409B-BF98-7032A8C53935}"/>
    <cellStyle name="Input 2 2 4 5 4" xfId="21446" xr:uid="{BA058AA2-EC30-461D-B27F-C658DD359F7D}"/>
    <cellStyle name="Input 2 2 4 5 4 2" xfId="52045" xr:uid="{FBC70A9B-0282-453B-AB72-4A24657EBD14}"/>
    <cellStyle name="Input 2 2 4 5 5" xfId="51457" xr:uid="{123D4F55-D086-4AC4-9120-81EA00656596}"/>
    <cellStyle name="Input 2 2 4 6" xfId="5037" xr:uid="{00000000-0005-0000-0000-00001C050000}"/>
    <cellStyle name="Input 2 2 4 6 2" xfId="11931" xr:uid="{D1BA5FDC-BDF0-485E-B856-4D18E8CE03C2}"/>
    <cellStyle name="Input 2 2 4 6 2 2" xfId="34417" xr:uid="{F1E4C0DC-BF09-4D49-861F-CB9131BA2D24}"/>
    <cellStyle name="Input 2 2 4 6 2 3" xfId="25903" xr:uid="{AEEF4C12-9BF6-4979-8EF3-61919DB55E49}"/>
    <cellStyle name="Input 2 2 4 6 3" xfId="16974" xr:uid="{59937938-F2DE-4783-9E65-E6F27A2D35E9}"/>
    <cellStyle name="Input 2 2 4 6 3 2" xfId="39364" xr:uid="{241CAA11-74D6-4C19-A226-D00663A3EE37}"/>
    <cellStyle name="Input 2 2 4 6 3 3" xfId="44586" xr:uid="{2EFEE9B1-8737-45B3-B04C-9CF82274858F}"/>
    <cellStyle name="Input 2 2 4 6 4" xfId="21398" xr:uid="{9136605A-541C-445D-ACF9-0B28D9690A30}"/>
    <cellStyle name="Input 2 2 4 6 4 2" xfId="53538" xr:uid="{178186F2-0813-4C9E-B32D-F29C7546F3B6}"/>
    <cellStyle name="Input 2 2 4 6 5" xfId="27636" xr:uid="{B0032FFE-3F5F-439A-983D-1EE2A4B21F82}"/>
    <cellStyle name="Input 2 2 4 7" xfId="6804" xr:uid="{00000000-0005-0000-0000-00001C050000}"/>
    <cellStyle name="Input 2 2 4 7 2" xfId="13653" xr:uid="{42DF518C-6305-40C2-B46D-C7E9233C7633}"/>
    <cellStyle name="Input 2 2 4 7 2 2" xfId="36137" xr:uid="{3290ACDF-F309-4FA1-BE29-05E0DBC924BE}"/>
    <cellStyle name="Input 2 2 4 7 2 3" xfId="48178" xr:uid="{BBD3ABCC-0E7A-4AAF-A7FC-0E9BF1C7B93B}"/>
    <cellStyle name="Input 2 2 4 7 3" xfId="18741" xr:uid="{6B2315B3-CF8D-4FC8-8109-E4C00C57A229}"/>
    <cellStyle name="Input 2 2 4 7 3 2" xfId="41131" xr:uid="{4D7D2C2B-9989-4E9B-80AB-017E36BC26C9}"/>
    <cellStyle name="Input 2 2 4 7 3 3" xfId="26247" xr:uid="{837C561F-5B93-4F8E-8C06-D9D3433D3492}"/>
    <cellStyle name="Input 2 2 4 7 4" xfId="23165" xr:uid="{3B983A56-25F3-4A3C-9ED3-353939516268}"/>
    <cellStyle name="Input 2 2 4 7 4 2" xfId="48335" xr:uid="{602BDDA7-2C1F-4800-8111-4C18674FDEE9}"/>
    <cellStyle name="Input 2 2 4 7 5" xfId="49708" xr:uid="{8DC9C5E9-3F3A-48B1-8F7B-434A98FAC7F9}"/>
    <cellStyle name="Input 2 2 4 8" xfId="8278" xr:uid="{FF9AD850-9868-4336-B1A0-8900AB08CDB5}"/>
    <cellStyle name="Input 2 2 4 8 2" xfId="30878" xr:uid="{BFFF7BB3-7721-4280-A455-AB109CF1D9B8}"/>
    <cellStyle name="Input 2 2 4 8 3" xfId="32146" xr:uid="{120FC16F-FC68-4055-98C2-2D1D8111C63D}"/>
    <cellStyle name="Input 2 2 4 9" xfId="21042" xr:uid="{DF976F65-657B-43AA-A6F8-ACB9B851C121}"/>
    <cellStyle name="Input 2 2 4 9 2" xfId="43290" xr:uid="{34A6B203-4F42-4C95-B496-4FF8AE1E5C0F}"/>
    <cellStyle name="Input 2 2 4 9 3" xfId="47733" xr:uid="{36D23DB3-73B8-4DA0-871A-166B77345A15}"/>
    <cellStyle name="Input 2 2 5" xfId="1190" xr:uid="{00000000-0005-0000-0000-00001F050000}"/>
    <cellStyle name="Input 2 2 5 10" xfId="20542" xr:uid="{9EC40536-33E7-4301-93DC-610A981BF5F9}"/>
    <cellStyle name="Input 2 2 5 10 2" xfId="43919" xr:uid="{5C6D87A4-50A3-4D21-9122-3ADBD7A57911}"/>
    <cellStyle name="Input 2 2 5 11" xfId="27543" xr:uid="{916DAE88-3FCF-4186-BB78-FBC857EE3380}"/>
    <cellStyle name="Input 2 2 5 2" xfId="1991" xr:uid="{00000000-0005-0000-0000-000020050000}"/>
    <cellStyle name="Input 2 2 5 2 10" xfId="14639" xr:uid="{254667F7-C18C-4856-8B58-5F212DB3BB51}"/>
    <cellStyle name="Input 2 2 5 2 10 2" xfId="37099" xr:uid="{3FCD2EB9-876D-47BB-B202-782F553C4507}"/>
    <cellStyle name="Input 2 2 5 2 10 3" xfId="50579" xr:uid="{358D7489-BA4E-4BFF-A869-5B7CF5C854BB}"/>
    <cellStyle name="Input 2 2 5 2 11" xfId="15277" xr:uid="{33A989CB-EE80-4F1E-8994-94C4DFFEAC3F}"/>
    <cellStyle name="Input 2 2 5 2 11 2" xfId="37710" xr:uid="{B174C46C-0207-4C3B-8DF4-3F7BF7886E42}"/>
    <cellStyle name="Input 2 2 5 2 11 3" xfId="52682" xr:uid="{9C0B37BC-8F7B-473B-9A55-570888B921A8}"/>
    <cellStyle name="Input 2 2 5 2 12" xfId="15759" xr:uid="{51D8E970-970E-48BC-9793-7D7DE3A5F23C}"/>
    <cellStyle name="Input 2 2 5 2 12 2" xfId="54136" xr:uid="{3C4CD28C-3F76-412E-8971-F9EE9385176D}"/>
    <cellStyle name="Input 2 2 5 2 13" xfId="43582" xr:uid="{005E96EF-AD60-49BD-8DA8-4D5C794A1E05}"/>
    <cellStyle name="Input 2 2 5 2 2" xfId="4087" xr:uid="{00000000-0005-0000-0000-00001F050000}"/>
    <cellStyle name="Input 2 2 5 2 2 2" xfId="10991" xr:uid="{46BBE992-5A13-4F19-88CD-BB6181FC5FA8}"/>
    <cellStyle name="Input 2 2 5 2 2 2 2" xfId="33477" xr:uid="{0BE59B48-213F-4204-A586-91C8E26F1BED}"/>
    <cellStyle name="Input 2 2 5 2 2 2 3" xfId="47364" xr:uid="{E2DC57F9-9360-4831-92EA-BF786A82BCFB}"/>
    <cellStyle name="Input 2 2 5 2 2 3" xfId="16091" xr:uid="{4B89870F-A92C-4730-BB4D-8B4060F62903}"/>
    <cellStyle name="Input 2 2 5 2 2 3 2" xfId="38491" xr:uid="{5F7C7646-BAE4-4349-A721-A150B03EB6A8}"/>
    <cellStyle name="Input 2 2 5 2 2 3 3" xfId="42525" xr:uid="{6C879A86-0B48-4763-84F4-D4E81848E6E7}"/>
    <cellStyle name="Input 2 2 5 2 2 4" xfId="19400" xr:uid="{373536B4-DDF7-446A-A0D6-07080F15CB4F}"/>
    <cellStyle name="Input 2 2 5 2 2 4 2" xfId="25071" xr:uid="{01B82FCA-7923-41EF-BA37-43465B6EFF36}"/>
    <cellStyle name="Input 2 2 5 2 2 5" xfId="29296" xr:uid="{B7B6D8A5-4E68-4555-8996-88A6F209172C}"/>
    <cellStyle name="Input 2 2 5 2 3" xfId="5432" xr:uid="{00000000-0005-0000-0000-00001F050000}"/>
    <cellStyle name="Input 2 2 5 2 3 2" xfId="12322" xr:uid="{19BBDC02-26C6-4E29-994A-8634B8197C59}"/>
    <cellStyle name="Input 2 2 5 2 3 2 2" xfId="34807" xr:uid="{AD117E09-648D-4D52-9E5F-0001C65D439B}"/>
    <cellStyle name="Input 2 2 5 2 3 2 3" xfId="45426" xr:uid="{23314553-6906-4749-9A90-687BF58893B7}"/>
    <cellStyle name="Input 2 2 5 2 3 3" xfId="17369" xr:uid="{CDDECBAC-56EB-4910-8270-7AEDDBC61BF0}"/>
    <cellStyle name="Input 2 2 5 2 3 3 2" xfId="39759" xr:uid="{E5B20368-7DFE-490D-9C34-64AEDA876D05}"/>
    <cellStyle name="Input 2 2 5 2 3 3 3" xfId="28311" xr:uid="{04B95445-9E28-4EAF-B34B-1153EA4B015C}"/>
    <cellStyle name="Input 2 2 5 2 3 4" xfId="21793" xr:uid="{43954CEC-0BC5-458D-BEC9-F14AB30BBC08}"/>
    <cellStyle name="Input 2 2 5 2 3 4 2" xfId="48299" xr:uid="{2E4CBD44-28BC-4A6F-B1AF-515D0E747BF4}"/>
    <cellStyle name="Input 2 2 5 2 3 5" xfId="48291" xr:uid="{0D6B68BB-D6D9-436B-8C46-1B7B751D43FB}"/>
    <cellStyle name="Input 2 2 5 2 4" xfId="5855" xr:uid="{00000000-0005-0000-0000-00001F050000}"/>
    <cellStyle name="Input 2 2 5 2 4 2" xfId="12737" xr:uid="{F6162F71-3F5D-4397-937E-D0F470997EEA}"/>
    <cellStyle name="Input 2 2 5 2 4 2 2" xfId="35221" xr:uid="{E716CC75-1225-4C89-9288-768A36F6ACF9}"/>
    <cellStyle name="Input 2 2 5 2 4 2 3" xfId="25875" xr:uid="{6AE0425F-E9A9-46D1-BD56-C3402AF484EA}"/>
    <cellStyle name="Input 2 2 5 2 4 3" xfId="17792" xr:uid="{9411564D-3D1D-435A-9E15-E4E3C7ED6D5C}"/>
    <cellStyle name="Input 2 2 5 2 4 3 2" xfId="40182" xr:uid="{91DEF29E-1AC6-41B4-99EE-AC302E018086}"/>
    <cellStyle name="Input 2 2 5 2 4 3 3" xfId="23824" xr:uid="{C43C96A9-99A1-447C-85E8-A25C2AC17E7E}"/>
    <cellStyle name="Input 2 2 5 2 4 4" xfId="22216" xr:uid="{1218C9D7-C81A-4C40-94E8-B81D1962DDAE}"/>
    <cellStyle name="Input 2 2 5 2 4 4 2" xfId="43959" xr:uid="{75382EB4-5216-4E85-AC55-4BE34373B002}"/>
    <cellStyle name="Input 2 2 5 2 4 5" xfId="47515" xr:uid="{8A455458-72EB-40E3-A5BD-61A60815CA02}"/>
    <cellStyle name="Input 2 2 5 2 5" xfId="6193" xr:uid="{00000000-0005-0000-0000-00001F050000}"/>
    <cellStyle name="Input 2 2 5 2 5 2" xfId="13068" xr:uid="{EAE0669D-A748-468C-9F87-05EBA9781414}"/>
    <cellStyle name="Input 2 2 5 2 5 2 2" xfId="35552" xr:uid="{D2B88BEB-7A2B-4382-8724-88033B2C6C00}"/>
    <cellStyle name="Input 2 2 5 2 5 2 3" xfId="26300" xr:uid="{C941083F-CB1E-4AF8-BA9D-EF1A29BCBF28}"/>
    <cellStyle name="Input 2 2 5 2 5 3" xfId="18130" xr:uid="{FB50CCAA-9EA7-4CEC-B7B6-F5459028D512}"/>
    <cellStyle name="Input 2 2 5 2 5 3 2" xfId="40520" xr:uid="{13BFCF25-9865-4C2F-9345-E76186F98DD8}"/>
    <cellStyle name="Input 2 2 5 2 5 3 3" xfId="25459" xr:uid="{C07E92E2-6784-4EB3-908A-4071A32B338B}"/>
    <cellStyle name="Input 2 2 5 2 5 4" xfId="22554" xr:uid="{82E2F236-08D3-491B-8869-BB1571CC1931}"/>
    <cellStyle name="Input 2 2 5 2 5 4 2" xfId="30167" xr:uid="{74C63776-10AE-4B13-A53B-D35B9551628C}"/>
    <cellStyle name="Input 2 2 5 2 5 5" xfId="52846" xr:uid="{7878B21B-318C-4089-8BC4-BC743E18CDAB}"/>
    <cellStyle name="Input 2 2 5 2 6" xfId="6561" xr:uid="{00000000-0005-0000-0000-00001F050000}"/>
    <cellStyle name="Input 2 2 5 2 6 2" xfId="13427" xr:uid="{BC5B1C98-2368-45FC-ABF0-DBCAAD111063}"/>
    <cellStyle name="Input 2 2 5 2 6 2 2" xfId="35911" xr:uid="{8208797B-7D0D-43A0-9FF2-7FB7826E393F}"/>
    <cellStyle name="Input 2 2 5 2 6 2 3" xfId="53540" xr:uid="{37581D43-A121-4F3B-87B0-FB59E53F9202}"/>
    <cellStyle name="Input 2 2 5 2 6 3" xfId="18498" xr:uid="{057E9FFA-E28C-4DF1-B32B-F5224248220B}"/>
    <cellStyle name="Input 2 2 5 2 6 3 2" xfId="40888" xr:uid="{165C6572-8572-4081-A9F0-B7765175B973}"/>
    <cellStyle name="Input 2 2 5 2 6 3 3" xfId="26375" xr:uid="{3DA4AD30-6FF2-4011-816F-5D0922DF9114}"/>
    <cellStyle name="Input 2 2 5 2 6 4" xfId="22922" xr:uid="{328157E2-0C04-4AC6-9859-80E4B3D9B441}"/>
    <cellStyle name="Input 2 2 5 2 6 4 2" xfId="47541" xr:uid="{15E4C7D8-7216-42C4-9E6C-8DBCFBC7ECEB}"/>
    <cellStyle name="Input 2 2 5 2 6 5" xfId="45636" xr:uid="{1C45E577-8B46-497E-97E9-2C0E7D2D0569}"/>
    <cellStyle name="Input 2 2 5 2 7" xfId="6551" xr:uid="{00000000-0005-0000-0000-00001F050000}"/>
    <cellStyle name="Input 2 2 5 2 7 2" xfId="13419" xr:uid="{A5CAF6CC-2A1B-42E8-969A-2C6E65B069B4}"/>
    <cellStyle name="Input 2 2 5 2 7 2 2" xfId="35903" xr:uid="{A727BBC1-ED95-4DEB-BEC5-75446546D5D4}"/>
    <cellStyle name="Input 2 2 5 2 7 2 3" xfId="52332" xr:uid="{EC9C32CF-7BBB-4ED5-8CA8-7606B3A486D0}"/>
    <cellStyle name="Input 2 2 5 2 7 3" xfId="18488" xr:uid="{96F61B1E-BC2A-47C0-9EB0-776BEF92802A}"/>
    <cellStyle name="Input 2 2 5 2 7 3 2" xfId="40878" xr:uid="{D2D3B225-45A2-4F9C-8FC4-3752BEA14670}"/>
    <cellStyle name="Input 2 2 5 2 7 3 3" xfId="24528" xr:uid="{B445A501-482C-4284-BBB5-DA44A2822EC1}"/>
    <cellStyle name="Input 2 2 5 2 7 4" xfId="22912" xr:uid="{76D2DEAE-13BB-49C0-9000-9C8AC60FFCFA}"/>
    <cellStyle name="Input 2 2 5 2 7 4 2" xfId="47471" xr:uid="{F5E9BBCE-E09D-4F96-9DCD-691C40D9D1D0}"/>
    <cellStyle name="Input 2 2 5 2 7 5" xfId="46887" xr:uid="{CFEA00B3-D80D-433D-8299-FAD4873CDEAA}"/>
    <cellStyle name="Input 2 2 5 2 8" xfId="7031" xr:uid="{00000000-0005-0000-0000-00001F050000}"/>
    <cellStyle name="Input 2 2 5 2 8 2" xfId="13867" xr:uid="{453C98FB-C286-464C-934C-0E202CF38746}"/>
    <cellStyle name="Input 2 2 5 2 8 2 2" xfId="36351" xr:uid="{31781A6B-8581-4EE5-8AAA-2A48C55BB4F6}"/>
    <cellStyle name="Input 2 2 5 2 8 2 3" xfId="46057" xr:uid="{F091485E-F3D3-415F-BA25-4DEF3C3D3082}"/>
    <cellStyle name="Input 2 2 5 2 8 3" xfId="18968" xr:uid="{12A74276-0AB6-4F08-B3D6-1ADDAFB04F57}"/>
    <cellStyle name="Input 2 2 5 2 8 3 2" xfId="41358" xr:uid="{230854DD-6CDD-4777-8D12-960C1FAFC7B8}"/>
    <cellStyle name="Input 2 2 5 2 8 3 3" xfId="41856" xr:uid="{3F740624-89A0-47C7-93A8-AD55BEE98801}"/>
    <cellStyle name="Input 2 2 5 2 8 4" xfId="23392" xr:uid="{3AA14FC9-908F-457C-8D1A-FC4BD05FC18A}"/>
    <cellStyle name="Input 2 2 5 2 8 4 2" xfId="53838" xr:uid="{3744E66A-5402-47DA-814A-C18AFB269C52}"/>
    <cellStyle name="Input 2 2 5 2 8 5" xfId="29201" xr:uid="{C6DD6023-7EB7-47BB-A43B-E064B071AC79}"/>
    <cellStyle name="Input 2 2 5 2 9" xfId="7146" xr:uid="{00000000-0005-0000-0000-00001F050000}"/>
    <cellStyle name="Input 2 2 5 2 9 2" xfId="19083" xr:uid="{ADE039F1-A85D-435E-A745-F66DABD95C86}"/>
    <cellStyle name="Input 2 2 5 2 9 2 2" xfId="41473" xr:uid="{FB417053-E0B7-40C9-AB3F-7A8385FB66A4}"/>
    <cellStyle name="Input 2 2 5 2 9 2 3" xfId="24556" xr:uid="{F91FAA52-72F1-4E4D-8473-9390BCB40552}"/>
    <cellStyle name="Input 2 2 5 2 9 3" xfId="23507" xr:uid="{908E124E-BD4A-4107-BC1E-B48718A9ACBB}"/>
    <cellStyle name="Input 2 2 5 2 9 3 2" xfId="29284" xr:uid="{AA95993E-E472-4E61-BFE2-84BD6EC750E0}"/>
    <cellStyle name="Input 2 2 5 2 9 4" xfId="52479" xr:uid="{A5F3252A-B5AE-4638-AF52-B24AD00EEE54}"/>
    <cellStyle name="Input 2 2 5 3" xfId="3307" xr:uid="{00000000-0005-0000-0000-00001E050000}"/>
    <cellStyle name="Input 2 2 5 3 2" xfId="10215" xr:uid="{85377434-A2FD-4700-A739-7AA3A61CAA46}"/>
    <cellStyle name="Input 2 2 5 3 2 2" xfId="32709" xr:uid="{E8F111DD-54D8-44EC-B778-793D6264B6C3}"/>
    <cellStyle name="Input 2 2 5 3 2 3" xfId="29010" xr:uid="{6CD34591-EA9F-4DF2-AF88-50644F83C21E}"/>
    <cellStyle name="Input 2 2 5 3 3" xfId="15533" xr:uid="{8BCF518B-F9CB-4341-B3DC-8B1EA5CF1CC6}"/>
    <cellStyle name="Input 2 2 5 3 3 2" xfId="37952" xr:uid="{4F1CAAE8-A891-418F-B21D-C3570E3B5EBC}"/>
    <cellStyle name="Input 2 2 5 3 3 3" xfId="43589" xr:uid="{59376E1B-F65C-4465-A860-C42914EFBF8E}"/>
    <cellStyle name="Input 2 2 5 3 4" xfId="20683" xr:uid="{56E3FC4B-6FAF-4C59-9292-B23914256AB7}"/>
    <cellStyle name="Input 2 2 5 3 4 2" xfId="54132" xr:uid="{EE025E3B-6FC9-4B61-A793-E08064EEDE00}"/>
    <cellStyle name="Input 2 2 5 3 5" xfId="49347" xr:uid="{F8CB1989-26DC-4E72-BE78-F8FF1A6AC0A6}"/>
    <cellStyle name="Input 2 2 5 4" xfId="4892" xr:uid="{00000000-0005-0000-0000-00001E050000}"/>
    <cellStyle name="Input 2 2 5 4 2" xfId="11787" xr:uid="{FC6B5708-30F4-4C0A-BAFC-7D47C4FA1B7A}"/>
    <cellStyle name="Input 2 2 5 4 2 2" xfId="34273" xr:uid="{6DAAE021-CAA2-48CE-8B99-3815022A6AB8}"/>
    <cellStyle name="Input 2 2 5 4 2 3" xfId="26740" xr:uid="{2E3256EE-EF2E-4E11-8AF7-E6B476385795}"/>
    <cellStyle name="Input 2 2 5 4 3" xfId="16829" xr:uid="{C6484427-4246-44E1-A23D-ABF029E59287}"/>
    <cellStyle name="Input 2 2 5 4 3 2" xfId="39219" xr:uid="{95CF2A54-9A2B-419E-AD5A-AA007E654FF8}"/>
    <cellStyle name="Input 2 2 5 4 3 3" xfId="25787" xr:uid="{3E8AAA81-8C83-4D8D-9DDE-7B56F3CC8E17}"/>
    <cellStyle name="Input 2 2 5 4 4" xfId="20629" xr:uid="{1816337D-6682-4AAA-9744-FD18FAD0EF95}"/>
    <cellStyle name="Input 2 2 5 4 4 2" xfId="48070" xr:uid="{9ED1EE47-C0AA-4C95-90CC-A17FA7C24F57}"/>
    <cellStyle name="Input 2 2 5 4 5" xfId="53120" xr:uid="{8B9BD06A-5EA6-44DA-A905-CC1BC009F818}"/>
    <cellStyle name="Input 2 2 5 5" xfId="6029" xr:uid="{00000000-0005-0000-0000-00001E050000}"/>
    <cellStyle name="Input 2 2 5 5 2" xfId="12909" xr:uid="{19E9692B-2339-4FD9-A0E2-D07C6AA3B3D8}"/>
    <cellStyle name="Input 2 2 5 5 2 2" xfId="35393" xr:uid="{E1F507B3-18F8-4622-B264-46603CF43060}"/>
    <cellStyle name="Input 2 2 5 5 2 3" xfId="48775" xr:uid="{C49B6957-39A3-4581-A40D-A6F2EFD6C6F7}"/>
    <cellStyle name="Input 2 2 5 5 3" xfId="17966" xr:uid="{BA2DF501-8945-49A8-8C61-C82CEBDFC05B}"/>
    <cellStyle name="Input 2 2 5 5 3 2" xfId="40356" xr:uid="{18527AFE-748E-4636-B9D2-1A27971CEEC8}"/>
    <cellStyle name="Input 2 2 5 5 3 3" xfId="26519" xr:uid="{BA975741-C453-4A5E-8636-31836A20407F}"/>
    <cellStyle name="Input 2 2 5 5 4" xfId="22390" xr:uid="{33665142-C1E9-46D3-B2FD-7875021383F6}"/>
    <cellStyle name="Input 2 2 5 5 4 2" xfId="45948" xr:uid="{CFEA3145-8024-4B04-AC6A-43263B50DDCF}"/>
    <cellStyle name="Input 2 2 5 5 5" xfId="52825" xr:uid="{2E573F79-7C1A-44F4-886C-4EB7CDDC3377}"/>
    <cellStyle name="Input 2 2 5 6" xfId="5200" xr:uid="{00000000-0005-0000-0000-00001E050000}"/>
    <cellStyle name="Input 2 2 5 6 2" xfId="12093" xr:uid="{32C592E6-AE02-411C-9CA6-8684B36C7970}"/>
    <cellStyle name="Input 2 2 5 6 2 2" xfId="34579" xr:uid="{4CA78B05-73CF-48B9-ADB5-FFC16B637336}"/>
    <cellStyle name="Input 2 2 5 6 2 3" xfId="44915" xr:uid="{4FF3FB62-50AD-4C36-8E5B-C546C65A52CC}"/>
    <cellStyle name="Input 2 2 5 6 3" xfId="17137" xr:uid="{7B546DF0-E568-4AF5-80E9-439887C8E3A5}"/>
    <cellStyle name="Input 2 2 5 6 3 2" xfId="39527" xr:uid="{711AF5D2-C9EA-4F85-AC95-9916F9EE9175}"/>
    <cellStyle name="Input 2 2 5 6 3 3" xfId="43980" xr:uid="{16AC876A-DFE2-4FBD-9C67-E6A165953389}"/>
    <cellStyle name="Input 2 2 5 6 4" xfId="21561" xr:uid="{F01C3BBD-DE78-4897-8263-A22F312F2DAF}"/>
    <cellStyle name="Input 2 2 5 6 4 2" xfId="49482" xr:uid="{0DBACF7E-709D-4CF7-9A48-50D1B713FA64}"/>
    <cellStyle name="Input 2 2 5 6 5" xfId="29270" xr:uid="{6F8E5E34-9032-4F15-9D25-B60477ED552F}"/>
    <cellStyle name="Input 2 2 5 7" xfId="5049" xr:uid="{00000000-0005-0000-0000-00001E050000}"/>
    <cellStyle name="Input 2 2 5 7 2" xfId="11943" xr:uid="{F05BC502-4EB9-4B3E-83BC-40292121EA41}"/>
    <cellStyle name="Input 2 2 5 7 2 2" xfId="34429" xr:uid="{3A909661-01FC-4646-AC20-6674AFF0E70F}"/>
    <cellStyle name="Input 2 2 5 7 2 3" xfId="44103" xr:uid="{191BED2D-C631-4482-9892-59BC76F3C875}"/>
    <cellStyle name="Input 2 2 5 7 3" xfId="16986" xr:uid="{127B6E93-640E-4EAB-B1DF-064C7CD13AE4}"/>
    <cellStyle name="Input 2 2 5 7 3 2" xfId="39376" xr:uid="{0B267CE5-B513-46B8-AD68-FBE78544DBBC}"/>
    <cellStyle name="Input 2 2 5 7 3 3" xfId="27698" xr:uid="{EFBB2366-B156-4303-9E5E-2700FB3EC322}"/>
    <cellStyle name="Input 2 2 5 7 4" xfId="21410" xr:uid="{8D88F24F-3FA6-498B-AD8A-6D0CBA4D224F}"/>
    <cellStyle name="Input 2 2 5 7 4 2" xfId="53262" xr:uid="{1BC47B9B-BF80-41E6-A887-E035C5A4033C}"/>
    <cellStyle name="Input 2 2 5 7 5" xfId="51732" xr:uid="{E939B889-6250-4C1B-A23E-E5EECD105A04}"/>
    <cellStyle name="Input 2 2 5 8" xfId="14066" xr:uid="{067AA9CD-358A-4B2E-91D4-BAD9C8C0FC89}"/>
    <cellStyle name="Input 2 2 5 8 2" xfId="36544" xr:uid="{D1E6454A-37CC-4017-84A6-844C14DFA48F}"/>
    <cellStyle name="Input 2 2 5 8 3" xfId="48145" xr:uid="{854BABED-2C38-43E9-80D3-EE254C56AC56}"/>
    <cellStyle name="Input 2 2 5 9" xfId="20288" xr:uid="{FB06D508-A83F-4C20-8CE5-3BAA013F0171}"/>
    <cellStyle name="Input 2 2 5 9 2" xfId="42588" xr:uid="{828EB4D1-A35B-4C0E-A7C4-3384336C79E3}"/>
    <cellStyle name="Input 2 2 5 9 3" xfId="49596" xr:uid="{E6D7794D-9671-4655-8BD6-212C9BB9AE84}"/>
    <cellStyle name="Input 2 2 6" xfId="1352" xr:uid="{00000000-0005-0000-0000-000021050000}"/>
    <cellStyle name="Input 2 2 6 10" xfId="7475" xr:uid="{0F8C6FBB-99B8-4023-80C2-FA951CB8C881}"/>
    <cellStyle name="Input 2 2 6 10 2" xfId="50078" xr:uid="{3C1368E1-E9F6-4AE3-B465-98842FACA855}"/>
    <cellStyle name="Input 2 2 6 11" xfId="44783" xr:uid="{83599349-820C-46F5-AD87-3C3D1E8233F0}"/>
    <cellStyle name="Input 2 2 6 2" xfId="2081" xr:uid="{00000000-0005-0000-0000-000022050000}"/>
    <cellStyle name="Input 2 2 6 2 10" xfId="14711" xr:uid="{93BEF411-89B8-43A4-939B-69EFB9B12536}"/>
    <cellStyle name="Input 2 2 6 2 10 2" xfId="37169" xr:uid="{2215E8D9-3724-40C4-B02F-0964A0E5A6E8}"/>
    <cellStyle name="Input 2 2 6 2 10 3" xfId="45704" xr:uid="{BD678E28-6FE7-4305-93F7-D9174EAE937C}"/>
    <cellStyle name="Input 2 2 6 2 11" xfId="20305" xr:uid="{C23D65DC-C6A2-4259-AAB5-DBFA876AB2FD}"/>
    <cellStyle name="Input 2 2 6 2 11 2" xfId="42604" xr:uid="{BA29F888-983E-4D30-882F-EC9457620DDF}"/>
    <cellStyle name="Input 2 2 6 2 11 3" xfId="47975" xr:uid="{A8F7373E-F3C8-42C7-BF07-E55D2ACCE0BD}"/>
    <cellStyle name="Input 2 2 6 2 12" xfId="15486" xr:uid="{A059E65C-7CD0-4FBF-B156-8FEAAC830F45}"/>
    <cellStyle name="Input 2 2 6 2 12 2" xfId="37709" xr:uid="{197BD601-707E-4E84-9B96-57ABE16C7D17}"/>
    <cellStyle name="Input 2 2 6 2 13" xfId="45913" xr:uid="{50BA8665-2C5F-48FD-877D-46FCA6127DAA}"/>
    <cellStyle name="Input 2 2 6 2 2" xfId="4176" xr:uid="{00000000-0005-0000-0000-000021050000}"/>
    <cellStyle name="Input 2 2 6 2 2 2" xfId="11080" xr:uid="{5604B3CF-296A-4AB3-874F-81A38918DF8E}"/>
    <cellStyle name="Input 2 2 6 2 2 2 2" xfId="33566" xr:uid="{9393061E-78F4-4351-A36C-7CDCFD40CE63}"/>
    <cellStyle name="Input 2 2 6 2 2 2 3" xfId="52866" xr:uid="{E4401935-4D65-459C-B4B5-9E048E080AAD}"/>
    <cellStyle name="Input 2 2 6 2 2 3" xfId="16169" xr:uid="{B680BF52-8365-4383-A5EA-2FEE1FA4B9DF}"/>
    <cellStyle name="Input 2 2 6 2 2 3 2" xfId="38568" xr:uid="{ACDE8BE6-A70A-4C55-8BA7-52BBF8D5776C}"/>
    <cellStyle name="Input 2 2 6 2 2 3 3" xfId="26964" xr:uid="{87A14B82-573F-4025-B15C-AA12A0EFCE2B}"/>
    <cellStyle name="Input 2 2 6 2 2 4" xfId="21112" xr:uid="{A5AED7E5-FA34-4EC1-B579-A30CD73A8460}"/>
    <cellStyle name="Input 2 2 6 2 2 4 2" xfId="50545" xr:uid="{99E3FDE3-2118-4943-AE46-C59900891F11}"/>
    <cellStyle name="Input 2 2 6 2 2 5" xfId="49257" xr:uid="{E1B84D5A-3BB6-433A-9B04-8E9FC55571EE}"/>
    <cellStyle name="Input 2 2 6 2 3" xfId="5502" xr:uid="{00000000-0005-0000-0000-000021050000}"/>
    <cellStyle name="Input 2 2 6 2 3 2" xfId="12391" xr:uid="{2D93DAB5-5234-4493-B7A5-2EDA13089018}"/>
    <cellStyle name="Input 2 2 6 2 3 2 2" xfId="34876" xr:uid="{15017001-BFA0-44E1-8A3C-F5F27EDD6E25}"/>
    <cellStyle name="Input 2 2 6 2 3 2 3" xfId="24343" xr:uid="{6F15227E-AD8E-4FAD-821E-2248A82199E9}"/>
    <cellStyle name="Input 2 2 6 2 3 3" xfId="17439" xr:uid="{C43A39C0-8E8C-46A0-A7F8-75BA81652ABA}"/>
    <cellStyle name="Input 2 2 6 2 3 3 2" xfId="39829" xr:uid="{C8C8E083-5178-4D1E-B752-528A00B0856C}"/>
    <cellStyle name="Input 2 2 6 2 3 3 3" xfId="25054" xr:uid="{4CFF7996-38EC-41F4-B273-FF4D6D6C63A8}"/>
    <cellStyle name="Input 2 2 6 2 3 4" xfId="21863" xr:uid="{8CA75602-46FA-4C49-A568-BB5380C06CDD}"/>
    <cellStyle name="Input 2 2 6 2 3 4 2" xfId="54073" xr:uid="{2AF92665-5685-45FB-8680-1F377601CFA0}"/>
    <cellStyle name="Input 2 2 6 2 3 5" xfId="51240" xr:uid="{652ADA95-BE06-43D1-91E7-EF078EBCB626}"/>
    <cellStyle name="Input 2 2 6 2 4" xfId="5923" xr:uid="{00000000-0005-0000-0000-000021050000}"/>
    <cellStyle name="Input 2 2 6 2 4 2" xfId="12804" xr:uid="{7E754AC9-B8D3-4256-9A93-DB11E54BBB81}"/>
    <cellStyle name="Input 2 2 6 2 4 2 2" xfId="35288" xr:uid="{30DA691D-4272-49E0-AB14-F19751AAC97F}"/>
    <cellStyle name="Input 2 2 6 2 4 2 3" xfId="50864" xr:uid="{0CDD5710-91AD-484A-B2D0-FDD090AF2CBB}"/>
    <cellStyle name="Input 2 2 6 2 4 3" xfId="17860" xr:uid="{45889051-E33A-4D18-84D4-A54A0B1E0B7D}"/>
    <cellStyle name="Input 2 2 6 2 4 3 2" xfId="40250" xr:uid="{F1C0A8FB-8CFA-41CB-AFBF-1D5C65D765AE}"/>
    <cellStyle name="Input 2 2 6 2 4 3 3" xfId="29978" xr:uid="{0F7D569B-01E9-4F2C-BB84-C2E0B6CA9F63}"/>
    <cellStyle name="Input 2 2 6 2 4 4" xfId="22284" xr:uid="{A9DB99F5-1AB0-4A82-8DB0-3016D3DC4596}"/>
    <cellStyle name="Input 2 2 6 2 4 4 2" xfId="49761" xr:uid="{AF700EF6-7090-4B9C-B60A-A87ABCCFEA95}"/>
    <cellStyle name="Input 2 2 6 2 4 5" xfId="52995" xr:uid="{0BCFD348-E782-48A2-9870-035988DB5B66}"/>
    <cellStyle name="Input 2 2 6 2 5" xfId="6263" xr:uid="{00000000-0005-0000-0000-000021050000}"/>
    <cellStyle name="Input 2 2 6 2 5 2" xfId="13135" xr:uid="{4903DD4D-DC65-42BA-99F4-EFC6A7171FA6}"/>
    <cellStyle name="Input 2 2 6 2 5 2 2" xfId="35619" xr:uid="{6B5E2850-9C51-40AA-BE78-D974924A1486}"/>
    <cellStyle name="Input 2 2 6 2 5 2 3" xfId="46085" xr:uid="{43A4889D-E055-4373-B8C9-EBD12D84CBE2}"/>
    <cellStyle name="Input 2 2 6 2 5 3" xfId="18200" xr:uid="{74BE8C4D-21DF-4485-B224-E5C8E55AAEF6}"/>
    <cellStyle name="Input 2 2 6 2 5 3 2" xfId="40590" xr:uid="{4281E87F-0EFB-4310-8E07-5540D42BD9C0}"/>
    <cellStyle name="Input 2 2 6 2 5 3 3" xfId="44982" xr:uid="{F0BA3D6B-CB02-4E9E-9564-9A26E1AA3466}"/>
    <cellStyle name="Input 2 2 6 2 5 4" xfId="22624" xr:uid="{F4162107-CE85-45DD-B1C4-8D6DC5467960}"/>
    <cellStyle name="Input 2 2 6 2 5 4 2" xfId="46133" xr:uid="{678DD4CD-BA1D-4252-9B2D-3F31AF1FF84F}"/>
    <cellStyle name="Input 2 2 6 2 5 5" xfId="46788" xr:uid="{AAD371B8-2F11-48DA-A051-BD60879847FA}"/>
    <cellStyle name="Input 2 2 6 2 6" xfId="6620" xr:uid="{00000000-0005-0000-0000-000021050000}"/>
    <cellStyle name="Input 2 2 6 2 6 2" xfId="13486" xr:uid="{4306C388-5A06-463D-A6F9-48F9DC49BD05}"/>
    <cellStyle name="Input 2 2 6 2 6 2 2" xfId="35970" xr:uid="{C7634930-B9EB-4808-868E-DB4B989C9C9A}"/>
    <cellStyle name="Input 2 2 6 2 6 2 3" xfId="29373" xr:uid="{BB38B90C-3761-4335-B97A-4D70A52AFFA9}"/>
    <cellStyle name="Input 2 2 6 2 6 3" xfId="18557" xr:uid="{955A6879-D816-4D0B-B586-513E683FD7DF}"/>
    <cellStyle name="Input 2 2 6 2 6 3 2" xfId="40947" xr:uid="{31BBF830-E905-4907-AC51-A4701995D11B}"/>
    <cellStyle name="Input 2 2 6 2 6 3 3" xfId="23660" xr:uid="{4D6AD37B-6D7D-4131-95F7-80CFCEE5654A}"/>
    <cellStyle name="Input 2 2 6 2 6 4" xfId="22981" xr:uid="{7E2AD293-E0A7-4179-87E7-6AC05D29302D}"/>
    <cellStyle name="Input 2 2 6 2 6 4 2" xfId="46267" xr:uid="{DFCB8AD7-93A5-4C63-B833-BC6D8B6E9737}"/>
    <cellStyle name="Input 2 2 6 2 6 5" xfId="53128" xr:uid="{F946AB68-56D2-4E69-8DE3-E91C3386433F}"/>
    <cellStyle name="Input 2 2 6 2 7" xfId="3191" xr:uid="{00000000-0005-0000-0000-000021050000}"/>
    <cellStyle name="Input 2 2 6 2 7 2" xfId="10099" xr:uid="{840A17CD-A567-409B-AA50-866303D625AF}"/>
    <cellStyle name="Input 2 2 6 2 7 2 2" xfId="32606" xr:uid="{BA8E61C1-7418-405C-82A2-7839AE063DE3}"/>
    <cellStyle name="Input 2 2 6 2 7 2 3" xfId="52658" xr:uid="{3A05465E-1F68-4481-BC50-7EF99F235FE7}"/>
    <cellStyle name="Input 2 2 6 2 7 3" xfId="15471" xr:uid="{F7D7E481-A237-462D-9516-8BFD23D8C566}"/>
    <cellStyle name="Input 2 2 6 2 7 3 2" xfId="37897" xr:uid="{8672067A-1570-45FE-A83E-16D5EF4D00F2}"/>
    <cellStyle name="Input 2 2 6 2 7 3 3" xfId="52480" xr:uid="{4C83B41D-C78E-4A0E-A3CC-ECF45F48869A}"/>
    <cellStyle name="Input 2 2 6 2 7 4" xfId="19807" xr:uid="{78310BC4-071C-40EA-A0F8-E36EC9927F85}"/>
    <cellStyle name="Input 2 2 6 2 7 4 2" xfId="41657" xr:uid="{1CEE67D0-F0BC-41AF-B8F5-2BA5A743C46B}"/>
    <cellStyle name="Input 2 2 6 2 7 5" xfId="51317" xr:uid="{E800147D-ABFA-4614-9473-9DEE2408CBE7}"/>
    <cellStyle name="Input 2 2 6 2 8" xfId="7075" xr:uid="{00000000-0005-0000-0000-000021050000}"/>
    <cellStyle name="Input 2 2 6 2 8 2" xfId="13911" xr:uid="{94A6B5EE-9E9E-408F-AA48-4EB9E5584669}"/>
    <cellStyle name="Input 2 2 6 2 8 2 2" xfId="36395" xr:uid="{00BBE98F-D1BC-46E6-98F7-925F278F6823}"/>
    <cellStyle name="Input 2 2 6 2 8 2 3" xfId="52086" xr:uid="{C0353FA6-4D83-4012-A08B-5770009EE743}"/>
    <cellStyle name="Input 2 2 6 2 8 3" xfId="19012" xr:uid="{FAD74E79-8235-41A1-9E5A-1EF12F256F8F}"/>
    <cellStyle name="Input 2 2 6 2 8 3 2" xfId="41402" xr:uid="{06E5416F-7628-457D-A302-2690EC0F1434}"/>
    <cellStyle name="Input 2 2 6 2 8 3 3" xfId="44914" xr:uid="{344211C2-D697-46B3-927E-4FE8844A3AED}"/>
    <cellStyle name="Input 2 2 6 2 8 4" xfId="23436" xr:uid="{C803B8BC-AA72-4884-B3DC-EF3A16BB010A}"/>
    <cellStyle name="Input 2 2 6 2 8 4 2" xfId="49934" xr:uid="{EAA0E7AB-298E-49ED-A3DC-80A8D96AE890}"/>
    <cellStyle name="Input 2 2 6 2 8 5" xfId="53882" xr:uid="{68BC5A91-10BA-435A-8210-E7670FA0FC16}"/>
    <cellStyle name="Input 2 2 6 2 9" xfId="7190" xr:uid="{00000000-0005-0000-0000-000021050000}"/>
    <cellStyle name="Input 2 2 6 2 9 2" xfId="19127" xr:uid="{EB6E61CD-6838-4559-94C9-FA38B82FAE60}"/>
    <cellStyle name="Input 2 2 6 2 9 2 2" xfId="41517" xr:uid="{20F60057-BE9A-4AA5-BA2D-2C0C03871810}"/>
    <cellStyle name="Input 2 2 6 2 9 2 3" xfId="27454" xr:uid="{26D1DD12-3000-4724-BC84-0622792C2DA4}"/>
    <cellStyle name="Input 2 2 6 2 9 3" xfId="23551" xr:uid="{90287687-022A-4A63-8857-CDD8E0EDD1E2}"/>
    <cellStyle name="Input 2 2 6 2 9 3 2" xfId="46114" xr:uid="{2E464402-6F27-40FC-8859-1E735CCEAF58}"/>
    <cellStyle name="Input 2 2 6 2 9 4" xfId="27642" xr:uid="{A3A2068A-DAAE-410B-ACB8-3134D8A22E0A}"/>
    <cellStyle name="Input 2 2 6 3" xfId="3459" xr:uid="{00000000-0005-0000-0000-000020050000}"/>
    <cellStyle name="Input 2 2 6 3 2" xfId="10367" xr:uid="{4AD59CB4-DA89-40C8-8843-9C7957C538C0}"/>
    <cellStyle name="Input 2 2 6 3 2 2" xfId="32854" xr:uid="{D4066469-1D1B-43EC-A9A1-04C7F29E6691}"/>
    <cellStyle name="Input 2 2 6 3 2 3" xfId="47591" xr:uid="{8BD1EE20-C78C-4C1A-B6C5-621EDED6A332}"/>
    <cellStyle name="Input 2 2 6 3 3" xfId="15637" xr:uid="{DB64CEA6-C5F0-40D3-AC3D-510FC1844140}"/>
    <cellStyle name="Input 2 2 6 3 3 2" xfId="38053" xr:uid="{42CF59F5-6E95-4B05-84C5-3922EDA76737}"/>
    <cellStyle name="Input 2 2 6 3 3 3" xfId="27696" xr:uid="{84E62B1F-CD39-43A1-AED8-BC253E0E94C8}"/>
    <cellStyle name="Input 2 2 6 3 4" xfId="15600" xr:uid="{0FD590BD-23EF-415A-988A-16F7FC8BA0BE}"/>
    <cellStyle name="Input 2 2 6 3 4 2" xfId="28101" xr:uid="{8AFC791E-51DF-4131-B8A8-6781A3B476B2}"/>
    <cellStyle name="Input 2 2 6 3 5" xfId="25073" xr:uid="{A1A9741D-74BB-4AA7-B5AB-D2805A5D3480}"/>
    <cellStyle name="Input 2 2 6 4" xfId="4990" xr:uid="{00000000-0005-0000-0000-000020050000}"/>
    <cellStyle name="Input 2 2 6 4 2" xfId="11884" xr:uid="{9F19067B-D479-4CD3-A9CD-8B3FBFE36FA2}"/>
    <cellStyle name="Input 2 2 6 4 2 2" xfId="34370" xr:uid="{BECD0CE5-0AB2-4CB2-88F5-F678636E65FD}"/>
    <cellStyle name="Input 2 2 6 4 2 3" xfId="34947" xr:uid="{4188A74E-FF82-4852-82F0-3D6A175B7910}"/>
    <cellStyle name="Input 2 2 6 4 3" xfId="16927" xr:uid="{7F4921BC-DEB9-4C95-9B40-7331322A3ED8}"/>
    <cellStyle name="Input 2 2 6 4 3 2" xfId="39317" xr:uid="{D4C6BCC5-C960-4632-93B2-7E6AFB9A3DE1}"/>
    <cellStyle name="Input 2 2 6 4 3 3" xfId="27777" xr:uid="{D83B5D8E-5155-4A6F-8F64-C4CB97CEC15A}"/>
    <cellStyle name="Input 2 2 6 4 4" xfId="21351" xr:uid="{B3B57DA2-F09F-4BAB-A1DA-446004334BB3}"/>
    <cellStyle name="Input 2 2 6 4 4 2" xfId="46671" xr:uid="{49A813A6-84C1-421B-95E5-0D87A52F85AE}"/>
    <cellStyle name="Input 2 2 6 4 5" xfId="50081" xr:uid="{DEC1D398-B166-4E01-A992-E454D01D95E0}"/>
    <cellStyle name="Input 2 2 6 5" xfId="5627" xr:uid="{00000000-0005-0000-0000-000020050000}"/>
    <cellStyle name="Input 2 2 6 5 2" xfId="12511" xr:uid="{AA891043-FEFB-4B33-8E7B-8B4949B1ADE8}"/>
    <cellStyle name="Input 2 2 6 5 2 2" xfId="34996" xr:uid="{68124C3A-0F38-4338-83F5-1420CEF3E485}"/>
    <cellStyle name="Input 2 2 6 5 2 3" xfId="28878" xr:uid="{FD705E5E-37F6-4FA6-8E9A-6CABC883021A}"/>
    <cellStyle name="Input 2 2 6 5 3" xfId="17564" xr:uid="{2F14EE29-DC83-48F8-9D1A-E50E58CC6B8F}"/>
    <cellStyle name="Input 2 2 6 5 3 2" xfId="39954" xr:uid="{C8B0AA12-2F7C-415D-BC97-73B071D2EF4E}"/>
    <cellStyle name="Input 2 2 6 5 3 3" xfId="24523" xr:uid="{CB472B9C-31D9-4BB9-B52D-81CDB2071278}"/>
    <cellStyle name="Input 2 2 6 5 4" xfId="21988" xr:uid="{D72A6DA7-AD6D-4B6D-AB2A-CBD24C92A546}"/>
    <cellStyle name="Input 2 2 6 5 4 2" xfId="53515" xr:uid="{ED4D6651-F904-448B-A8ED-933DC610BF51}"/>
    <cellStyle name="Input 2 2 6 5 5" xfId="51388" xr:uid="{04AFE67A-B94C-4BCD-BAB1-1C31CC763CBD}"/>
    <cellStyle name="Input 2 2 6 6" xfId="6117" xr:uid="{00000000-0005-0000-0000-000020050000}"/>
    <cellStyle name="Input 2 2 6 6 2" xfId="12995" xr:uid="{5DF55A51-2063-4470-94BC-8E62375AA559}"/>
    <cellStyle name="Input 2 2 6 6 2 2" xfId="35479" xr:uid="{24BE2E3E-9A69-4EF7-8C24-D9E1BA03E851}"/>
    <cellStyle name="Input 2 2 6 6 2 3" xfId="49957" xr:uid="{3A240A59-B7E6-4578-A1A7-E178417815B9}"/>
    <cellStyle name="Input 2 2 6 6 3" xfId="18054" xr:uid="{F7A3BAA9-CB7E-4C31-9EE1-AEAD9C88A529}"/>
    <cellStyle name="Input 2 2 6 6 3 2" xfId="40444" xr:uid="{8D68241A-5128-462E-88BC-82CD6EB70FF5}"/>
    <cellStyle name="Input 2 2 6 6 3 3" xfId="32814" xr:uid="{66AC34DC-5D87-4688-B95E-1B0524DF08BA}"/>
    <cellStyle name="Input 2 2 6 6 4" xfId="22478" xr:uid="{42962251-9F4C-4535-856C-CA089A9942DA}"/>
    <cellStyle name="Input 2 2 6 6 4 2" xfId="46689" xr:uid="{F4B95273-C1B2-4BB9-9659-6BF5081F6FBA}"/>
    <cellStyle name="Input 2 2 6 6 5" xfId="48667" xr:uid="{659D1931-E77E-4D65-8C66-30A60807C59D}"/>
    <cellStyle name="Input 2 2 6 7" xfId="6699" xr:uid="{00000000-0005-0000-0000-000020050000}"/>
    <cellStyle name="Input 2 2 6 7 2" xfId="13564" xr:uid="{78E498FF-324A-4A97-BB35-020C14EDAE26}"/>
    <cellStyle name="Input 2 2 6 7 2 2" xfId="36048" xr:uid="{2B8B248F-988A-40A1-B02F-DF94FEEDA68C}"/>
    <cellStyle name="Input 2 2 6 7 2 3" xfId="54039" xr:uid="{F9D45AA5-347C-4882-9311-6FF884BD7EB7}"/>
    <cellStyle name="Input 2 2 6 7 3" xfId="18636" xr:uid="{BD31C409-F016-4682-B4B9-7A91841776B7}"/>
    <cellStyle name="Input 2 2 6 7 3 2" xfId="41026" xr:uid="{B554BA53-025B-4099-AF70-9B99EFC882B0}"/>
    <cellStyle name="Input 2 2 6 7 3 3" xfId="30408" xr:uid="{273DF46E-CA3D-49FF-BFAA-393EE51723FB}"/>
    <cellStyle name="Input 2 2 6 7 4" xfId="23060" xr:uid="{88B4A6FF-433B-43C5-9EA6-8F7E09C5FE95}"/>
    <cellStyle name="Input 2 2 6 7 4 2" xfId="24578" xr:uid="{25DDC0D1-0FFA-45E9-A12A-4583E41795D4}"/>
    <cellStyle name="Input 2 2 6 7 5" xfId="49874" xr:uid="{C1D3CBAB-3041-4D91-BC87-0182B8FFD9BB}"/>
    <cellStyle name="Input 2 2 6 8" xfId="14171" xr:uid="{6F05B549-ED57-47D1-8411-CFCF4A1241EA}"/>
    <cellStyle name="Input 2 2 6 8 2" xfId="36647" xr:uid="{275DC210-45C3-4840-8AB6-166FBEB255CF}"/>
    <cellStyle name="Input 2 2 6 8 3" xfId="50156" xr:uid="{B4AE9809-FB2F-40BC-8BEB-543799EFE511}"/>
    <cellStyle name="Input 2 2 6 9" xfId="20349" xr:uid="{6C6D2D8C-9A49-497F-9873-2BB7E2EEB4A9}"/>
    <cellStyle name="Input 2 2 6 9 2" xfId="42647" xr:uid="{EFAFA193-93A2-4BB9-8C76-1E23FD72E57F}"/>
    <cellStyle name="Input 2 2 6 9 3" xfId="50340" xr:uid="{3FDB55AA-35EB-41CD-AA6B-BB86CB894B87}"/>
    <cellStyle name="Input 2 2 7" xfId="1625" xr:uid="{00000000-0005-0000-0000-000023050000}"/>
    <cellStyle name="Input 2 2 7 10" xfId="14339" xr:uid="{50279D69-27FF-4C09-9FCB-D48A07BCB410}"/>
    <cellStyle name="Input 2 2 7 10 2" xfId="36807" xr:uid="{F4A11F88-F331-417A-A5D3-41CD948C6CE5}"/>
    <cellStyle name="Input 2 2 7 10 3" xfId="53700" xr:uid="{25FF8EE1-E96B-4892-9B55-9685D295C506}"/>
    <cellStyle name="Input 2 2 7 11" xfId="20512" xr:uid="{CC21F392-16C2-4FA8-BB65-5D0C9A0C1B3F}"/>
    <cellStyle name="Input 2 2 7 11 2" xfId="42799" xr:uid="{5E8CB0FB-C6DE-4697-A2E8-1213A04FAD05}"/>
    <cellStyle name="Input 2 2 7 11 3" xfId="26074" xr:uid="{DF52480A-1D89-469E-B271-B8DEC4E40277}"/>
    <cellStyle name="Input 2 2 7 12" xfId="20638" xr:uid="{7719CCA2-AF0B-4D86-9322-F3A74BC0B4D8}"/>
    <cellStyle name="Input 2 2 7 12 2" xfId="49432" xr:uid="{14C1080A-BE2F-4580-AC72-CD8710941E6C}"/>
    <cellStyle name="Input 2 2 7 13" xfId="49057" xr:uid="{9B9DE3AA-445A-43E4-A0A0-F6DC9D93A3F6}"/>
    <cellStyle name="Input 2 2 7 2" xfId="3725" xr:uid="{00000000-0005-0000-0000-000022050000}"/>
    <cellStyle name="Input 2 2 7 2 2" xfId="10629" xr:uid="{5E87E2E3-0A02-44CC-B90A-9D11A9E37B6B}"/>
    <cellStyle name="Input 2 2 7 2 2 2" xfId="33115" xr:uid="{EC25DC39-4A3A-4033-96C6-B49A9DFF4F27}"/>
    <cellStyle name="Input 2 2 7 2 2 3" xfId="48486" xr:uid="{D16E01C4-82C8-4E0B-AAD3-411A388F7BF0}"/>
    <cellStyle name="Input 2 2 7 2 3" xfId="15806" xr:uid="{332AE598-F18E-4727-A1BC-DD3383661A3A}"/>
    <cellStyle name="Input 2 2 7 2 3 2" xfId="38214" xr:uid="{C612734D-F0CD-43E0-A23F-657DD91ED22B}"/>
    <cellStyle name="Input 2 2 7 2 3 3" xfId="48117" xr:uid="{857C1C37-8DA0-49A3-9649-C102773CDF23}"/>
    <cellStyle name="Input 2 2 7 2 4" xfId="20940" xr:uid="{E06CAAC8-F4BC-4BE5-8495-B85214527BA6}"/>
    <cellStyle name="Input 2 2 7 2 4 2" xfId="46793" xr:uid="{31930198-7A58-424D-9AC6-21A8B70F6C61}"/>
    <cellStyle name="Input 2 2 7 2 5" xfId="51843" xr:uid="{34E97BAF-30F6-4B60-96E1-F415FCE38493}"/>
    <cellStyle name="Input 2 2 7 3" xfId="5158" xr:uid="{00000000-0005-0000-0000-000022050000}"/>
    <cellStyle name="Input 2 2 7 3 2" xfId="12051" xr:uid="{9A8F8755-804F-4C86-B668-D08E1A7D9D6F}"/>
    <cellStyle name="Input 2 2 7 3 2 2" xfId="34537" xr:uid="{50BC00F1-8195-4BEE-9431-72765DEE755A}"/>
    <cellStyle name="Input 2 2 7 3 2 3" xfId="45363" xr:uid="{8687F8D2-A1CD-435B-A932-290225AF3F17}"/>
    <cellStyle name="Input 2 2 7 3 3" xfId="17095" xr:uid="{B5EC92E2-EFE3-419A-AB8B-CED962BB1573}"/>
    <cellStyle name="Input 2 2 7 3 3 2" xfId="39485" xr:uid="{EC96B700-6907-43C9-A7A1-BDA6079B7DBC}"/>
    <cellStyle name="Input 2 2 7 3 3 3" xfId="28783" xr:uid="{1B9D8BF5-BECA-48CB-8296-FA12F7F6EE80}"/>
    <cellStyle name="Input 2 2 7 3 4" xfId="21519" xr:uid="{A9C633BC-A235-448A-A1DA-D14B6E5450DC}"/>
    <cellStyle name="Input 2 2 7 3 4 2" xfId="38480" xr:uid="{CF762579-5BA3-470A-AF51-5C1E367935E8}"/>
    <cellStyle name="Input 2 2 7 3 5" xfId="51183" xr:uid="{478FD336-0228-4CA7-9DA2-1D7F5309971A}"/>
    <cellStyle name="Input 2 2 7 4" xfId="4505" xr:uid="{00000000-0005-0000-0000-000022050000}"/>
    <cellStyle name="Input 2 2 7 4 2" xfId="11407" xr:uid="{C3AD918E-2985-49A8-A393-B936518F4B69}"/>
    <cellStyle name="Input 2 2 7 4 2 2" xfId="33893" xr:uid="{A1BCA0DE-C182-4069-B8EB-489392CA59EC}"/>
    <cellStyle name="Input 2 2 7 4 2 3" xfId="44350" xr:uid="{28B3C70C-0A13-46E0-8911-4CAF98F3F9EE}"/>
    <cellStyle name="Input 2 2 7 4 3" xfId="16442" xr:uid="{8D1930ED-9D6F-4AAA-AF5A-CA7101245D9B}"/>
    <cellStyle name="Input 2 2 7 4 3 2" xfId="38832" xr:uid="{A9F885A7-04AF-43AF-A9E8-EA191EB5E6D1}"/>
    <cellStyle name="Input 2 2 7 4 3 3" xfId="42765" xr:uid="{76A300C3-181F-41D2-A116-7C31C906DE00}"/>
    <cellStyle name="Input 2 2 7 4 4" xfId="19270" xr:uid="{F88F5348-B5FC-4744-AAFB-92045C486C61}"/>
    <cellStyle name="Input 2 2 7 4 4 2" xfId="30174" xr:uid="{8070DC2D-4DE0-4F01-85EF-ABE99E589D07}"/>
    <cellStyle name="Input 2 2 7 4 5" xfId="48514" xr:uid="{817E22CF-9E5B-499B-8BC5-7BCF13439E7A}"/>
    <cellStyle name="Input 2 2 7 5" xfId="4735" xr:uid="{00000000-0005-0000-0000-000022050000}"/>
    <cellStyle name="Input 2 2 7 5 2" xfId="11633" xr:uid="{472C4870-3DDD-42D6-BCF7-C75D18761301}"/>
    <cellStyle name="Input 2 2 7 5 2 2" xfId="34119" xr:uid="{EBF554D5-8911-4527-BC68-3314AECDD63E}"/>
    <cellStyle name="Input 2 2 7 5 2 3" xfId="45532" xr:uid="{ECE603E7-E9BC-4F56-9873-ED9B0831C534}"/>
    <cellStyle name="Input 2 2 7 5 3" xfId="16672" xr:uid="{29ACDEDD-D78D-4B6F-AFC1-9CD1724C7A71}"/>
    <cellStyle name="Input 2 2 7 5 3 2" xfId="39062" xr:uid="{C4C3CBFB-4C04-468A-A9E9-2F4BF06768ED}"/>
    <cellStyle name="Input 2 2 7 5 3 3" xfId="30796" xr:uid="{A3AE441A-23B2-4576-8B06-B019CCBFD136}"/>
    <cellStyle name="Input 2 2 7 5 4" xfId="7734" xr:uid="{E3524CA0-FC11-43B4-A3B7-8FCEDCB2F37D}"/>
    <cellStyle name="Input 2 2 7 5 4 2" xfId="52097" xr:uid="{7AEDF731-E3AA-4581-B200-65DC8003491B}"/>
    <cellStyle name="Input 2 2 7 5 5" xfId="50871" xr:uid="{97E12C59-99CE-4D18-AD56-D6B20AD77C68}"/>
    <cellStyle name="Input 2 2 7 6" xfId="4870" xr:uid="{00000000-0005-0000-0000-000022050000}"/>
    <cellStyle name="Input 2 2 7 6 2" xfId="11766" xr:uid="{E74DD298-C8D2-4FFF-AB68-A9269BB81F58}"/>
    <cellStyle name="Input 2 2 7 6 2 2" xfId="34252" xr:uid="{9001D8F4-1800-41B1-8EFF-4A00A4CBCF9A}"/>
    <cellStyle name="Input 2 2 7 6 2 3" xfId="29123" xr:uid="{26822DF9-ACA2-482A-BCB6-0E5E57F00B85}"/>
    <cellStyle name="Input 2 2 7 6 3" xfId="16807" xr:uid="{64E9B121-A622-4FF9-9D55-38DF3B254291}"/>
    <cellStyle name="Input 2 2 7 6 3 2" xfId="39197" xr:uid="{E76BDD1E-7046-491A-9702-29ED1532102A}"/>
    <cellStyle name="Input 2 2 7 6 3 3" xfId="26044" xr:uid="{AA1D50C6-D327-4784-9649-F7EC86807779}"/>
    <cellStyle name="Input 2 2 7 6 4" xfId="15794" xr:uid="{8DC0E586-EA20-48E9-ADBD-1BCB1D0CF7C2}"/>
    <cellStyle name="Input 2 2 7 6 4 2" xfId="46270" xr:uid="{B9DC5955-3F80-4BC2-8291-4986BA1322A1}"/>
    <cellStyle name="Input 2 2 7 6 5" xfId="50799" xr:uid="{DE299277-D42B-463D-8F1A-8431067A718B}"/>
    <cellStyle name="Input 2 2 7 7" xfId="5219" xr:uid="{00000000-0005-0000-0000-000022050000}"/>
    <cellStyle name="Input 2 2 7 7 2" xfId="12112" xr:uid="{3CF41EBB-0C9A-44C3-84C0-B8EE9890B83B}"/>
    <cellStyle name="Input 2 2 7 7 2 2" xfId="34597" xr:uid="{FFB551B8-9D51-4811-84F1-D218AA8AC80F}"/>
    <cellStyle name="Input 2 2 7 7 2 3" xfId="28341" xr:uid="{94381E51-0A47-4954-BFE4-957157F7F025}"/>
    <cellStyle name="Input 2 2 7 7 3" xfId="17156" xr:uid="{46C8495D-AE20-4833-87AA-A6AAD8FA8635}"/>
    <cellStyle name="Input 2 2 7 7 3 2" xfId="39546" xr:uid="{AB46FC12-441F-4057-A71E-0A0E4DCAFD13}"/>
    <cellStyle name="Input 2 2 7 7 3 3" xfId="26479" xr:uid="{93725EB6-FEC1-4758-87A5-C5D817459877}"/>
    <cellStyle name="Input 2 2 7 7 4" xfId="21580" xr:uid="{C9CFD167-9198-4099-B414-1DFAC098EE90}"/>
    <cellStyle name="Input 2 2 7 7 4 2" xfId="50689" xr:uid="{9339201E-7351-4813-9130-782AF274B1F5}"/>
    <cellStyle name="Input 2 2 7 7 5" xfId="47496" xr:uid="{F4E5E3FB-7D34-4922-BBCA-1DCCE36558C7}"/>
    <cellStyle name="Input 2 2 7 8" xfId="4848" xr:uid="{00000000-0005-0000-0000-000022050000}"/>
    <cellStyle name="Input 2 2 7 8 2" xfId="11744" xr:uid="{5623AB94-7529-4FBD-B1C5-BF6288168D3B}"/>
    <cellStyle name="Input 2 2 7 8 2 2" xfId="34230" xr:uid="{D9DDA0B5-4AF0-4C04-A1C1-F857E7D6C642}"/>
    <cellStyle name="Input 2 2 7 8 2 3" xfId="27357" xr:uid="{30201980-9F2B-414E-B615-52D670E72A0B}"/>
    <cellStyle name="Input 2 2 7 8 3" xfId="16785" xr:uid="{CE9A59D7-A2E6-4DA7-9391-1D9D2E7C5C6D}"/>
    <cellStyle name="Input 2 2 7 8 3 2" xfId="39175" xr:uid="{031D9E21-7D40-4BB1-BAFD-048C4B4207F2}"/>
    <cellStyle name="Input 2 2 7 8 3 3" xfId="45750" xr:uid="{0F754601-1B14-459E-8705-6A95B2983F2F}"/>
    <cellStyle name="Input 2 2 7 8 4" xfId="7723" xr:uid="{03CA2EB1-3474-4042-BC3E-085F3675F22D}"/>
    <cellStyle name="Input 2 2 7 8 4 2" xfId="52993" xr:uid="{3F82803B-AF17-41EA-88D1-230DAD9E1DB4}"/>
    <cellStyle name="Input 2 2 7 8 5" xfId="53166" xr:uid="{1107D573-EFDA-4352-B37A-053602A4BA13}"/>
    <cellStyle name="Input 2 2 7 9" xfId="6675" xr:uid="{00000000-0005-0000-0000-000022050000}"/>
    <cellStyle name="Input 2 2 7 9 2" xfId="18612" xr:uid="{825E360B-5C9E-462C-A262-4E592052DA0A}"/>
    <cellStyle name="Input 2 2 7 9 2 2" xfId="41002" xr:uid="{A242474C-843D-4922-B881-7B4C432DAD5C}"/>
    <cellStyle name="Input 2 2 7 9 2 3" xfId="23837" xr:uid="{830DBAA5-74CB-4424-8603-6738D5291E7B}"/>
    <cellStyle name="Input 2 2 7 9 3" xfId="23036" xr:uid="{359C23F8-D1D9-4E19-B806-792FAC095A77}"/>
    <cellStyle name="Input 2 2 7 9 3 2" xfId="52264" xr:uid="{4ED22F47-4EB5-40AC-A7C0-558F771FA4B5}"/>
    <cellStyle name="Input 2 2 7 9 4" xfId="47602" xr:uid="{3872F967-4208-449F-94AF-131850521473}"/>
    <cellStyle name="Input 2 2 8" xfId="2576" xr:uid="{00000000-0005-0000-0000-000017050000}"/>
    <cellStyle name="Input 2 2 8 2" xfId="9485" xr:uid="{1AB6B2DF-328C-4D0B-8F3D-ADFBDC8B78F4}"/>
    <cellStyle name="Input 2 2 8 2 2" xfId="32037" xr:uid="{ACF415B1-640C-40CB-9849-D2A728834DDF}"/>
    <cellStyle name="Input 2 2 8 2 3" xfId="54052" xr:uid="{10653F40-ACE2-46EA-94AC-B91971E48AE2}"/>
    <cellStyle name="Input 2 2 8 3" xfId="15054" xr:uid="{2113A58F-F1E1-43D9-A46A-2E78C0CCF8F0}"/>
    <cellStyle name="Input 2 2 8 3 2" xfId="37499" xr:uid="{3EADC1AB-276E-4582-BBFA-040C7421C8C8}"/>
    <cellStyle name="Input 2 2 8 3 3" xfId="29315" xr:uid="{68D3D95C-B931-4796-B5F2-6A5972807FCE}"/>
    <cellStyle name="Input 2 2 8 4" xfId="20672" xr:uid="{199A932C-24FB-435C-B503-9BF128E290C9}"/>
    <cellStyle name="Input 2 2 8 4 2" xfId="50023" xr:uid="{16AF8277-9A7F-4745-AD9B-3BF2C5F0FD02}"/>
    <cellStyle name="Input 2 2 8 5" xfId="46106" xr:uid="{F8EF90A0-EC47-4BB9-AFB0-003DC68B69D3}"/>
    <cellStyle name="Input 2 2 9" xfId="4403" xr:uid="{00000000-0005-0000-0000-000017050000}"/>
    <cellStyle name="Input 2 2 9 2" xfId="11305" xr:uid="{5F988511-E25E-46D3-ABC3-09DA5E034F02}"/>
    <cellStyle name="Input 2 2 9 2 2" xfId="33791" xr:uid="{88B617AD-5BC2-42BC-BCC1-46A0296746E5}"/>
    <cellStyle name="Input 2 2 9 2 3" xfId="36733" xr:uid="{6105D3F5-AE95-4B92-B5F6-75FB6F78438A}"/>
    <cellStyle name="Input 2 2 9 3" xfId="16340" xr:uid="{12072C5E-34B6-4033-BB1B-019116BA4FE7}"/>
    <cellStyle name="Input 2 2 9 3 2" xfId="38730" xr:uid="{E65C5B22-E260-48F5-83C0-5B541D0053B9}"/>
    <cellStyle name="Input 2 2 9 3 3" xfId="44080" xr:uid="{CE43C7E1-0D5E-40D9-98AB-3C606E376F14}"/>
    <cellStyle name="Input 2 2 9 4" xfId="8551" xr:uid="{085B8166-DDE3-4592-9D74-8AC649383572}"/>
    <cellStyle name="Input 2 2 9 4 2" xfId="51108" xr:uid="{E3A00C4E-744D-41D2-89C0-39C56B2E881E}"/>
    <cellStyle name="Input 2 2 9 5" xfId="52420" xr:uid="{0CD756E8-58F4-43F0-BBF3-1E86A3B7DE81}"/>
    <cellStyle name="Input 2 20" xfId="5088" xr:uid="{00000000-0005-0000-0000-000007050000}"/>
    <cellStyle name="Input 2 20 2" xfId="11981" xr:uid="{95C87AC4-8714-453A-98FD-F57A51C956C3}"/>
    <cellStyle name="Input 2 20 2 2" xfId="34467" xr:uid="{D3DEDD7A-1D99-49A0-B274-B07BF5403BBE}"/>
    <cellStyle name="Input 2 20 2 3" xfId="44481" xr:uid="{DAC2F547-EFC1-4EA1-BAFB-D4889864F758}"/>
    <cellStyle name="Input 2 20 3" xfId="17025" xr:uid="{5B037E49-D13F-4B6E-B472-F4580D40B04F}"/>
    <cellStyle name="Input 2 20 3 2" xfId="39415" xr:uid="{194856A2-7775-46E6-8454-E61E281CF365}"/>
    <cellStyle name="Input 2 20 3 3" xfId="45521" xr:uid="{2AF51666-4097-48F6-ABFF-760A712CDC3C}"/>
    <cellStyle name="Input 2 20 4" xfId="21449" xr:uid="{50516E51-053E-4627-B3C9-E8CA38F64DA9}"/>
    <cellStyle name="Input 2 20 4 2" xfId="28936" xr:uid="{BC37088F-C05B-48E9-8300-DE7A6718D98C}"/>
    <cellStyle name="Input 2 20 5" xfId="54044" xr:uid="{5CD6EF75-7C22-42DC-A81D-5F678958F785}"/>
    <cellStyle name="Input 2 21" xfId="4497" xr:uid="{00000000-0005-0000-0000-000007050000}"/>
    <cellStyle name="Input 2 21 2" xfId="11399" xr:uid="{E6882A36-6D6A-47FE-913C-6489E5FDD6DE}"/>
    <cellStyle name="Input 2 21 2 2" xfId="33885" xr:uid="{B32E8797-3390-44A0-8FB9-0EA730FDB3F2}"/>
    <cellStyle name="Input 2 21 2 3" xfId="25136" xr:uid="{659E8761-2406-4A74-B94F-41BD76526153}"/>
    <cellStyle name="Input 2 21 3" xfId="16434" xr:uid="{C8BFA7C9-6E99-47DD-A936-E5D97A6D3D7D}"/>
    <cellStyle name="Input 2 21 3 2" xfId="38824" xr:uid="{C547A11D-642E-432F-8272-B1C2395AD5B6}"/>
    <cellStyle name="Input 2 21 3 3" xfId="27782" xr:uid="{8BE5CABB-EA01-4810-A162-0D374466DFA6}"/>
    <cellStyle name="Input 2 21 4" xfId="15203" xr:uid="{9AC9E8BE-776B-4A17-A1BD-5F0C84D11FFD}"/>
    <cellStyle name="Input 2 21 4 2" xfId="30577" xr:uid="{9418DFBE-1850-4B42-9086-5FA0A62F31E3}"/>
    <cellStyle name="Input 2 21 5" xfId="43542" xr:uid="{9FB10C73-07A7-4A47-A2B9-851C1161F97C}"/>
    <cellStyle name="Input 2 22" xfId="5606" xr:uid="{00000000-0005-0000-0000-000007050000}"/>
    <cellStyle name="Input 2 22 2" xfId="12491" xr:uid="{292E861C-9854-4CB8-ABA4-2A7C294E4CC8}"/>
    <cellStyle name="Input 2 22 2 2" xfId="34976" xr:uid="{2C57BC01-3E55-423F-AE11-FE1E96B7298B}"/>
    <cellStyle name="Input 2 22 2 3" xfId="32234" xr:uid="{6C0CEBEE-15FC-4C16-89E7-BCD97C3D231D}"/>
    <cellStyle name="Input 2 22 3" xfId="17543" xr:uid="{445F6275-03A4-40E9-8DBE-0293EEBACF64}"/>
    <cellStyle name="Input 2 22 3 2" xfId="39933" xr:uid="{0D5E5B3A-8D50-4AA5-8F44-EDB83D8EB8D7}"/>
    <cellStyle name="Input 2 22 3 3" xfId="24315" xr:uid="{B2D889B1-1435-4C60-BE64-A60B699A845A}"/>
    <cellStyle name="Input 2 22 4" xfId="21967" xr:uid="{CE0DE600-9561-4435-AE3F-A064915D0A59}"/>
    <cellStyle name="Input 2 22 4 2" xfId="46417" xr:uid="{727C6051-1649-42AE-AE3F-48FA6B3AA447}"/>
    <cellStyle name="Input 2 22 5" xfId="29885" xr:uid="{E3BD5E88-16C1-4321-97C9-CEB94FE3996F}"/>
    <cellStyle name="Input 2 23" xfId="13965" xr:uid="{3FF7D375-6385-4626-82C3-68B0F67C5A69}"/>
    <cellStyle name="Input 2 23 2" xfId="36449" xr:uid="{81D682A5-8939-4233-9C83-39402907D935}"/>
    <cellStyle name="Input 2 23 3" xfId="45337" xr:uid="{47B4E390-1521-4A34-B13E-BD5F4D310FCE}"/>
    <cellStyle name="Input 2 24" xfId="20224" xr:uid="{D2F7E393-FB53-486D-B25A-EC527671D0EB}"/>
    <cellStyle name="Input 2 24 2" xfId="42530" xr:uid="{38564DC0-A6F4-491C-A59A-E28934D792B0}"/>
    <cellStyle name="Input 2 24 3" xfId="29731" xr:uid="{3541F565-BA2D-4064-8488-E40BA7437BE3}"/>
    <cellStyle name="Input 2 25" xfId="19902" xr:uid="{C330B1CE-F99A-4ADE-B6AA-2593DFF82166}"/>
    <cellStyle name="Input 2 25 2" xfId="36702" xr:uid="{ABDA97CF-AB75-475B-B925-B6E7D3698C85}"/>
    <cellStyle name="Input 2 26" xfId="51223" xr:uid="{19965506-1B1F-4960-9D0A-3B53EFE4D07A}"/>
    <cellStyle name="Input 2 3" xfId="433" xr:uid="{00000000-0005-0000-0000-000024050000}"/>
    <cellStyle name="Input 2 3 10" xfId="5777" xr:uid="{00000000-0005-0000-0000-000023050000}"/>
    <cellStyle name="Input 2 3 10 2" xfId="12660" xr:uid="{5A19274C-DF29-4D7F-83EA-928C96816E6D}"/>
    <cellStyle name="Input 2 3 10 2 2" xfId="35145" xr:uid="{FAB8734C-EF18-453C-BC2B-D1A341B1BF7F}"/>
    <cellStyle name="Input 2 3 10 2 3" xfId="30570" xr:uid="{846B1381-093A-4F2F-B2D4-C4BA7ED33728}"/>
    <cellStyle name="Input 2 3 10 3" xfId="17714" xr:uid="{1F3731E7-3390-4E7C-94E4-24A0CF107C21}"/>
    <cellStyle name="Input 2 3 10 3 2" xfId="40104" xr:uid="{52064BDD-235F-4BC5-8AE9-A9E958C6EA47}"/>
    <cellStyle name="Input 2 3 10 3 3" xfId="37827" xr:uid="{2885B5BF-AAEB-4954-8B62-C95AC44891E0}"/>
    <cellStyle name="Input 2 3 10 4" xfId="22138" xr:uid="{F9812073-2FDE-40E7-B994-3BDA5EA21013}"/>
    <cellStyle name="Input 2 3 10 4 2" xfId="53517" xr:uid="{1F139059-E6E2-4D72-95DE-05A90B1416CA}"/>
    <cellStyle name="Input 2 3 10 5" xfId="52046" xr:uid="{D56BAB83-C34E-468E-A047-347F090C3997}"/>
    <cellStyle name="Input 2 3 11" xfId="6258" xr:uid="{00000000-0005-0000-0000-000023050000}"/>
    <cellStyle name="Input 2 3 11 2" xfId="13131" xr:uid="{E6461217-C50E-4BC5-AF93-CD0E25B6FED8}"/>
    <cellStyle name="Input 2 3 11 2 2" xfId="35615" xr:uid="{BC7C086E-B7D6-42B2-BAD9-60F08DD9E650}"/>
    <cellStyle name="Input 2 3 11 2 3" xfId="46381" xr:uid="{C05823BD-5D7E-4E46-B567-2CF70F0F4B66}"/>
    <cellStyle name="Input 2 3 11 3" xfId="18195" xr:uid="{1D7E4986-489C-4904-9C07-89DF80B3A34E}"/>
    <cellStyle name="Input 2 3 11 3 2" xfId="40585" xr:uid="{7C3244C2-F1E2-455C-A104-747ED1BE94D1}"/>
    <cellStyle name="Input 2 3 11 3 3" xfId="30926" xr:uid="{2BC20C41-B1FE-4AE6-800E-DC2F22A0FE4C}"/>
    <cellStyle name="Input 2 3 11 4" xfId="22619" xr:uid="{08325FE0-5B9D-49AA-AAD0-E7493AC52FFF}"/>
    <cellStyle name="Input 2 3 11 4 2" xfId="49458" xr:uid="{FDED2E46-1BF8-42A6-B96C-7056AD04BBE0}"/>
    <cellStyle name="Input 2 3 11 5" xfId="46541" xr:uid="{61123618-2B50-4936-8CEB-F56691955CA1}"/>
    <cellStyle name="Input 2 3 12" xfId="6115" xr:uid="{00000000-0005-0000-0000-000023050000}"/>
    <cellStyle name="Input 2 3 12 2" xfId="12993" xr:uid="{C48FC8ED-91F3-4DB1-BD2F-7726C3E6B1C6}"/>
    <cellStyle name="Input 2 3 12 2 2" xfId="35477" xr:uid="{DB01BE59-E796-44F6-8772-5F2C9B161965}"/>
    <cellStyle name="Input 2 3 12 2 3" xfId="28858" xr:uid="{C0D28DDD-CE6A-4EF9-91E3-E591B2B7C70D}"/>
    <cellStyle name="Input 2 3 12 3" xfId="18052" xr:uid="{BAE02BB8-3D44-47EA-95EF-D6B0CF899A4E}"/>
    <cellStyle name="Input 2 3 12 3 2" xfId="40442" xr:uid="{CBE07ABD-3148-4BBD-B200-71AE10122C9B}"/>
    <cellStyle name="Input 2 3 12 3 3" xfId="44136" xr:uid="{A4D178AB-7C6B-4CA3-91F3-8EE48044DEDC}"/>
    <cellStyle name="Input 2 3 12 4" xfId="22476" xr:uid="{BD160154-BCDA-4208-BB6E-E84634F76E30}"/>
    <cellStyle name="Input 2 3 12 4 2" xfId="52968" xr:uid="{047C594D-68E9-4D81-B412-A0AF843EBE31}"/>
    <cellStyle name="Input 2 3 12 5" xfId="42049" xr:uid="{53D53C89-A02D-42E1-8C7C-1E45FE45470B}"/>
    <cellStyle name="Input 2 3 13" xfId="7582" xr:uid="{06D33AF8-1219-4598-81D9-61C6C17F0475}"/>
    <cellStyle name="Input 2 3 13 2" xfId="30245" xr:uid="{362D2BF9-1EFE-4371-9E07-9545A85725C0}"/>
    <cellStyle name="Input 2 3 13 3" xfId="23656" xr:uid="{89014405-C70C-4AE3-8388-286CD75CCCC8}"/>
    <cellStyle name="Input 2 3 14" xfId="19985" xr:uid="{53DCAAE3-6FAC-43C7-9BA1-826D3D3A3269}"/>
    <cellStyle name="Input 2 3 14 2" xfId="42311" xr:uid="{AE7E8925-84EF-4848-AFAA-75C656519426}"/>
    <cellStyle name="Input 2 3 14 3" xfId="44292" xr:uid="{361C4772-D5F6-41E2-BE11-B5574BC21DA1}"/>
    <cellStyle name="Input 2 3 15" xfId="19509" xr:uid="{01B04719-ABE1-48EC-BE01-E241E31B1F31}"/>
    <cellStyle name="Input 2 3 15 2" xfId="24395" xr:uid="{A7D55613-D2F3-4B76-B0A2-9C24413BB310}"/>
    <cellStyle name="Input 2 3 16" xfId="29761" xr:uid="{CB1BA6F9-4FD0-44C5-902F-06B12218A5C0}"/>
    <cellStyle name="Input 2 3 2" xfId="586" xr:uid="{00000000-0005-0000-0000-000025050000}"/>
    <cellStyle name="Input 2 3 2 10" xfId="8728" xr:uid="{CE76F15A-7D3C-4B43-9D22-5DEA5A9A44EB}"/>
    <cellStyle name="Input 2 3 2 10 2" xfId="49835" xr:uid="{A80C8300-8DE6-40BD-B85B-C65E6098918E}"/>
    <cellStyle name="Input 2 3 2 11" xfId="52011" xr:uid="{916B3274-DE85-495D-953E-647F1FADADE4}"/>
    <cellStyle name="Input 2 3 2 2" xfId="1720" xr:uid="{00000000-0005-0000-0000-000026050000}"/>
    <cellStyle name="Input 2 3 2 2 10" xfId="14421" xr:uid="{40FB7D4D-55F5-41FB-B058-3E9008FD1FEA}"/>
    <cellStyle name="Input 2 3 2 2 10 2" xfId="36887" xr:uid="{71361D4A-CD31-41FA-B4A1-EA55F9E2C300}"/>
    <cellStyle name="Input 2 3 2 2 10 3" xfId="44967" xr:uid="{243DD0F2-7570-4F80-8556-4AA8B5D04899}"/>
    <cellStyle name="Input 2 3 2 2 11" xfId="8107" xr:uid="{021FBC59-FFAB-444E-8D8A-FC9EB832DAA3}"/>
    <cellStyle name="Input 2 3 2 2 11 2" xfId="30720" xr:uid="{F5422028-68EE-4B83-BF77-FD892A350D6D}"/>
    <cellStyle name="Input 2 3 2 2 11 3" xfId="27950" xr:uid="{CD762CAF-F175-42EA-92C7-4A2EDA1926F6}"/>
    <cellStyle name="Input 2 3 2 2 12" xfId="16236" xr:uid="{3777DF54-BB1C-4228-B367-704D1BAA2125}"/>
    <cellStyle name="Input 2 3 2 2 12 2" xfId="26415" xr:uid="{D5BF555A-882B-44FB-B505-46A044C4F7A0}"/>
    <cellStyle name="Input 2 3 2 2 13" xfId="47942" xr:uid="{9EA16375-933B-4E3D-8BE2-3484CBB5503D}"/>
    <cellStyle name="Input 2 3 2 2 2" xfId="3818" xr:uid="{00000000-0005-0000-0000-000025050000}"/>
    <cellStyle name="Input 2 3 2 2 2 2" xfId="10722" xr:uid="{264F96F3-CF0E-478A-B7C1-4E1034453986}"/>
    <cellStyle name="Input 2 3 2 2 2 2 2" xfId="33208" xr:uid="{31111D1A-C66F-4998-ADDC-2FC51CD8C332}"/>
    <cellStyle name="Input 2 3 2 2 2 2 3" xfId="53055" xr:uid="{93DD827F-964B-4B33-B7E7-7E1A57720060}"/>
    <cellStyle name="Input 2 3 2 2 2 3" xfId="15878" xr:uid="{AFA7D279-11D4-449A-8325-43D724E54A2D}"/>
    <cellStyle name="Input 2 3 2 2 2 3 2" xfId="38284" xr:uid="{24E3AD53-74C0-45D1-BBD8-9EDEF6A2B235}"/>
    <cellStyle name="Input 2 3 2 2 2 3 3" xfId="51167" xr:uid="{1162789A-CADF-4969-BA78-21384F1EE53E}"/>
    <cellStyle name="Input 2 3 2 2 2 4" xfId="21117" xr:uid="{BEF06383-AFC2-4EFF-8787-A6C115CE73F6}"/>
    <cellStyle name="Input 2 3 2 2 2 4 2" xfId="46946" xr:uid="{29F2D7B1-D3A1-4B9C-8E98-2CA830A6F3EA}"/>
    <cellStyle name="Input 2 3 2 2 2 5" xfId="27903" xr:uid="{69CDFD6D-47B7-436E-AEDD-6A44EF29618E}"/>
    <cellStyle name="Input 2 3 2 2 3" xfId="5234" xr:uid="{00000000-0005-0000-0000-000025050000}"/>
    <cellStyle name="Input 2 3 2 2 3 2" xfId="12126" xr:uid="{A8B82958-4280-41F8-AC08-A92E426FA08D}"/>
    <cellStyle name="Input 2 3 2 2 3 2 2" xfId="34611" xr:uid="{AD9812B1-0AEA-4005-8355-8301CCF6C4BC}"/>
    <cellStyle name="Input 2 3 2 2 3 2 3" xfId="24488" xr:uid="{26F2701B-BC94-4E48-B7B3-9DD13A21E5FF}"/>
    <cellStyle name="Input 2 3 2 2 3 3" xfId="17171" xr:uid="{F7F732AF-6D0D-4766-8D9E-AB23760755CA}"/>
    <cellStyle name="Input 2 3 2 2 3 3 2" xfId="39561" xr:uid="{35E2C2EB-9A79-4C64-A375-63299B376048}"/>
    <cellStyle name="Input 2 3 2 2 3 3 3" xfId="25406" xr:uid="{1C3EB2DD-6F7C-468D-AC14-D688E6A737F7}"/>
    <cellStyle name="Input 2 3 2 2 3 4" xfId="21595" xr:uid="{B66E29C3-FF9B-4003-89D5-637BC0E983A6}"/>
    <cellStyle name="Input 2 3 2 2 3 4 2" xfId="48555" xr:uid="{D40F5877-8FFA-4AE1-A2F2-1374054ED978}"/>
    <cellStyle name="Input 2 3 2 2 3 5" xfId="51074" xr:uid="{9437B283-F2C2-4255-AFCE-19288A971DAA}"/>
    <cellStyle name="Input 2 3 2 2 4" xfId="5646" xr:uid="{00000000-0005-0000-0000-000025050000}"/>
    <cellStyle name="Input 2 3 2 2 4 2" xfId="12530" xr:uid="{B14A131A-536E-4B54-BBA1-0DAE45B04A46}"/>
    <cellStyle name="Input 2 3 2 2 4 2 2" xfId="35015" xr:uid="{BB59248B-7741-4A90-9751-3E35B136A70B}"/>
    <cellStyle name="Input 2 3 2 2 4 2 3" xfId="43690" xr:uid="{276B2B0E-E3DF-4498-9890-BED4F7040A3D}"/>
    <cellStyle name="Input 2 3 2 2 4 3" xfId="17583" xr:uid="{A34C2D0C-3BCA-475B-9E9F-80656F203B9C}"/>
    <cellStyle name="Input 2 3 2 2 4 3 2" xfId="39973" xr:uid="{C7F64EF0-7DEC-4057-9FF8-574A9A3036D7}"/>
    <cellStyle name="Input 2 3 2 2 4 3 3" xfId="30497" xr:uid="{6304CA67-F2E4-4BE6-A014-D8E877C781A0}"/>
    <cellStyle name="Input 2 3 2 2 4 4" xfId="22007" xr:uid="{D247465F-900B-4D0F-AA0C-18EFE8A2FC83}"/>
    <cellStyle name="Input 2 3 2 2 4 4 2" xfId="44356" xr:uid="{A5C44B8C-C6D1-4E6A-A371-4FFBD1908E95}"/>
    <cellStyle name="Input 2 3 2 2 4 5" xfId="52375" xr:uid="{C5BAC0BE-2669-4771-997F-F0CAF8017492}"/>
    <cellStyle name="Input 2 3 2 2 5" xfId="2268" xr:uid="{00000000-0005-0000-0000-000025050000}"/>
    <cellStyle name="Input 2 3 2 2 5 2" xfId="9180" xr:uid="{01837960-878B-4807-8F60-CFCB65FCE826}"/>
    <cellStyle name="Input 2 3 2 2 5 2 2" xfId="31755" xr:uid="{946FE701-2F22-41F9-A676-C832B3A3F275}"/>
    <cellStyle name="Input 2 3 2 2 5 2 3" xfId="49176" xr:uid="{1579CE23-B3D5-4D15-8620-D6C9324C4841}"/>
    <cellStyle name="Input 2 3 2 2 5 3" xfId="14838" xr:uid="{0163917C-0937-49E8-9F62-3DE981ACA998}"/>
    <cellStyle name="Input 2 3 2 2 5 3 2" xfId="37292" xr:uid="{05CA5AD1-D6A9-4796-8099-C0D4E82F94B6}"/>
    <cellStyle name="Input 2 3 2 2 5 3 3" xfId="24158" xr:uid="{D73BA274-2D12-4455-9FE7-D3F37CBEA4EB}"/>
    <cellStyle name="Input 2 3 2 2 5 4" xfId="15397" xr:uid="{9CD99EBD-1EB1-4BCB-AED1-16A53B62ACDF}"/>
    <cellStyle name="Input 2 3 2 2 5 4 2" xfId="52143" xr:uid="{197E4801-FAB8-4930-B761-45DEF69A6164}"/>
    <cellStyle name="Input 2 3 2 2 5 5" xfId="49190" xr:uid="{00F1EE5A-6D10-49F0-A094-91C05F5AB140}"/>
    <cellStyle name="Input 2 3 2 2 6" xfId="6385" xr:uid="{00000000-0005-0000-0000-000025050000}"/>
    <cellStyle name="Input 2 3 2 2 6 2" xfId="13257" xr:uid="{5F626140-82DC-497F-8CE4-B66F65CEC5D3}"/>
    <cellStyle name="Input 2 3 2 2 6 2 2" xfId="35741" xr:uid="{2ECFBF51-297E-49C3-B9FD-AD1ED6092609}"/>
    <cellStyle name="Input 2 3 2 2 6 2 3" xfId="29069" xr:uid="{D4367DAF-B167-4A28-947D-221B4AC004CB}"/>
    <cellStyle name="Input 2 3 2 2 6 3" xfId="18322" xr:uid="{C0A3C8BE-D012-46A4-8495-D7BF0AD59D49}"/>
    <cellStyle name="Input 2 3 2 2 6 3 2" xfId="40712" xr:uid="{6689BB25-EB8A-418F-B7C5-18D1FF1D5496}"/>
    <cellStyle name="Input 2 3 2 2 6 3 3" xfId="43754" xr:uid="{66047741-1105-45F9-B50C-D2488A361DAD}"/>
    <cellStyle name="Input 2 3 2 2 6 4" xfId="22746" xr:uid="{8900E6CA-F8D0-499F-ACAA-AF42562152D2}"/>
    <cellStyle name="Input 2 3 2 2 6 4 2" xfId="50275" xr:uid="{B8886FDA-A5AE-455A-901D-7A5ADAC00494}"/>
    <cellStyle name="Input 2 3 2 2 6 5" xfId="32277" xr:uid="{9D9FF9CB-5ECB-46A2-AB17-37CAA2FD4A33}"/>
    <cellStyle name="Input 2 3 2 2 7" xfId="4377" xr:uid="{00000000-0005-0000-0000-000025050000}"/>
    <cellStyle name="Input 2 3 2 2 7 2" xfId="11279" xr:uid="{D12AA323-303C-4759-8D59-44DD8D6E1579}"/>
    <cellStyle name="Input 2 3 2 2 7 2 2" xfId="33765" xr:uid="{38D9A070-17A6-4E13-9C04-E593A729EEC9}"/>
    <cellStyle name="Input 2 3 2 2 7 2 3" xfId="30678" xr:uid="{C42A32E7-820E-4EA3-BF94-DF07AEDE2A69}"/>
    <cellStyle name="Input 2 3 2 2 7 3" xfId="16314" xr:uid="{82D6B403-F695-485E-AAD5-FCAB3E9194F0}"/>
    <cellStyle name="Input 2 3 2 2 7 3 2" xfId="38704" xr:uid="{22DC2A89-0D7F-4959-8646-85D40BCD31F1}"/>
    <cellStyle name="Input 2 3 2 2 7 3 3" xfId="27857" xr:uid="{9DE1F520-D59C-40E8-A0DB-8628FAF0DD39}"/>
    <cellStyle name="Input 2 3 2 2 7 4" xfId="14578" xr:uid="{E1734B26-467E-41D0-85A3-C9C0CFAFE02D}"/>
    <cellStyle name="Input 2 3 2 2 7 4 2" xfId="49442" xr:uid="{A89C0957-7B5F-4379-A670-06541184BC6E}"/>
    <cellStyle name="Input 2 3 2 2 7 5" xfId="27113" xr:uid="{57361682-B57B-4D0C-AB4C-2E3BF5400B5D}"/>
    <cellStyle name="Input 2 3 2 2 8" xfId="6902" xr:uid="{00000000-0005-0000-0000-000025050000}"/>
    <cellStyle name="Input 2 3 2 2 8 2" xfId="13740" xr:uid="{647B9D8D-4955-48A6-A01C-32EB888D25AF}"/>
    <cellStyle name="Input 2 3 2 2 8 2 2" xfId="36224" xr:uid="{B9C5C621-D9F3-4DDA-8083-8EF6EFCAD539}"/>
    <cellStyle name="Input 2 3 2 2 8 2 3" xfId="44343" xr:uid="{87B2D216-197E-4656-9176-40F19A72C1D8}"/>
    <cellStyle name="Input 2 3 2 2 8 3" xfId="18839" xr:uid="{3CC92460-70EC-41DB-A676-8330B5D546BA}"/>
    <cellStyle name="Input 2 3 2 2 8 3 2" xfId="41229" xr:uid="{B20D5263-E5E3-4276-A187-5AD2641CC8BB}"/>
    <cellStyle name="Input 2 3 2 2 8 3 3" xfId="44445" xr:uid="{6BF412CB-DF43-4612-B259-A71258A113A6}"/>
    <cellStyle name="Input 2 3 2 2 8 4" xfId="23263" xr:uid="{E8865B45-5D52-4363-A30C-D6C5D56D54B2}"/>
    <cellStyle name="Input 2 3 2 2 8 4 2" xfId="49230" xr:uid="{41AA0144-C640-4565-B339-E78A9D2C9176}"/>
    <cellStyle name="Input 2 3 2 2 8 5" xfId="29088" xr:uid="{4FB15A6B-25F3-435D-8C94-56D745099B95}"/>
    <cellStyle name="Input 2 3 2 2 9" xfId="6876" xr:uid="{00000000-0005-0000-0000-000025050000}"/>
    <cellStyle name="Input 2 3 2 2 9 2" xfId="18813" xr:uid="{49B7BE24-3461-45D6-954B-D378B5E90BBA}"/>
    <cellStyle name="Input 2 3 2 2 9 2 2" xfId="41203" xr:uid="{CB7E10EF-1D6E-421C-9B04-673ECBC8A9BE}"/>
    <cellStyle name="Input 2 3 2 2 9 2 3" xfId="24698" xr:uid="{083B3579-A6B1-4D63-9919-F3BB243B5CE3}"/>
    <cellStyle name="Input 2 3 2 2 9 3" xfId="23237" xr:uid="{EF11B5E8-5D14-4A7F-B1B4-081A33F30277}"/>
    <cellStyle name="Input 2 3 2 2 9 3 2" xfId="25973" xr:uid="{65E748C1-9AAD-46AA-BBD4-F9079DC4E4DE}"/>
    <cellStyle name="Input 2 3 2 2 9 4" xfId="49643" xr:uid="{D109B30D-0F8C-477E-9AB6-2F3C03E0449D}"/>
    <cellStyle name="Input 2 3 2 3" xfId="2734" xr:uid="{00000000-0005-0000-0000-000024050000}"/>
    <cellStyle name="Input 2 3 2 3 2" xfId="9643" xr:uid="{30E80AE1-3EC1-4AA9-8433-72771C787907}"/>
    <cellStyle name="Input 2 3 2 3 2 2" xfId="32191" xr:uid="{4137D164-9B45-4DD8-B2D3-8C7B8A8EB028}"/>
    <cellStyle name="Input 2 3 2 3 2 3" xfId="51998" xr:uid="{DBD81F0E-3160-4743-887F-4C18054802D3}"/>
    <cellStyle name="Input 2 3 2 3 3" xfId="15161" xr:uid="{C6092B91-D2F2-4B27-B680-F1D4BC68853C}"/>
    <cellStyle name="Input 2 3 2 3 3 2" xfId="37601" xr:uid="{FBD9A266-0E1F-44CF-8DB1-6DEACC4911D1}"/>
    <cellStyle name="Input 2 3 2 3 3 3" xfId="53798" xr:uid="{F977D3E2-AFD6-4B58-81D3-18F53C0857D3}"/>
    <cellStyle name="Input 2 3 2 3 4" xfId="14115" xr:uid="{CEFF10AD-3A2F-4791-A8C5-0BACEA655773}"/>
    <cellStyle name="Input 2 3 2 3 4 2" xfId="52850" xr:uid="{27429ACA-00EA-4EED-B1B3-8F591D9D3384}"/>
    <cellStyle name="Input 2 3 2 3 5" xfId="27643" xr:uid="{0332DEA6-379B-4937-A021-536DB69A214D}"/>
    <cellStyle name="Input 2 3 2 4" xfId="4525" xr:uid="{00000000-0005-0000-0000-000024050000}"/>
    <cellStyle name="Input 2 3 2 4 2" xfId="11427" xr:uid="{A61DF6F9-3363-4597-882A-BF2AAED1EC5B}"/>
    <cellStyle name="Input 2 3 2 4 2 2" xfId="33913" xr:uid="{0900AF95-2DD9-432E-B6E3-14AE7007FFC8}"/>
    <cellStyle name="Input 2 3 2 4 2 3" xfId="26073" xr:uid="{C6260E64-9F6B-421F-A1BE-9D52F0608E02}"/>
    <cellStyle name="Input 2 3 2 4 3" xfId="16462" xr:uid="{14D36314-0B30-40E2-A297-8328084A5F1E}"/>
    <cellStyle name="Input 2 3 2 4 3 2" xfId="38852" xr:uid="{B0CAB1CC-E197-4210-9454-AE40273AD3AA}"/>
    <cellStyle name="Input 2 3 2 4 3 3" xfId="43879" xr:uid="{95D2DB4F-6178-4A4C-9AD6-287B86902425}"/>
    <cellStyle name="Input 2 3 2 4 4" xfId="14318" xr:uid="{52FB87FC-163D-4B32-A615-878559296486}"/>
    <cellStyle name="Input 2 3 2 4 4 2" xfId="46914" xr:uid="{D36ADC52-9D3A-4B62-AE77-E3D2324E405C}"/>
    <cellStyle name="Input 2 3 2 4 5" xfId="47274" xr:uid="{EE822B74-F278-4729-8156-1B4D44B15FCA}"/>
    <cellStyle name="Input 2 3 2 5" xfId="3317" xr:uid="{00000000-0005-0000-0000-000024050000}"/>
    <cellStyle name="Input 2 3 2 5 2" xfId="10225" xr:uid="{A6FF0262-763A-4DF2-9C2B-E9E5330E9EF7}"/>
    <cellStyle name="Input 2 3 2 5 2 2" xfId="32719" xr:uid="{C049BD2D-5C1D-4BD1-A67C-BC2EF1FB4F95}"/>
    <cellStyle name="Input 2 3 2 5 2 3" xfId="49136" xr:uid="{380BB531-D3EF-4A4D-A07A-288BC4CC4E62}"/>
    <cellStyle name="Input 2 3 2 5 3" xfId="15543" xr:uid="{7F308AD6-754A-450A-84C4-280DD4555EE3}"/>
    <cellStyle name="Input 2 3 2 5 3 2" xfId="37962" xr:uid="{0C080ADE-2FB9-4231-BC14-EB582F6E9F5A}"/>
    <cellStyle name="Input 2 3 2 5 3 3" xfId="50186" xr:uid="{772F63E4-5854-4B5C-B352-8D2BAF7FBAC0}"/>
    <cellStyle name="Input 2 3 2 5 4" xfId="20295" xr:uid="{4961514C-8683-4ACD-94D1-E34370852BD6}"/>
    <cellStyle name="Input 2 3 2 5 4 2" xfId="52730" xr:uid="{535C767D-313D-4F46-BD11-A92FB89020E9}"/>
    <cellStyle name="Input 2 3 2 5 5" xfId="50159" xr:uid="{271150F8-908F-4C20-9244-EF88F3AF56D6}"/>
    <cellStyle name="Input 2 3 2 6" xfId="5151" xr:uid="{00000000-0005-0000-0000-000024050000}"/>
    <cellStyle name="Input 2 3 2 6 2" xfId="12044" xr:uid="{00E4F1A4-43C1-46A5-A695-E46A6A1A5FE3}"/>
    <cellStyle name="Input 2 3 2 6 2 2" xfId="34530" xr:uid="{580F9552-CA9E-4FA7-BCF9-4D676825457D}"/>
    <cellStyle name="Input 2 3 2 6 2 3" xfId="25770" xr:uid="{48D52F86-1E68-49D1-A945-8049BA87C0BA}"/>
    <cellStyle name="Input 2 3 2 6 3" xfId="17088" xr:uid="{89735471-342B-406C-B262-B9CD0C97AAA9}"/>
    <cellStyle name="Input 2 3 2 6 3 2" xfId="39478" xr:uid="{D7ADE8AF-489D-463E-BDA5-F79C04A8C3CC}"/>
    <cellStyle name="Input 2 3 2 6 3 3" xfId="32514" xr:uid="{346A7B83-9AB9-4CF6-883B-C09A501D03C8}"/>
    <cellStyle name="Input 2 3 2 6 4" xfId="21512" xr:uid="{8D902F30-977A-47F9-83E9-3C4EB94E30FE}"/>
    <cellStyle name="Input 2 3 2 6 4 2" xfId="53976" xr:uid="{DE934872-5AF9-48FF-B5A0-CD98546D4FB2}"/>
    <cellStyle name="Input 2 3 2 6 5" xfId="49162" xr:uid="{A438CA5A-AB19-43C3-839F-7960BEA6E106}"/>
    <cellStyle name="Input 2 3 2 7" xfId="6552" xr:uid="{00000000-0005-0000-0000-000024050000}"/>
    <cellStyle name="Input 2 3 2 7 2" xfId="13420" xr:uid="{1CEC1CB9-C6BD-4E39-956E-8FB8C7364D9E}"/>
    <cellStyle name="Input 2 3 2 7 2 2" xfId="35904" xr:uid="{46232AD8-A1B9-4DAF-A666-00402CF2E16C}"/>
    <cellStyle name="Input 2 3 2 7 2 3" xfId="27711" xr:uid="{A8F4A751-EA43-4A80-B3F8-3CB4B6CC5D0F}"/>
    <cellStyle name="Input 2 3 2 7 3" xfId="18489" xr:uid="{81609007-18AF-4D09-9E01-84D8D74FFF70}"/>
    <cellStyle name="Input 2 3 2 7 3 2" xfId="40879" xr:uid="{C2DDEE18-A1CA-46F9-8D34-377C64B713AD}"/>
    <cellStyle name="Input 2 3 2 7 3 3" xfId="25304" xr:uid="{751D9354-B3C5-4677-A38A-2E03D812DF8F}"/>
    <cellStyle name="Input 2 3 2 7 4" xfId="22913" xr:uid="{00368173-A1DD-497C-8EB4-5B7BCDD5B9D7}"/>
    <cellStyle name="Input 2 3 2 7 4 2" xfId="25821" xr:uid="{1E3005C8-5261-42C9-A30C-C8F3A9E32909}"/>
    <cellStyle name="Input 2 3 2 7 5" xfId="44353" xr:uid="{280115C7-2E47-4385-8004-429D046503DF}"/>
    <cellStyle name="Input 2 3 2 8" xfId="7409" xr:uid="{B019647B-9E58-4054-9E9A-4AF04017E6C8}"/>
    <cellStyle name="Input 2 3 2 8 2" xfId="30090" xr:uid="{784B8255-1846-486A-8E9F-9DFE3293B289}"/>
    <cellStyle name="Input 2 3 2 8 3" xfId="32017" xr:uid="{AF8AD260-7F1D-4870-BDDF-8751DDDBD377}"/>
    <cellStyle name="Input 2 3 2 9" xfId="21174" xr:uid="{0574737E-B9D2-45FE-8CDA-C9758554BC52}"/>
    <cellStyle name="Input 2 3 2 9 2" xfId="43415" xr:uid="{F534579C-98D9-4CEB-AE29-22F93EFA00F0}"/>
    <cellStyle name="Input 2 3 2 9 3" xfId="53182" xr:uid="{F5C16170-D141-4A4B-A252-3CFB73D5FB9D}"/>
    <cellStyle name="Input 2 3 3" xfId="833" xr:uid="{00000000-0005-0000-0000-000027050000}"/>
    <cellStyle name="Input 2 3 3 10" xfId="7953" xr:uid="{DFC9F2B6-FD9B-432E-869D-C1B13FD03054}"/>
    <cellStyle name="Input 2 3 3 10 2" xfId="51497" xr:uid="{B4332B68-5934-4335-83A7-492CBCCC95CF}"/>
    <cellStyle name="Input 2 3 3 11" xfId="49000" xr:uid="{3AC61345-2EFC-4610-9E60-F033CD3288CC}"/>
    <cellStyle name="Input 2 3 3 2" xfId="1818" xr:uid="{00000000-0005-0000-0000-000028050000}"/>
    <cellStyle name="Input 2 3 3 2 10" xfId="14502" xr:uid="{E5F096C8-9A8E-4BEC-B104-F8094C1BD931}"/>
    <cellStyle name="Input 2 3 3 2 10 2" xfId="36963" xr:uid="{FB96AE23-2D79-495B-92D3-428F783AC751}"/>
    <cellStyle name="Input 2 3 3 2 10 3" xfId="48521" xr:uid="{FDFA7796-5E7A-49CD-B45A-ABFB7253D8E9}"/>
    <cellStyle name="Input 2 3 3 2 11" xfId="20969" xr:uid="{9A244C8D-C8F8-4938-A5D9-FE729874E983}"/>
    <cellStyle name="Input 2 3 3 2 11 2" xfId="43223" xr:uid="{DB843C9B-6F77-425F-B9CA-B62F685B510B}"/>
    <cellStyle name="Input 2 3 3 2 11 3" xfId="46184" xr:uid="{5FF316D9-E321-453C-9A6F-F2DF887D9CEB}"/>
    <cellStyle name="Input 2 3 3 2 12" xfId="19371" xr:uid="{65019234-863F-48EC-A75E-FAC3D9E5AA4E}"/>
    <cellStyle name="Input 2 3 3 2 12 2" xfId="42083" xr:uid="{5C777670-BBAC-48DC-AE30-E881767B4747}"/>
    <cellStyle name="Input 2 3 3 2 13" xfId="44057" xr:uid="{CEA9DD07-C4A3-47BB-AF12-2B7B33D611F7}"/>
    <cellStyle name="Input 2 3 3 2 2" xfId="3916" xr:uid="{00000000-0005-0000-0000-000027050000}"/>
    <cellStyle name="Input 2 3 3 2 2 2" xfId="10820" xr:uid="{4A40F7A9-A006-4B83-89D5-91C127CCCF3A}"/>
    <cellStyle name="Input 2 3 3 2 2 2 2" xfId="33306" xr:uid="{A4272211-09D7-4E29-BF29-7AC78C6D0BB1}"/>
    <cellStyle name="Input 2 3 3 2 2 2 3" xfId="53008" xr:uid="{40D1E060-1662-4B7C-B1EC-5B72912E4F6F}"/>
    <cellStyle name="Input 2 3 3 2 2 3" xfId="15958" xr:uid="{E50CFC6D-2DE3-4CFE-B04F-F41505F7D989}"/>
    <cellStyle name="Input 2 3 3 2 2 3 2" xfId="38361" xr:uid="{D8C79B05-4C01-473F-BD9A-4C97674F8930}"/>
    <cellStyle name="Input 2 3 3 2 2 3 3" xfId="44846" xr:uid="{2DA4863E-4BD3-432D-8F0E-7F220ADDFDFF}"/>
    <cellStyle name="Input 2 3 3 2 2 4" xfId="15586" xr:uid="{D9C36DEF-5C2A-473A-9046-3EA448429C1F}"/>
    <cellStyle name="Input 2 3 3 2 2 4 2" xfId="50997" xr:uid="{CA564806-E5AC-478B-8E71-407C2093EB3B}"/>
    <cellStyle name="Input 2 3 3 2 2 5" xfId="47943" xr:uid="{53F11BBB-BA60-463F-BB39-69AECA844410}"/>
    <cellStyle name="Input 2 3 3 2 3" xfId="5311" xr:uid="{00000000-0005-0000-0000-000027050000}"/>
    <cellStyle name="Input 2 3 3 2 3 2" xfId="12203" xr:uid="{B6554EB7-6A95-4972-A971-2885B5EE8DAD}"/>
    <cellStyle name="Input 2 3 3 2 3 2 2" xfId="34688" xr:uid="{B29FB125-617E-4410-BFC6-3002C2FD33B8}"/>
    <cellStyle name="Input 2 3 3 2 3 2 3" xfId="29495" xr:uid="{BF9B034E-27B7-475E-9D9E-CE86CED04B48}"/>
    <cellStyle name="Input 2 3 3 2 3 3" xfId="17248" xr:uid="{3AE54E9B-E469-430B-A88A-37D8B654C5F1}"/>
    <cellStyle name="Input 2 3 3 2 3 3 2" xfId="39638" xr:uid="{1778D3D5-171F-46FB-A780-88BC700E79C7}"/>
    <cellStyle name="Input 2 3 3 2 3 3 3" xfId="27387" xr:uid="{C401FCA9-A9C8-4A86-BEBE-87CCDC3C70F4}"/>
    <cellStyle name="Input 2 3 3 2 3 4" xfId="21672" xr:uid="{00E7B1CF-4C86-4E68-9659-E81DFD636B7D}"/>
    <cellStyle name="Input 2 3 3 2 3 4 2" xfId="49336" xr:uid="{FBB27064-8716-4B62-B82D-5366AA8E7F2D}"/>
    <cellStyle name="Input 2 3 3 2 3 5" xfId="49740" xr:uid="{A6DA38B8-7551-49FB-97FC-FDCEF276F936}"/>
    <cellStyle name="Input 2 3 3 2 4" xfId="5721" xr:uid="{00000000-0005-0000-0000-000027050000}"/>
    <cellStyle name="Input 2 3 3 2 4 2" xfId="12605" xr:uid="{3EB9C92E-EE1F-4D0C-9558-F50A69E35CBF}"/>
    <cellStyle name="Input 2 3 3 2 4 2 2" xfId="35090" xr:uid="{235CE97D-985D-4C9C-AF5B-7837BDB9514B}"/>
    <cellStyle name="Input 2 3 3 2 4 2 3" xfId="45610" xr:uid="{1AC9590E-EEA1-4261-A275-F45E11111D46}"/>
    <cellStyle name="Input 2 3 3 2 4 3" xfId="17658" xr:uid="{A653DA16-9B27-4C3D-B700-69F51CEAE1C1}"/>
    <cellStyle name="Input 2 3 3 2 4 3 2" xfId="40048" xr:uid="{33AB6EF8-EF70-4532-8E9E-174B48730394}"/>
    <cellStyle name="Input 2 3 3 2 4 3 3" xfId="30500" xr:uid="{5D086C80-DF44-465A-8E2D-91700F38DB97}"/>
    <cellStyle name="Input 2 3 3 2 4 4" xfId="22082" xr:uid="{4341AD00-8862-4A91-A423-762218312B77}"/>
    <cellStyle name="Input 2 3 3 2 4 4 2" xfId="41642" xr:uid="{F0D4AFC1-9BD7-4F87-ABB2-F9CDC21FFED3}"/>
    <cellStyle name="Input 2 3 3 2 4 5" xfId="42452" xr:uid="{95416DA9-532C-4296-8D78-8A82C06B5B6C}"/>
    <cellStyle name="Input 2 3 3 2 5" xfId="6075" xr:uid="{00000000-0005-0000-0000-000027050000}"/>
    <cellStyle name="Input 2 3 3 2 5 2" xfId="12953" xr:uid="{A44F8C74-DF22-4158-9A2F-187B9688EB08}"/>
    <cellStyle name="Input 2 3 3 2 5 2 2" xfId="35437" xr:uid="{82D5DB83-8BAE-44D4-8780-D14448B3D5C0}"/>
    <cellStyle name="Input 2 3 3 2 5 2 3" xfId="46948" xr:uid="{95A79D92-29AD-4BEF-A109-31584ACD5BFD}"/>
    <cellStyle name="Input 2 3 3 2 5 3" xfId="18012" xr:uid="{FE78F832-70E5-4F51-A5AF-BD86180F801D}"/>
    <cellStyle name="Input 2 3 3 2 5 3 2" xfId="40402" xr:uid="{9CDE2D84-079A-4751-B91C-B196E27F2EB7}"/>
    <cellStyle name="Input 2 3 3 2 5 3 3" xfId="26114" xr:uid="{1FAD0F22-01C9-4F97-A12F-5F86C5874347}"/>
    <cellStyle name="Input 2 3 3 2 5 4" xfId="22436" xr:uid="{397EE1D8-8876-4E53-BD7D-3F63F52AD0F8}"/>
    <cellStyle name="Input 2 3 3 2 5 4 2" xfId="28061" xr:uid="{0CD47A9B-32C4-4304-A705-0407C4DEBA1C}"/>
    <cellStyle name="Input 2 3 3 2 5 5" xfId="46718" xr:uid="{CC80F9B4-5465-4560-A54E-FC5501E79E9D}"/>
    <cellStyle name="Input 2 3 3 2 6" xfId="6450" xr:uid="{00000000-0005-0000-0000-000027050000}"/>
    <cellStyle name="Input 2 3 3 2 6 2" xfId="13320" xr:uid="{5CB18F9B-31BA-4D72-AD96-3F894909A6C9}"/>
    <cellStyle name="Input 2 3 3 2 6 2 2" xfId="35804" xr:uid="{6DBB143A-1D37-46EA-9B37-9C58F3FDF16F}"/>
    <cellStyle name="Input 2 3 3 2 6 2 3" xfId="25414" xr:uid="{20957260-FF37-433D-8DFB-E4E00DE069B7}"/>
    <cellStyle name="Input 2 3 3 2 6 3" xfId="18387" xr:uid="{82FA8C22-B426-434E-A12D-27F35B4E78EA}"/>
    <cellStyle name="Input 2 3 3 2 6 3 2" xfId="40777" xr:uid="{CDD3451D-79A6-4D6B-92B5-F61EA9683F3C}"/>
    <cellStyle name="Input 2 3 3 2 6 3 3" xfId="37932" xr:uid="{5258FB64-3547-47CE-ADCD-815E1250E9F0}"/>
    <cellStyle name="Input 2 3 3 2 6 4" xfId="22811" xr:uid="{30B1B279-2E3F-4079-A342-032269C16BFC}"/>
    <cellStyle name="Input 2 3 3 2 6 4 2" xfId="49460" xr:uid="{3033C6A7-561A-4666-8EA2-254C3BDAA279}"/>
    <cellStyle name="Input 2 3 3 2 6 5" xfId="43190" xr:uid="{40B5C65D-5F8A-47B8-BFD4-0F0A0136C41F}"/>
    <cellStyle name="Input 2 3 3 2 7" xfId="6741" xr:uid="{00000000-0005-0000-0000-000027050000}"/>
    <cellStyle name="Input 2 3 3 2 7 2" xfId="13600" xr:uid="{CBF61508-FDCB-48EB-9CF7-87CBD4D57F87}"/>
    <cellStyle name="Input 2 3 3 2 7 2 2" xfId="36084" xr:uid="{55458E7A-6751-4C9C-8F9E-72F1F7866FCE}"/>
    <cellStyle name="Input 2 3 3 2 7 2 3" xfId="53817" xr:uid="{70BFDF50-1EB2-45B8-9BF0-C4FF249A6852}"/>
    <cellStyle name="Input 2 3 3 2 7 3" xfId="18678" xr:uid="{57B380F4-C786-44B6-B507-0D2CF50AFFDE}"/>
    <cellStyle name="Input 2 3 3 2 7 3 2" xfId="41068" xr:uid="{06A75945-8431-4A36-A8B1-700BF0B6D912}"/>
    <cellStyle name="Input 2 3 3 2 7 3 3" xfId="29250" xr:uid="{0C48AB9A-D781-4C23-86B0-56886F2E2FE6}"/>
    <cellStyle name="Input 2 3 3 2 7 4" xfId="23102" xr:uid="{A6B0C194-0CC2-414E-9528-7C646B6D36EB}"/>
    <cellStyle name="Input 2 3 3 2 7 4 2" xfId="51882" xr:uid="{889EDA6A-5695-4B1D-A69D-F3E7D6B70E35}"/>
    <cellStyle name="Input 2 3 3 2 7 5" xfId="28269" xr:uid="{5BBD97AB-8239-4D73-BE1D-4BDE0BE36FA6}"/>
    <cellStyle name="Input 2 3 3 2 8" xfId="6950" xr:uid="{00000000-0005-0000-0000-000027050000}"/>
    <cellStyle name="Input 2 3 3 2 8 2" xfId="13787" xr:uid="{4F1432F6-9A00-4CFD-B955-628B1803B07A}"/>
    <cellStyle name="Input 2 3 3 2 8 2 2" xfId="36271" xr:uid="{C1C2F55F-493E-4ED2-A894-7C904A0FDDA1}"/>
    <cellStyle name="Input 2 3 3 2 8 2 3" xfId="46404" xr:uid="{F23E7B5A-79DE-4C5A-9B5C-4C52121DE917}"/>
    <cellStyle name="Input 2 3 3 2 8 3" xfId="18887" xr:uid="{8FABDFCE-2D09-42B0-BB5C-574F99C1C418}"/>
    <cellStyle name="Input 2 3 3 2 8 3 2" xfId="41277" xr:uid="{B0955060-7705-4FAF-A16E-E47790106E05}"/>
    <cellStyle name="Input 2 3 3 2 8 3 3" xfId="28276" xr:uid="{05CC555C-0782-4B9C-861B-0957C9463FAA}"/>
    <cellStyle name="Input 2 3 3 2 8 4" xfId="23311" xr:uid="{0B8A4537-A76C-4E2B-94FE-4CE9D4ADE972}"/>
    <cellStyle name="Input 2 3 3 2 8 4 2" xfId="47043" xr:uid="{13FCC09F-EF5A-47A2-B606-ED7411CA7E04}"/>
    <cellStyle name="Input 2 3 3 2 8 5" xfId="27555" xr:uid="{A6C5D7D0-82B3-42C1-9EB0-07404C0FB058}"/>
    <cellStyle name="Input 2 3 3 2 9" xfId="4727" xr:uid="{00000000-0005-0000-0000-000027050000}"/>
    <cellStyle name="Input 2 3 3 2 9 2" xfId="16664" xr:uid="{6B866AE3-D2E8-426F-AF2D-BD62A356EBE6}"/>
    <cellStyle name="Input 2 3 3 2 9 2 2" xfId="39054" xr:uid="{459B8DE6-467A-41D9-B4FE-2ED6149B9B80}"/>
    <cellStyle name="Input 2 3 3 2 9 2 3" xfId="24138" xr:uid="{1C96B3F5-8951-4453-82A9-3F77938BC70D}"/>
    <cellStyle name="Input 2 3 3 2 9 3" xfId="19577" xr:uid="{7097D696-330B-4F50-A204-7C287893BEEA}"/>
    <cellStyle name="Input 2 3 3 2 9 3 2" xfId="27993" xr:uid="{08D3C266-0BB4-43C6-9DBD-E5037CF7BA12}"/>
    <cellStyle name="Input 2 3 3 2 9 4" xfId="25885" xr:uid="{A141B220-AD71-4CD0-873C-1FFF248E8230}"/>
    <cellStyle name="Input 2 3 3 3" xfId="2967" xr:uid="{00000000-0005-0000-0000-000026050000}"/>
    <cellStyle name="Input 2 3 3 3 2" xfId="9876" xr:uid="{243311ED-5CCE-428C-A741-5F7797284624}"/>
    <cellStyle name="Input 2 3 3 3 2 2" xfId="32399" xr:uid="{5A0EF921-F870-48F4-80CB-EB132FCBF651}"/>
    <cellStyle name="Input 2 3 3 3 2 3" xfId="47332" xr:uid="{83502864-1766-4388-AFF1-A06148E04C2D}"/>
    <cellStyle name="Input 2 3 3 3 3" xfId="15314" xr:uid="{532C7918-5CE3-4845-BA84-32303ACA1C0F}"/>
    <cellStyle name="Input 2 3 3 3 3 2" xfId="37746" xr:uid="{E63CE082-41D2-4A07-9426-EA792438AC4F}"/>
    <cellStyle name="Input 2 3 3 3 3 3" xfId="46456" xr:uid="{008FABA0-00FA-4B98-90EB-C01449A0E96A}"/>
    <cellStyle name="Input 2 3 3 3 4" xfId="19325" xr:uid="{C51BB3D5-8986-4AAE-8A71-48F899863B40}"/>
    <cellStyle name="Input 2 3 3 3 4 2" xfId="28885" xr:uid="{4AA80530-D80E-4F3F-B5AB-40E69C038085}"/>
    <cellStyle name="Input 2 3 3 3 5" xfId="52431" xr:uid="{AF48DABA-7CEB-40C3-B837-42B1F8213FD5}"/>
    <cellStyle name="Input 2 3 3 4" xfId="4677" xr:uid="{00000000-0005-0000-0000-000026050000}"/>
    <cellStyle name="Input 2 3 3 4 2" xfId="11575" xr:uid="{00B70AA0-6D46-476B-A832-03A81B0CF4D8}"/>
    <cellStyle name="Input 2 3 3 4 2 2" xfId="34061" xr:uid="{13F81F59-965D-4923-90E4-98CF36F20CE8}"/>
    <cellStyle name="Input 2 3 3 4 2 3" xfId="27126" xr:uid="{A6AA5634-37E3-4807-A0A3-CFA6514629F6}"/>
    <cellStyle name="Input 2 3 3 4 3" xfId="16614" xr:uid="{B4EA7C0A-F774-4714-ADDA-8C1587B85DE5}"/>
    <cellStyle name="Input 2 3 3 4 3 2" xfId="39004" xr:uid="{9A2F0921-6898-4916-9328-1CB24CD0DC50}"/>
    <cellStyle name="Input 2 3 3 4 3 3" xfId="26135" xr:uid="{25184C6B-7CAB-4CF2-B97F-F4355ED26CFB}"/>
    <cellStyle name="Input 2 3 3 4 4" xfId="20506" xr:uid="{2BA4687E-2B6D-4E82-9295-5E9DBEDFCCD9}"/>
    <cellStyle name="Input 2 3 3 4 4 2" xfId="53001" xr:uid="{D8C5562F-E122-4669-9451-532ADAEFEA1F}"/>
    <cellStyle name="Input 2 3 3 4 5" xfId="51276" xr:uid="{8EF8D21B-0B8A-46ED-97C2-1DC931C98DFB}"/>
    <cellStyle name="Input 2 3 3 5" xfId="5170" xr:uid="{00000000-0005-0000-0000-000026050000}"/>
    <cellStyle name="Input 2 3 3 5 2" xfId="12063" xr:uid="{605F0E47-FBAD-440D-9D1C-7B48836060F0}"/>
    <cellStyle name="Input 2 3 3 5 2 2" xfId="34549" xr:uid="{6546AEE3-7153-41C0-A2CD-7198C20C8EEA}"/>
    <cellStyle name="Input 2 3 3 5 2 3" xfId="28365" xr:uid="{EE8C8574-6663-45C4-B048-020DCADF55A4}"/>
    <cellStyle name="Input 2 3 3 5 3" xfId="17107" xr:uid="{6AF1FFF0-B861-4DDB-9E3F-21BE068133C0}"/>
    <cellStyle name="Input 2 3 3 5 3 2" xfId="39497" xr:uid="{F1EE8CD5-B00D-46EE-8F61-62CA1B1A3BB4}"/>
    <cellStyle name="Input 2 3 3 5 3 3" xfId="38612" xr:uid="{A0D95781-838B-450A-A6C1-4D49766F9B60}"/>
    <cellStyle name="Input 2 3 3 5 4" xfId="21531" xr:uid="{E4F75E4B-E35D-4DAE-9727-8EA19EC25931}"/>
    <cellStyle name="Input 2 3 3 5 4 2" xfId="44033" xr:uid="{8FEA6FBF-4DBC-420C-9946-5AC732A0E44E}"/>
    <cellStyle name="Input 2 3 3 5 5" xfId="53692" xr:uid="{802E121C-2B3D-4191-A2F5-6DF3C0773737}"/>
    <cellStyle name="Input 2 3 3 6" xfId="5769" xr:uid="{00000000-0005-0000-0000-000026050000}"/>
    <cellStyle name="Input 2 3 3 6 2" xfId="12652" xr:uid="{BA70D38F-ACFB-432F-8905-C976F0A4B093}"/>
    <cellStyle name="Input 2 3 3 6 2 2" xfId="35137" xr:uid="{5FFD889E-0188-4E34-ADF2-AA6310251E1C}"/>
    <cellStyle name="Input 2 3 3 6 2 3" xfId="26683" xr:uid="{4568850A-CB3A-49CA-809C-ADEED0048E28}"/>
    <cellStyle name="Input 2 3 3 6 3" xfId="17706" xr:uid="{7EC62AC0-BE5B-438E-AFB1-6CA82FCDAC06}"/>
    <cellStyle name="Input 2 3 3 6 3 2" xfId="40096" xr:uid="{176AD200-CEBF-45BB-B18E-7C5DF5334DBB}"/>
    <cellStyle name="Input 2 3 3 6 3 3" xfId="43525" xr:uid="{1A89EC14-2CA5-4E1F-A2DE-9E44177E2D7B}"/>
    <cellStyle name="Input 2 3 3 6 4" xfId="22130" xr:uid="{8B0E1857-D6CA-4D84-B56B-320238DF0B0B}"/>
    <cellStyle name="Input 2 3 3 6 4 2" xfId="51247" xr:uid="{BBFB129C-3EBE-43E6-BFB1-8684174F6F09}"/>
    <cellStyle name="Input 2 3 3 6 5" xfId="45549" xr:uid="{F8E16901-279D-4D3C-B445-20CAED890434}"/>
    <cellStyle name="Input 2 3 3 7" xfId="4480" xr:uid="{00000000-0005-0000-0000-000026050000}"/>
    <cellStyle name="Input 2 3 3 7 2" xfId="11382" xr:uid="{CE122693-9CA7-458F-BC3D-9BDDBBF57D33}"/>
    <cellStyle name="Input 2 3 3 7 2 2" xfId="33868" xr:uid="{D7310B66-E233-4BF1-9A5C-202DFC073940}"/>
    <cellStyle name="Input 2 3 3 7 2 3" xfId="29424" xr:uid="{52C58E9D-C456-44D6-BBAA-D162DD1591BF}"/>
    <cellStyle name="Input 2 3 3 7 3" xfId="16417" xr:uid="{987BC362-872C-431A-AC9C-8B4797853B48}"/>
    <cellStyle name="Input 2 3 3 7 3 2" xfId="38807" xr:uid="{EAFD7A63-FE79-404A-A3BE-4E0C8CDE3522}"/>
    <cellStyle name="Input 2 3 3 7 3 3" xfId="45742" xr:uid="{667BD14A-E812-4A13-8DBB-80CB78D156CD}"/>
    <cellStyle name="Input 2 3 3 7 4" xfId="8267" xr:uid="{7CF82EA4-6FBC-4532-B02B-C32BEDC97294}"/>
    <cellStyle name="Input 2 3 3 7 4 2" xfId="44907" xr:uid="{15243D6D-07DC-41FE-A372-B9EFF13FD809}"/>
    <cellStyle name="Input 2 3 3 7 5" xfId="26256" xr:uid="{D056EF3A-4C9D-450B-9D7C-6B3C04E1B674}"/>
    <cellStyle name="Input 2 3 3 8" xfId="8658" xr:uid="{92E83D98-E3F6-4CFB-9124-EE3551A0E2E6}"/>
    <cellStyle name="Input 2 3 3 8 2" xfId="31244" xr:uid="{B1B8EE29-644F-4E37-8AD3-A6F103164445}"/>
    <cellStyle name="Input 2 3 3 8 3" xfId="50802" xr:uid="{39EC1108-49CC-42A0-8120-D3431DC2F23D}"/>
    <cellStyle name="Input 2 3 3 9" xfId="20189" xr:uid="{38DBFF03-952C-4130-8F06-AB61F9BE08B2}"/>
    <cellStyle name="Input 2 3 3 9 2" xfId="42499" xr:uid="{202C69D6-404B-4362-9530-9A2BBCDCF0AF}"/>
    <cellStyle name="Input 2 3 3 9 3" xfId="24831" xr:uid="{9B41D298-8EE2-4853-937E-B287B8102F53}"/>
    <cellStyle name="Input 2 3 4" xfId="1020" xr:uid="{00000000-0005-0000-0000-000029050000}"/>
    <cellStyle name="Input 2 3 4 10" xfId="19786" xr:uid="{42F42554-0883-48D6-AEDF-F48D6E5D9F97}"/>
    <cellStyle name="Input 2 3 4 10 2" xfId="26168" xr:uid="{A5695394-1372-4523-B235-EAF69830807D}"/>
    <cellStyle name="Input 2 3 4 11" xfId="47695" xr:uid="{66D47E4F-87FE-4CA6-8FEB-C75B971BC6A1}"/>
    <cellStyle name="Input 2 3 4 2" xfId="1910" xr:uid="{00000000-0005-0000-0000-00002A050000}"/>
    <cellStyle name="Input 2 3 4 2 10" xfId="14580" xr:uid="{040D67E7-3581-45B8-91F6-3EA61C43DDE5}"/>
    <cellStyle name="Input 2 3 4 2 10 2" xfId="37041" xr:uid="{B527AE6F-5C6B-496E-958F-DCE5B95F2830}"/>
    <cellStyle name="Input 2 3 4 2 10 3" xfId="28902" xr:uid="{CFA0DBE0-E385-48BC-9D90-D365A0708B3C}"/>
    <cellStyle name="Input 2 3 4 2 11" xfId="14402" xr:uid="{CB98BAB6-95FD-4693-94B7-9C227B2F8DB6}"/>
    <cellStyle name="Input 2 3 4 2 11 2" xfId="36868" xr:uid="{A7C19D19-FAD3-435C-B181-F5556876B7E7}"/>
    <cellStyle name="Input 2 3 4 2 11 3" xfId="53411" xr:uid="{B54B20FD-C69E-45C5-B6C4-D2AA3261F313}"/>
    <cellStyle name="Input 2 3 4 2 12" xfId="20196" xr:uid="{74A424EA-9821-4D95-87C6-51AC2F28140C}"/>
    <cellStyle name="Input 2 3 4 2 12 2" xfId="44043" xr:uid="{16762712-2FE6-45E4-B4E9-1E513388B0EB}"/>
    <cellStyle name="Input 2 3 4 2 13" xfId="28428" xr:uid="{CE49A474-8D43-4F55-8978-F641D01066C3}"/>
    <cellStyle name="Input 2 3 4 2 2" xfId="4007" xr:uid="{00000000-0005-0000-0000-000029050000}"/>
    <cellStyle name="Input 2 3 4 2 2 2" xfId="10911" xr:uid="{5B27927E-4959-42C6-B8A9-3B2C6C97E08F}"/>
    <cellStyle name="Input 2 3 4 2 2 2 2" xfId="33397" xr:uid="{4B5AB1E9-CEDE-4F85-B088-FA55DE39AEF4}"/>
    <cellStyle name="Input 2 3 4 2 2 2 3" xfId="52614" xr:uid="{8FC68AD9-E119-48A7-93F5-BCCC46FCAB88}"/>
    <cellStyle name="Input 2 3 4 2 2 3" xfId="16031" xr:uid="{484667AE-C6DE-44F5-A434-998312B78F90}"/>
    <cellStyle name="Input 2 3 4 2 2 3 2" xfId="38432" xr:uid="{04FF5248-CDDE-49A2-8362-3D9B15FCC528}"/>
    <cellStyle name="Input 2 3 4 2 2 3 3" xfId="27131" xr:uid="{23689AAC-B127-4A2A-87F1-4C05555B724D}"/>
    <cellStyle name="Input 2 3 4 2 2 4" xfId="19717" xr:uid="{FA2DBCF4-AB39-4C88-A11F-5B77064A8023}"/>
    <cellStyle name="Input 2 3 4 2 2 4 2" xfId="44312" xr:uid="{36EFE53B-9351-415C-A369-51F62473E7DC}"/>
    <cellStyle name="Input 2 3 4 2 2 5" xfId="52710" xr:uid="{29DE82D8-E4AF-4119-8F28-07C5C85423EE}"/>
    <cellStyle name="Input 2 3 4 2 3" xfId="5382" xr:uid="{00000000-0005-0000-0000-000029050000}"/>
    <cellStyle name="Input 2 3 4 2 3 2" xfId="12273" xr:uid="{323E67CC-AFA3-48E7-AADA-12C2E01D2AAF}"/>
    <cellStyle name="Input 2 3 4 2 3 2 2" xfId="34758" xr:uid="{CA57522C-41C9-40CA-84D7-DBB4474281C1}"/>
    <cellStyle name="Input 2 3 4 2 3 2 3" xfId="45247" xr:uid="{A1DACDC2-18C7-4427-B5F2-00C428BDB716}"/>
    <cellStyle name="Input 2 3 4 2 3 3" xfId="17319" xr:uid="{5B3F7BB1-8937-4003-85C9-02018D672034}"/>
    <cellStyle name="Input 2 3 4 2 3 3 2" xfId="39709" xr:uid="{7974EEA9-1836-4722-881E-E40B731290EC}"/>
    <cellStyle name="Input 2 3 4 2 3 3 3" xfId="29094" xr:uid="{927F769A-0779-4883-B8B9-8852F477458D}"/>
    <cellStyle name="Input 2 3 4 2 3 4" xfId="21743" xr:uid="{5D8B42DF-7B03-4DCC-AFBC-06D427BBBDA8}"/>
    <cellStyle name="Input 2 3 4 2 3 4 2" xfId="42935" xr:uid="{AA448DEE-7B58-42BF-8ECC-EEA1A532C17A}"/>
    <cellStyle name="Input 2 3 4 2 3 5" xfId="52238" xr:uid="{72F51BB6-CF77-49E6-96C0-DCBE8CAFF84D}"/>
    <cellStyle name="Input 2 3 4 2 4" xfId="5795" xr:uid="{00000000-0005-0000-0000-000029050000}"/>
    <cellStyle name="Input 2 3 4 2 4 2" xfId="12678" xr:uid="{6523AB44-7A02-497E-BB8E-4B57E14F0F78}"/>
    <cellStyle name="Input 2 3 4 2 4 2 2" xfId="35163" xr:uid="{C7225F0E-5197-4A9E-98B6-F35FA1D27774}"/>
    <cellStyle name="Input 2 3 4 2 4 2 3" xfId="44183" xr:uid="{BFA0BF7E-1BC0-4938-A76A-DEB2A74FDE88}"/>
    <cellStyle name="Input 2 3 4 2 4 3" xfId="17732" xr:uid="{E360CA1F-67A4-4EA5-9071-F05B79175C5C}"/>
    <cellStyle name="Input 2 3 4 2 4 3 2" xfId="40122" xr:uid="{657E552B-4FAE-4EA1-A5BF-8BDB1D30BC7F}"/>
    <cellStyle name="Input 2 3 4 2 4 3 3" xfId="30536" xr:uid="{C0A4922A-1E9B-4B44-A603-1D5B5EE603DE}"/>
    <cellStyle name="Input 2 3 4 2 4 4" xfId="22156" xr:uid="{D606DC7E-42B7-4A77-B3F2-51B61B28B7F8}"/>
    <cellStyle name="Input 2 3 4 2 4 4 2" xfId="37343" xr:uid="{C1F7B0D4-5E55-46F9-9469-52663B883E59}"/>
    <cellStyle name="Input 2 3 4 2 4 5" xfId="47096" xr:uid="{A53B9AF3-64AD-4E11-9F9A-ED21EFD14394}"/>
    <cellStyle name="Input 2 3 4 2 5" xfId="6139" xr:uid="{00000000-0005-0000-0000-000029050000}"/>
    <cellStyle name="Input 2 3 4 2 5 2" xfId="13016" xr:uid="{163F6C91-47D5-458B-8C7C-FFAC54CCCD0F}"/>
    <cellStyle name="Input 2 3 4 2 5 2 2" xfId="35500" xr:uid="{E601DE30-2307-4CD9-9B97-262AF635FE40}"/>
    <cellStyle name="Input 2 3 4 2 5 2 3" xfId="42906" xr:uid="{4E116427-D262-4A25-A675-027E7557C6D7}"/>
    <cellStyle name="Input 2 3 4 2 5 3" xfId="18076" xr:uid="{BDAABF75-CB3F-4668-A4C3-4F58D7BF6F08}"/>
    <cellStyle name="Input 2 3 4 2 5 3 2" xfId="40466" xr:uid="{22E9E952-E78A-4816-844E-02637B8AD892}"/>
    <cellStyle name="Input 2 3 4 2 5 3 3" xfId="42058" xr:uid="{A6A6ADC9-EB8F-4928-8F13-2F6D508DD4AD}"/>
    <cellStyle name="Input 2 3 4 2 5 4" xfId="22500" xr:uid="{2331898D-F597-45E6-B02F-3003615A5DAF}"/>
    <cellStyle name="Input 2 3 4 2 5 4 2" xfId="52521" xr:uid="{EFC256A5-4CF0-415E-8C03-3513CEC7BEF9}"/>
    <cellStyle name="Input 2 3 4 2 5 5" xfId="53708" xr:uid="{62302BCA-5B4A-4914-B8BF-A4723CA0A11A}"/>
    <cellStyle name="Input 2 3 4 2 6" xfId="6512" xr:uid="{00000000-0005-0000-0000-000029050000}"/>
    <cellStyle name="Input 2 3 4 2 6 2" xfId="13381" xr:uid="{EE7FD4F3-7E53-49F8-A547-36BA7D0C0BB7}"/>
    <cellStyle name="Input 2 3 4 2 6 2 2" xfId="35865" xr:uid="{E41D0850-2DE7-4EE0-A95E-7259D1ADA4C0}"/>
    <cellStyle name="Input 2 3 4 2 6 2 3" xfId="48624" xr:uid="{5DB0962D-A4EA-459A-8946-1245106C1F82}"/>
    <cellStyle name="Input 2 3 4 2 6 3" xfId="18449" xr:uid="{6A42F141-12AE-4AF2-8A4A-1EFDE8C06AC0}"/>
    <cellStyle name="Input 2 3 4 2 6 3 2" xfId="40839" xr:uid="{A3B610D4-B2DB-4569-B91A-D437AFF90766}"/>
    <cellStyle name="Input 2 3 4 2 6 3 3" xfId="30876" xr:uid="{045CCD8E-E8B5-4DF2-9405-4D0832D1B35E}"/>
    <cellStyle name="Input 2 3 4 2 6 4" xfId="22873" xr:uid="{6BA6E72F-2436-423D-908C-501AB66E8653}"/>
    <cellStyle name="Input 2 3 4 2 6 4 2" xfId="51420" xr:uid="{41221B64-C402-4272-901B-8924FD036C2C}"/>
    <cellStyle name="Input 2 3 4 2 6 5" xfId="46500" xr:uid="{76E6E080-2187-4360-9917-4E95453E78A7}"/>
    <cellStyle name="Input 2 3 4 2 7" xfId="4512" xr:uid="{00000000-0005-0000-0000-000029050000}"/>
    <cellStyle name="Input 2 3 4 2 7 2" xfId="11414" xr:uid="{0482268E-DCA3-4441-AC93-EEEAD8B3D3B4}"/>
    <cellStyle name="Input 2 3 4 2 7 2 2" xfId="33900" xr:uid="{FC2B753E-5EFB-4DF6-8A1D-3E9D3B680E75}"/>
    <cellStyle name="Input 2 3 4 2 7 2 3" xfId="42411" xr:uid="{D2B36F45-C5AA-4024-9CC3-4CDEC7F6C92F}"/>
    <cellStyle name="Input 2 3 4 2 7 3" xfId="16449" xr:uid="{DE16BF82-B2BB-4609-93B0-82E5D1AC58F8}"/>
    <cellStyle name="Input 2 3 4 2 7 3 2" xfId="38839" xr:uid="{E7630DEC-74DD-4BEF-8DA9-03444C94761F}"/>
    <cellStyle name="Input 2 3 4 2 7 3 3" xfId="43876" xr:uid="{36FAED05-4773-4D34-87D8-21FED37E0E70}"/>
    <cellStyle name="Input 2 3 4 2 7 4" xfId="14977" xr:uid="{A0DE1E70-E60A-461C-9C65-21C1836AAF0D}"/>
    <cellStyle name="Input 2 3 4 2 7 4 2" xfId="54119" xr:uid="{A3FC47F2-1C3A-4176-BD37-BCD581A95F27}"/>
    <cellStyle name="Input 2 3 4 2 7 5" xfId="53919" xr:uid="{BB766FC4-CE55-4A01-962A-5E0F5EFA6BDA}"/>
    <cellStyle name="Input 2 3 4 2 8" xfId="6996" xr:uid="{00000000-0005-0000-0000-000029050000}"/>
    <cellStyle name="Input 2 3 4 2 8 2" xfId="13833" xr:uid="{5EC4BBE6-417A-46C3-B523-74DC6E45EB51}"/>
    <cellStyle name="Input 2 3 4 2 8 2 2" xfId="36317" xr:uid="{4CBA2AD4-E4F7-470A-BC69-4FA51C3A6699}"/>
    <cellStyle name="Input 2 3 4 2 8 2 3" xfId="44036" xr:uid="{885E9FBB-6590-4D1A-8CE2-7AE26CAF1ACE}"/>
    <cellStyle name="Input 2 3 4 2 8 3" xfId="18933" xr:uid="{CE3AFEB8-ADF4-4C6C-B866-C2B9AB72266C}"/>
    <cellStyle name="Input 2 3 4 2 8 3 2" xfId="41323" xr:uid="{CC717714-0CB0-4349-870F-484C171928C7}"/>
    <cellStyle name="Input 2 3 4 2 8 3 3" xfId="45165" xr:uid="{FE62405D-A97F-44D8-8BF5-00BD58B0D007}"/>
    <cellStyle name="Input 2 3 4 2 8 4" xfId="23357" xr:uid="{E90FE690-0C61-48FE-BC86-F1750BB80D88}"/>
    <cellStyle name="Input 2 3 4 2 8 4 2" xfId="51088" xr:uid="{071783DE-AA9B-4870-A786-5535E462A6AB}"/>
    <cellStyle name="Input 2 3 4 2 8 5" xfId="51919" xr:uid="{0215FE37-0EAB-43AE-8D1C-F3A5A32117B4}"/>
    <cellStyle name="Input 2 3 4 2 9" xfId="5050" xr:uid="{00000000-0005-0000-0000-000029050000}"/>
    <cellStyle name="Input 2 3 4 2 9 2" xfId="16987" xr:uid="{C44EE6F0-71B2-4842-AEC1-4056BE60D36C}"/>
    <cellStyle name="Input 2 3 4 2 9 2 2" xfId="39377" xr:uid="{22EDEF72-4CCE-4042-A7C9-BABB7203F1CC}"/>
    <cellStyle name="Input 2 3 4 2 9 2 3" xfId="42304" xr:uid="{27486CC6-A91A-4F08-99EA-4D49AF1ADF80}"/>
    <cellStyle name="Input 2 3 4 2 9 3" xfId="21411" xr:uid="{83A1E2B0-6D90-4A32-9235-E54A7816AB58}"/>
    <cellStyle name="Input 2 3 4 2 9 3 2" xfId="50343" xr:uid="{86848A25-3315-4603-A731-968B6F983F3C}"/>
    <cellStyle name="Input 2 3 4 2 9 4" xfId="48957" xr:uid="{9B834403-B2F8-48DD-A7CE-90A7880F8FA5}"/>
    <cellStyle name="Input 2 3 4 3" xfId="3145" xr:uid="{00000000-0005-0000-0000-000028050000}"/>
    <cellStyle name="Input 2 3 4 3 2" xfId="10054" xr:uid="{27FDB715-54C8-4A6D-B1AA-96B85B9EB4BF}"/>
    <cellStyle name="Input 2 3 4 3 2 2" xfId="32561" xr:uid="{6C0A9B6D-AADF-4A15-8A06-6DD38FB0F170}"/>
    <cellStyle name="Input 2 3 4 3 2 3" xfId="44567" xr:uid="{D39CA396-6BAE-47F9-853E-B5FB5939E830}"/>
    <cellStyle name="Input 2 3 4 3 3" xfId="15432" xr:uid="{C8970781-0A88-44F3-A19E-EA0D2B87E02F}"/>
    <cellStyle name="Input 2 3 4 3 3 2" xfId="37858" xr:uid="{932D46D0-1716-4464-9B63-F52F35B83450}"/>
    <cellStyle name="Input 2 3 4 3 3 3" xfId="51372" xr:uid="{DCAC9FC4-3217-4287-A644-AD2966B39869}"/>
    <cellStyle name="Input 2 3 4 3 4" xfId="7249" xr:uid="{C90E8697-9BCA-4465-AF6C-E32C70892BCA}"/>
    <cellStyle name="Input 2 3 4 3 4 2" xfId="49696" xr:uid="{327CA15F-BCB6-48F0-A686-9456CC7177C8}"/>
    <cellStyle name="Input 2 3 4 3 5" xfId="50037" xr:uid="{0506E1BB-3D0B-4A78-80C6-CEB92F2BE3CE}"/>
    <cellStyle name="Input 2 3 4 4" xfId="4794" xr:uid="{00000000-0005-0000-0000-000028050000}"/>
    <cellStyle name="Input 2 3 4 4 2" xfId="11691" xr:uid="{294338E0-265D-4404-B597-C0D87A651081}"/>
    <cellStyle name="Input 2 3 4 4 2 2" xfId="34177" xr:uid="{7DD40436-E2A9-4525-B2FA-580C44E28E44}"/>
    <cellStyle name="Input 2 3 4 4 2 3" xfId="25390" xr:uid="{41A18008-8E97-4F8C-B32E-54073F782D6D}"/>
    <cellStyle name="Input 2 3 4 4 3" xfId="16731" xr:uid="{80B40E4D-471A-4585-80D9-3ED573EA929B}"/>
    <cellStyle name="Input 2 3 4 4 3 2" xfId="39121" xr:uid="{49658EFD-3279-4CE0-AA6B-FF86BE6C2BB1}"/>
    <cellStyle name="Input 2 3 4 4 3 3" xfId="44829" xr:uid="{C34BAAC2-45D1-4688-B8D1-1283D11DFCEA}"/>
    <cellStyle name="Input 2 3 4 4 4" xfId="13361" xr:uid="{99A2F889-A3B1-4CF9-9F97-3203CBF0C6A0}"/>
    <cellStyle name="Input 2 3 4 4 4 2" xfId="43856" xr:uid="{A6DBA259-86EC-4B06-94F4-74CAE0742924}"/>
    <cellStyle name="Input 2 3 4 4 5" xfId="44188" xr:uid="{4D30F851-E04B-4D2E-B4E4-646A89F13D91}"/>
    <cellStyle name="Input 2 3 4 5" xfId="2348" xr:uid="{00000000-0005-0000-0000-000028050000}"/>
    <cellStyle name="Input 2 3 4 5 2" xfId="9257" xr:uid="{5D9FDEB1-91D8-44E9-89A3-CFF0EA7B8252}"/>
    <cellStyle name="Input 2 3 4 5 2 2" xfId="31832" xr:uid="{C91CF034-DD34-4975-A1E7-372CD3538236}"/>
    <cellStyle name="Input 2 3 4 5 2 3" xfId="44658" xr:uid="{227BE5CE-4A8B-400E-B39F-736BD60B2B5A}"/>
    <cellStyle name="Input 2 3 4 5 3" xfId="14905" xr:uid="{0B97B6A2-F31F-4D91-A1FB-A66E79E09D7C}"/>
    <cellStyle name="Input 2 3 4 5 3 2" xfId="37359" xr:uid="{EF5943BB-E55E-460B-8282-8283DE782620}"/>
    <cellStyle name="Input 2 3 4 5 3 3" xfId="45295" xr:uid="{7EC166FF-9B04-434C-8C6F-E618721BEB82}"/>
    <cellStyle name="Input 2 3 4 5 4" xfId="20719" xr:uid="{FEB4B6DA-5BB0-41AF-B5D0-9B86B20EECAB}"/>
    <cellStyle name="Input 2 3 4 5 4 2" xfId="45037" xr:uid="{76D3929F-2A91-4106-B5F3-CCF8B9D30C3A}"/>
    <cellStyle name="Input 2 3 4 5 5" xfId="42792" xr:uid="{82672A63-676D-406A-AB2B-3B3956C4226D}"/>
    <cellStyle name="Input 2 3 4 6" xfId="4651" xr:uid="{00000000-0005-0000-0000-000028050000}"/>
    <cellStyle name="Input 2 3 4 6 2" xfId="11551" xr:uid="{DDBD153D-CFA0-4370-B2AC-DDC2D1C1AAFE}"/>
    <cellStyle name="Input 2 3 4 6 2 2" xfId="34037" xr:uid="{A91E7EA8-4D06-4C5F-98E1-2C1948842D47}"/>
    <cellStyle name="Input 2 3 4 6 2 3" xfId="28690" xr:uid="{4662149C-C345-4344-8448-714593E8444A}"/>
    <cellStyle name="Input 2 3 4 6 3" xfId="16588" xr:uid="{14AD4FA2-051D-4307-B1C6-C9D7A52065B1}"/>
    <cellStyle name="Input 2 3 4 6 3 2" xfId="38978" xr:uid="{664F0032-3971-49AC-85DB-88A50EDB0A6D}"/>
    <cellStyle name="Input 2 3 4 6 3 3" xfId="38335" xr:uid="{7221FF51-85D0-4A6C-B35F-4698D606E455}"/>
    <cellStyle name="Input 2 3 4 6 4" xfId="16242" xr:uid="{BAC130F9-655D-439F-A79D-DE7699C1D78B}"/>
    <cellStyle name="Input 2 3 4 6 4 2" xfId="29225" xr:uid="{F8814B91-3326-4105-BF5B-647A64EA1DC6}"/>
    <cellStyle name="Input 2 3 4 6 5" xfId="45119" xr:uid="{5BB04BCA-1FBC-46BF-A807-26083A536FD1}"/>
    <cellStyle name="Input 2 3 4 7" xfId="6855" xr:uid="{00000000-0005-0000-0000-000028050000}"/>
    <cellStyle name="Input 2 3 4 7 2" xfId="13697" xr:uid="{5B18DCA6-61FE-48CE-B73F-3A507B93E3F9}"/>
    <cellStyle name="Input 2 3 4 7 2 2" xfId="36181" xr:uid="{9F318990-BF42-4397-8B8A-D87ED84ABE33}"/>
    <cellStyle name="Input 2 3 4 7 2 3" xfId="26690" xr:uid="{0D41C191-2BDE-47DB-AC98-3CBEFDA35B64}"/>
    <cellStyle name="Input 2 3 4 7 3" xfId="18792" xr:uid="{C04F4D39-DD07-4E55-9CE5-52F20541BFF8}"/>
    <cellStyle name="Input 2 3 4 7 3 2" xfId="41182" xr:uid="{3A32D979-5F8C-4CD5-8EE0-EDDFFF6134B9}"/>
    <cellStyle name="Input 2 3 4 7 3 3" xfId="37229" xr:uid="{EE3FF288-C2F0-4232-9B59-2F789D4707B6}"/>
    <cellStyle name="Input 2 3 4 7 4" xfId="23216" xr:uid="{39C099C7-8AA1-4C23-AA02-054AC5610EA1}"/>
    <cellStyle name="Input 2 3 4 7 4 2" xfId="49683" xr:uid="{FC70347D-7E51-46A9-AE9A-439145F7A03F}"/>
    <cellStyle name="Input 2 3 4 7 5" xfId="48289" xr:uid="{684E8D38-CD77-4B2E-944B-54F7A0CA12AC}"/>
    <cellStyle name="Input 2 3 4 8" xfId="9041" xr:uid="{243F9581-3482-46CA-BC99-99A4B9000186}"/>
    <cellStyle name="Input 2 3 4 8 2" xfId="31617" xr:uid="{A2DFB0CA-F86D-449A-A9DF-702EC61DCFCB}"/>
    <cellStyle name="Input 2 3 4 8 3" xfId="45040" xr:uid="{92CE3518-0028-495F-8C32-58E9D4B305C6}"/>
    <cellStyle name="Input 2 3 4 9" xfId="20200" xr:uid="{ECE85AED-DEBC-4951-961D-B3E0CB58F03F}"/>
    <cellStyle name="Input 2 3 4 9 2" xfId="42508" xr:uid="{957BFBAF-0DB1-4DF3-B146-CF591D6D76EA}"/>
    <cellStyle name="Input 2 3 4 9 3" xfId="29235" xr:uid="{95470F28-08F5-4BEB-8735-21E89C6B3354}"/>
    <cellStyle name="Input 2 3 5" xfId="1204" xr:uid="{00000000-0005-0000-0000-00002B050000}"/>
    <cellStyle name="Input 2 3 5 10" xfId="16223" xr:uid="{6BDD2310-AEE1-4940-B95C-36594441001D}"/>
    <cellStyle name="Input 2 3 5 10 2" xfId="36556" xr:uid="{841327CF-B110-4405-97D9-36DAD9CE3416}"/>
    <cellStyle name="Input 2 3 5 11" xfId="53811" xr:uid="{5C951B72-C1FD-4E4E-A36D-5DDB96352A38}"/>
    <cellStyle name="Input 2 3 5 2" xfId="2004" xr:uid="{00000000-0005-0000-0000-00002C050000}"/>
    <cellStyle name="Input 2 3 5 2 10" xfId="14652" xr:uid="{C40972B8-3BCF-48A0-AF2C-C34FAC3A4063}"/>
    <cellStyle name="Input 2 3 5 2 10 2" xfId="37112" xr:uid="{7C9F4892-A110-42FF-80F3-9CFCCBDC24CA}"/>
    <cellStyle name="Input 2 3 5 2 10 3" xfId="45775" xr:uid="{74E63621-B32E-4F55-B493-0D977E1DB9DA}"/>
    <cellStyle name="Input 2 3 5 2 11" xfId="21266" xr:uid="{11B91230-CBB0-4F36-A332-C5D6174C949B}"/>
    <cellStyle name="Input 2 3 5 2 11 2" xfId="43501" xr:uid="{146E0D4E-CBBE-4936-B7DC-1B5FA6D7E90A}"/>
    <cellStyle name="Input 2 3 5 2 11 3" xfId="49394" xr:uid="{78FF356A-5AE8-4013-BCCD-9D08D6E0A1F2}"/>
    <cellStyle name="Input 2 3 5 2 12" xfId="16243" xr:uid="{9D67BFB4-AFA9-4FF7-B599-4092E926FE9C}"/>
    <cellStyle name="Input 2 3 5 2 12 2" xfId="29747" xr:uid="{544E5360-D042-44B7-A45D-029274570B32}"/>
    <cellStyle name="Input 2 3 5 2 13" xfId="46548" xr:uid="{04EB14EC-21C3-43D6-AB57-805344AC2AC6}"/>
    <cellStyle name="Input 2 3 5 2 2" xfId="4099" xr:uid="{00000000-0005-0000-0000-00002B050000}"/>
    <cellStyle name="Input 2 3 5 2 2 2" xfId="11003" xr:uid="{24420B5F-DD7E-4A8F-A79C-29C7A78F39BD}"/>
    <cellStyle name="Input 2 3 5 2 2 2 2" xfId="33489" xr:uid="{D5C80FA5-85C0-4248-9878-6F2A27ACF6C4}"/>
    <cellStyle name="Input 2 3 5 2 2 2 3" xfId="46626" xr:uid="{A46F656A-D99E-4CAD-B291-3AF541AADFF9}"/>
    <cellStyle name="Input 2 3 5 2 2 3" xfId="16103" xr:uid="{67971A4C-FD7D-4589-BFC0-722EE9D18FD5}"/>
    <cellStyle name="Input 2 3 5 2 2 3 2" xfId="38503" xr:uid="{E7421B95-7DB6-46CD-B293-4A5E19C39DF0}"/>
    <cellStyle name="Input 2 3 5 2 2 3 3" xfId="25648" xr:uid="{CD7EAA01-C6E7-40B2-BEFB-AA494029C867}"/>
    <cellStyle name="Input 2 3 5 2 2 4" xfId="15469" xr:uid="{9E0B2838-E443-429B-AA6E-E1D67678EA2D}"/>
    <cellStyle name="Input 2 3 5 2 2 4 2" xfId="47646" xr:uid="{BCAB5433-C0A5-47BF-905C-B36ADC8724B9}"/>
    <cellStyle name="Input 2 3 5 2 2 5" xfId="27631" xr:uid="{AB71E2DB-00A1-4A44-B999-1504557595FC}"/>
    <cellStyle name="Input 2 3 5 2 3" xfId="5445" xr:uid="{00000000-0005-0000-0000-00002B050000}"/>
    <cellStyle name="Input 2 3 5 2 3 2" xfId="12334" xr:uid="{FEB62238-FC38-4E54-A511-33CE36A1E3B5}"/>
    <cellStyle name="Input 2 3 5 2 3 2 2" xfId="34819" xr:uid="{02B486A3-1FAC-4F07-9B0F-8D29DD1F413E}"/>
    <cellStyle name="Input 2 3 5 2 3 2 3" xfId="43627" xr:uid="{14AD0223-965E-4A01-BE11-72A15169C2DB}"/>
    <cellStyle name="Input 2 3 5 2 3 3" xfId="17382" xr:uid="{37E72415-9A78-4917-9B3E-F5598741D144}"/>
    <cellStyle name="Input 2 3 5 2 3 3 2" xfId="39772" xr:uid="{B66132DA-6B56-40C2-8003-76AAD021BAA9}"/>
    <cellStyle name="Input 2 3 5 2 3 3 3" xfId="29807" xr:uid="{8715A860-5DDE-44B7-BBCD-08BF6110CF8F}"/>
    <cellStyle name="Input 2 3 5 2 3 4" xfId="21806" xr:uid="{D5320794-9C0D-4D2E-8C85-6318749CDBC0}"/>
    <cellStyle name="Input 2 3 5 2 3 4 2" xfId="24069" xr:uid="{B9E4D72B-EFC5-4485-9140-8FE7BD909D25}"/>
    <cellStyle name="Input 2 3 5 2 3 5" xfId="45020" xr:uid="{5A5822DC-9863-43D0-9C18-17B243632328}"/>
    <cellStyle name="Input 2 3 5 2 4" xfId="5868" xr:uid="{00000000-0005-0000-0000-00002B050000}"/>
    <cellStyle name="Input 2 3 5 2 4 2" xfId="12750" xr:uid="{47039361-893B-447B-B6FE-5F895C75D374}"/>
    <cellStyle name="Input 2 3 5 2 4 2 2" xfId="35234" xr:uid="{0758DA29-7FEB-4856-AFA0-902B894D42AB}"/>
    <cellStyle name="Input 2 3 5 2 4 2 3" xfId="28711" xr:uid="{0C59DE5A-0799-459B-A484-47B8C725FD10}"/>
    <cellStyle name="Input 2 3 5 2 4 3" xfId="17805" xr:uid="{33D33D30-17DB-471A-9457-D5DCBA0B85D3}"/>
    <cellStyle name="Input 2 3 5 2 4 3 2" xfId="40195" xr:uid="{691C6062-41F6-402D-9864-28A9234466DB}"/>
    <cellStyle name="Input 2 3 5 2 4 3 3" xfId="31981" xr:uid="{032EBF69-30EC-470B-8B8D-420D1E12444F}"/>
    <cellStyle name="Input 2 3 5 2 4 4" xfId="22229" xr:uid="{6F7ED716-CDCB-484B-8D8B-C70D79B64135}"/>
    <cellStyle name="Input 2 3 5 2 4 4 2" xfId="50729" xr:uid="{AD5C1D09-8920-45DF-BCE3-2C8FE026C794}"/>
    <cellStyle name="Input 2 3 5 2 4 5" xfId="30097" xr:uid="{B54F40C5-D5CC-456E-B197-C68B033480B4}"/>
    <cellStyle name="Input 2 3 5 2 5" xfId="6206" xr:uid="{00000000-0005-0000-0000-00002B050000}"/>
    <cellStyle name="Input 2 3 5 2 5 2" xfId="13081" xr:uid="{CE382298-DC40-440F-AE33-19C0DECB796A}"/>
    <cellStyle name="Input 2 3 5 2 5 2 2" xfId="35565" xr:uid="{86F3ED6B-4911-44BA-8866-F0A59499E440}"/>
    <cellStyle name="Input 2 3 5 2 5 2 3" xfId="51848" xr:uid="{601C2F86-41A5-48D4-8DC5-C6DEA7E8110A}"/>
    <cellStyle name="Input 2 3 5 2 5 3" xfId="18143" xr:uid="{43B42DEA-89F3-43EA-966C-BCB88EED4C20}"/>
    <cellStyle name="Input 2 3 5 2 5 3 2" xfId="40533" xr:uid="{E012A30C-F7E4-495A-A259-A732FC2F9EC6}"/>
    <cellStyle name="Input 2 3 5 2 5 3 3" xfId="42248" xr:uid="{F2428315-AE3E-4E17-A4C0-ABA3884B138F}"/>
    <cellStyle name="Input 2 3 5 2 5 4" xfId="22567" xr:uid="{ABB4F644-0400-4FF3-A31C-E99D7E05C646}"/>
    <cellStyle name="Input 2 3 5 2 5 4 2" xfId="48600" xr:uid="{BDBFE374-550D-4879-8748-09440DAA585F}"/>
    <cellStyle name="Input 2 3 5 2 5 5" xfId="28700" xr:uid="{DE01C211-9C23-4C1D-950E-84415715FF2B}"/>
    <cellStyle name="Input 2 3 5 2 6" xfId="6572" xr:uid="{00000000-0005-0000-0000-00002B050000}"/>
    <cellStyle name="Input 2 3 5 2 6 2" xfId="13438" xr:uid="{7EE59323-FBBE-4571-8B89-E0CE0205C84F}"/>
    <cellStyle name="Input 2 3 5 2 6 2 2" xfId="35922" xr:uid="{1B861390-EBBC-40C6-9B7C-0BC4392CDDF4}"/>
    <cellStyle name="Input 2 3 5 2 6 2 3" xfId="27561" xr:uid="{F7EB323F-F305-4D6F-882C-971D21D777CE}"/>
    <cellStyle name="Input 2 3 5 2 6 3" xfId="18509" xr:uid="{0E4EA772-DD00-434D-A8CC-343FDE05FDD7}"/>
    <cellStyle name="Input 2 3 5 2 6 3 2" xfId="40899" xr:uid="{B755C7C1-4140-45E0-9F6F-F9D3F38B427E}"/>
    <cellStyle name="Input 2 3 5 2 6 3 3" xfId="45893" xr:uid="{5B4C9069-708C-4FB3-9C29-99619EDDCADE}"/>
    <cellStyle name="Input 2 3 5 2 6 4" xfId="22933" xr:uid="{AC520198-93A7-4129-B52C-48D6071A5845}"/>
    <cellStyle name="Input 2 3 5 2 6 4 2" xfId="49560" xr:uid="{1E1D7490-01F0-460A-B953-0F56325565AE}"/>
    <cellStyle name="Input 2 3 5 2 6 5" xfId="48276" xr:uid="{32884C5F-9B25-4C0D-88F4-953B956C03D6}"/>
    <cellStyle name="Input 2 3 5 2 7" xfId="4463" xr:uid="{00000000-0005-0000-0000-00002B050000}"/>
    <cellStyle name="Input 2 3 5 2 7 2" xfId="11365" xr:uid="{517CA831-8468-471E-8E0F-DCC4A30DD40F}"/>
    <cellStyle name="Input 2 3 5 2 7 2 2" xfId="33851" xr:uid="{0CEC0B3B-710E-40A1-9AD9-5C7A7CA18B41}"/>
    <cellStyle name="Input 2 3 5 2 7 2 3" xfId="29524" xr:uid="{E15EA39D-C51C-4C18-A2D0-878FB3E35FA5}"/>
    <cellStyle name="Input 2 3 5 2 7 3" xfId="16400" xr:uid="{616328AB-653B-4DD8-BF65-F42FB6C97A47}"/>
    <cellStyle name="Input 2 3 5 2 7 3 2" xfId="38790" xr:uid="{B7CCFD55-0505-4FD6-B612-B9213180ECE1}"/>
    <cellStyle name="Input 2 3 5 2 7 3 3" xfId="43895" xr:uid="{E39408CD-57FA-4C7F-94AB-9C8A5C43AD57}"/>
    <cellStyle name="Input 2 3 5 2 7 4" xfId="20636" xr:uid="{C2443EBF-030D-45FE-AFCD-6C5B467F5906}"/>
    <cellStyle name="Input 2 3 5 2 7 4 2" xfId="25297" xr:uid="{028338EA-3751-4A58-921C-0BAA99E4AABC}"/>
    <cellStyle name="Input 2 3 5 2 7 5" xfId="46836" xr:uid="{375AD2CE-ED62-438D-9084-C3C6A374D00D}"/>
    <cellStyle name="Input 2 3 5 2 8" xfId="7042" xr:uid="{00000000-0005-0000-0000-00002B050000}"/>
    <cellStyle name="Input 2 3 5 2 8 2" xfId="13878" xr:uid="{58011978-D07A-41A5-8FEC-728E6B5B2E23}"/>
    <cellStyle name="Input 2 3 5 2 8 2 2" xfId="36362" xr:uid="{88AB0EDE-D79B-44A2-9051-4AFD4C1134D7}"/>
    <cellStyle name="Input 2 3 5 2 8 2 3" xfId="50066" xr:uid="{7469C8A5-CA26-4BAC-9A4C-A85E69A69D0B}"/>
    <cellStyle name="Input 2 3 5 2 8 3" xfId="18979" xr:uid="{313C2C41-9AC4-4086-9881-23C7E307D7B1}"/>
    <cellStyle name="Input 2 3 5 2 8 3 2" xfId="41369" xr:uid="{C857FF1E-B085-4B6A-AD36-AC8DA71AC455}"/>
    <cellStyle name="Input 2 3 5 2 8 3 3" xfId="31920" xr:uid="{6D0E05ED-32AB-40BC-86F3-4580B083ADF1}"/>
    <cellStyle name="Input 2 3 5 2 8 4" xfId="23403" xr:uid="{4E60D4C4-DEA1-4B79-8177-A6A3A9B6976F}"/>
    <cellStyle name="Input 2 3 5 2 8 4 2" xfId="24663" xr:uid="{2E24C859-C890-4668-A5E9-8CAAF39EA265}"/>
    <cellStyle name="Input 2 3 5 2 8 5" xfId="53610" xr:uid="{788A2C50-01D8-4449-A272-0716D1DDF9B7}"/>
    <cellStyle name="Input 2 3 5 2 9" xfId="7157" xr:uid="{00000000-0005-0000-0000-00002B050000}"/>
    <cellStyle name="Input 2 3 5 2 9 2" xfId="19094" xr:uid="{971D875C-5049-4F80-9D53-D0EE7CE1D319}"/>
    <cellStyle name="Input 2 3 5 2 9 2 2" xfId="41484" xr:uid="{A13B7395-C4BD-40BC-986C-560371710099}"/>
    <cellStyle name="Input 2 3 5 2 9 2 3" xfId="26077" xr:uid="{F4B7678D-0C9C-4158-A63B-5F751D125AE5}"/>
    <cellStyle name="Input 2 3 5 2 9 3" xfId="23518" xr:uid="{2BABBEF8-4A69-47CE-AE96-A3C64EF62D02}"/>
    <cellStyle name="Input 2 3 5 2 9 3 2" xfId="53246" xr:uid="{E0339936-57E1-4B21-871E-5FCB376BC32A}"/>
    <cellStyle name="Input 2 3 5 2 9 4" xfId="43276" xr:uid="{5EABC20D-5153-426C-A0A9-309757D2FC9F}"/>
    <cellStyle name="Input 2 3 5 3" xfId="3318" xr:uid="{00000000-0005-0000-0000-00002A050000}"/>
    <cellStyle name="Input 2 3 5 3 2" xfId="10226" xr:uid="{94881CFC-7042-489D-B6F7-1A17EF36287F}"/>
    <cellStyle name="Input 2 3 5 3 2 2" xfId="32720" xr:uid="{5249D3E8-46E9-497A-A288-F74769D09257}"/>
    <cellStyle name="Input 2 3 5 3 2 3" xfId="45700" xr:uid="{9DB341AA-287F-465B-8743-CAEE7C9B5ABC}"/>
    <cellStyle name="Input 2 3 5 3 3" xfId="15544" xr:uid="{E6B82212-243A-4A44-AB8B-71AF31253666}"/>
    <cellStyle name="Input 2 3 5 3 3 2" xfId="37963" xr:uid="{E0A6AFD4-68D0-4D5E-A510-2192BD7A4B57}"/>
    <cellStyle name="Input 2 3 5 3 3 3" xfId="46823" xr:uid="{EBD9F47D-0FC4-4309-8215-22C473A981F9}"/>
    <cellStyle name="Input 2 3 5 3 4" xfId="15478" xr:uid="{951918A6-567D-444D-BDE6-3ADD2DE71CDF}"/>
    <cellStyle name="Input 2 3 5 3 4 2" xfId="26058" xr:uid="{828789B2-96B4-4024-9DEF-A36B65AFDA31}"/>
    <cellStyle name="Input 2 3 5 3 5" xfId="46797" xr:uid="{87DE65F4-1595-4C29-BDE4-B225F5CFDE7F}"/>
    <cellStyle name="Input 2 3 5 4" xfId="4904" xr:uid="{00000000-0005-0000-0000-00002A050000}"/>
    <cellStyle name="Input 2 3 5 4 2" xfId="11799" xr:uid="{249AF491-9FD3-4093-A39A-6DFF045C0CFC}"/>
    <cellStyle name="Input 2 3 5 4 2 2" xfId="34285" xr:uid="{AE7205B9-5FC1-4AFC-AA5D-36B9BA01E627}"/>
    <cellStyle name="Input 2 3 5 4 2 3" xfId="29716" xr:uid="{6834917C-DFD4-4F9C-BB74-B5128D8CBD3B}"/>
    <cellStyle name="Input 2 3 5 4 3" xfId="16841" xr:uid="{6C6D23A5-6507-4CB9-A43A-46D8C477C7D3}"/>
    <cellStyle name="Input 2 3 5 4 3 2" xfId="39231" xr:uid="{06EE6000-C0C7-464B-8EE8-605C15BEFF15}"/>
    <cellStyle name="Input 2 3 5 4 3 3" xfId="45880" xr:uid="{AA212010-30BD-432B-99A7-8B6353BB8174}"/>
    <cellStyle name="Input 2 3 5 4 4" xfId="8672" xr:uid="{59D6017C-5270-480B-AB5C-E65C0D87A140}"/>
    <cellStyle name="Input 2 3 5 4 4 2" xfId="53365" xr:uid="{FFAC9583-1521-48AB-9779-EF3DB05631F4}"/>
    <cellStyle name="Input 2 3 5 4 5" xfId="49048" xr:uid="{FACCC007-4745-46C0-87F8-66A7D2F6CFC2}"/>
    <cellStyle name="Input 2 3 5 5" xfId="5602" xr:uid="{00000000-0005-0000-0000-00002A050000}"/>
    <cellStyle name="Input 2 3 5 5 2" xfId="12487" xr:uid="{6CA821DC-519F-494A-81A4-89B1A5E3F2D0}"/>
    <cellStyle name="Input 2 3 5 5 2 2" xfId="34972" xr:uid="{0B5C3A41-DF38-4B49-B0E7-CF8CC4D7E1CE}"/>
    <cellStyle name="Input 2 3 5 5 2 3" xfId="43574" xr:uid="{ADFCD28D-D09E-454F-865F-21D543134825}"/>
    <cellStyle name="Input 2 3 5 5 3" xfId="17539" xr:uid="{F921DD69-DDC0-4544-9299-0AFB58DECCF4}"/>
    <cellStyle name="Input 2 3 5 5 3 2" xfId="39929" xr:uid="{31FEA4AD-F0E3-4D4C-BD91-1FF84E5938E2}"/>
    <cellStyle name="Input 2 3 5 5 3 3" xfId="28986" xr:uid="{B6B61438-016B-4D8B-934D-B484B5666791}"/>
    <cellStyle name="Input 2 3 5 5 4" xfId="21963" xr:uid="{32E4A057-B987-482C-A0BE-B21E7A3C47CF}"/>
    <cellStyle name="Input 2 3 5 5 4 2" xfId="45090" xr:uid="{592800B6-2303-4F07-B5F4-5E7529154E3F}"/>
    <cellStyle name="Input 2 3 5 5 5" xfId="53682" xr:uid="{AC69A4AE-8A22-4E98-8A83-328E3326FF4E}"/>
    <cellStyle name="Input 2 3 5 6" xfId="6358" xr:uid="{00000000-0005-0000-0000-00002A050000}"/>
    <cellStyle name="Input 2 3 5 6 2" xfId="13230" xr:uid="{10455806-A765-49F6-82CA-5568A8009EFF}"/>
    <cellStyle name="Input 2 3 5 6 2 2" xfId="35714" xr:uid="{1A47B310-3128-4ACE-AA2D-D4BE4FFBA9BA}"/>
    <cellStyle name="Input 2 3 5 6 2 3" xfId="52977" xr:uid="{3265A4CB-C5B3-4BAF-BE49-D16FBABFA8A9}"/>
    <cellStyle name="Input 2 3 5 6 3" xfId="18295" xr:uid="{732173C7-752E-4058-A121-0E7FE6C622BC}"/>
    <cellStyle name="Input 2 3 5 6 3 2" xfId="40685" xr:uid="{FE298394-4B1E-4397-8239-D5E0C7C3C464}"/>
    <cellStyle name="Input 2 3 5 6 3 3" xfId="32646" xr:uid="{AAC88DC3-678D-4992-AB6F-3CD41557E126}"/>
    <cellStyle name="Input 2 3 5 6 4" xfId="22719" xr:uid="{3CDED94A-FDDA-4F0B-81D7-BD0BD07685C6}"/>
    <cellStyle name="Input 2 3 5 6 4 2" xfId="28967" xr:uid="{011693DB-B5B1-428B-9939-31B3AEE44C24}"/>
    <cellStyle name="Input 2 3 5 6 5" xfId="44623" xr:uid="{A701538F-F5AF-47A8-BC17-384FDF9B741A}"/>
    <cellStyle name="Input 2 3 5 7" xfId="2284" xr:uid="{00000000-0005-0000-0000-00002A050000}"/>
    <cellStyle name="Input 2 3 5 7 2" xfId="9195" xr:uid="{CE96A89C-A220-4373-BB54-DB15BA6BB7C2}"/>
    <cellStyle name="Input 2 3 5 7 2 2" xfId="31770" xr:uid="{0565BF67-435D-4333-90B7-220CE5911CC3}"/>
    <cellStyle name="Input 2 3 5 7 2 3" xfId="53553" xr:uid="{C09FE0AE-66F8-46C3-81AB-2599BEC9EAC1}"/>
    <cellStyle name="Input 2 3 5 7 3" xfId="14851" xr:uid="{EC0326BB-1703-4B06-9973-09C7B749B14A}"/>
    <cellStyle name="Input 2 3 5 7 3 2" xfId="37305" xr:uid="{83AADD58-8A7F-4E00-99A6-2AE1C40ADAC1}"/>
    <cellStyle name="Input 2 3 5 7 3 3" xfId="51644" xr:uid="{55E6F8E0-338F-4F14-8E2F-FD1836C45FEF}"/>
    <cellStyle name="Input 2 3 5 7 4" xfId="19345" xr:uid="{7F5B04B3-DACF-43C9-815D-1DE8ED2F3E09}"/>
    <cellStyle name="Input 2 3 5 7 4 2" xfId="44802" xr:uid="{B0D9392B-F559-4030-A766-386D06A08393}"/>
    <cellStyle name="Input 2 3 5 7 5" xfId="51335" xr:uid="{1A9DD794-FCB9-4AB0-A5CA-D2B038B809B8}"/>
    <cellStyle name="Input 2 3 5 8" xfId="14079" xr:uid="{E5F59810-1D79-4AC5-9864-9D0DAF067209}"/>
    <cellStyle name="Input 2 3 5 8 2" xfId="36557" xr:uid="{F954F7ED-596C-4AFB-9EC3-D986FDC25C2E}"/>
    <cellStyle name="Input 2 3 5 8 3" xfId="43708" xr:uid="{303F38AB-F922-4EC3-920C-C86B595CFDC0}"/>
    <cellStyle name="Input 2 3 5 9" xfId="20447" xr:uid="{5E9C034D-AB13-45A8-8E33-E21BCB444D94}"/>
    <cellStyle name="Input 2 3 5 9 2" xfId="42738" xr:uid="{E75CA4C5-1316-4A7F-AD02-10C4A10F477B}"/>
    <cellStyle name="Input 2 3 5 9 3" xfId="53768" xr:uid="{5694DA5C-481A-480B-B8D7-97A9DB6E57D4}"/>
    <cellStyle name="Input 2 3 6" xfId="1366" xr:uid="{00000000-0005-0000-0000-00002D050000}"/>
    <cellStyle name="Input 2 3 6 10" xfId="15697" xr:uid="{80D09A2A-A8A1-4359-9555-70FD2CF1EE8C}"/>
    <cellStyle name="Input 2 3 6 10 2" xfId="48892" xr:uid="{08C83205-F9B8-41E7-951B-DC1DF7107150}"/>
    <cellStyle name="Input 2 3 6 11" xfId="46368" xr:uid="{13DBE789-633B-4DA3-A0B7-7700A93AA69B}"/>
    <cellStyle name="Input 2 3 6 2" xfId="2095" xr:uid="{00000000-0005-0000-0000-00002E050000}"/>
    <cellStyle name="Input 2 3 6 2 10" xfId="14724" xr:uid="{75C99BD8-3A27-48A6-9BCE-F5349FE2AD18}"/>
    <cellStyle name="Input 2 3 6 2 10 2" xfId="37182" xr:uid="{E8D65E59-2D4A-426B-9ACF-CCB636BB4791}"/>
    <cellStyle name="Input 2 3 6 2 10 3" xfId="43619" xr:uid="{95D8335A-B422-422D-A7BF-AAF42AA27D00}"/>
    <cellStyle name="Input 2 3 6 2 11" xfId="19810" xr:uid="{45FAF0E0-8B81-45AF-8C63-CD42936AEC89}"/>
    <cellStyle name="Input 2 3 6 2 11 2" xfId="42148" xr:uid="{0F13F2D0-DCF8-4B43-9B05-8974A585798D}"/>
    <cellStyle name="Input 2 3 6 2 11 3" xfId="25378" xr:uid="{21533936-AE8C-414A-90B4-B3B0C3AD967F}"/>
    <cellStyle name="Input 2 3 6 2 12" xfId="19702" xr:uid="{6D09E23B-A309-4FD2-B71E-535C932E448E}"/>
    <cellStyle name="Input 2 3 6 2 12 2" xfId="37703" xr:uid="{D42D887E-D69D-4D7C-A20C-1B9FF52150EA}"/>
    <cellStyle name="Input 2 3 6 2 13" xfId="49284" xr:uid="{F7CC25A1-36F9-4E13-8F26-31B3D48752FE}"/>
    <cellStyle name="Input 2 3 6 2 2" xfId="4188" xr:uid="{00000000-0005-0000-0000-00002D050000}"/>
    <cellStyle name="Input 2 3 6 2 2 2" xfId="11092" xr:uid="{191E2FDE-550A-4517-AE45-1037520CD1BA}"/>
    <cellStyle name="Input 2 3 6 2 2 2 2" xfId="33578" xr:uid="{E2A98D32-57E8-4B79-BF51-3ED5D775F729}"/>
    <cellStyle name="Input 2 3 6 2 2 2 3" xfId="51026" xr:uid="{3622018B-0934-4DDF-9AF6-3D9A66B9FACD}"/>
    <cellStyle name="Input 2 3 6 2 2 3" xfId="16181" xr:uid="{9602856B-1B99-4107-80E1-2C9023DF8434}"/>
    <cellStyle name="Input 2 3 6 2 2 3 2" xfId="38580" xr:uid="{4D7082D6-46DE-43F8-A1FE-87B7311758CC}"/>
    <cellStyle name="Input 2 3 6 2 2 3 3" xfId="36451" xr:uid="{B5DB33D3-0254-487E-8091-5A7EC8EC2C8B}"/>
    <cellStyle name="Input 2 3 6 2 2 4" xfId="20691" xr:uid="{AA9508F5-0C9A-4699-BFC1-1A67499B90DF}"/>
    <cellStyle name="Input 2 3 6 2 2 4 2" xfId="50795" xr:uid="{F6F455C1-A781-4FC4-8852-B0F63003ADB3}"/>
    <cellStyle name="Input 2 3 6 2 2 5" xfId="44533" xr:uid="{714F47CE-6606-438E-9155-31CC22F0D586}"/>
    <cellStyle name="Input 2 3 6 2 3" xfId="5514" xr:uid="{00000000-0005-0000-0000-00002D050000}"/>
    <cellStyle name="Input 2 3 6 2 3 2" xfId="12403" xr:uid="{F3C24E07-A5B1-49C7-B616-C9B888374B68}"/>
    <cellStyle name="Input 2 3 6 2 3 2 2" xfId="34888" xr:uid="{8EAD2A2D-8B45-4BFB-930F-A123C61100BB}"/>
    <cellStyle name="Input 2 3 6 2 3 2 3" xfId="27566" xr:uid="{2D76712A-956B-44EB-A8E5-571A97FAA17F}"/>
    <cellStyle name="Input 2 3 6 2 3 3" xfId="17451" xr:uid="{363243AF-760C-4F66-933B-F0BC7D79CB1F}"/>
    <cellStyle name="Input 2 3 6 2 3 3 2" xfId="39841" xr:uid="{0C188B5D-4537-4905-8FE6-63675D7BE6F4}"/>
    <cellStyle name="Input 2 3 6 2 3 3 3" xfId="44690" xr:uid="{0CAD586D-A31B-4416-B966-B47E525FE2E8}"/>
    <cellStyle name="Input 2 3 6 2 3 4" xfId="21875" xr:uid="{E65C5BBB-4F4B-4EDF-96FE-3332891A2DEE}"/>
    <cellStyle name="Input 2 3 6 2 3 4 2" xfId="50746" xr:uid="{D6878059-B64C-4209-86FF-B01066BBD125}"/>
    <cellStyle name="Input 2 3 6 2 3 5" xfId="36053" xr:uid="{A1726A20-E985-4195-9486-0DD146B67017}"/>
    <cellStyle name="Input 2 3 6 2 4" xfId="5936" xr:uid="{00000000-0005-0000-0000-00002D050000}"/>
    <cellStyle name="Input 2 3 6 2 4 2" xfId="12817" xr:uid="{439AF625-2029-492D-9D5E-743A00C30509}"/>
    <cellStyle name="Input 2 3 6 2 4 2 2" xfId="35301" xr:uid="{DBDF5BE2-6942-4081-943B-7B3D459062C8}"/>
    <cellStyle name="Input 2 3 6 2 4 2 3" xfId="46009" xr:uid="{CE38A7DA-0F78-403C-B589-0B45AEDB2EBA}"/>
    <cellStyle name="Input 2 3 6 2 4 3" xfId="17873" xr:uid="{BA562C17-42BC-4C7A-966C-0E622BE87193}"/>
    <cellStyle name="Input 2 3 6 2 4 3 2" xfId="40263" xr:uid="{4F76CB8C-B27A-4906-9D7C-A9ECBC6F5D2E}"/>
    <cellStyle name="Input 2 3 6 2 4 3 3" xfId="44032" xr:uid="{ED086622-10C1-4990-8AC4-C8F16CEB757B}"/>
    <cellStyle name="Input 2 3 6 2 4 4" xfId="22297" xr:uid="{45AD38B7-3427-4ADE-9A67-01385032CFBF}"/>
    <cellStyle name="Input 2 3 6 2 4 4 2" xfId="46831" xr:uid="{93F70EFD-E4B2-4314-B180-C86B20579105}"/>
    <cellStyle name="Input 2 3 6 2 4 5" xfId="46122" xr:uid="{40E6599D-E816-4D2F-8FE3-835268D08507}"/>
    <cellStyle name="Input 2 3 6 2 5" xfId="6276" xr:uid="{00000000-0005-0000-0000-00002D050000}"/>
    <cellStyle name="Input 2 3 6 2 5 2" xfId="13148" xr:uid="{E1E7CF12-F185-4682-BC69-10FD70253DC0}"/>
    <cellStyle name="Input 2 3 6 2 5 2 2" xfId="35632" xr:uid="{AE9A9389-D0AB-4234-A60F-1E762D5C3943}"/>
    <cellStyle name="Input 2 3 6 2 5 2 3" xfId="29507" xr:uid="{4A12DBA3-9B98-45A9-92FB-B5E0B2D7435E}"/>
    <cellStyle name="Input 2 3 6 2 5 3" xfId="18213" xr:uid="{424563CA-AF9F-4A07-8F08-B361FFA0B1E3}"/>
    <cellStyle name="Input 2 3 6 2 5 3 2" xfId="40603" xr:uid="{A9954D2A-9C14-4152-85D2-A4B99B6C0B70}"/>
    <cellStyle name="Input 2 3 6 2 5 3 3" xfId="28066" xr:uid="{9069C46B-97B6-4C54-BA82-DF16F8BCC18D}"/>
    <cellStyle name="Input 2 3 6 2 5 4" xfId="22637" xr:uid="{DD85F92A-8C8D-44D5-8606-3DFCC15B3306}"/>
    <cellStyle name="Input 2 3 6 2 5 4 2" xfId="53815" xr:uid="{E14E6065-0855-4A72-A09F-DF9F95A6D143}"/>
    <cellStyle name="Input 2 3 6 2 5 5" xfId="47949" xr:uid="{58F5E5D3-367B-48D0-A86C-A9BCA9426CB2}"/>
    <cellStyle name="Input 2 3 6 2 6" xfId="6631" xr:uid="{00000000-0005-0000-0000-00002D050000}"/>
    <cellStyle name="Input 2 3 6 2 6 2" xfId="13497" xr:uid="{C829133D-F42C-4425-AF14-0DA0CF927B6F}"/>
    <cellStyle name="Input 2 3 6 2 6 2 2" xfId="35981" xr:uid="{18B29181-B45C-4C8E-B898-4BA05ABB5C16}"/>
    <cellStyle name="Input 2 3 6 2 6 2 3" xfId="49294" xr:uid="{F9A5C8F1-EB06-4EE9-BBF6-2A0A66CA55EF}"/>
    <cellStyle name="Input 2 3 6 2 6 3" xfId="18568" xr:uid="{27453CDE-9637-4666-914D-D1E06D383EFD}"/>
    <cellStyle name="Input 2 3 6 2 6 3 2" xfId="40958" xr:uid="{B9E08EF6-D7BA-4B1D-8377-398154933E92}"/>
    <cellStyle name="Input 2 3 6 2 6 3 3" xfId="37086" xr:uid="{7AC72B87-887F-4909-A73A-320A35670872}"/>
    <cellStyle name="Input 2 3 6 2 6 4" xfId="22992" xr:uid="{50AB37B5-B107-45BF-AEC8-06E05431B04B}"/>
    <cellStyle name="Input 2 3 6 2 6 4 2" xfId="49474" xr:uid="{637C76F1-1146-45C9-ADA8-D603ACD518D3}"/>
    <cellStyle name="Input 2 3 6 2 6 5" xfId="52404" xr:uid="{86D369C7-CB6E-42D7-942F-A9C57845AD38}"/>
    <cellStyle name="Input 2 3 6 2 7" xfId="5964" xr:uid="{00000000-0005-0000-0000-00002D050000}"/>
    <cellStyle name="Input 2 3 6 2 7 2" xfId="12845" xr:uid="{EE48F2E1-39AB-4785-AB8B-0FA159084441}"/>
    <cellStyle name="Input 2 3 6 2 7 2 2" xfId="35329" xr:uid="{F5BF3549-5CFF-4A6C-84FD-3F37ACB8C18E}"/>
    <cellStyle name="Input 2 3 6 2 7 2 3" xfId="52622" xr:uid="{C18AA874-FD35-45B0-BE6A-82379FEC7CD1}"/>
    <cellStyle name="Input 2 3 6 2 7 3" xfId="17901" xr:uid="{DF0EF2F3-D88C-4760-8D86-1B70B5C5BD52}"/>
    <cellStyle name="Input 2 3 6 2 7 3 2" xfId="40291" xr:uid="{ABED416E-F1ED-4F29-BCC3-973B48FE6191}"/>
    <cellStyle name="Input 2 3 6 2 7 3 3" xfId="41586" xr:uid="{1C97BAC2-F8F5-4D7B-B3B2-9CEB63A47B6F}"/>
    <cellStyle name="Input 2 3 6 2 7 4" xfId="22325" xr:uid="{44D7F540-2766-4FB1-B08C-C0CB0241CC5C}"/>
    <cellStyle name="Input 2 3 6 2 7 4 2" xfId="28344" xr:uid="{3B87606B-98CD-4F50-9945-BCD4ABE99670}"/>
    <cellStyle name="Input 2 3 6 2 7 5" xfId="50821" xr:uid="{1EBE8B4E-4F07-4744-B468-C3818E9D81C6}"/>
    <cellStyle name="Input 2 3 6 2 8" xfId="7086" xr:uid="{00000000-0005-0000-0000-00002D050000}"/>
    <cellStyle name="Input 2 3 6 2 8 2" xfId="13922" xr:uid="{24DBEE47-0371-48E5-9694-240F7AC495CE}"/>
    <cellStyle name="Input 2 3 6 2 8 2 2" xfId="36406" xr:uid="{0E8299B8-4BBC-4728-A385-D458289EA0DB}"/>
    <cellStyle name="Input 2 3 6 2 8 2 3" xfId="52233" xr:uid="{B0758761-9D03-4197-8265-1F26029AE604}"/>
    <cellStyle name="Input 2 3 6 2 8 3" xfId="19023" xr:uid="{1DD45458-1AF7-4920-A7F4-BD427790D372}"/>
    <cellStyle name="Input 2 3 6 2 8 3 2" xfId="41413" xr:uid="{334CF3D9-8269-4B64-AFDD-60E8DF125478}"/>
    <cellStyle name="Input 2 3 6 2 8 3 3" xfId="45600" xr:uid="{6BDC6FF9-058F-456A-BCCB-6813954E954D}"/>
    <cellStyle name="Input 2 3 6 2 8 4" xfId="23447" xr:uid="{2911B60C-E392-4203-89CD-FA15BB8BC651}"/>
    <cellStyle name="Input 2 3 6 2 8 4 2" xfId="48666" xr:uid="{E64EE2FB-23CA-4B43-A7AF-01E673248C7D}"/>
    <cellStyle name="Input 2 3 6 2 8 5" xfId="47972" xr:uid="{DE042FA5-6B78-4CAE-ADD0-005DB8EA9A54}"/>
    <cellStyle name="Input 2 3 6 2 9" xfId="7201" xr:uid="{00000000-0005-0000-0000-00002D050000}"/>
    <cellStyle name="Input 2 3 6 2 9 2" xfId="19138" xr:uid="{919077D0-6DBA-44D6-9839-D20365757D3B}"/>
    <cellStyle name="Input 2 3 6 2 9 2 2" xfId="41528" xr:uid="{5B09C37F-E429-443F-9A0E-7AAFD98BDBE8}"/>
    <cellStyle name="Input 2 3 6 2 9 2 3" xfId="29833" xr:uid="{EAC7D0E1-A405-4B75-932E-0E2A5EBEEDC9}"/>
    <cellStyle name="Input 2 3 6 2 9 3" xfId="23562" xr:uid="{F1B5EB3B-AEE5-4282-BE16-F311F29844DF}"/>
    <cellStyle name="Input 2 3 6 2 9 3 2" xfId="52509" xr:uid="{F882094A-FDA2-4893-829A-4F72037C246D}"/>
    <cellStyle name="Input 2 3 6 2 9 4" xfId="53187" xr:uid="{F7B3D927-FB72-4E5E-BCF5-6A34C0E1800A}"/>
    <cellStyle name="Input 2 3 6 3" xfId="3470" xr:uid="{00000000-0005-0000-0000-00002C050000}"/>
    <cellStyle name="Input 2 3 6 3 2" xfId="10378" xr:uid="{9720D3CF-C181-4764-8176-8A432AC6C1AC}"/>
    <cellStyle name="Input 2 3 6 3 2 2" xfId="32865" xr:uid="{A8F9078A-E99A-43F4-B085-7DF614FB8FA3}"/>
    <cellStyle name="Input 2 3 6 3 2 3" xfId="49260" xr:uid="{2B81DD73-8864-411E-AD75-115290957FD5}"/>
    <cellStyle name="Input 2 3 6 3 3" xfId="15648" xr:uid="{2ADE9E0B-5EFD-4E13-8565-6468C4AE7B6A}"/>
    <cellStyle name="Input 2 3 6 3 3 2" xfId="38064" xr:uid="{B791FF75-AF55-430A-AD73-37C6CD9207AC}"/>
    <cellStyle name="Input 2 3 6 3 3 3" xfId="46543" xr:uid="{1588477D-0ECC-47DC-AD37-6872269EA8D5}"/>
    <cellStyle name="Input 2 3 6 3 4" xfId="20256" xr:uid="{6164EF16-465A-4FEE-BEC6-ADB2840D6DCB}"/>
    <cellStyle name="Input 2 3 6 3 4 2" xfId="44587" xr:uid="{C57535B4-28A3-4F52-9EEF-BD644ADB3E8D}"/>
    <cellStyle name="Input 2 3 6 3 5" xfId="28472" xr:uid="{409BD7EC-DFC4-4406-87D5-4BFCE9384FCD}"/>
    <cellStyle name="Input 2 3 6 4" xfId="5003" xr:uid="{00000000-0005-0000-0000-00002C050000}"/>
    <cellStyle name="Input 2 3 6 4 2" xfId="11897" xr:uid="{3491BAE0-05C8-4586-B2EA-7ACEE00F6460}"/>
    <cellStyle name="Input 2 3 6 4 2 2" xfId="34383" xr:uid="{1E9B5865-9F5F-4FA8-8C63-ABB69B7E1D52}"/>
    <cellStyle name="Input 2 3 6 4 2 3" xfId="45720" xr:uid="{87DCD98B-E6C1-4C73-A1D2-3337C3200F41}"/>
    <cellStyle name="Input 2 3 6 4 3" xfId="16940" xr:uid="{D9B231C2-3856-4D55-9A2A-58340E121E00}"/>
    <cellStyle name="Input 2 3 6 4 3 2" xfId="39330" xr:uid="{6AFACF38-CE78-4483-9F41-DCE5FF28D240}"/>
    <cellStyle name="Input 2 3 6 4 3 3" xfId="42109" xr:uid="{FB090B8C-5328-4E8A-8320-799505C353F6}"/>
    <cellStyle name="Input 2 3 6 4 4" xfId="21364" xr:uid="{39690929-E20D-43D3-85DD-D86560A73ABF}"/>
    <cellStyle name="Input 2 3 6 4 4 2" xfId="44377" xr:uid="{20C773B2-D35F-4B09-8BCB-0D8B496B6F9A}"/>
    <cellStyle name="Input 2 3 6 4 5" xfId="27289" xr:uid="{48A2D124-EC32-4B82-B73A-E5F40BF40AAA}"/>
    <cellStyle name="Input 2 3 6 5" xfId="2321" xr:uid="{00000000-0005-0000-0000-00002C050000}"/>
    <cellStyle name="Input 2 3 6 5 2" xfId="9231" xr:uid="{42AF88BB-B7EB-47A5-81A2-AFFFF77BA16C}"/>
    <cellStyle name="Input 2 3 6 5 2 2" xfId="31806" xr:uid="{97A5F231-ECBC-44E3-9D41-E1908E7537DE}"/>
    <cellStyle name="Input 2 3 6 5 2 3" xfId="49992" xr:uid="{14F29E5D-799A-4895-8268-4BA3903EF492}"/>
    <cellStyle name="Input 2 3 6 5 3" xfId="14883" xr:uid="{75980D6D-F328-4949-9DCC-1AA70EB838B4}"/>
    <cellStyle name="Input 2 3 6 5 3 2" xfId="37337" xr:uid="{673C6669-47A7-41D9-B045-9B003CE53971}"/>
    <cellStyle name="Input 2 3 6 5 3 3" xfId="49868" xr:uid="{02038DBB-42AB-411D-8581-03F886659F5F}"/>
    <cellStyle name="Input 2 3 6 5 4" xfId="19753" xr:uid="{78019D73-BD4D-4881-9459-46D888F277C6}"/>
    <cellStyle name="Input 2 3 6 5 4 2" xfId="30860" xr:uid="{A73B2671-47B0-4506-B9DC-06FCE58B1224}"/>
    <cellStyle name="Input 2 3 6 5 5" xfId="47392" xr:uid="{18AE4048-8168-4B00-A662-98E3A2849884}"/>
    <cellStyle name="Input 2 3 6 6" xfId="6245" xr:uid="{00000000-0005-0000-0000-00002C050000}"/>
    <cellStyle name="Input 2 3 6 6 2" xfId="13118" xr:uid="{9CB6EB91-F6F4-43DE-93D5-E13FE0EC1406}"/>
    <cellStyle name="Input 2 3 6 6 2 2" xfId="35602" xr:uid="{96CCF406-C409-491A-99B2-5725FE9EA97C}"/>
    <cellStyle name="Input 2 3 6 6 2 3" xfId="23653" xr:uid="{8A734158-4EC5-407C-974A-E4F3ED8C5C92}"/>
    <cellStyle name="Input 2 3 6 6 3" xfId="18182" xr:uid="{869DF80F-E075-401A-8F58-C167AAAF6CEA}"/>
    <cellStyle name="Input 2 3 6 6 3 2" xfId="40572" xr:uid="{343AF6CF-37A7-41E9-9884-87B3A2414A1C}"/>
    <cellStyle name="Input 2 3 6 6 3 3" xfId="27695" xr:uid="{C1C9A6E0-3D6B-4C72-8BDB-F88D3779D872}"/>
    <cellStyle name="Input 2 3 6 6 4" xfId="22606" xr:uid="{63EBD473-7369-4F26-AB73-60E3E8CEEE27}"/>
    <cellStyle name="Input 2 3 6 6 4 2" xfId="47917" xr:uid="{D993A0F1-760F-4C9B-9632-327D35B44FDD}"/>
    <cellStyle name="Input 2 3 6 6 5" xfId="53772" xr:uid="{DDEB7702-B9C5-4CF4-B194-01348C9A19B0}"/>
    <cellStyle name="Input 2 3 6 7" xfId="4366" xr:uid="{00000000-0005-0000-0000-00002C050000}"/>
    <cellStyle name="Input 2 3 6 7 2" xfId="11269" xr:uid="{703187F3-9E5B-4435-9339-8A2B1E252512}"/>
    <cellStyle name="Input 2 3 6 7 2 2" xfId="33755" xr:uid="{318C37A5-81CD-42B0-B827-88D26557B7A9}"/>
    <cellStyle name="Input 2 3 6 7 2 3" xfId="41644" xr:uid="{092B3DEB-3E06-4DAB-9952-A88C7D877E76}"/>
    <cellStyle name="Input 2 3 6 7 3" xfId="16303" xr:uid="{23D6EAD8-85A3-4611-9754-6876D01A9716}"/>
    <cellStyle name="Input 2 3 6 7 3 2" xfId="38693" xr:uid="{85504848-8EF0-4078-A9A0-87D9D1A423EE}"/>
    <cellStyle name="Input 2 3 6 7 3 3" xfId="27212" xr:uid="{FE514842-DBA9-49B0-9EF5-FFA685A1FCED}"/>
    <cellStyle name="Input 2 3 6 7 4" xfId="19830" xr:uid="{7B5FBFC2-A464-4200-B034-1447125C5CD5}"/>
    <cellStyle name="Input 2 3 6 7 4 2" xfId="25239" xr:uid="{ED97E65B-5C46-496F-9F2D-C5824601695D}"/>
    <cellStyle name="Input 2 3 6 7 5" xfId="50714" xr:uid="{352E75C7-F9C2-4ED5-9804-C6CBCE272B3D}"/>
    <cellStyle name="Input 2 3 6 8" xfId="14185" xr:uid="{EEE9760F-9E19-41AC-B618-63B0C1F7E6E1}"/>
    <cellStyle name="Input 2 3 6 8 2" xfId="36660" xr:uid="{5EE27AB7-63FB-4E7B-8A43-EE83F46959E6}"/>
    <cellStyle name="Input 2 3 6 8 3" xfId="45361" xr:uid="{171A416F-CD99-479A-A172-9791367DEE99}"/>
    <cellStyle name="Input 2 3 6 9" xfId="21088" xr:uid="{BF1131DE-0981-47A3-8378-E80F60133EBD}"/>
    <cellStyle name="Input 2 3 6 9 2" xfId="43335" xr:uid="{623635F2-B3FB-4E12-B15C-DF94AE2C1F06}"/>
    <cellStyle name="Input 2 3 6 9 3" xfId="52577" xr:uid="{D3B8A751-1069-4CD5-B79D-2FBAE92AE061}"/>
    <cellStyle name="Input 2 3 7" xfId="1638" xr:uid="{00000000-0005-0000-0000-00002F050000}"/>
    <cellStyle name="Input 2 3 7 10" xfId="14352" xr:uid="{51323072-7E4D-43AD-BB5D-B3A149899702}"/>
    <cellStyle name="Input 2 3 7 10 2" xfId="36820" xr:uid="{0CD45CD1-9427-493E-8549-AFA40FE4FD7E}"/>
    <cellStyle name="Input 2 3 7 10 3" xfId="50013" xr:uid="{A75130E4-0766-40F5-8AD6-96F09219DB1D}"/>
    <cellStyle name="Input 2 3 7 11" xfId="20967" xr:uid="{A06A37F0-F8AB-4E97-94DA-D75A93FD81BD}"/>
    <cellStyle name="Input 2 3 7 11 2" xfId="43221" xr:uid="{53C6C615-B926-4990-8246-199BB6D44767}"/>
    <cellStyle name="Input 2 3 7 11 3" xfId="51479" xr:uid="{76BCDB61-6061-4959-87CE-2CA6D5F1106E}"/>
    <cellStyle name="Input 2 3 7 12" xfId="20865" xr:uid="{99EA2651-A5DF-47F4-AEFF-437DBDA30D8C}"/>
    <cellStyle name="Input 2 3 7 12 2" xfId="47638" xr:uid="{93CD33CD-60C2-4A69-BE09-473985D48849}"/>
    <cellStyle name="Input 2 3 7 13" xfId="50972" xr:uid="{E32C9FF4-18A2-4309-AF9C-901050CBB042}"/>
    <cellStyle name="Input 2 3 7 2" xfId="3736" xr:uid="{00000000-0005-0000-0000-00002E050000}"/>
    <cellStyle name="Input 2 3 7 2 2" xfId="10640" xr:uid="{6700890B-1CB1-48EC-80E2-C228F325C4C0}"/>
    <cellStyle name="Input 2 3 7 2 2 2" xfId="33126" xr:uid="{75DB8044-491D-4AE6-A4EA-BDF517FDA147}"/>
    <cellStyle name="Input 2 3 7 2 2 3" xfId="53085" xr:uid="{25EFB213-6CE9-4636-94F5-EC97968A5D2B}"/>
    <cellStyle name="Input 2 3 7 2 3" xfId="15817" xr:uid="{EB4D2B8A-1CBC-40EF-911B-9384BB5CBC5D}"/>
    <cellStyle name="Input 2 3 7 2 3 2" xfId="38225" xr:uid="{F826EFEC-B98A-4CC6-AC84-0AA47877AA2A}"/>
    <cellStyle name="Input 2 3 7 2 3 3" xfId="27914" xr:uid="{D5C6A18E-86BA-49FF-9A86-8C9D1F665977}"/>
    <cellStyle name="Input 2 3 7 2 4" xfId="15348" xr:uid="{23ADC547-D2CC-47A6-A7B7-3301C21741A7}"/>
    <cellStyle name="Input 2 3 7 2 4 2" xfId="30958" xr:uid="{A334925C-9C32-4288-8ED9-2BC79CF46FBE}"/>
    <cellStyle name="Input 2 3 7 2 5" xfId="32090" xr:uid="{B4C20CEB-9AFB-4B23-A025-DD37B0C84642}"/>
    <cellStyle name="Input 2 3 7 3" xfId="5171" xr:uid="{00000000-0005-0000-0000-00002E050000}"/>
    <cellStyle name="Input 2 3 7 3 2" xfId="12064" xr:uid="{9A7183AD-A790-498E-BCA1-C0A976B2C0C8}"/>
    <cellStyle name="Input 2 3 7 3 2 2" xfId="34550" xr:uid="{710D4DE1-2FA5-4F8C-B5D2-5FC9BBC5380D}"/>
    <cellStyle name="Input 2 3 7 3 2 3" xfId="45878" xr:uid="{2AA9860E-98E0-41CD-B163-FDD3EDCE855C}"/>
    <cellStyle name="Input 2 3 7 3 3" xfId="17108" xr:uid="{B03A5EDF-2E50-4710-BBBF-BD4136FDD7C0}"/>
    <cellStyle name="Input 2 3 7 3 3 2" xfId="39498" xr:uid="{F714D16A-9F94-4263-B719-A25DBC508B81}"/>
    <cellStyle name="Input 2 3 7 3 3 3" xfId="28970" xr:uid="{C7B03C76-D087-481E-AD8C-DF2444DE63BA}"/>
    <cellStyle name="Input 2 3 7 3 4" xfId="21532" xr:uid="{F6F63F95-EABA-44E7-8648-310A866570E7}"/>
    <cellStyle name="Input 2 3 7 3 4 2" xfId="52876" xr:uid="{83CF4363-CDFD-43F5-99D3-1C83FA58F01B}"/>
    <cellStyle name="Input 2 3 7 3 5" xfId="52232" xr:uid="{E3BC26B8-8029-4A4D-B6F7-4204F73B8C41}"/>
    <cellStyle name="Input 2 3 7 4" xfId="4628" xr:uid="{00000000-0005-0000-0000-00002E050000}"/>
    <cellStyle name="Input 2 3 7 4 2" xfId="11529" xr:uid="{1BCCF567-6363-4F54-8C9E-D29418E5C2F7}"/>
    <cellStyle name="Input 2 3 7 4 2 2" xfId="34015" xr:uid="{7DA4760F-3206-417A-BBD4-05A799FDD13B}"/>
    <cellStyle name="Input 2 3 7 4 2 3" xfId="45827" xr:uid="{37FD5DA0-3F5C-403D-9404-D298E1391C70}"/>
    <cellStyle name="Input 2 3 7 4 3" xfId="16565" xr:uid="{1DCCB00C-FD5C-4A50-B764-4ABFC4E7A8AE}"/>
    <cellStyle name="Input 2 3 7 4 3 2" xfId="38955" xr:uid="{D9427E7B-93F4-4A44-A434-9DEBF919F3E7}"/>
    <cellStyle name="Input 2 3 7 4 3 3" xfId="31996" xr:uid="{3BB675A2-C39E-4525-A168-D507F5945F00}"/>
    <cellStyle name="Input 2 3 7 4 4" xfId="21236" xr:uid="{62BABA98-A891-44FB-8ACC-EFD2899A092F}"/>
    <cellStyle name="Input 2 3 7 4 4 2" xfId="37708" xr:uid="{3FD32313-4611-4604-A0F7-4757FCBADC0F}"/>
    <cellStyle name="Input 2 3 7 4 5" xfId="24164" xr:uid="{D32377C6-32CA-41AA-9738-CCC7DD6B3157}"/>
    <cellStyle name="Input 2 3 7 5" xfId="4970" xr:uid="{00000000-0005-0000-0000-00002E050000}"/>
    <cellStyle name="Input 2 3 7 5 2" xfId="11865" xr:uid="{C587B615-68B1-4CB9-BD3A-0EF8D188A330}"/>
    <cellStyle name="Input 2 3 7 5 2 2" xfId="34351" xr:uid="{0373A538-65F3-42FB-A545-E2DA4DC5E44B}"/>
    <cellStyle name="Input 2 3 7 5 2 3" xfId="29743" xr:uid="{1221942D-8113-4CFE-8A27-90A5B157C9A0}"/>
    <cellStyle name="Input 2 3 7 5 3" xfId="16907" xr:uid="{CD376F0A-F909-4DAD-B628-4249567F7BFC}"/>
    <cellStyle name="Input 2 3 7 5 3 2" xfId="39297" xr:uid="{B374C26C-F12E-4313-873B-FD9DA98F6A8D}"/>
    <cellStyle name="Input 2 3 7 5 3 3" xfId="43989" xr:uid="{A6E3EF62-45C1-48CC-91E8-3AC20BCCD1B2}"/>
    <cellStyle name="Input 2 3 7 5 4" xfId="21331" xr:uid="{9FC4B41D-49B3-4DCF-85FD-DA3833608718}"/>
    <cellStyle name="Input 2 3 7 5 4 2" xfId="48444" xr:uid="{4EFE5F0C-E67D-435D-ADB6-31803A367B29}"/>
    <cellStyle name="Input 2 3 7 5 5" xfId="47512" xr:uid="{1C4732DA-96A2-42B0-9354-98ED02DCBC39}"/>
    <cellStyle name="Input 2 3 7 6" xfId="4582" xr:uid="{00000000-0005-0000-0000-00002E050000}"/>
    <cellStyle name="Input 2 3 7 6 2" xfId="11484" xr:uid="{81CCC52D-7F96-4BD2-8CAA-3E20B275615D}"/>
    <cellStyle name="Input 2 3 7 6 2 2" xfId="33970" xr:uid="{5A66CFF7-C308-48FB-9846-207189CAB3F7}"/>
    <cellStyle name="Input 2 3 7 6 2 3" xfId="32488" xr:uid="{6788040B-437C-4A88-A9E2-2A403ED07BE6}"/>
    <cellStyle name="Input 2 3 7 6 3" xfId="16519" xr:uid="{738F151D-4D48-4E8F-9831-3CA225EB3B01}"/>
    <cellStyle name="Input 2 3 7 6 3 2" xfId="38909" xr:uid="{7617861B-3B75-409C-9F6A-A54FB4E136D7}"/>
    <cellStyle name="Input 2 3 7 6 3 3" xfId="43687" xr:uid="{A44F79A5-A27A-43E3-A7B9-5486ED029744}"/>
    <cellStyle name="Input 2 3 7 6 4" xfId="20534" xr:uid="{A96232D8-93FC-4B41-A920-67573C7C7526}"/>
    <cellStyle name="Input 2 3 7 6 4 2" xfId="49039" xr:uid="{8A27FA24-868B-4288-A04A-772EA8E52747}"/>
    <cellStyle name="Input 2 3 7 6 5" xfId="53749" xr:uid="{E81CFD2C-8477-4A6C-AD8D-76A05532632C}"/>
    <cellStyle name="Input 2 3 7 7" xfId="6888" xr:uid="{00000000-0005-0000-0000-00002E050000}"/>
    <cellStyle name="Input 2 3 7 7 2" xfId="13726" xr:uid="{3F025BAC-EA3F-4CF8-AE2A-6848B9D35DDE}"/>
    <cellStyle name="Input 2 3 7 7 2 2" xfId="36210" xr:uid="{3836E25A-ECF4-4C76-8C96-CBBCE65C3B48}"/>
    <cellStyle name="Input 2 3 7 7 2 3" xfId="51876" xr:uid="{D4FDD17C-63A7-4EBE-9A57-0BF0DC36C4CA}"/>
    <cellStyle name="Input 2 3 7 7 3" xfId="18825" xr:uid="{5D37DE89-62E1-4558-9F7F-A2AAD8291725}"/>
    <cellStyle name="Input 2 3 7 7 3 2" xfId="41215" xr:uid="{E16FA4C9-3220-4333-AEC9-87B19C73B9BA}"/>
    <cellStyle name="Input 2 3 7 7 3 3" xfId="28267" xr:uid="{EC25A650-C201-47B8-B216-C4A3099470B9}"/>
    <cellStyle name="Input 2 3 7 7 4" xfId="23249" xr:uid="{047FE44E-083A-4ADF-AB82-EF705CB12621}"/>
    <cellStyle name="Input 2 3 7 7 4 2" xfId="41939" xr:uid="{7755FE5D-44EA-4D20-A1AA-196F889DCBC8}"/>
    <cellStyle name="Input 2 3 7 7 5" xfId="54011" xr:uid="{59B5B131-09DB-4891-86FC-9AC2D2F48593}"/>
    <cellStyle name="Input 2 3 7 8" xfId="5149" xr:uid="{00000000-0005-0000-0000-00002E050000}"/>
    <cellStyle name="Input 2 3 7 8 2" xfId="12042" xr:uid="{E365613C-3210-40DA-9CAC-803E72A6B580}"/>
    <cellStyle name="Input 2 3 7 8 2 2" xfId="34528" xr:uid="{D5AF5E3F-2C20-4556-96DD-57DC3BC4E29E}"/>
    <cellStyle name="Input 2 3 7 8 2 3" xfId="23771" xr:uid="{78741A5A-5699-4655-A420-1C222CB75E9F}"/>
    <cellStyle name="Input 2 3 7 8 3" xfId="17086" xr:uid="{6CEDAD90-C10B-424E-98C9-445CBA29EF2B}"/>
    <cellStyle name="Input 2 3 7 8 3 2" xfId="39476" xr:uid="{41B0FFD7-2D19-4CD5-8CB8-C67DF901ED0D}"/>
    <cellStyle name="Input 2 3 7 8 3 3" xfId="25057" xr:uid="{75F929A3-82EE-49C8-9648-E1B34EFBFD15}"/>
    <cellStyle name="Input 2 3 7 8 4" xfId="21510" xr:uid="{E8931E6C-173C-4D45-9A06-D69A4447AD11}"/>
    <cellStyle name="Input 2 3 7 8 4 2" xfId="50099" xr:uid="{10C291E8-9658-4AC2-9C47-3E508CA61428}"/>
    <cellStyle name="Input 2 3 7 8 5" xfId="46293" xr:uid="{19C477C3-1743-47BD-8215-C9C8BEE89027}"/>
    <cellStyle name="Input 2 3 7 9" xfId="6248" xr:uid="{00000000-0005-0000-0000-00002E050000}"/>
    <cellStyle name="Input 2 3 7 9 2" xfId="18185" xr:uid="{AD282155-4733-4653-85CE-B0E11404EF11}"/>
    <cellStyle name="Input 2 3 7 9 2 2" xfId="40575" xr:uid="{2F4C2367-28DD-44F3-B185-72C7A54581E3}"/>
    <cellStyle name="Input 2 3 7 9 2 3" xfId="28687" xr:uid="{50AFC8A0-FEFB-474B-B73A-BA025442983E}"/>
    <cellStyle name="Input 2 3 7 9 3" xfId="22609" xr:uid="{6D8B2CEB-3E81-4A63-991D-4ADF2A13CAC4}"/>
    <cellStyle name="Input 2 3 7 9 3 2" xfId="26516" xr:uid="{F022F456-E28F-4E62-8985-A9892E74EAAF}"/>
    <cellStyle name="Input 2 3 7 9 4" xfId="47469" xr:uid="{D256C03D-F600-4356-A675-A3A344295079}"/>
    <cellStyle name="Input 2 3 8" xfId="2588" xr:uid="{00000000-0005-0000-0000-000023050000}"/>
    <cellStyle name="Input 2 3 8 2" xfId="9497" xr:uid="{5A3B118F-1991-4FFB-AA0A-8883C524D338}"/>
    <cellStyle name="Input 2 3 8 2 2" xfId="32049" xr:uid="{D412C808-5BB8-4DE5-A5AC-6BECC624D56A}"/>
    <cellStyle name="Input 2 3 8 2 3" xfId="53502" xr:uid="{C5618640-597B-4F88-B415-53F0FC409BA1}"/>
    <cellStyle name="Input 2 3 8 3" xfId="15066" xr:uid="{C48E433D-791A-4A41-8E2C-66AFE5AA129F}"/>
    <cellStyle name="Input 2 3 8 3 2" xfId="37511" xr:uid="{B782B74E-3711-429B-BFE3-8F436572C793}"/>
    <cellStyle name="Input 2 3 8 3 3" xfId="43979" xr:uid="{AA23242A-286E-498E-B7A2-95E5270BA0E0}"/>
    <cellStyle name="Input 2 3 8 4" xfId="8724" xr:uid="{94C89092-324B-48A2-8D14-7A50FA3466B5}"/>
    <cellStyle name="Input 2 3 8 4 2" xfId="50656" xr:uid="{9191456E-F3EE-4CAA-825F-BCCFB05A706A}"/>
    <cellStyle name="Input 2 3 8 5" xfId="27967" xr:uid="{A20DB781-71D9-4089-BA48-90ABC3F550B8}"/>
    <cellStyle name="Input 2 3 9" xfId="4416" xr:uid="{00000000-0005-0000-0000-000023050000}"/>
    <cellStyle name="Input 2 3 9 2" xfId="11318" xr:uid="{15EF51A0-924C-4815-9C1F-822FC27445D8}"/>
    <cellStyle name="Input 2 3 9 2 2" xfId="33804" xr:uid="{84381DC0-58C4-4BF9-B816-C231C69AD56E}"/>
    <cellStyle name="Input 2 3 9 2 3" xfId="29856" xr:uid="{2BB02F6F-3723-4824-AD88-B3A3BA65AB08}"/>
    <cellStyle name="Input 2 3 9 3" xfId="16353" xr:uid="{19042256-447D-4786-982E-A691CB97C6E4}"/>
    <cellStyle name="Input 2 3 9 3 2" xfId="38743" xr:uid="{D9628EBC-2040-4278-970E-F54EC0F6F604}"/>
    <cellStyle name="Input 2 3 9 3 3" xfId="45676" xr:uid="{7BCEBCC2-8951-49D7-BBEA-425F5E08BF7E}"/>
    <cellStyle name="Input 2 3 9 4" xfId="15109" xr:uid="{63577CBC-65A5-4132-A859-2C412020C8A4}"/>
    <cellStyle name="Input 2 3 9 4 2" xfId="45001" xr:uid="{5AF965DF-F40E-4638-B678-F28CA6E41CA2}"/>
    <cellStyle name="Input 2 3 9 5" xfId="52860" xr:uid="{E8574BA4-D40A-4FE3-8B16-A7359E073A7D}"/>
    <cellStyle name="Input 2 4" xfId="440" xr:uid="{00000000-0005-0000-0000-000030050000}"/>
    <cellStyle name="Input 2 4 10" xfId="2596" xr:uid="{00000000-0005-0000-0000-00002F050000}"/>
    <cellStyle name="Input 2 4 10 2" xfId="9505" xr:uid="{77C12992-B0CB-49DE-B5AE-63C5EDBF2D97}"/>
    <cellStyle name="Input 2 4 10 2 2" xfId="32057" xr:uid="{FB931450-C074-41DD-BD50-9F9D1BD8F6FB}"/>
    <cellStyle name="Input 2 4 10 2 3" xfId="52982" xr:uid="{F6170DCC-54E4-4CEE-8AD9-44F67294745A}"/>
    <cellStyle name="Input 2 4 10 3" xfId="15074" xr:uid="{4E7D4AA2-EA2F-4E7F-98B1-F7651AD94B13}"/>
    <cellStyle name="Input 2 4 10 3 2" xfId="37519" xr:uid="{8DEF23EC-93A3-46C8-9D37-CF691926EEC1}"/>
    <cellStyle name="Input 2 4 10 3 3" xfId="36690" xr:uid="{B281AF38-357C-4A7A-913F-CF14DCC66D84}"/>
    <cellStyle name="Input 2 4 10 4" xfId="8288" xr:uid="{F3E3D5CA-5413-48EA-87E0-4F3340983057}"/>
    <cellStyle name="Input 2 4 10 4 2" xfId="50487" xr:uid="{E01F48D2-5BEF-4E1A-B86E-A870470711FC}"/>
    <cellStyle name="Input 2 4 10 5" xfId="49470" xr:uid="{99A4D43E-0160-4600-AEE3-4A53CA0E3873}"/>
    <cellStyle name="Input 2 4 11" xfId="2392" xr:uid="{00000000-0005-0000-0000-00002F050000}"/>
    <cellStyle name="Input 2 4 11 2" xfId="9301" xr:uid="{DDD2AF62-63BF-4D37-8B2B-AE99F900E656}"/>
    <cellStyle name="Input 2 4 11 2 2" xfId="31876" xr:uid="{B5D3ED2F-4083-488E-949B-63A6AEDC4ECD}"/>
    <cellStyle name="Input 2 4 11 2 3" xfId="53854" xr:uid="{4AD9798C-F50C-4E9A-B978-8F28A0C5F454}"/>
    <cellStyle name="Input 2 4 11 3" xfId="14940" xr:uid="{5EF73BE4-C5BA-444B-A60B-39F67C3FA659}"/>
    <cellStyle name="Input 2 4 11 3 2" xfId="37394" xr:uid="{912A9A3A-0082-4EC4-9F9C-3F5B71218A19}"/>
    <cellStyle name="Input 2 4 11 3 3" xfId="49448" xr:uid="{D61B256D-FB76-4A98-8EB1-B0DC74753CA7}"/>
    <cellStyle name="Input 2 4 11 4" xfId="13774" xr:uid="{00070B98-94C3-42D0-8FF9-79BACB5E5252}"/>
    <cellStyle name="Input 2 4 11 4 2" xfId="43420" xr:uid="{F40AD428-06BC-4EDF-8AC9-6B2D374DD0A7}"/>
    <cellStyle name="Input 2 4 11 5" xfId="50737" xr:uid="{D63DE063-EEF4-4A68-8B5F-4A2200B29FD1}"/>
    <cellStyle name="Input 2 4 12" xfId="6429" xr:uid="{00000000-0005-0000-0000-00002F050000}"/>
    <cellStyle name="Input 2 4 12 2" xfId="13301" xr:uid="{D65F6B3E-938F-4252-98F3-E4DAE6E99F76}"/>
    <cellStyle name="Input 2 4 12 2 2" xfId="35785" xr:uid="{26E4EE8C-6534-4AAD-A03A-A86A1AEA1E2D}"/>
    <cellStyle name="Input 2 4 12 2 3" xfId="52239" xr:uid="{90E2406A-962B-429D-9F55-5B72C1AA6432}"/>
    <cellStyle name="Input 2 4 12 3" xfId="18366" xr:uid="{4D8CE513-956C-4CFC-879E-E07496E50704}"/>
    <cellStyle name="Input 2 4 12 3 2" xfId="40756" xr:uid="{DCFFCC2C-899E-4826-98DC-213A410519A8}"/>
    <cellStyle name="Input 2 4 12 3 3" xfId="42462" xr:uid="{255E50ED-D379-4189-B393-9AFBF53543B1}"/>
    <cellStyle name="Input 2 4 12 4" xfId="22790" xr:uid="{984AA6CF-3500-4B03-AC58-3A8969F08CEB}"/>
    <cellStyle name="Input 2 4 12 4 2" xfId="46455" xr:uid="{436F6B83-283D-4251-A125-4A27D6F60446}"/>
    <cellStyle name="Input 2 4 12 5" xfId="49773" xr:uid="{3C2DF944-185B-459B-AF3E-59A3AF795E83}"/>
    <cellStyle name="Input 2 4 13" xfId="8968" xr:uid="{BB0A8631-D5BD-4D13-8940-0CBD0C933038}"/>
    <cellStyle name="Input 2 4 13 2" xfId="31547" xr:uid="{4D1B00B0-00E1-44F7-B7BA-362F41E7A290}"/>
    <cellStyle name="Input 2 4 13 3" xfId="52453" xr:uid="{23F9E371-13AF-49A5-8CEC-B6573C67B6E3}"/>
    <cellStyle name="Input 2 4 14" xfId="20531" xr:uid="{FFC6B0A3-E5CF-4765-923A-14D7C92C6C30}"/>
    <cellStyle name="Input 2 4 14 2" xfId="42817" xr:uid="{A29A053F-2B8D-4AFB-8D6E-7E33C943E65A}"/>
    <cellStyle name="Input 2 4 14 3" xfId="46559" xr:uid="{536E652C-ECC3-4E53-B066-417BBFB1A163}"/>
    <cellStyle name="Input 2 4 15" xfId="20953" xr:uid="{542D628C-CF86-4E5C-9C64-5AEABD02D5A3}"/>
    <cellStyle name="Input 2 4 15 2" xfId="29903" xr:uid="{60F7F126-8C5B-4CDC-8CE5-E43259470B77}"/>
    <cellStyle name="Input 2 4 16" xfId="52103" xr:uid="{F9361626-1842-48D6-AEAC-2E96B23390D1}"/>
    <cellStyle name="Input 2 4 2" xfId="593" xr:uid="{00000000-0005-0000-0000-000031050000}"/>
    <cellStyle name="Input 2 4 2 10" xfId="14451" xr:uid="{6687732A-9077-45E9-9831-CC895E0AD64A}"/>
    <cellStyle name="Input 2 4 2 10 2" xfId="47636" xr:uid="{A706F859-3A64-4F13-84C7-4561448A429C}"/>
    <cellStyle name="Input 2 4 2 11" xfId="46669" xr:uid="{EA356144-5C92-4814-9D80-9183FE583FB5}"/>
    <cellStyle name="Input 2 4 2 2" xfId="1727" xr:uid="{00000000-0005-0000-0000-000032050000}"/>
    <cellStyle name="Input 2 4 2 2 10" xfId="14428" xr:uid="{9DA757D9-0A08-408A-97F2-38038A08D2BF}"/>
    <cellStyle name="Input 2 4 2 2 10 2" xfId="36894" xr:uid="{B7FE27D5-179E-4AA4-893D-7336796789B1}"/>
    <cellStyle name="Input 2 4 2 2 10 3" xfId="46725" xr:uid="{4A211B68-FC11-4216-A439-7C48769A3AA1}"/>
    <cellStyle name="Input 2 4 2 2 11" xfId="20278" xr:uid="{9EA585F6-569A-422C-A694-0DF27CA76250}"/>
    <cellStyle name="Input 2 4 2 2 11 2" xfId="42579" xr:uid="{955F949D-4BBE-44A8-9797-6ED2A046C002}"/>
    <cellStyle name="Input 2 4 2 2 11 3" xfId="23797" xr:uid="{F562D649-144B-4B4C-A542-2103A4EC106C}"/>
    <cellStyle name="Input 2 4 2 2 12" xfId="19683" xr:uid="{6DFB1AC8-2CBF-415E-AAFC-1BBB42923764}"/>
    <cellStyle name="Input 2 4 2 2 12 2" xfId="25964" xr:uid="{185233DE-5074-463E-AC19-01FCAA50DD4F}"/>
    <cellStyle name="Input 2 4 2 2 13" xfId="49308" xr:uid="{1C48D061-816C-46C1-895B-033C7B00D9F0}"/>
    <cellStyle name="Input 2 4 2 2 2" xfId="3825" xr:uid="{00000000-0005-0000-0000-000031050000}"/>
    <cellStyle name="Input 2 4 2 2 2 2" xfId="10729" xr:uid="{3943E18E-2D44-4D1B-906C-D22FDD6120AB}"/>
    <cellStyle name="Input 2 4 2 2 2 2 2" xfId="33215" xr:uid="{5B9D0D3D-2D0E-461F-B2C4-40FCB2BDA949}"/>
    <cellStyle name="Input 2 4 2 2 2 2 3" xfId="28219" xr:uid="{1706340C-83FA-4F7E-897B-EC854EE4E639}"/>
    <cellStyle name="Input 2 4 2 2 2 3" xfId="15885" xr:uid="{CD321610-85DD-40A1-9F1F-EDD1F810D2C9}"/>
    <cellStyle name="Input 2 4 2 2 2 3 2" xfId="38291" xr:uid="{D4AB8928-6087-42EB-A339-DCB7C72B7D58}"/>
    <cellStyle name="Input 2 4 2 2 2 3 3" xfId="50424" xr:uid="{B5105FD5-C73C-4A1F-90A4-31F0EEFF6236}"/>
    <cellStyle name="Input 2 4 2 2 2 4" xfId="14237" xr:uid="{8612455B-6505-4BA2-BCCB-E4A17F4F7115}"/>
    <cellStyle name="Input 2 4 2 2 2 4 2" xfId="46478" xr:uid="{C5F9E046-D71C-4A26-AA80-593AB663B0BF}"/>
    <cellStyle name="Input 2 4 2 2 2 5" xfId="48801" xr:uid="{68D312C1-857D-48C2-BA92-5CD7C0E80DBD}"/>
    <cellStyle name="Input 2 4 2 2 3" xfId="5241" xr:uid="{00000000-0005-0000-0000-000031050000}"/>
    <cellStyle name="Input 2 4 2 2 3 2" xfId="12133" xr:uid="{B09731AE-8C3D-4E90-9B3C-C66796A3BDDB}"/>
    <cellStyle name="Input 2 4 2 2 3 2 2" xfId="34618" xr:uid="{521CCB21-AB36-4952-82D3-164B7632CE88}"/>
    <cellStyle name="Input 2 4 2 2 3 2 3" xfId="26833" xr:uid="{436162A3-1199-48CE-A623-84CEB4F7AAC1}"/>
    <cellStyle name="Input 2 4 2 2 3 3" xfId="17178" xr:uid="{06735BC0-93DA-4F2C-8FD5-F13B59B6246D}"/>
    <cellStyle name="Input 2 4 2 2 3 3 2" xfId="39568" xr:uid="{4FA9C10D-58F1-4588-AA8F-089B643F296F}"/>
    <cellStyle name="Input 2 4 2 2 3 3 3" xfId="38041" xr:uid="{414F77A7-6607-46A6-AA3A-A6804A492890}"/>
    <cellStyle name="Input 2 4 2 2 3 4" xfId="21602" xr:uid="{9A6F2379-C38A-4AA0-9941-0635EC6F0B90}"/>
    <cellStyle name="Input 2 4 2 2 3 4 2" xfId="43912" xr:uid="{FDBE07EB-0B1C-4B0F-9F51-15E534815DF5}"/>
    <cellStyle name="Input 2 4 2 2 3 5" xfId="25642" xr:uid="{5F75E7C4-A5DC-4044-8E67-36D0392B5CA0}"/>
    <cellStyle name="Input 2 4 2 2 4" xfId="5653" xr:uid="{00000000-0005-0000-0000-000031050000}"/>
    <cellStyle name="Input 2 4 2 2 4 2" xfId="12537" xr:uid="{1A283E1B-E25D-4529-9E19-0D8087E3F401}"/>
    <cellStyle name="Input 2 4 2 2 4 2 2" xfId="35022" xr:uid="{C18371F1-68C1-4A5A-821F-63BA718C5406}"/>
    <cellStyle name="Input 2 4 2 2 4 2 3" xfId="44419" xr:uid="{8598375E-EBCD-4F0B-9DFF-C720CB97E59F}"/>
    <cellStyle name="Input 2 4 2 2 4 3" xfId="17590" xr:uid="{22F237FF-B5EA-4850-B520-DA98E2BF7925}"/>
    <cellStyle name="Input 2 4 2 2 4 3 2" xfId="39980" xr:uid="{2DAC6F3A-8ED3-44E7-8B42-2A4EF6839830}"/>
    <cellStyle name="Input 2 4 2 2 4 3 3" xfId="42783" xr:uid="{A0A56E38-13E4-43C0-9D07-5C410E6D348A}"/>
    <cellStyle name="Input 2 4 2 2 4 4" xfId="22014" xr:uid="{3C990A96-C3F5-4C56-B719-63DB02562E18}"/>
    <cellStyle name="Input 2 4 2 2 4 4 2" xfId="48048" xr:uid="{72BAF7CB-A2A0-4BEB-80BA-A2EA67D90A8B}"/>
    <cellStyle name="Input 2 4 2 2 4 5" xfId="46213" xr:uid="{D30D50F6-1E3B-4CD7-90FF-AB124651C8A4}"/>
    <cellStyle name="Input 2 4 2 2 5" xfId="5073" xr:uid="{00000000-0005-0000-0000-000031050000}"/>
    <cellStyle name="Input 2 4 2 2 5 2" xfId="11966" xr:uid="{A89A3D90-B2A5-4EB2-948C-F52584EC1AE2}"/>
    <cellStyle name="Input 2 4 2 2 5 2 2" xfId="34452" xr:uid="{74021F8E-3ADD-4BBC-A4B3-7E245637E2F9}"/>
    <cellStyle name="Input 2 4 2 2 5 2 3" xfId="28218" xr:uid="{6302519D-59D9-4041-A627-29E3D741C498}"/>
    <cellStyle name="Input 2 4 2 2 5 3" xfId="17010" xr:uid="{88FB2E22-15EC-485B-86B7-5295D9997450}"/>
    <cellStyle name="Input 2 4 2 2 5 3 2" xfId="39400" xr:uid="{860114AF-19E3-4F38-BB8A-01E0E36431A0}"/>
    <cellStyle name="Input 2 4 2 2 5 3 3" xfId="29912" xr:uid="{540EB459-45F8-4723-8F81-C322E0312AD8}"/>
    <cellStyle name="Input 2 4 2 2 5 4" xfId="21434" xr:uid="{B78A59A2-95D2-4689-ADCD-00BEFFC14BAA}"/>
    <cellStyle name="Input 2 4 2 2 5 4 2" xfId="52648" xr:uid="{707AD50B-7035-4B9C-BFCD-E20EB020F1F5}"/>
    <cellStyle name="Input 2 4 2 2 5 5" xfId="23868" xr:uid="{73EBA07D-F443-49EC-9C43-388934551383}"/>
    <cellStyle name="Input 2 4 2 2 6" xfId="6392" xr:uid="{00000000-0005-0000-0000-000031050000}"/>
    <cellStyle name="Input 2 4 2 2 6 2" xfId="13264" xr:uid="{B7367D70-1B3B-4D97-A7E0-B13B8129B1B1}"/>
    <cellStyle name="Input 2 4 2 2 6 2 2" xfId="35748" xr:uid="{B0358A9D-2F2E-4181-9A0C-31F3DEBFE85D}"/>
    <cellStyle name="Input 2 4 2 2 6 2 3" xfId="28660" xr:uid="{423E4C2C-09BA-4E67-8E54-C512A170B8C0}"/>
    <cellStyle name="Input 2 4 2 2 6 3" xfId="18329" xr:uid="{512CDF34-C0FC-4C1F-B730-3B45B7376601}"/>
    <cellStyle name="Input 2 4 2 2 6 3 2" xfId="40719" xr:uid="{7C85329B-DA6D-4F81-B8F1-D3BFCF486E40}"/>
    <cellStyle name="Input 2 4 2 2 6 3 3" xfId="44952" xr:uid="{AB5F4489-7E1D-4EA3-9E26-79BE1501DE40}"/>
    <cellStyle name="Input 2 4 2 2 6 4" xfId="22753" xr:uid="{F815AF93-13C1-4A70-A1CD-703B77E1BFD4}"/>
    <cellStyle name="Input 2 4 2 2 6 4 2" xfId="24082" xr:uid="{186608E5-E027-40DA-9EAA-25F9A6881417}"/>
    <cellStyle name="Input 2 4 2 2 6 5" xfId="47547" xr:uid="{11DD2FC7-DFC8-42C0-B663-4F89D8EE9189}"/>
    <cellStyle name="Input 2 4 2 2 7" xfId="6814" xr:uid="{00000000-0005-0000-0000-000031050000}"/>
    <cellStyle name="Input 2 4 2 2 7 2" xfId="13662" xr:uid="{35973E4A-2439-432C-87BE-01CA2DC734DE}"/>
    <cellStyle name="Input 2 4 2 2 7 2 2" xfId="36146" xr:uid="{5A3A4564-DCFE-4AF3-97BE-0D885EDA944E}"/>
    <cellStyle name="Input 2 4 2 2 7 2 3" xfId="27946" xr:uid="{14F70529-AD0C-492D-98C3-72F7908444AD}"/>
    <cellStyle name="Input 2 4 2 2 7 3" xfId="18751" xr:uid="{34224E99-697E-40C2-81C2-17E3C2C58407}"/>
    <cellStyle name="Input 2 4 2 2 7 3 2" xfId="41141" xr:uid="{7A229B92-5F6D-4385-91C2-47A4279D7BFF}"/>
    <cellStyle name="Input 2 4 2 2 7 3 3" xfId="28941" xr:uid="{1518C772-518F-44C4-A42D-4D78E155FB71}"/>
    <cellStyle name="Input 2 4 2 2 7 4" xfId="23175" xr:uid="{A00C2500-4251-4E43-A1B1-5378E11FD0BF}"/>
    <cellStyle name="Input 2 4 2 2 7 4 2" xfId="29133" xr:uid="{16E36930-A852-45C9-96A4-6D9705FF8165}"/>
    <cellStyle name="Input 2 4 2 2 7 5" xfId="51211" xr:uid="{A43CFB3A-3683-4810-BDA0-472078AB3111}"/>
    <cellStyle name="Input 2 4 2 2 8" xfId="6909" xr:uid="{00000000-0005-0000-0000-000031050000}"/>
    <cellStyle name="Input 2 4 2 2 8 2" xfId="13747" xr:uid="{8B7CE4FA-D2AD-4FA6-B97A-CD1CCAC56718}"/>
    <cellStyle name="Input 2 4 2 2 8 2 2" xfId="36231" xr:uid="{AF0FEB7B-1DB7-45FA-BBF3-784B40D6B9F6}"/>
    <cellStyle name="Input 2 4 2 2 8 2 3" xfId="46192" xr:uid="{A73ACB6E-96C2-41F6-9C00-EAC7A857BF96}"/>
    <cellStyle name="Input 2 4 2 2 8 3" xfId="18846" xr:uid="{CA9C92F3-6FEE-4B26-9FD6-949CA28C0C63}"/>
    <cellStyle name="Input 2 4 2 2 8 3 2" xfId="41236" xr:uid="{EC6F7C8C-D9F5-4641-BE56-DCDC90158827}"/>
    <cellStyle name="Input 2 4 2 2 8 3 3" xfId="25165" xr:uid="{50763958-9200-4F79-B77D-34E13EBCE9C0}"/>
    <cellStyle name="Input 2 4 2 2 8 4" xfId="23270" xr:uid="{279DC2A2-2FCB-4DFF-82E7-B8DDA7ECB2A2}"/>
    <cellStyle name="Input 2 4 2 2 8 4 2" xfId="52252" xr:uid="{D0F57F7A-0E2C-4C6D-BCFE-5F8390B4006A}"/>
    <cellStyle name="Input 2 4 2 2 8 5" xfId="48214" xr:uid="{A6A62296-9CEA-4DE8-AA76-D4CF140C3D33}"/>
    <cellStyle name="Input 2 4 2 2 9" xfId="6545" xr:uid="{00000000-0005-0000-0000-000031050000}"/>
    <cellStyle name="Input 2 4 2 2 9 2" xfId="18482" xr:uid="{130696C8-7D90-46B9-B01F-54B202C4DC03}"/>
    <cellStyle name="Input 2 4 2 2 9 2 2" xfId="40872" xr:uid="{C25D84B9-74EB-4171-8F12-92FD28DEE1B0}"/>
    <cellStyle name="Input 2 4 2 2 9 2 3" xfId="28728" xr:uid="{55CD9AFC-1BC4-48FB-90D5-1CE5B20925A7}"/>
    <cellStyle name="Input 2 4 2 2 9 3" xfId="22906" xr:uid="{28380D07-57A0-4F3B-8315-C4341EB3DA48}"/>
    <cellStyle name="Input 2 4 2 2 9 3 2" xfId="46633" xr:uid="{28A81F03-16DF-49E7-884C-070F3E19A2A1}"/>
    <cellStyle name="Input 2 4 2 2 9 4" xfId="50491" xr:uid="{536826DA-8285-47FE-9757-E00A40ED7FF6}"/>
    <cellStyle name="Input 2 4 2 3" xfId="2740" xr:uid="{00000000-0005-0000-0000-000030050000}"/>
    <cellStyle name="Input 2 4 2 3 2" xfId="9649" xr:uid="{10A20A01-C6D1-4528-9A8A-075CA28EAB92}"/>
    <cellStyle name="Input 2 4 2 3 2 2" xfId="32197" xr:uid="{1C9060B9-3656-4591-87EF-842004EB5E14}"/>
    <cellStyle name="Input 2 4 2 3 2 3" xfId="27649" xr:uid="{8D67EF48-FCFA-4EBB-BE1D-60F67F489494}"/>
    <cellStyle name="Input 2 4 2 3 3" xfId="15167" xr:uid="{6FD7BE3A-AEC4-4497-B1CD-C9E797CF74C7}"/>
    <cellStyle name="Input 2 4 2 3 3 2" xfId="37607" xr:uid="{A7E0F4DF-7065-4EAD-B8B0-6A85B158B9BA}"/>
    <cellStyle name="Input 2 4 2 3 3 3" xfId="47307" xr:uid="{7270AE4D-3A65-4615-B98D-F32E75E13B2D}"/>
    <cellStyle name="Input 2 4 2 3 4" xfId="15590" xr:uid="{BDF7B5AC-2B5A-4851-BB20-FC7ADFEDCCAC}"/>
    <cellStyle name="Input 2 4 2 3 4 2" xfId="50948" xr:uid="{F8C3EA22-5D9B-4645-B6B8-E3A3A0247D14}"/>
    <cellStyle name="Input 2 4 2 3 5" xfId="54012" xr:uid="{51190B74-5B44-46A2-A032-0A9B9746D7F7}"/>
    <cellStyle name="Input 2 4 2 4" xfId="4532" xr:uid="{00000000-0005-0000-0000-000030050000}"/>
    <cellStyle name="Input 2 4 2 4 2" xfId="11434" xr:uid="{1C879394-88BF-4237-A6E3-32D56D945A76}"/>
    <cellStyle name="Input 2 4 2 4 2 2" xfId="33920" xr:uid="{768413EE-06A4-4AC9-97DA-A65383A63F2E}"/>
    <cellStyle name="Input 2 4 2 4 2 3" xfId="24501" xr:uid="{B69A34F7-2B7B-4F0A-BBE3-E97D0370624B}"/>
    <cellStyle name="Input 2 4 2 4 3" xfId="16469" xr:uid="{9A25B69D-2423-4F48-B106-21B760BF4C2B}"/>
    <cellStyle name="Input 2 4 2 4 3 2" xfId="38859" xr:uid="{AACB0985-2B89-4E19-A2A1-E4D2E88CB232}"/>
    <cellStyle name="Input 2 4 2 4 3 3" xfId="30955" xr:uid="{AA65694B-4F24-4110-826D-3900966B4D4F}"/>
    <cellStyle name="Input 2 4 2 4 4" xfId="19858" xr:uid="{306062FB-C665-4472-A99B-135430369A11}"/>
    <cellStyle name="Input 2 4 2 4 4 2" xfId="28191" xr:uid="{32022A9E-32CB-4242-AD92-CCA4E942693F}"/>
    <cellStyle name="Input 2 4 2 4 5" xfId="53070" xr:uid="{03201256-3BAA-4D37-BAD0-76BE5D1B08FB}"/>
    <cellStyle name="Input 2 4 2 5" xfId="5133" xr:uid="{00000000-0005-0000-0000-000030050000}"/>
    <cellStyle name="Input 2 4 2 5 2" xfId="12026" xr:uid="{DAC7355F-0471-4C2B-98B4-BD03AFC3EF45}"/>
    <cellStyle name="Input 2 4 2 5 2 2" xfId="34512" xr:uid="{FBE384C8-31AB-4C72-AB2C-04F2AF129476}"/>
    <cellStyle name="Input 2 4 2 5 2 3" xfId="24115" xr:uid="{ABC42392-D3C1-4642-A8DA-05398EA07986}"/>
    <cellStyle name="Input 2 4 2 5 3" xfId="17070" xr:uid="{47B64142-6EA6-45A7-9A3E-20ABA65DF28F}"/>
    <cellStyle name="Input 2 4 2 5 3 2" xfId="39460" xr:uid="{DA4B7CC7-75ED-4E64-BB14-C136FC15AACC}"/>
    <cellStyle name="Input 2 4 2 5 3 3" xfId="44355" xr:uid="{DB2B67AA-0E91-4729-A46B-1E06211BC079}"/>
    <cellStyle name="Input 2 4 2 5 4" xfId="21494" xr:uid="{83C32102-0665-4E23-8E6F-58FCBA2D9841}"/>
    <cellStyle name="Input 2 4 2 5 4 2" xfId="48292" xr:uid="{99327306-D7A9-4372-B54B-9CDE80A0E8AE}"/>
    <cellStyle name="Input 2 4 2 5 5" xfId="50800" xr:uid="{B7E34E0D-1B1D-4C19-8392-2DC073E1EC1F}"/>
    <cellStyle name="Input 2 4 2 6" xfId="4825" xr:uid="{00000000-0005-0000-0000-000030050000}"/>
    <cellStyle name="Input 2 4 2 6 2" xfId="11722" xr:uid="{C01A80D2-40AF-4FAE-B76B-7C2B0DBD0B06}"/>
    <cellStyle name="Input 2 4 2 6 2 2" xfId="34208" xr:uid="{73B0E3D5-2711-49D1-A7B8-192643BB7238}"/>
    <cellStyle name="Input 2 4 2 6 2 3" xfId="28022" xr:uid="{7AEA981E-57CA-4399-A5BD-5D7208637CE2}"/>
    <cellStyle name="Input 2 4 2 6 3" xfId="16762" xr:uid="{FAA0E09C-B217-45A5-9B84-68D86C238EC4}"/>
    <cellStyle name="Input 2 4 2 6 3 2" xfId="39152" xr:uid="{A87EA1C6-9566-443F-82DA-62C4B7FA4207}"/>
    <cellStyle name="Input 2 4 2 6 3 3" xfId="44094" xr:uid="{AC0FC382-1F1F-4A6E-8B68-E37E67874A3F}"/>
    <cellStyle name="Input 2 4 2 6 4" xfId="19644" xr:uid="{DA299808-336A-42BE-95BA-C0126DEE7C3B}"/>
    <cellStyle name="Input 2 4 2 6 4 2" xfId="43799" xr:uid="{0D5C5FCD-BEB7-4629-9019-E2A6E7186C06}"/>
    <cellStyle name="Input 2 4 2 6 5" xfId="52883" xr:uid="{01E6F971-C393-4736-95D7-5FE03FFC35D8}"/>
    <cellStyle name="Input 2 4 2 7" xfId="6811" xr:uid="{00000000-0005-0000-0000-000030050000}"/>
    <cellStyle name="Input 2 4 2 7 2" xfId="13659" xr:uid="{5090CB87-2364-4FA4-9E47-99F7EBCF4193}"/>
    <cellStyle name="Input 2 4 2 7 2 2" xfId="36143" xr:uid="{26FD4F4C-5BB8-419F-95A2-BB72FD3E07C3}"/>
    <cellStyle name="Input 2 4 2 7 2 3" xfId="51321" xr:uid="{DF1501DD-6300-4789-A95C-F6AF0C9E19B9}"/>
    <cellStyle name="Input 2 4 2 7 3" xfId="18748" xr:uid="{4DC44BE4-E9FC-4004-B81B-902E30324995}"/>
    <cellStyle name="Input 2 4 2 7 3 2" xfId="41138" xr:uid="{EC28D866-C3A9-4912-8823-F5CA70081D7C}"/>
    <cellStyle name="Input 2 4 2 7 3 3" xfId="29551" xr:uid="{F5DC36C8-5D94-4200-8165-E85805CA0848}"/>
    <cellStyle name="Input 2 4 2 7 4" xfId="23172" xr:uid="{1059994C-B130-495C-B142-FCFD5FCE4C0F}"/>
    <cellStyle name="Input 2 4 2 7 4 2" xfId="51623" xr:uid="{1133BA22-C5CF-47BF-88E7-44F2D3544827}"/>
    <cellStyle name="Input 2 4 2 7 5" xfId="45245" xr:uid="{C46917FB-EEE0-4861-899C-8771E3AD9A31}"/>
    <cellStyle name="Input 2 4 2 8" xfId="7377" xr:uid="{81F2B49E-EA1D-4D89-AADB-06232564B8FF}"/>
    <cellStyle name="Input 2 4 2 8 2" xfId="30062" xr:uid="{8B8D8676-4D37-481D-8AAE-80E2B5A1C7D8}"/>
    <cellStyle name="Input 2 4 2 8 3" xfId="52541" xr:uid="{38AE7872-18C2-4D89-99C5-D9CBB2E9F345}"/>
    <cellStyle name="Input 2 4 2 9" xfId="8759" xr:uid="{031EF81B-4750-491C-A339-3E4EA7C4BEB8}"/>
    <cellStyle name="Input 2 4 2 9 2" xfId="31342" xr:uid="{415860AA-1045-43A0-9DED-AC05511FE0A0}"/>
    <cellStyle name="Input 2 4 2 9 3" xfId="43547" xr:uid="{ABEEB1DB-F52B-409C-AC0B-D5009E6F0DEA}"/>
    <cellStyle name="Input 2 4 3" xfId="840" xr:uid="{00000000-0005-0000-0000-000033050000}"/>
    <cellStyle name="Input 2 4 3 10" xfId="19928" xr:uid="{C8A1A152-7490-4877-9C1B-224B9CD74D1E}"/>
    <cellStyle name="Input 2 4 3 10 2" xfId="44740" xr:uid="{E4EDFEF9-0BC2-46BF-B8FF-47D967479AD1}"/>
    <cellStyle name="Input 2 4 3 11" xfId="47914" xr:uid="{433CD90A-30D4-41A9-A051-AC2431ABC929}"/>
    <cellStyle name="Input 2 4 3 2" xfId="1825" xr:uid="{00000000-0005-0000-0000-000034050000}"/>
    <cellStyle name="Input 2 4 3 2 10" xfId="14509" xr:uid="{620784BA-B5D7-4949-978D-1795B17ECBDE}"/>
    <cellStyle name="Input 2 4 3 2 10 2" xfId="36970" xr:uid="{05E32926-EF08-424C-A0B0-CE7BE56F0A16}"/>
    <cellStyle name="Input 2 4 3 2 10 3" xfId="51018" xr:uid="{4EA0C833-0AEF-4736-9306-F3E2E6F22032}"/>
    <cellStyle name="Input 2 4 3 2 11" xfId="21113" xr:uid="{926FCD4A-A065-4F30-9F2C-59C538BDE77E}"/>
    <cellStyle name="Input 2 4 3 2 11 2" xfId="43359" xr:uid="{4F9CC5C4-F0D7-4AAE-BEC6-3A4986AA76E8}"/>
    <cellStyle name="Input 2 4 3 2 11 3" xfId="47167" xr:uid="{3CF3C364-2110-49A8-A1B5-5FA560B77E23}"/>
    <cellStyle name="Input 2 4 3 2 12" xfId="19590" xr:uid="{DC0111B6-531D-438E-AA81-92886B31B79B}"/>
    <cellStyle name="Input 2 4 3 2 12 2" xfId="45443" xr:uid="{8776FC1A-3B73-4F29-909A-93603DAED8C7}"/>
    <cellStyle name="Input 2 4 3 2 13" xfId="47841" xr:uid="{C796F2F2-774C-4B0A-BFF7-362EEF5B4E4E}"/>
    <cellStyle name="Input 2 4 3 2 2" xfId="3923" xr:uid="{00000000-0005-0000-0000-000033050000}"/>
    <cellStyle name="Input 2 4 3 2 2 2" xfId="10827" xr:uid="{E6F4B832-4CE6-4E9D-927D-4902A19963AD}"/>
    <cellStyle name="Input 2 4 3 2 2 2 2" xfId="33313" xr:uid="{96A1BFCA-08D9-4409-B223-9742B49CCA6A}"/>
    <cellStyle name="Input 2 4 3 2 2 2 3" xfId="25626" xr:uid="{1EC6F728-A1C2-4F26-B12E-7023A86AFC22}"/>
    <cellStyle name="Input 2 4 3 2 2 3" xfId="15965" xr:uid="{E1F16FE0-1C70-49A0-A15E-8AD02551F8D3}"/>
    <cellStyle name="Input 2 4 3 2 2 3 2" xfId="38368" xr:uid="{3DB58A53-E48D-4E5C-9402-BF92136CF6EA}"/>
    <cellStyle name="Input 2 4 3 2 2 3 3" xfId="45573" xr:uid="{E0D95D3F-1581-42B7-8C1A-59236177774B}"/>
    <cellStyle name="Input 2 4 3 2 2 4" xfId="20514" xr:uid="{60EF2EA8-DA35-497E-A3D7-4A208B34D38D}"/>
    <cellStyle name="Input 2 4 3 2 2 4 2" xfId="50264" xr:uid="{2CE62AD8-8361-4123-BA1F-D2F887CB760F}"/>
    <cellStyle name="Input 2 4 3 2 2 5" xfId="47292" xr:uid="{95189256-07D7-4BB4-A7CB-7CA05D4598C0}"/>
    <cellStyle name="Input 2 4 3 2 3" xfId="5318" xr:uid="{00000000-0005-0000-0000-000033050000}"/>
    <cellStyle name="Input 2 4 3 2 3 2" xfId="12210" xr:uid="{4858E5BB-1DB6-4F1C-AD7F-D1BB2C1E619E}"/>
    <cellStyle name="Input 2 4 3 2 3 2 2" xfId="34695" xr:uid="{7408D730-CE8F-461D-9048-06EA8641B774}"/>
    <cellStyle name="Input 2 4 3 2 3 2 3" xfId="38262" xr:uid="{712013DF-F8EB-4E10-A250-9FC5342BB472}"/>
    <cellStyle name="Input 2 4 3 2 3 3" xfId="17255" xr:uid="{911C5A9F-B3A2-4942-B8E1-3246476F1EF5}"/>
    <cellStyle name="Input 2 4 3 2 3 3 2" xfId="39645" xr:uid="{49715508-B619-4280-8FAD-A4D780541D08}"/>
    <cellStyle name="Input 2 4 3 2 3 3 3" xfId="26265" xr:uid="{B5E361FA-6703-44C1-A416-F4172D2061F1}"/>
    <cellStyle name="Input 2 4 3 2 3 4" xfId="21679" xr:uid="{A9E61B01-1A7C-4968-9186-E37E2EFBDD9F}"/>
    <cellStyle name="Input 2 4 3 2 3 4 2" xfId="27739" xr:uid="{D43A7144-B20D-4E8A-923C-6D7E76DB5C53}"/>
    <cellStyle name="Input 2 4 3 2 3 5" xfId="44117" xr:uid="{66B82AF3-FC07-43E2-9972-C89123F2DC7E}"/>
    <cellStyle name="Input 2 4 3 2 4" xfId="5728" xr:uid="{00000000-0005-0000-0000-000033050000}"/>
    <cellStyle name="Input 2 4 3 2 4 2" xfId="12612" xr:uid="{3B7E9744-35C6-4DF2-A899-27F11D1F4AE9}"/>
    <cellStyle name="Input 2 4 3 2 4 2 2" xfId="35097" xr:uid="{87FF7DAF-652B-4B55-9969-D98E3385E4D0}"/>
    <cellStyle name="Input 2 4 3 2 4 2 3" xfId="30165" xr:uid="{FD0287A9-7BCD-4E12-9A04-5F672B9C3E32}"/>
    <cellStyle name="Input 2 4 3 2 4 3" xfId="17665" xr:uid="{4774F08C-C3BC-48D1-9A6C-9B19BE35F5B8}"/>
    <cellStyle name="Input 2 4 3 2 4 3 2" xfId="40055" xr:uid="{E526299B-11AB-44AE-B5F9-FBF57049268A}"/>
    <cellStyle name="Input 2 4 3 2 4 3 3" xfId="29529" xr:uid="{3C3791AB-BDE3-46F6-85DC-FD85FEED95A1}"/>
    <cellStyle name="Input 2 4 3 2 4 4" xfId="22089" xr:uid="{1574BD1A-49ED-427E-B78E-065373B1CFE3}"/>
    <cellStyle name="Input 2 4 3 2 4 4 2" xfId="46810" xr:uid="{C15E5C55-1F14-4F27-B0CC-9D4B011C3963}"/>
    <cellStyle name="Input 2 4 3 2 4 5" xfId="51579" xr:uid="{47CA680C-424C-47C9-99BA-4E2D80E66361}"/>
    <cellStyle name="Input 2 4 3 2 5" xfId="6082" xr:uid="{00000000-0005-0000-0000-000033050000}"/>
    <cellStyle name="Input 2 4 3 2 5 2" xfId="12960" xr:uid="{C257FC07-0E3E-4DDB-872E-6B7E7017BD33}"/>
    <cellStyle name="Input 2 4 3 2 5 2 2" xfId="35444" xr:uid="{123478ED-67A6-46CC-BA6B-52F2026D9618}"/>
    <cellStyle name="Input 2 4 3 2 5 2 3" xfId="49836" xr:uid="{EC2C2E67-C8FD-489A-B764-529A19F5FBED}"/>
    <cellStyle name="Input 2 4 3 2 5 3" xfId="18019" xr:uid="{B9450F52-4EE8-4B02-A022-EDB7ECB3E2F0}"/>
    <cellStyle name="Input 2 4 3 2 5 3 2" xfId="40409" xr:uid="{A7A6B4EC-3EDF-4C69-9E3B-D6E3AFB61986}"/>
    <cellStyle name="Input 2 4 3 2 5 3 3" xfId="45465" xr:uid="{89AA2A27-BE76-4063-8558-7D985ECF96E5}"/>
    <cellStyle name="Input 2 4 3 2 5 4" xfId="22443" xr:uid="{1FDCB6B6-DD6A-4BD8-B73B-BDC3B046699F}"/>
    <cellStyle name="Input 2 4 3 2 5 4 2" xfId="46244" xr:uid="{5AC9E312-5CAD-480F-997F-71765CE4115A}"/>
    <cellStyle name="Input 2 4 3 2 5 5" xfId="52092" xr:uid="{1003004A-27C1-4882-BA20-04CBFB789F98}"/>
    <cellStyle name="Input 2 4 3 2 6" xfId="6457" xr:uid="{00000000-0005-0000-0000-000033050000}"/>
    <cellStyle name="Input 2 4 3 2 6 2" xfId="13327" xr:uid="{03D94C8B-6BB2-479E-A6FD-37D42BB39A69}"/>
    <cellStyle name="Input 2 4 3 2 6 2 2" xfId="35811" xr:uid="{61C8871D-C872-41DF-AF10-10647A4A8368}"/>
    <cellStyle name="Input 2 4 3 2 6 2 3" xfId="43751" xr:uid="{43F492B9-2B03-4C25-8C6C-AC8A374ACAF4}"/>
    <cellStyle name="Input 2 4 3 2 6 3" xfId="18394" xr:uid="{756FEB45-830F-426B-BD14-AB1E1325A82F}"/>
    <cellStyle name="Input 2 4 3 2 6 3 2" xfId="40784" xr:uid="{660288FF-473A-4DED-A441-7ECE20A3C076}"/>
    <cellStyle name="Input 2 4 3 2 6 3 3" xfId="26165" xr:uid="{31F5389E-C22E-40B2-A0D1-AC8A1F807A3A}"/>
    <cellStyle name="Input 2 4 3 2 6 4" xfId="22818" xr:uid="{29F0797D-8B1A-4549-B4E9-1ADD5B4D04B4}"/>
    <cellStyle name="Input 2 4 3 2 6 4 2" xfId="49117" xr:uid="{1713071C-FC8B-44BB-A1D1-68DA2A46AFD5}"/>
    <cellStyle name="Input 2 4 3 2 6 5" xfId="51805" xr:uid="{5ED486EA-CDBC-408F-9362-9A5776B27A94}"/>
    <cellStyle name="Input 2 4 3 2 7" xfId="4844" xr:uid="{00000000-0005-0000-0000-000033050000}"/>
    <cellStyle name="Input 2 4 3 2 7 2" xfId="11740" xr:uid="{D8D18332-1FFA-47C5-95CE-CEA944419DDD}"/>
    <cellStyle name="Input 2 4 3 2 7 2 2" xfId="34226" xr:uid="{E8586DCE-81A3-4332-8AAB-BD34E735ED0E}"/>
    <cellStyle name="Input 2 4 3 2 7 2 3" xfId="29581" xr:uid="{884BF156-1E0A-4C80-824B-059E1CF50EFD}"/>
    <cellStyle name="Input 2 4 3 2 7 3" xfId="16781" xr:uid="{5FD2C4A3-C23D-42F2-99C3-75B700890523}"/>
    <cellStyle name="Input 2 4 3 2 7 3 2" xfId="39171" xr:uid="{CB5A5FFF-3CBC-440E-B093-05C3ED541AAA}"/>
    <cellStyle name="Input 2 4 3 2 7 3 3" xfId="23887" xr:uid="{420D6D97-B1B7-4404-B16E-B4F90D32F074}"/>
    <cellStyle name="Input 2 4 3 2 7 4" xfId="16268" xr:uid="{3700AA40-7D9B-4F4F-BAB3-BD36B8289193}"/>
    <cellStyle name="Input 2 4 3 2 7 4 2" xfId="29638" xr:uid="{E49AA926-C202-44E6-9149-FD286CE7EDDD}"/>
    <cellStyle name="Input 2 4 3 2 7 5" xfId="52500" xr:uid="{84CB3129-50D4-4B53-B9C8-1B93F0F6B11E}"/>
    <cellStyle name="Input 2 4 3 2 8" xfId="6957" xr:uid="{00000000-0005-0000-0000-000033050000}"/>
    <cellStyle name="Input 2 4 3 2 8 2" xfId="13794" xr:uid="{EFD508F2-8F15-4AB9-A6E7-A33A9FE93404}"/>
    <cellStyle name="Input 2 4 3 2 8 2 2" xfId="36278" xr:uid="{84232A80-5B57-4F92-B981-6FBF568DC6B9}"/>
    <cellStyle name="Input 2 4 3 2 8 2 3" xfId="48507" xr:uid="{36BFEA4F-BC6F-4866-9286-2DF50890D24A}"/>
    <cellStyle name="Input 2 4 3 2 8 3" xfId="18894" xr:uid="{C919B3E9-3CEC-4663-87BD-473C374703FE}"/>
    <cellStyle name="Input 2 4 3 2 8 3 2" xfId="41284" xr:uid="{B50BE20D-B962-42A8-A0B7-18D9C6175202}"/>
    <cellStyle name="Input 2 4 3 2 8 3 3" xfId="23919" xr:uid="{AF9E865C-E108-42DF-A92D-2B2BBB452C81}"/>
    <cellStyle name="Input 2 4 3 2 8 4" xfId="23318" xr:uid="{2137F405-5EB6-4CC3-BFC0-D64985E25347}"/>
    <cellStyle name="Input 2 4 3 2 8 4 2" xfId="49883" xr:uid="{E9121D0E-3105-43A0-BC75-A2DB4B62B7DF}"/>
    <cellStyle name="Input 2 4 3 2 8 5" xfId="51987" xr:uid="{48254EE1-630D-4912-BA25-78D83A5DA1EB}"/>
    <cellStyle name="Input 2 4 3 2 9" xfId="6793" xr:uid="{00000000-0005-0000-0000-000033050000}"/>
    <cellStyle name="Input 2 4 3 2 9 2" xfId="18730" xr:uid="{7C7ABEB8-B2C9-4A87-A787-250CC9060C8D}"/>
    <cellStyle name="Input 2 4 3 2 9 2 2" xfId="41120" xr:uid="{D17B3F21-F8EC-4170-AFBD-0B72DCA8129F}"/>
    <cellStyle name="Input 2 4 3 2 9 2 3" xfId="23849" xr:uid="{01EF9916-2B13-47F4-AC86-CA916C35D52B}"/>
    <cellStyle name="Input 2 4 3 2 9 3" xfId="23154" xr:uid="{99B980B3-080A-49E7-9D14-313303BC3C36}"/>
    <cellStyle name="Input 2 4 3 2 9 3 2" xfId="52427" xr:uid="{FF095B4F-104F-40E7-94C0-7D2EEEE24A4E}"/>
    <cellStyle name="Input 2 4 3 2 9 4" xfId="47571" xr:uid="{D0CEC00C-0D1A-4B2B-A3E1-4891A89F578C}"/>
    <cellStyle name="Input 2 4 3 3" xfId="2974" xr:uid="{00000000-0005-0000-0000-000032050000}"/>
    <cellStyle name="Input 2 4 3 3 2" xfId="9883" xr:uid="{A7095639-484E-4546-8FA2-21D7BE8FF29C}"/>
    <cellStyle name="Input 2 4 3 3 2 2" xfId="32406" xr:uid="{8B1A9BF1-BA0B-427A-B494-35D63B0A5066}"/>
    <cellStyle name="Input 2 4 3 3 2 3" xfId="50541" xr:uid="{C2EBA1E0-E9D1-4CBC-9C70-08468FF1C9BE}"/>
    <cellStyle name="Input 2 4 3 3 3" xfId="15321" xr:uid="{7A772510-AEF7-430E-AE91-F66BDCA730F3}"/>
    <cellStyle name="Input 2 4 3 3 3 2" xfId="37753" xr:uid="{60F6E4ED-1A49-4116-A9AE-DD9639482A86}"/>
    <cellStyle name="Input 2 4 3 3 3 3" xfId="52059" xr:uid="{EDE94C08-97F7-4596-91D2-0C40DC970F0A}"/>
    <cellStyle name="Input 2 4 3 3 4" xfId="19540" xr:uid="{CA6AA900-5D76-4041-AA4D-4EB4435CF9CC}"/>
    <cellStyle name="Input 2 4 3 3 4 2" xfId="29036" xr:uid="{1B0FBB82-71AF-49DE-B323-47FB3AECA49F}"/>
    <cellStyle name="Input 2 4 3 3 5" xfId="46380" xr:uid="{9419F8EC-3F2E-40B9-8AF5-C21D3348C0FF}"/>
    <cellStyle name="Input 2 4 3 4" xfId="4684" xr:uid="{00000000-0005-0000-0000-000032050000}"/>
    <cellStyle name="Input 2 4 3 4 2" xfId="11582" xr:uid="{9C71F13C-CFB3-45AF-B68E-E9FD8E2D8E22}"/>
    <cellStyle name="Input 2 4 3 4 2 2" xfId="34068" xr:uid="{EFF0F38B-2061-4296-BA23-1CD0CC703A2C}"/>
    <cellStyle name="Input 2 4 3 4 2 3" xfId="42397" xr:uid="{0B3B17EE-8577-4E17-B207-544FAE102FBA}"/>
    <cellStyle name="Input 2 4 3 4 3" xfId="16621" xr:uid="{F49411D0-0D18-4B68-A345-579732E5A941}"/>
    <cellStyle name="Input 2 4 3 4 3 2" xfId="39011" xr:uid="{3CB73FF2-2463-4A39-AD43-05EF634F4C0B}"/>
    <cellStyle name="Input 2 4 3 4 3 3" xfId="24424" xr:uid="{6DA652A0-6419-4814-8BE2-BAB9EE2FEDF3}"/>
    <cellStyle name="Input 2 4 3 4 4" xfId="19601" xr:uid="{8B20044C-F249-4854-9CF4-1E3CBD0F7E63}"/>
    <cellStyle name="Input 2 4 3 4 4 2" xfId="42934" xr:uid="{664A5585-CF8D-43DD-905F-B8FB2FFAC539}"/>
    <cellStyle name="Input 2 4 3 4 5" xfId="46694" xr:uid="{94D5020B-C272-44DD-8C2C-8D1DE95E759D}"/>
    <cellStyle name="Input 2 4 3 5" xfId="4708" xr:uid="{00000000-0005-0000-0000-000032050000}"/>
    <cellStyle name="Input 2 4 3 5 2" xfId="11606" xr:uid="{A10C00E9-4CB1-4E13-928A-01AFD3EDC800}"/>
    <cellStyle name="Input 2 4 3 5 2 2" xfId="34092" xr:uid="{76E7360E-551D-43FF-AAEA-188D328149F6}"/>
    <cellStyle name="Input 2 4 3 5 2 3" xfId="44359" xr:uid="{E91835E3-E44E-4927-BECC-A437BADBB43F}"/>
    <cellStyle name="Input 2 4 3 5 3" xfId="16645" xr:uid="{A99748C6-EFFF-4E3A-8F85-C6361AEC37C0}"/>
    <cellStyle name="Input 2 4 3 5 3 2" xfId="39035" xr:uid="{B4C944EA-C3E5-4415-92F5-D12BD0ACFFAB}"/>
    <cellStyle name="Input 2 4 3 5 3 3" xfId="23912" xr:uid="{F1FFDCFD-6D23-4065-A0C3-C91369445D0C}"/>
    <cellStyle name="Input 2 4 3 5 4" xfId="14219" xr:uid="{63BFFB81-F325-4FF9-A954-BD91119EACF8}"/>
    <cellStyle name="Input 2 4 3 5 4 2" xfId="46675" xr:uid="{4676EB6F-398F-4FD6-B16F-A690A7B6B24E}"/>
    <cellStyle name="Input 2 4 3 5 5" xfId="27355" xr:uid="{282D15B6-69EC-46ED-8FA3-136998B93DBE}"/>
    <cellStyle name="Input 2 4 3 6" xfId="4452" xr:uid="{00000000-0005-0000-0000-000032050000}"/>
    <cellStyle name="Input 2 4 3 6 2" xfId="11354" xr:uid="{D06AC029-BB8C-43CD-9C77-E8E0EE353EA8}"/>
    <cellStyle name="Input 2 4 3 6 2 2" xfId="33840" xr:uid="{0F30F99E-C179-48E8-A6D7-BC7C007A14D1}"/>
    <cellStyle name="Input 2 4 3 6 2 3" xfId="27984" xr:uid="{8B58D090-8140-409F-814E-044032A76CF2}"/>
    <cellStyle name="Input 2 4 3 6 3" xfId="16389" xr:uid="{599A326E-456B-4A35-83AC-A4428265B947}"/>
    <cellStyle name="Input 2 4 3 6 3 2" xfId="38779" xr:uid="{AD07BB1E-6329-43E5-95A6-6ECBA67A5C85}"/>
    <cellStyle name="Input 2 4 3 6 3 3" xfId="32179" xr:uid="{3EBD7FBF-FECA-480D-8DBF-FA233BF94193}"/>
    <cellStyle name="Input 2 4 3 6 4" xfId="20173" xr:uid="{CCD37ED2-0ABC-4802-88CF-12CEEA75A68D}"/>
    <cellStyle name="Input 2 4 3 6 4 2" xfId="33892" xr:uid="{E5F63612-B6C6-4C5A-A594-F82E63528CC9}"/>
    <cellStyle name="Input 2 4 3 6 5" xfId="50698" xr:uid="{FE1F412B-D2AD-4BEF-B40E-AB75A6D195C1}"/>
    <cellStyle name="Input 2 4 3 7" xfId="6859" xr:uid="{00000000-0005-0000-0000-000032050000}"/>
    <cellStyle name="Input 2 4 3 7 2" xfId="13701" xr:uid="{9044484B-2B98-487F-AE14-3DD208CADE5F}"/>
    <cellStyle name="Input 2 4 3 7 2 2" xfId="36185" xr:uid="{0E3EB88A-96DD-4AC1-94FB-0F3218C0CDA5}"/>
    <cellStyle name="Input 2 4 3 7 2 3" xfId="41803" xr:uid="{CF7585EB-618D-4A7F-9830-EB7024B53D59}"/>
    <cellStyle name="Input 2 4 3 7 3" xfId="18796" xr:uid="{D466FE1B-F582-4D74-B429-7060E03D9F03}"/>
    <cellStyle name="Input 2 4 3 7 3 2" xfId="41186" xr:uid="{521EA678-6031-42F0-B385-37AFE1B04FD4}"/>
    <cellStyle name="Input 2 4 3 7 3 3" xfId="24805" xr:uid="{FEB6654B-6375-4E1E-84EE-B3306C9B3204}"/>
    <cellStyle name="Input 2 4 3 7 4" xfId="23220" xr:uid="{72A47680-DE53-406F-908F-2B463770B322}"/>
    <cellStyle name="Input 2 4 3 7 4 2" xfId="49317" xr:uid="{28663B74-DFEE-4568-B5A0-B4C786D9B8FC}"/>
    <cellStyle name="Input 2 4 3 7 5" xfId="53287" xr:uid="{5873BE56-E609-43F7-9F0C-A0AD4E8653FE}"/>
    <cellStyle name="Input 2 4 3 8" xfId="7578" xr:uid="{8B2B8032-BC59-4FD2-94B3-670B3115A626}"/>
    <cellStyle name="Input 2 4 3 8 2" xfId="30241" xr:uid="{ED86FC7D-66C6-466A-B62A-D88C2B438D54}"/>
    <cellStyle name="Input 2 4 3 8 3" xfId="42467" xr:uid="{C2300A01-E246-4383-AA33-61A88B05E60F}"/>
    <cellStyle name="Input 2 4 3 9" xfId="19880" xr:uid="{A9D2ECCD-A32F-4CEB-82F2-4162804DB26E}"/>
    <cellStyle name="Input 2 4 3 9 2" xfId="42214" xr:uid="{8A767882-9FB3-4858-8771-1431FEF62090}"/>
    <cellStyle name="Input 2 4 3 9 3" xfId="44510" xr:uid="{CFCE2F34-4FD5-4DD5-9B23-01D0E9B00A09}"/>
    <cellStyle name="Input 2 4 4" xfId="1027" xr:uid="{00000000-0005-0000-0000-000035050000}"/>
    <cellStyle name="Input 2 4 4 10" xfId="14320" xr:uid="{080E8A55-C6BD-4031-92EB-5CAF99184C4A}"/>
    <cellStyle name="Input 2 4 4 10 2" xfId="52247" xr:uid="{613227F5-73CA-41E5-8A6B-C9FC7083E9E4}"/>
    <cellStyle name="Input 2 4 4 11" xfId="53696" xr:uid="{B31BA3A9-8D1D-4970-8A66-9996230CE656}"/>
    <cellStyle name="Input 2 4 4 2" xfId="1917" xr:uid="{00000000-0005-0000-0000-000036050000}"/>
    <cellStyle name="Input 2 4 4 2 10" xfId="14587" xr:uid="{B4EAD397-312D-4C66-B437-9E6C78E36F3E}"/>
    <cellStyle name="Input 2 4 4 2 10 2" xfId="37048" xr:uid="{6D00D31A-1F56-40AB-92A1-33FCEB966D89}"/>
    <cellStyle name="Input 2 4 4 2 10 3" xfId="46094" xr:uid="{1DE4D2FA-71ED-4387-BCE8-2B0ADAD88D13}"/>
    <cellStyle name="Input 2 4 4 2 11" xfId="20388" xr:uid="{B61EE340-ACB5-4849-8D92-2DE962B4BA2F}"/>
    <cellStyle name="Input 2 4 4 2 11 2" xfId="42683" xr:uid="{541F8F2C-3C92-4EAF-AC9D-98C17425D480}"/>
    <cellStyle name="Input 2 4 4 2 11 3" xfId="54081" xr:uid="{5452A43C-91F8-4C2C-A56C-0AA78C1C0E13}"/>
    <cellStyle name="Input 2 4 4 2 12" xfId="10516" xr:uid="{DDA1C99F-BD33-474D-B744-929945F259CE}"/>
    <cellStyle name="Input 2 4 4 2 12 2" xfId="48221" xr:uid="{038F3E92-A663-4EA5-AEA7-38C154F525D0}"/>
    <cellStyle name="Input 2 4 4 2 13" xfId="52377" xr:uid="{CCA055AC-B53B-437D-B811-E9301B8EA34B}"/>
    <cellStyle name="Input 2 4 4 2 2" xfId="4014" xr:uid="{00000000-0005-0000-0000-000035050000}"/>
    <cellStyle name="Input 2 4 4 2 2 2" xfId="10918" xr:uid="{6851057B-4317-4AED-8A60-94A4B0CD36B6}"/>
    <cellStyle name="Input 2 4 4 2 2 2 2" xfId="33404" xr:uid="{BA460C2D-3671-4807-86D8-6C1DF3677DCC}"/>
    <cellStyle name="Input 2 4 4 2 2 2 3" xfId="28194" xr:uid="{D3269314-02A1-4F80-B6FB-5D084DEDD08B}"/>
    <cellStyle name="Input 2 4 4 2 2 3" xfId="16038" xr:uid="{71D73162-DADD-48BA-B489-22D4ED778721}"/>
    <cellStyle name="Input 2 4 4 2 2 3 2" xfId="38439" xr:uid="{41544ED7-D5EA-4F29-A6FD-A0ABFEFD1B6D}"/>
    <cellStyle name="Input 2 4 4 2 2 3 3" xfId="53474" xr:uid="{5A707BC3-7CD8-4160-9A01-FFBEEE7F1348}"/>
    <cellStyle name="Input 2 4 4 2 2 4" xfId="20448" xr:uid="{14318CF1-389E-4DC0-8764-8398E0D00584}"/>
    <cellStyle name="Input 2 4 4 2 2 4 2" xfId="50858" xr:uid="{0CADA876-290E-450C-B231-186B300FA80D}"/>
    <cellStyle name="Input 2 4 4 2 2 5" xfId="48933" xr:uid="{D3B7E78C-DB08-446D-B87E-E53548CB4C65}"/>
    <cellStyle name="Input 2 4 4 2 3" xfId="5389" xr:uid="{00000000-0005-0000-0000-000035050000}"/>
    <cellStyle name="Input 2 4 4 2 3 2" xfId="12280" xr:uid="{A354B7EB-2B06-461C-B820-6BA2951D7349}"/>
    <cellStyle name="Input 2 4 4 2 3 2 2" xfId="34765" xr:uid="{143659F1-94CE-4EAD-905D-9491E1562F83}"/>
    <cellStyle name="Input 2 4 4 2 3 2 3" xfId="45863" xr:uid="{52DABE26-CF6A-47C6-9910-8640A242C5D8}"/>
    <cellStyle name="Input 2 4 4 2 3 3" xfId="17326" xr:uid="{D4CCFD0D-4FF6-4C2A-AF05-B55C2E35D2AE}"/>
    <cellStyle name="Input 2 4 4 2 3 3 2" xfId="39716" xr:uid="{95F1EBB0-EE54-4D84-A120-DC906D1FE4F3}"/>
    <cellStyle name="Input 2 4 4 2 3 3 3" xfId="28008" xr:uid="{61ED4C03-3F23-4FE0-BE6C-AF9B76981ACB}"/>
    <cellStyle name="Input 2 4 4 2 3 4" xfId="21750" xr:uid="{731CFADD-4E4A-42D2-A6E0-DE021D2FC656}"/>
    <cellStyle name="Input 2 4 4 2 3 4 2" xfId="47734" xr:uid="{A94703ED-2ED1-4305-8F13-B079FC1C26D1}"/>
    <cellStyle name="Input 2 4 4 2 3 5" xfId="47272" xr:uid="{061EEB77-5A8D-4B13-9619-03E2F9A3C82E}"/>
    <cellStyle name="Input 2 4 4 2 4" xfId="5802" xr:uid="{00000000-0005-0000-0000-000035050000}"/>
    <cellStyle name="Input 2 4 4 2 4 2" xfId="12685" xr:uid="{1F9C2598-478F-4D6B-892B-4F698F90202A}"/>
    <cellStyle name="Input 2 4 4 2 4 2 2" xfId="35170" xr:uid="{4E9B439E-0F33-420C-A13C-4B73A71E6A19}"/>
    <cellStyle name="Input 2 4 4 2 4 2 3" xfId="45539" xr:uid="{BB836B3E-FC17-4EFF-B929-EE7AB7DF2551}"/>
    <cellStyle name="Input 2 4 4 2 4 3" xfId="17739" xr:uid="{58C4891F-479A-4DB5-BB0D-18BBE436C351}"/>
    <cellStyle name="Input 2 4 4 2 4 3 2" xfId="40129" xr:uid="{6420E03B-A6F5-42C8-9F44-A48A205EE246}"/>
    <cellStyle name="Input 2 4 4 2 4 3 3" xfId="42131" xr:uid="{DFC6BDBF-5962-4BCD-9F9C-4C3C65FAF328}"/>
    <cellStyle name="Input 2 4 4 2 4 4" xfId="22163" xr:uid="{1798E9AF-2447-4E6B-9C9F-C4E86CD5DB14}"/>
    <cellStyle name="Input 2 4 4 2 4 4 2" xfId="47687" xr:uid="{5731DF85-21FA-426A-A271-BD85746019FF}"/>
    <cellStyle name="Input 2 4 4 2 4 5" xfId="29058" xr:uid="{6089EF85-7AA2-4008-BC9A-D724662D0521}"/>
    <cellStyle name="Input 2 4 4 2 5" xfId="6146" xr:uid="{00000000-0005-0000-0000-000035050000}"/>
    <cellStyle name="Input 2 4 4 2 5 2" xfId="13023" xr:uid="{96989DA8-C674-4520-8964-8C9C499F274E}"/>
    <cellStyle name="Input 2 4 4 2 5 2 2" xfId="35507" xr:uid="{46CF6EA8-C9FC-492D-8B9D-F0705B392BD6}"/>
    <cellStyle name="Input 2 4 4 2 5 2 3" xfId="49481" xr:uid="{ACE1580F-C0D5-4386-B663-4979DED8FDBE}"/>
    <cellStyle name="Input 2 4 4 2 5 3" xfId="18083" xr:uid="{6AD9DB48-908B-44A4-8D48-6B2D8BB68751}"/>
    <cellStyle name="Input 2 4 4 2 5 3 2" xfId="40473" xr:uid="{F5EA0A8B-3366-427C-AF0B-066788C376B7}"/>
    <cellStyle name="Input 2 4 4 2 5 3 3" xfId="26628" xr:uid="{5209B98C-3611-4557-AF92-319158BB51F4}"/>
    <cellStyle name="Input 2 4 4 2 5 4" xfId="22507" xr:uid="{8E79D6CA-B52A-4D01-A391-AF3024AD5AB4}"/>
    <cellStyle name="Input 2 4 4 2 5 4 2" xfId="26133" xr:uid="{543590BE-C378-4FED-B884-0A8F48C53DA1}"/>
    <cellStyle name="Input 2 4 4 2 5 5" xfId="49802" xr:uid="{E02EEBEF-E1BC-4B30-8E23-2DED7632F31F}"/>
    <cellStyle name="Input 2 4 4 2 6" xfId="6519" xr:uid="{00000000-0005-0000-0000-000035050000}"/>
    <cellStyle name="Input 2 4 4 2 6 2" xfId="13388" xr:uid="{6206B6D9-6E85-4CCB-804C-B7AB0BF5375F}"/>
    <cellStyle name="Input 2 4 4 2 6 2 2" xfId="35872" xr:uid="{3FC45054-15C8-42BC-B556-F7179962CC4C}"/>
    <cellStyle name="Input 2 4 4 2 6 2 3" xfId="51048" xr:uid="{3082F442-7A1E-4D98-8FF6-3955E39613B7}"/>
    <cellStyle name="Input 2 4 4 2 6 3" xfId="18456" xr:uid="{A8B24EF7-451C-4092-9583-97656501E19A}"/>
    <cellStyle name="Input 2 4 4 2 6 3 2" xfId="40846" xr:uid="{3D163DE4-0B65-40CA-8E87-DE7746A2AB04}"/>
    <cellStyle name="Input 2 4 4 2 6 3 3" xfId="24317" xr:uid="{CED030BF-387F-416F-AEE5-ED396EE1925E}"/>
    <cellStyle name="Input 2 4 4 2 6 4" xfId="22880" xr:uid="{C222E893-776A-4AFA-A7E9-E72B9D3767FC}"/>
    <cellStyle name="Input 2 4 4 2 6 4 2" xfId="44404" xr:uid="{6FA4D700-D93E-4504-A9FE-2235D3B63D5F}"/>
    <cellStyle name="Input 2 4 4 2 6 5" xfId="23815" xr:uid="{9B10995C-D5D3-4674-9ABD-1B18EB68FE94}"/>
    <cellStyle name="Input 2 4 4 2 7" xfId="6252" xr:uid="{00000000-0005-0000-0000-000035050000}"/>
    <cellStyle name="Input 2 4 4 2 7 2" xfId="13125" xr:uid="{641F82E5-4C66-4065-BB99-C1074AF5B625}"/>
    <cellStyle name="Input 2 4 4 2 7 2 2" xfId="35609" xr:uid="{D09B7604-DAB6-4E14-8DEA-15C4DBA30CBB}"/>
    <cellStyle name="Input 2 4 4 2 7 2 3" xfId="29141" xr:uid="{B734AD22-5815-41E5-8C0F-B6CA48B9DFAB}"/>
    <cellStyle name="Input 2 4 4 2 7 3" xfId="18189" xr:uid="{BF1FA32E-D982-42A7-964B-C294AE6BA346}"/>
    <cellStyle name="Input 2 4 4 2 7 3 2" xfId="40579" xr:uid="{438178AE-6FDF-4B99-A0E9-C145929D4A44}"/>
    <cellStyle name="Input 2 4 4 2 7 3 3" xfId="29712" xr:uid="{15C88D92-3FB8-4623-8405-749D7D0CAAD2}"/>
    <cellStyle name="Input 2 4 4 2 7 4" xfId="22613" xr:uid="{0C359A8C-C710-44EB-9149-FE22A7A847BF}"/>
    <cellStyle name="Input 2 4 4 2 7 4 2" xfId="23664" xr:uid="{E9A8FCF7-C77C-44D5-9FC3-A82E8D260F7E}"/>
    <cellStyle name="Input 2 4 4 2 7 5" xfId="50658" xr:uid="{6A50FA24-52BE-4E3D-BE24-783A694D76C9}"/>
    <cellStyle name="Input 2 4 4 2 8" xfId="7003" xr:uid="{00000000-0005-0000-0000-000035050000}"/>
    <cellStyle name="Input 2 4 4 2 8 2" xfId="13840" xr:uid="{B184C747-8E21-4B13-8D04-097E090AFED2}"/>
    <cellStyle name="Input 2 4 4 2 8 2 2" xfId="36324" xr:uid="{C166CB48-B03A-4FCA-957D-C5BCC1779049}"/>
    <cellStyle name="Input 2 4 4 2 8 2 3" xfId="25385" xr:uid="{D88A9C04-338E-4ED4-97AC-A5BAAFF81B0D}"/>
    <cellStyle name="Input 2 4 4 2 8 3" xfId="18940" xr:uid="{3DCD543C-CFA8-4375-84AD-83CD0387AB23}"/>
    <cellStyle name="Input 2 4 4 2 8 3 2" xfId="41330" xr:uid="{CB72BE54-73E9-495B-AC42-8FCCC358B0B2}"/>
    <cellStyle name="Input 2 4 4 2 8 3 3" xfId="35338" xr:uid="{C493EEE4-E078-4934-AFB1-18815EFD4656}"/>
    <cellStyle name="Input 2 4 4 2 8 4" xfId="23364" xr:uid="{5B079C9C-CCE3-449E-A49B-DE51F0695A76}"/>
    <cellStyle name="Input 2 4 4 2 8 4 2" xfId="53663" xr:uid="{7FACDA87-A8F3-4FD1-BCF5-B2DFD743AA22}"/>
    <cellStyle name="Input 2 4 4 2 8 5" xfId="51315" xr:uid="{BB328831-9596-4FD6-8D34-35179DFD2EB6}"/>
    <cellStyle name="Input 2 4 4 2 9" xfId="5143" xr:uid="{00000000-0005-0000-0000-000035050000}"/>
    <cellStyle name="Input 2 4 4 2 9 2" xfId="17080" xr:uid="{E505B8AB-BD88-45DF-8CA6-8824E9A99DB8}"/>
    <cellStyle name="Input 2 4 4 2 9 2 2" xfId="39470" xr:uid="{FB2F1162-C77D-48A2-A42E-6E97B041A428}"/>
    <cellStyle name="Input 2 4 4 2 9 2 3" xfId="26200" xr:uid="{5AF389C4-48C1-4808-A441-7A4058F79D1F}"/>
    <cellStyle name="Input 2 4 4 2 9 3" xfId="21504" xr:uid="{27DEE37E-B5D8-44F8-96F4-EA19BF93BF6A}"/>
    <cellStyle name="Input 2 4 4 2 9 3 2" xfId="43527" xr:uid="{D2C3D4A7-0123-471B-A116-E54E49F9EEB1}"/>
    <cellStyle name="Input 2 4 4 2 9 4" xfId="49894" xr:uid="{BEC4F284-7CB1-4C0F-86C3-95A1BE9D8164}"/>
    <cellStyle name="Input 2 4 4 3" xfId="3152" xr:uid="{00000000-0005-0000-0000-000034050000}"/>
    <cellStyle name="Input 2 4 4 3 2" xfId="10061" xr:uid="{72CE01E2-F7A8-4DD7-A027-2C71D608BC92}"/>
    <cellStyle name="Input 2 4 4 3 2 2" xfId="32568" xr:uid="{F6032003-D6BE-4308-A1B1-436EA4F4B7BE}"/>
    <cellStyle name="Input 2 4 4 3 2 3" xfId="45486" xr:uid="{F8ABBCE2-FA70-470E-A8C8-9EE04FD47011}"/>
    <cellStyle name="Input 2 4 4 3 3" xfId="15439" xr:uid="{0845779D-68F0-4986-8ADA-F2FA9ED5FE81}"/>
    <cellStyle name="Input 2 4 4 3 3 2" xfId="37865" xr:uid="{4A18C879-5E77-4E60-8405-B3108AFDA8EA}"/>
    <cellStyle name="Input 2 4 4 3 3 3" xfId="44548" xr:uid="{A24831B8-6165-487A-B784-BEC0C4EE04FF}"/>
    <cellStyle name="Input 2 4 4 3 4" xfId="15773" xr:uid="{8EA2918E-61A2-41F7-9219-431F6C411112}"/>
    <cellStyle name="Input 2 4 4 3 4 2" xfId="44782" xr:uid="{FEBFEB20-6798-4606-A704-C8F5F3860602}"/>
    <cellStyle name="Input 2 4 4 3 5" xfId="43936" xr:uid="{ED2835F9-799B-42D1-BC43-F54033D5BFE1}"/>
    <cellStyle name="Input 2 4 4 4" xfId="4801" xr:uid="{00000000-0005-0000-0000-000034050000}"/>
    <cellStyle name="Input 2 4 4 4 2" xfId="11698" xr:uid="{7C707B18-8BD6-46B4-9DAF-DBDE29340A18}"/>
    <cellStyle name="Input 2 4 4 4 2 2" xfId="34184" xr:uid="{C79977AA-BF4A-491E-AF5D-8C8A1BB653F1}"/>
    <cellStyle name="Input 2 4 4 4 2 3" xfId="41650" xr:uid="{7A3114B7-6ACC-4F0C-8196-A21DA5658462}"/>
    <cellStyle name="Input 2 4 4 4 3" xfId="16738" xr:uid="{D91641FD-74C7-4B9E-83D7-4BE4EC81170C}"/>
    <cellStyle name="Input 2 4 4 4 3 2" xfId="39128" xr:uid="{0991415A-636A-450F-9916-5262CBEF66D2}"/>
    <cellStyle name="Input 2 4 4 4 3 3" xfId="44672" xr:uid="{48728E76-E2BA-4B94-A613-71E7CCA6C6BF}"/>
    <cellStyle name="Input 2 4 4 4 4" xfId="15298" xr:uid="{71F832F7-3154-4C49-BE0F-FA56D69D2966}"/>
    <cellStyle name="Input 2 4 4 4 4 2" xfId="46501" xr:uid="{6278C15E-AE86-46A6-B712-DD370647709C}"/>
    <cellStyle name="Input 2 4 4 4 5" xfId="52135" xr:uid="{3794E3EB-1D0A-4752-8632-153BF5115932}"/>
    <cellStyle name="Input 2 4 4 5" xfId="2288" xr:uid="{00000000-0005-0000-0000-000034050000}"/>
    <cellStyle name="Input 2 4 4 5 2" xfId="9199" xr:uid="{9470BBEE-6AEE-4CC2-8824-06E2F09E972E}"/>
    <cellStyle name="Input 2 4 4 5 2 2" xfId="31774" xr:uid="{85D08604-4BFE-4286-B528-DCC18EEDCD71}"/>
    <cellStyle name="Input 2 4 4 5 2 3" xfId="51819" xr:uid="{979B0E51-9567-48BD-A5DA-52D7903BADC9}"/>
    <cellStyle name="Input 2 4 4 5 3" xfId="14855" xr:uid="{320EB4CE-6596-40D4-B5AE-9BF7B3E5C2E0}"/>
    <cellStyle name="Input 2 4 4 5 3 2" xfId="37309" xr:uid="{018882C1-A1D8-4E4D-B440-DB2630663188}"/>
    <cellStyle name="Input 2 4 4 5 3 3" xfId="48809" xr:uid="{11C4F0EE-2B80-49FC-BD6E-BF3771628D7A}"/>
    <cellStyle name="Input 2 4 4 5 4" xfId="8123" xr:uid="{2C436446-2310-40C5-82D3-942028860185}"/>
    <cellStyle name="Input 2 4 4 5 4 2" xfId="51509" xr:uid="{6E27A3B2-31CD-4067-99B5-8F7608D372EB}"/>
    <cellStyle name="Input 2 4 4 5 5" xfId="28361" xr:uid="{F7DC2A7D-A322-423F-8C39-1766F19D05F1}"/>
    <cellStyle name="Input 2 4 4 6" xfId="4942" xr:uid="{00000000-0005-0000-0000-000034050000}"/>
    <cellStyle name="Input 2 4 4 6 2" xfId="11837" xr:uid="{50BD4AD4-B573-43D9-BC0C-9EB13CCC26A5}"/>
    <cellStyle name="Input 2 4 4 6 2 2" xfId="34323" xr:uid="{4165C989-D567-4CE4-9D71-35F0A55039E7}"/>
    <cellStyle name="Input 2 4 4 6 2 3" xfId="24701" xr:uid="{533AD3D6-A46C-4B8A-942F-51F5C6520C84}"/>
    <cellStyle name="Input 2 4 4 6 3" xfId="16879" xr:uid="{96FA75FB-594A-49F3-9AF4-19E92EBA164C}"/>
    <cellStyle name="Input 2 4 4 6 3 2" xfId="39269" xr:uid="{0AE2CBD8-56B3-4C8C-8332-ABEAF93B764B}"/>
    <cellStyle name="Input 2 4 4 6 3 3" xfId="44190" xr:uid="{393F09F0-54F5-400F-AE4D-F930D55A2CD1}"/>
    <cellStyle name="Input 2 4 4 6 4" xfId="21303" xr:uid="{95B930FC-2CB2-43C8-B68D-B17DFE05FB71}"/>
    <cellStyle name="Input 2 4 4 6 4 2" xfId="28553" xr:uid="{1F98D38E-8BAA-4C7B-ABBE-E3479B896606}"/>
    <cellStyle name="Input 2 4 4 6 5" xfId="50943" xr:uid="{F1EA9CD9-EA98-46DC-9412-7237F82F0AE8}"/>
    <cellStyle name="Input 2 4 4 7" xfId="4762" xr:uid="{00000000-0005-0000-0000-000034050000}"/>
    <cellStyle name="Input 2 4 4 7 2" xfId="11660" xr:uid="{58EFC4DF-577F-488C-BDC4-7962D3BA19B5}"/>
    <cellStyle name="Input 2 4 4 7 2 2" xfId="34146" xr:uid="{20E53D32-0551-4A68-B907-FB2FC04662D5}"/>
    <cellStyle name="Input 2 4 4 7 2 3" xfId="29582" xr:uid="{DEF5BC2D-5D4C-4092-9926-F69B4D78E247}"/>
    <cellStyle name="Input 2 4 4 7 3" xfId="16699" xr:uid="{8E016336-BE33-4C51-BA32-300D09736105}"/>
    <cellStyle name="Input 2 4 4 7 3 2" xfId="39089" xr:uid="{DDB8566D-56E2-4122-81A3-387D5FCA9425}"/>
    <cellStyle name="Input 2 4 4 7 3 3" xfId="43768" xr:uid="{E9C80952-C220-4853-9F8E-87B22C74F26B}"/>
    <cellStyle name="Input 2 4 4 7 4" xfId="14243" xr:uid="{4994233E-BFF6-470B-9F7B-FD80199AE617}"/>
    <cellStyle name="Input 2 4 4 7 4 2" xfId="52193" xr:uid="{1DC1D8E5-91EF-4A5D-8FCD-52D003E81F09}"/>
    <cellStyle name="Input 2 4 4 7 5" xfId="25404" xr:uid="{A2F1EF67-F5A9-4662-A77E-6CE928404921}"/>
    <cellStyle name="Input 2 4 4 8" xfId="8133" xr:uid="{F8AABC69-DA95-4880-A5AF-77CAAB286C7A}"/>
    <cellStyle name="Input 2 4 4 8 2" xfId="30745" xr:uid="{7F6D9D49-03B7-4BB3-96DD-27E76405C1C8}"/>
    <cellStyle name="Input 2 4 4 8 3" xfId="46474" xr:uid="{FEDE7123-CF3C-4E80-883B-C609C776C02E}"/>
    <cellStyle name="Input 2 4 4 9" xfId="16259" xr:uid="{B0D77EAD-C792-4C52-82A2-D2F356B21200}"/>
    <cellStyle name="Input 2 4 4 9 2" xfId="38651" xr:uid="{5400B2B0-7C14-4B26-A5D9-172D6C92278A}"/>
    <cellStyle name="Input 2 4 4 9 3" xfId="25653" xr:uid="{194C455A-0174-4498-B038-D138206B780A}"/>
    <cellStyle name="Input 2 4 5" xfId="1211" xr:uid="{00000000-0005-0000-0000-000037050000}"/>
    <cellStyle name="Input 2 4 5 10" xfId="20244" xr:uid="{8B5C05D1-9B1D-4582-86B2-7E10C4D283C8}"/>
    <cellStyle name="Input 2 4 5 10 2" xfId="27757" xr:uid="{C824E49C-4B75-4899-8786-C6A3FC47C90F}"/>
    <cellStyle name="Input 2 4 5 11" xfId="49398" xr:uid="{BC78DA7F-C961-42B6-BD10-489F49799B44}"/>
    <cellStyle name="Input 2 4 5 2" xfId="2011" xr:uid="{00000000-0005-0000-0000-000038050000}"/>
    <cellStyle name="Input 2 4 5 2 10" xfId="14659" xr:uid="{E8D0182B-88A7-4D0B-82ED-C7229CABFECB}"/>
    <cellStyle name="Input 2 4 5 2 10 2" xfId="37119" xr:uid="{55146EE0-D309-45B0-9B00-0B086C68CB38}"/>
    <cellStyle name="Input 2 4 5 2 10 3" xfId="28363" xr:uid="{5C2C6C21-EDF0-45AF-865D-F1124A4B9C2D}"/>
    <cellStyle name="Input 2 4 5 2 11" xfId="19789" xr:uid="{84419F14-D8C3-4CB4-A9AD-EA5A0C3E4C5F}"/>
    <cellStyle name="Input 2 4 5 2 11 2" xfId="42127" xr:uid="{A5C56124-923D-470B-97C7-5C63D80F235A}"/>
    <cellStyle name="Input 2 4 5 2 11 3" xfId="45104" xr:uid="{5FFAE196-6182-4C7D-8EBC-44CC94902000}"/>
    <cellStyle name="Input 2 4 5 2 12" xfId="15024" xr:uid="{693C1901-1718-43F2-820D-FD54FC75ED3A}"/>
    <cellStyle name="Input 2 4 5 2 12 2" xfId="53025" xr:uid="{F0CE5C26-3E24-4DF8-B0AD-4553E7627282}"/>
    <cellStyle name="Input 2 4 5 2 13" xfId="51462" xr:uid="{3200FCCB-C7E7-4C0A-AACB-5775AA1D96C3}"/>
    <cellStyle name="Input 2 4 5 2 2" xfId="4106" xr:uid="{00000000-0005-0000-0000-000037050000}"/>
    <cellStyle name="Input 2 4 5 2 2 2" xfId="11010" xr:uid="{AA8DE292-6045-4A4E-AD8D-FD8FEF54648D}"/>
    <cellStyle name="Input 2 4 5 2 2 2 2" xfId="33496" xr:uid="{077F47BA-87DE-4528-96BD-C1CAC88567B7}"/>
    <cellStyle name="Input 2 4 5 2 2 2 3" xfId="52440" xr:uid="{B61F8470-46C7-4917-8F94-31B6B8DE81FF}"/>
    <cellStyle name="Input 2 4 5 2 2 3" xfId="16110" xr:uid="{E133AA4B-9CD0-4054-BA9E-7EB5EEF7A764}"/>
    <cellStyle name="Input 2 4 5 2 2 3 2" xfId="38510" xr:uid="{CE1264FD-B1F9-4036-AF8F-E53B3EE18B22}"/>
    <cellStyle name="Input 2 4 5 2 2 3 3" xfId="44461" xr:uid="{33E9A24A-A15F-46BA-89AA-BB6EC43BD16D}"/>
    <cellStyle name="Input 2 4 5 2 2 4" xfId="19415" xr:uid="{B41A676A-D584-4F11-A2C0-DF849688DFA9}"/>
    <cellStyle name="Input 2 4 5 2 2 4 2" xfId="42745" xr:uid="{0752DAE9-746F-4104-A270-461E20300C36}"/>
    <cellStyle name="Input 2 4 5 2 2 5" xfId="45399" xr:uid="{142B935B-A9B9-4FAD-A095-E5B343E56672}"/>
    <cellStyle name="Input 2 4 5 2 3" xfId="5452" xr:uid="{00000000-0005-0000-0000-000037050000}"/>
    <cellStyle name="Input 2 4 5 2 3 2" xfId="12341" xr:uid="{EF2C4D77-26F6-4C29-8695-9E60CEEF8A67}"/>
    <cellStyle name="Input 2 4 5 2 3 2 2" xfId="34826" xr:uid="{60CB65E2-93D9-4184-8D5C-7B37F561FF9E}"/>
    <cellStyle name="Input 2 4 5 2 3 2 3" xfId="25078" xr:uid="{A2A2811B-E82B-4FCF-8B14-FC23ADEC7E9F}"/>
    <cellStyle name="Input 2 4 5 2 3 3" xfId="17389" xr:uid="{FC4DEF8A-3884-4E2B-A802-C573215639B0}"/>
    <cellStyle name="Input 2 4 5 2 3 3 2" xfId="39779" xr:uid="{B3729CC4-25E0-481A-BD4B-4737CCCA81D7}"/>
    <cellStyle name="Input 2 4 5 2 3 3 3" xfId="37637" xr:uid="{E2B1578C-3002-4431-A372-239F8D7750B6}"/>
    <cellStyle name="Input 2 4 5 2 3 4" xfId="21813" xr:uid="{1A4C4216-6797-4C10-940F-2485B71648E0}"/>
    <cellStyle name="Input 2 4 5 2 3 4 2" xfId="46848" xr:uid="{7C41C3EF-4183-410D-8E65-26A67E679F69}"/>
    <cellStyle name="Input 2 4 5 2 3 5" xfId="50942" xr:uid="{FB2E8A4D-DF99-4926-804B-419D21F7365F}"/>
    <cellStyle name="Input 2 4 5 2 4" xfId="5875" xr:uid="{00000000-0005-0000-0000-000037050000}"/>
    <cellStyle name="Input 2 4 5 2 4 2" xfId="12757" xr:uid="{931A9EA7-DFCB-4BD7-8EF8-8988DF061B4E}"/>
    <cellStyle name="Input 2 4 5 2 4 2 2" xfId="35241" xr:uid="{7B858B4A-68B4-4FA5-A0A2-C4E5CFC4DB86}"/>
    <cellStyle name="Input 2 4 5 2 4 2 3" xfId="45512" xr:uid="{284EE3D2-85C0-4555-9EF7-481B4DC69831}"/>
    <cellStyle name="Input 2 4 5 2 4 3" xfId="17812" xr:uid="{30728B4F-2CFE-4A8C-91BF-9E9F171FF174}"/>
    <cellStyle name="Input 2 4 5 2 4 3 2" xfId="40202" xr:uid="{A9994681-9950-4B29-903A-2EADCE6E2424}"/>
    <cellStyle name="Input 2 4 5 2 4 3 3" xfId="25811" xr:uid="{BD0E8B9C-BDDB-4B81-941C-737A54F22EB4}"/>
    <cellStyle name="Input 2 4 5 2 4 4" xfId="22236" xr:uid="{D461CF56-A9B5-4FA0-B380-9374EE67C132}"/>
    <cellStyle name="Input 2 4 5 2 4 4 2" xfId="53168" xr:uid="{3E17A478-AE38-4F33-9050-97D2B8E0D318}"/>
    <cellStyle name="Input 2 4 5 2 4 5" xfId="48458" xr:uid="{03DCB1F7-8124-45AE-AAB3-452768128AC1}"/>
    <cellStyle name="Input 2 4 5 2 5" xfId="6213" xr:uid="{00000000-0005-0000-0000-000037050000}"/>
    <cellStyle name="Input 2 4 5 2 5 2" xfId="13088" xr:uid="{5AE5A5C7-1836-4B84-82CA-E3D691235AB4}"/>
    <cellStyle name="Input 2 4 5 2 5 2 2" xfId="35572" xr:uid="{07FA77A7-C2E8-4BE8-98A5-335B6B42E772}"/>
    <cellStyle name="Input 2 4 5 2 5 2 3" xfId="45249" xr:uid="{C694ED5D-EC59-428E-93E5-4FFA4BBBC7BD}"/>
    <cellStyle name="Input 2 4 5 2 5 3" xfId="18150" xr:uid="{28C45765-C79A-4588-8D62-B4269E4B9B94}"/>
    <cellStyle name="Input 2 4 5 2 5 3 2" xfId="40540" xr:uid="{31BDFF77-E87C-4DC7-A5EF-E8B87E9EFF20}"/>
    <cellStyle name="Input 2 4 5 2 5 3 3" xfId="28453" xr:uid="{A8C870DC-B682-43E5-BFD5-EBC2437F8FE7}"/>
    <cellStyle name="Input 2 4 5 2 5 4" xfId="22574" xr:uid="{61DA6127-CE84-4831-AF19-0617347BF192}"/>
    <cellStyle name="Input 2 4 5 2 5 4 2" xfId="53977" xr:uid="{961D89DA-57A0-457F-BB5A-008606C01B6D}"/>
    <cellStyle name="Input 2 4 5 2 5 5" xfId="48530" xr:uid="{33BA2BF5-F4A8-4359-8D89-5DE29BEA0992}"/>
    <cellStyle name="Input 2 4 5 2 6" xfId="6579" xr:uid="{00000000-0005-0000-0000-000037050000}"/>
    <cellStyle name="Input 2 4 5 2 6 2" xfId="13445" xr:uid="{A3A7FE7A-6A51-4014-A506-0741D3A3DF0A}"/>
    <cellStyle name="Input 2 4 5 2 6 2 2" xfId="35929" xr:uid="{281C762A-6B21-4D59-BA48-9E176EEB097E}"/>
    <cellStyle name="Input 2 4 5 2 6 2 3" xfId="37078" xr:uid="{F0954243-0FA1-44FB-8604-230547A928C4}"/>
    <cellStyle name="Input 2 4 5 2 6 3" xfId="18516" xr:uid="{336EF94A-EACA-42CE-A17B-B9725687EB8A}"/>
    <cellStyle name="Input 2 4 5 2 6 3 2" xfId="40906" xr:uid="{FE004F76-CCC1-4BDC-9519-31E9D89E125A}"/>
    <cellStyle name="Input 2 4 5 2 6 3 3" xfId="44657" xr:uid="{A1E8FCB8-81C6-4918-A1D1-46B1FD762AF2}"/>
    <cellStyle name="Input 2 4 5 2 6 4" xfId="22940" xr:uid="{CC50AAB4-B535-48A3-BCD8-3BA0FEEF8A75}"/>
    <cellStyle name="Input 2 4 5 2 6 4 2" xfId="53011" xr:uid="{603D23BF-6F1C-4DA2-B69A-D7103CEAE5A2}"/>
    <cellStyle name="Input 2 4 5 2 6 5" xfId="44544" xr:uid="{9A67C840-36F6-4584-A796-F978A90C49B8}"/>
    <cellStyle name="Input 2 4 5 2 7" xfId="4738" xr:uid="{00000000-0005-0000-0000-000037050000}"/>
    <cellStyle name="Input 2 4 5 2 7 2" xfId="11636" xr:uid="{6EEE2144-F697-4C43-BB91-BC44381A955F}"/>
    <cellStyle name="Input 2 4 5 2 7 2 2" xfId="34122" xr:uid="{E7B0D9FD-145D-4C8F-8B40-161003217BFF}"/>
    <cellStyle name="Input 2 4 5 2 7 2 3" xfId="27992" xr:uid="{54CFF175-CD06-4449-AB47-AEF8E2B965CF}"/>
    <cellStyle name="Input 2 4 5 2 7 3" xfId="16675" xr:uid="{9364E2C6-9148-41C0-BBCE-5FB87BEC657D}"/>
    <cellStyle name="Input 2 4 5 2 7 3 2" xfId="39065" xr:uid="{65DB33D0-EBC0-4B7A-A77C-3545B8AF43D9}"/>
    <cellStyle name="Input 2 4 5 2 7 3 3" xfId="28404" xr:uid="{9D5AEF54-AA3A-4CB0-B427-0FECC742018A}"/>
    <cellStyle name="Input 2 4 5 2 7 4" xfId="20723" xr:uid="{57232A1B-B31A-4FCD-AFD7-2A0550694623}"/>
    <cellStyle name="Input 2 4 5 2 7 4 2" xfId="49523" xr:uid="{F39A3247-6931-4867-B0D1-E39EC01993A8}"/>
    <cellStyle name="Input 2 4 5 2 7 5" xfId="53691" xr:uid="{A22ADF06-4745-479D-B89A-2ADA0A0563FB}"/>
    <cellStyle name="Input 2 4 5 2 8" xfId="7049" xr:uid="{00000000-0005-0000-0000-000037050000}"/>
    <cellStyle name="Input 2 4 5 2 8 2" xfId="13885" xr:uid="{F789A1FA-A495-4F60-910C-85A086FDC9D0}"/>
    <cellStyle name="Input 2 4 5 2 8 2 2" xfId="36369" xr:uid="{93331166-E133-4EB8-9F76-9BC6504B6322}"/>
    <cellStyle name="Input 2 4 5 2 8 2 3" xfId="52187" xr:uid="{050D322F-D855-439F-A887-0C70D9CFE1B3}"/>
    <cellStyle name="Input 2 4 5 2 8 3" xfId="18986" xr:uid="{CED80DE0-67DF-4F15-B1E4-CF178D2A6056}"/>
    <cellStyle name="Input 2 4 5 2 8 3 2" xfId="41376" xr:uid="{902BF330-A812-4A9D-9D92-F46A80C428FE}"/>
    <cellStyle name="Input 2 4 5 2 8 3 3" xfId="37326" xr:uid="{F04C0CBB-6BB7-4E60-B229-53EFF467E9AD}"/>
    <cellStyle name="Input 2 4 5 2 8 4" xfId="23410" xr:uid="{91FED404-C37D-455F-A79A-BB7EF259D836}"/>
    <cellStyle name="Input 2 4 5 2 8 4 2" xfId="29667" xr:uid="{B31688A9-1E39-4125-BBF2-C4F3A9CB8C62}"/>
    <cellStyle name="Input 2 4 5 2 8 5" xfId="50439" xr:uid="{8A97C41F-1794-4B24-9E9B-243373130065}"/>
    <cellStyle name="Input 2 4 5 2 9" xfId="7164" xr:uid="{00000000-0005-0000-0000-000037050000}"/>
    <cellStyle name="Input 2 4 5 2 9 2" xfId="19101" xr:uid="{E62AE18F-7536-4984-87E3-3B34BF185F87}"/>
    <cellStyle name="Input 2 4 5 2 9 2 2" xfId="41491" xr:uid="{5B6844CF-C57C-46AF-8383-5DB79780D565}"/>
    <cellStyle name="Input 2 4 5 2 9 2 3" xfId="24495" xr:uid="{A82877B3-7CD6-4D31-8C34-A46D3BD5DF58}"/>
    <cellStyle name="Input 2 4 5 2 9 3" xfId="23525" xr:uid="{4745ED44-A611-4091-A944-4DE9E694C373}"/>
    <cellStyle name="Input 2 4 5 2 9 3 2" xfId="42670" xr:uid="{A3E78C2B-3BD1-4556-8D03-D9FEDF56B9EF}"/>
    <cellStyle name="Input 2 4 5 2 9 4" xfId="48489" xr:uid="{CD79D0EB-F3FC-42C5-B3B2-DB30E17BCFB9}"/>
    <cellStyle name="Input 2 4 5 3" xfId="3325" xr:uid="{00000000-0005-0000-0000-000036050000}"/>
    <cellStyle name="Input 2 4 5 3 2" xfId="10233" xr:uid="{8B5DFBD4-0B72-45DA-819C-80CD732C7EF5}"/>
    <cellStyle name="Input 2 4 5 3 2 2" xfId="32727" xr:uid="{A2941390-6156-4B3D-B5C6-B32E2AF8F110}"/>
    <cellStyle name="Input 2 4 5 3 2 3" xfId="48071" xr:uid="{8CB38385-29BE-4971-BDC6-FA484A9F0111}"/>
    <cellStyle name="Input 2 4 5 3 3" xfId="15551" xr:uid="{EE919777-C5D8-440F-8690-275C0F7DC730}"/>
    <cellStyle name="Input 2 4 5 3 3 2" xfId="37970" xr:uid="{B6015E9D-BB9C-4331-85D8-4145CA822C94}"/>
    <cellStyle name="Input 2 4 5 3 3 3" xfId="49038" xr:uid="{2CC0DDB9-0A97-4D67-BFA1-9061C4084DE7}"/>
    <cellStyle name="Input 2 4 5 3 4" xfId="20736" xr:uid="{1506363E-BC73-4825-999C-ACC8A84DA4B2}"/>
    <cellStyle name="Input 2 4 5 3 4 2" xfId="46305" xr:uid="{922466D5-974B-4D99-AF54-27BD1A837A4D}"/>
    <cellStyle name="Input 2 4 5 3 5" xfId="51978" xr:uid="{94AEB033-EDFF-4C8E-9CDA-399F0AFB1260}"/>
    <cellStyle name="Input 2 4 5 4" xfId="4911" xr:uid="{00000000-0005-0000-0000-000036050000}"/>
    <cellStyle name="Input 2 4 5 4 2" xfId="11806" xr:uid="{2D602C11-BCA3-496A-B823-058F7B7EDE01}"/>
    <cellStyle name="Input 2 4 5 4 2 2" xfId="34292" xr:uid="{A08EC59A-FC96-4647-BFB7-F5B38981A9C3}"/>
    <cellStyle name="Input 2 4 5 4 2 3" xfId="38153" xr:uid="{9A355260-1909-4EA7-9C50-AF11CAB317D7}"/>
    <cellStyle name="Input 2 4 5 4 3" xfId="16848" xr:uid="{4FBA161F-05F5-4175-9B1F-03DB4E14FD39}"/>
    <cellStyle name="Input 2 4 5 4 3 2" xfId="39238" xr:uid="{F7A71E7F-C3F5-4CCE-8B2E-3821FD5F7E37}"/>
    <cellStyle name="Input 2 4 5 4 3 3" xfId="29754" xr:uid="{E8398B83-00B4-4AC0-8263-C0D51C996AC4}"/>
    <cellStyle name="Input 2 4 5 4 4" xfId="21160" xr:uid="{E69540E5-CD24-47B1-8E4D-B46C613F43CF}"/>
    <cellStyle name="Input 2 4 5 4 4 2" xfId="47672" xr:uid="{522B9CEB-D20C-49A8-A348-E9BACD4CC2A9}"/>
    <cellStyle name="Input 2 4 5 4 5" xfId="51943" xr:uid="{DEEFC116-A8D6-460C-AE5E-4FDBFAE641B2}"/>
    <cellStyle name="Input 2 4 5 5" xfId="5633" xr:uid="{00000000-0005-0000-0000-000036050000}"/>
    <cellStyle name="Input 2 4 5 5 2" xfId="12517" xr:uid="{159D2B1D-45EC-4E78-BDA8-CFEBAA35EE41}"/>
    <cellStyle name="Input 2 4 5 5 2 2" xfId="35002" xr:uid="{3AADA0E5-2DF8-41C9-9A4D-765575A46D9C}"/>
    <cellStyle name="Input 2 4 5 5 2 3" xfId="44139" xr:uid="{7ED3516C-6C26-4934-8952-07D7424E7C3A}"/>
    <cellStyle name="Input 2 4 5 5 3" xfId="17570" xr:uid="{7BD1F429-9F5A-430C-8DDA-FE940E7251CA}"/>
    <cellStyle name="Input 2 4 5 5 3 2" xfId="39960" xr:uid="{97374BF8-9839-42D6-B807-07BA3B298F49}"/>
    <cellStyle name="Input 2 4 5 5 3 3" xfId="30417" xr:uid="{02475BDD-7744-4D94-AF3F-8543F6D44222}"/>
    <cellStyle name="Input 2 4 5 5 4" xfId="21994" xr:uid="{AE8ED1BA-7C27-49AE-A2EC-26149C088EBB}"/>
    <cellStyle name="Input 2 4 5 5 4 2" xfId="47285" xr:uid="{B95343ED-ECFC-4062-844A-9589B5332EE6}"/>
    <cellStyle name="Input 2 4 5 5 5" xfId="51927" xr:uid="{3E508EDB-6D4F-4F50-8A6E-E29F9F7134C5}"/>
    <cellStyle name="Input 2 4 5 6" xfId="5615" xr:uid="{00000000-0005-0000-0000-000036050000}"/>
    <cellStyle name="Input 2 4 5 6 2" xfId="12499" xr:uid="{75545160-446D-453B-AE3B-025C418AC728}"/>
    <cellStyle name="Input 2 4 5 6 2 2" xfId="34984" xr:uid="{38A6A95D-CD9F-468A-82C9-59FF139D8B39}"/>
    <cellStyle name="Input 2 4 5 6 2 3" xfId="23877" xr:uid="{63D15EB2-2BEE-4643-84F3-254AB5367BC1}"/>
    <cellStyle name="Input 2 4 5 6 3" xfId="17552" xr:uid="{405B461E-B6C1-4B6A-8EFA-DBD1705862EE}"/>
    <cellStyle name="Input 2 4 5 6 3 2" xfId="39942" xr:uid="{A2DE0B8B-BBBE-4E1C-8D9B-F6A7A7E34697}"/>
    <cellStyle name="Input 2 4 5 6 3 3" xfId="28226" xr:uid="{3BC96793-F67D-443E-BFE1-0BBDE5A39E13}"/>
    <cellStyle name="Input 2 4 5 6 4" xfId="21976" xr:uid="{3EE542BC-940A-4B3C-864F-6889907D57C5}"/>
    <cellStyle name="Input 2 4 5 6 4 2" xfId="27549" xr:uid="{FE985F9F-0093-43B1-84A7-53EFCEB003DF}"/>
    <cellStyle name="Input 2 4 5 6 5" xfId="46921" xr:uid="{1623C905-7D7E-4FF0-A05B-F2FA89D1C5D0}"/>
    <cellStyle name="Input 2 4 5 7" xfId="6874" xr:uid="{00000000-0005-0000-0000-000036050000}"/>
    <cellStyle name="Input 2 4 5 7 2" xfId="13715" xr:uid="{85C42009-8E97-4D43-9B05-C521DAF2E71C}"/>
    <cellStyle name="Input 2 4 5 7 2 2" xfId="36199" xr:uid="{8BB2C201-DB20-48E8-9205-D4AF2ED48442}"/>
    <cellStyle name="Input 2 4 5 7 2 3" xfId="43688" xr:uid="{EEF1DC0F-4ADA-473B-BB27-1937DD0078CE}"/>
    <cellStyle name="Input 2 4 5 7 3" xfId="18811" xr:uid="{215A6BBD-F96E-4665-A303-4222987E6BA6}"/>
    <cellStyle name="Input 2 4 5 7 3 2" xfId="41201" xr:uid="{079D3578-4E50-45DE-A630-045E969D360A}"/>
    <cellStyle name="Input 2 4 5 7 3 3" xfId="29641" xr:uid="{A6539E1A-D452-42EB-897D-B38A65E844FE}"/>
    <cellStyle name="Input 2 4 5 7 4" xfId="23235" xr:uid="{9C885A25-6C18-43A0-86B9-9E98E8D93238}"/>
    <cellStyle name="Input 2 4 5 7 4 2" xfId="54137" xr:uid="{FC4B7654-B158-41D6-B18E-32AF77C3EC69}"/>
    <cellStyle name="Input 2 4 5 7 5" xfId="52098" xr:uid="{27FA7172-DBF5-4617-9E6A-B6F9DC86F07A}"/>
    <cellStyle name="Input 2 4 5 8" xfId="14086" xr:uid="{D1983554-9C7E-4622-9C56-DCFC3745BBE5}"/>
    <cellStyle name="Input 2 4 5 8 2" xfId="36564" xr:uid="{E4BEC967-984F-4857-9413-C92C04D74B2A}"/>
    <cellStyle name="Input 2 4 5 8 3" xfId="46149" xr:uid="{921E7A56-24C5-4021-9CC5-AD9806E2716A}"/>
    <cellStyle name="Input 2 4 5 9" xfId="20144" xr:uid="{A95236AD-C4A5-477F-A50F-CFB61F2F97B9}"/>
    <cellStyle name="Input 2 4 5 9 2" xfId="42458" xr:uid="{014CA29C-94E9-4920-B5C6-0A5E4965C6E2}"/>
    <cellStyle name="Input 2 4 5 9 3" xfId="44676" xr:uid="{1F8E2F25-449F-4B9F-99E1-DC5A2E480E4F}"/>
    <cellStyle name="Input 2 4 6" xfId="1373" xr:uid="{00000000-0005-0000-0000-000039050000}"/>
    <cellStyle name="Input 2 4 6 10" xfId="15281" xr:uid="{C05AF82D-834C-4039-9891-1DA1E8B99652}"/>
    <cellStyle name="Input 2 4 6 10 2" xfId="23910" xr:uid="{F81D1369-B6D1-4673-867E-E564AF893844}"/>
    <cellStyle name="Input 2 4 6 11" xfId="54131" xr:uid="{3AF36A0C-5B65-4DD1-A955-863F5509BDDD}"/>
    <cellStyle name="Input 2 4 6 2" xfId="2102" xr:uid="{00000000-0005-0000-0000-00003A050000}"/>
    <cellStyle name="Input 2 4 6 2 10" xfId="14731" xr:uid="{7DB55AD2-4F69-460D-AF6C-5DADB1FE3031}"/>
    <cellStyle name="Input 2 4 6 2 10 2" xfId="37189" xr:uid="{65EF54AB-564C-4E3B-B933-BD16478BFFB5}"/>
    <cellStyle name="Input 2 4 6 2 10 3" xfId="43322" xr:uid="{8C70A4ED-9BD7-49F5-82FA-1B68CDABF626}"/>
    <cellStyle name="Input 2 4 6 2 11" xfId="21255" xr:uid="{BA91D3C2-48D8-4412-A24E-50A9EDDE61A5}"/>
    <cellStyle name="Input 2 4 6 2 11 2" xfId="43490" xr:uid="{82124D3F-A0CF-439E-BDAD-EBA13C42761B}"/>
    <cellStyle name="Input 2 4 6 2 11 3" xfId="46632" xr:uid="{C43605A9-C299-4589-B2A0-7C1270BA674A}"/>
    <cellStyle name="Input 2 4 6 2 12" xfId="8893" xr:uid="{F813BF96-24A1-4803-A753-F5D202D52878}"/>
    <cellStyle name="Input 2 4 6 2 12 2" xfId="50532" xr:uid="{97CB857D-AA62-4FCA-BBE5-7281D3179C9E}"/>
    <cellStyle name="Input 2 4 6 2 13" xfId="51283" xr:uid="{49C63102-8598-4EA9-9689-8741522D4F29}"/>
    <cellStyle name="Input 2 4 6 2 2" xfId="4195" xr:uid="{00000000-0005-0000-0000-000039050000}"/>
    <cellStyle name="Input 2 4 6 2 2 2" xfId="11099" xr:uid="{2A661331-CD6F-4202-8CC8-CC5EF1044FEF}"/>
    <cellStyle name="Input 2 4 6 2 2 2 2" xfId="33585" xr:uid="{2272B202-DD9E-43DE-8518-C8F5B965F15A}"/>
    <cellStyle name="Input 2 4 6 2 2 2 3" xfId="53589" xr:uid="{77AA6EDE-7681-4AB3-A36E-E00311E454D7}"/>
    <cellStyle name="Input 2 4 6 2 2 3" xfId="16188" xr:uid="{E3CFDDAC-F80C-4BD2-BD85-C274BB49A8A0}"/>
    <cellStyle name="Input 2 4 6 2 2 3 2" xfId="38587" xr:uid="{EAF8D51A-F498-409D-93DD-2651CDB508CF}"/>
    <cellStyle name="Input 2 4 6 2 2 3 3" xfId="24731" xr:uid="{45BCE1E1-DDF5-4898-B9CA-C333D7ECFB27}"/>
    <cellStyle name="Input 2 4 6 2 2 4" xfId="19477" xr:uid="{B3C8ED9F-2B76-4EF4-8CBD-C9E597B6C51C}"/>
    <cellStyle name="Input 2 4 6 2 2 4 2" xfId="23923" xr:uid="{9E28826C-EB02-4536-9449-BB634881C6CC}"/>
    <cellStyle name="Input 2 4 6 2 2 5" xfId="53628" xr:uid="{B2084B17-FD84-4BF8-B474-EF126A427D30}"/>
    <cellStyle name="Input 2 4 6 2 3" xfId="5521" xr:uid="{00000000-0005-0000-0000-000039050000}"/>
    <cellStyle name="Input 2 4 6 2 3 2" xfId="12410" xr:uid="{5D4BD0F5-D856-4290-9CBA-865A6EAAEA80}"/>
    <cellStyle name="Input 2 4 6 2 3 2 2" xfId="34895" xr:uid="{4C2997F7-235D-4BB7-B0DA-24A1EFCB2CA8}"/>
    <cellStyle name="Input 2 4 6 2 3 2 3" xfId="28467" xr:uid="{5151C204-D105-4E17-BA01-B699BA51BD86}"/>
    <cellStyle name="Input 2 4 6 2 3 3" xfId="17458" xr:uid="{818E1378-5309-4495-8399-3A16DFD1FFFD}"/>
    <cellStyle name="Input 2 4 6 2 3 3 2" xfId="39848" xr:uid="{26715D49-AA73-4DC0-96C1-48653580AD3F}"/>
    <cellStyle name="Input 2 4 6 2 3 3 3" xfId="28678" xr:uid="{11854A3E-8499-4213-8D0F-66730D315807}"/>
    <cellStyle name="Input 2 4 6 2 3 4" xfId="21882" xr:uid="{B0C5B51E-3E80-4ED3-B936-7315ED9776AC}"/>
    <cellStyle name="Input 2 4 6 2 3 4 2" xfId="53183" xr:uid="{ECB02EF2-5142-4DBD-9B76-E760E359B621}"/>
    <cellStyle name="Input 2 4 6 2 3 5" xfId="52472" xr:uid="{A85E3272-7BEF-4BA6-B5E1-D4475E6FB912}"/>
    <cellStyle name="Input 2 4 6 2 4" xfId="5943" xr:uid="{00000000-0005-0000-0000-000039050000}"/>
    <cellStyle name="Input 2 4 6 2 4 2" xfId="12824" xr:uid="{DEFC5756-B461-4EDF-8E54-B67BBE216DFD}"/>
    <cellStyle name="Input 2 4 6 2 4 2 2" xfId="35308" xr:uid="{46A70330-8B12-4BEF-A66B-BDEAF75AC9E9}"/>
    <cellStyle name="Input 2 4 6 2 4 2 3" xfId="48949" xr:uid="{491B9753-115E-44E6-93C7-6C7C01AA1A97}"/>
    <cellStyle name="Input 2 4 6 2 4 3" xfId="17880" xr:uid="{28B287B8-0309-4345-BF4C-665B111F9026}"/>
    <cellStyle name="Input 2 4 6 2 4 3 2" xfId="40270" xr:uid="{30B63F52-3C06-409A-9974-3BE044E8350B}"/>
    <cellStyle name="Input 2 4 6 2 4 3 3" xfId="30218" xr:uid="{4A8DF4E7-77D7-4D7D-B330-5F3FD29DA204}"/>
    <cellStyle name="Input 2 4 6 2 4 4" xfId="22304" xr:uid="{71F62555-5095-4FAD-A94B-C9CED12DB03A}"/>
    <cellStyle name="Input 2 4 6 2 4 4 2" xfId="49046" xr:uid="{5A91A06D-25DC-4D9E-9EE0-B2CBEB8A0584}"/>
    <cellStyle name="Input 2 4 6 2 4 5" xfId="51619" xr:uid="{875D2539-C957-4548-B62A-9269535C2100}"/>
    <cellStyle name="Input 2 4 6 2 5" xfId="6283" xr:uid="{00000000-0005-0000-0000-000039050000}"/>
    <cellStyle name="Input 2 4 6 2 5 2" xfId="13155" xr:uid="{09F9A49F-52C7-41C5-BC5C-79F8376C7679}"/>
    <cellStyle name="Input 2 4 6 2 5 2 2" xfId="35639" xr:uid="{6838DA15-34AC-45CC-8677-B17292D03555}"/>
    <cellStyle name="Input 2 4 6 2 5 2 3" xfId="47478" xr:uid="{8967A851-1917-4841-A252-F10CDE46FCEE}"/>
    <cellStyle name="Input 2 4 6 2 5 3" xfId="18220" xr:uid="{A35D9917-6F92-4682-B14C-4CBE5DF4225C}"/>
    <cellStyle name="Input 2 4 6 2 5 3 2" xfId="40610" xr:uid="{070BEB50-772C-4AAC-8FF5-274A10D23C0D}"/>
    <cellStyle name="Input 2 4 6 2 5 3 3" xfId="30645" xr:uid="{835FB4D3-72E8-4B5E-8FC2-8D6B0DB5ADDA}"/>
    <cellStyle name="Input 2 4 6 2 5 4" xfId="22644" xr:uid="{AB87F4F1-245C-4F63-860D-44E0EF9BD403}"/>
    <cellStyle name="Input 2 4 6 2 5 4 2" xfId="45183" xr:uid="{53A2EB47-619D-4ED7-BDF8-B9A111394965}"/>
    <cellStyle name="Input 2 4 6 2 5 5" xfId="25993" xr:uid="{81B8DC23-27DB-4FE1-8187-00550F484C0E}"/>
    <cellStyle name="Input 2 4 6 2 6" xfId="6638" xr:uid="{00000000-0005-0000-0000-000039050000}"/>
    <cellStyle name="Input 2 4 6 2 6 2" xfId="13504" xr:uid="{36D90696-A64E-47C9-9C9C-B8200AC5A8CE}"/>
    <cellStyle name="Input 2 4 6 2 6 2 2" xfId="35988" xr:uid="{4D18C7F3-0F63-4427-975B-0BD9CB9E0F6B}"/>
    <cellStyle name="Input 2 4 6 2 6 2 3" xfId="53317" xr:uid="{B7A0190E-BA80-4C67-8658-C1CD217129D5}"/>
    <cellStyle name="Input 2 4 6 2 6 3" xfId="18575" xr:uid="{1EAAA743-A922-4D93-B408-E30B147CFCAD}"/>
    <cellStyle name="Input 2 4 6 2 6 3 2" xfId="40965" xr:uid="{09AD04E4-803D-43F2-84FF-2D3E560E4474}"/>
    <cellStyle name="Input 2 4 6 2 6 3 3" xfId="28165" xr:uid="{44727D51-D075-4C0B-8018-1DB92E4CFA95}"/>
    <cellStyle name="Input 2 4 6 2 6 4" xfId="22999" xr:uid="{6E1FCCDD-B456-4FC7-BCCF-38A69FBD862F}"/>
    <cellStyle name="Input 2 4 6 2 6 4 2" xfId="53810" xr:uid="{2AC678B1-4759-4F75-B235-716B1CFEE0E7}"/>
    <cellStyle name="Input 2 4 6 2 6 5" xfId="29690" xr:uid="{5F06F3CE-6094-467A-BC63-2BC674834702}"/>
    <cellStyle name="Input 2 4 6 2 7" xfId="6430" xr:uid="{00000000-0005-0000-0000-000039050000}"/>
    <cellStyle name="Input 2 4 6 2 7 2" xfId="13302" xr:uid="{AE5F32E9-EF0D-400F-9394-0D35B9031E4C}"/>
    <cellStyle name="Input 2 4 6 2 7 2 2" xfId="35786" xr:uid="{B9B23272-799E-4F91-B179-4147C8DC70AD}"/>
    <cellStyle name="Input 2 4 6 2 7 2 3" xfId="30242" xr:uid="{17475DA8-CC2C-4EE6-A6E1-3CFD05F59BF0}"/>
    <cellStyle name="Input 2 4 6 2 7 3" xfId="18367" xr:uid="{072702CA-E9EF-4D11-97F9-38992663E988}"/>
    <cellStyle name="Input 2 4 6 2 7 3 2" xfId="40757" xr:uid="{FD9954A2-2BFE-4349-8F3F-309C9592C68F}"/>
    <cellStyle name="Input 2 4 6 2 7 3 3" xfId="36486" xr:uid="{8DDADBB2-716B-47BA-8B0F-FA893D44E5A0}"/>
    <cellStyle name="Input 2 4 6 2 7 4" xfId="22791" xr:uid="{F0D32E29-1BE8-48E7-B35A-9C29DCD629C3}"/>
    <cellStyle name="Input 2 4 6 2 7 4 2" xfId="44490" xr:uid="{0B6DC723-419E-4528-8449-54D91D2415E7}"/>
    <cellStyle name="Input 2 4 6 2 7 5" xfId="46426" xr:uid="{B35DA28E-C6BE-4D45-A492-AA9A67150EAC}"/>
    <cellStyle name="Input 2 4 6 2 8" xfId="7093" xr:uid="{00000000-0005-0000-0000-000039050000}"/>
    <cellStyle name="Input 2 4 6 2 8 2" xfId="13929" xr:uid="{672A39C8-227C-44B9-BAFA-1CADABEDAD1B}"/>
    <cellStyle name="Input 2 4 6 2 8 2 2" xfId="36413" xr:uid="{B790A6F9-6444-4C83-A7CC-C41C3CD5C6BC}"/>
    <cellStyle name="Input 2 4 6 2 8 2 3" xfId="44093" xr:uid="{F6E35E67-9577-4547-94B9-3EFF429F6493}"/>
    <cellStyle name="Input 2 4 6 2 8 3" xfId="19030" xr:uid="{80408A50-EE19-4AA5-A78A-FC57322BD47C}"/>
    <cellStyle name="Input 2 4 6 2 8 3 2" xfId="41420" xr:uid="{F0D82470-4A0D-490C-9F10-B8C09B43483A}"/>
    <cellStyle name="Input 2 4 6 2 8 3 3" xfId="26306" xr:uid="{C569FC4A-D3E6-45BE-9F61-D52EF869D1AE}"/>
    <cellStyle name="Input 2 4 6 2 8 4" xfId="23454" xr:uid="{F8533982-EA4E-4764-AD54-B4804503DAF9}"/>
    <cellStyle name="Input 2 4 6 2 8 4 2" xfId="24691" xr:uid="{D7BFEC85-2E0A-4071-A9E1-905B80951696}"/>
    <cellStyle name="Input 2 4 6 2 8 5" xfId="46032" xr:uid="{A8DBA365-65E3-45A7-953E-B84025EFEE30}"/>
    <cellStyle name="Input 2 4 6 2 9" xfId="7208" xr:uid="{00000000-0005-0000-0000-000039050000}"/>
    <cellStyle name="Input 2 4 6 2 9 2" xfId="19145" xr:uid="{BF109F45-6BF8-4B04-BCE0-4D4235762263}"/>
    <cellStyle name="Input 2 4 6 2 9 2 2" xfId="41535" xr:uid="{75F1EC15-6143-49E8-B59A-755DDB29AECB}"/>
    <cellStyle name="Input 2 4 6 2 9 2 3" xfId="42784" xr:uid="{FE60735F-F921-46F0-9468-6B2AA6917DC4}"/>
    <cellStyle name="Input 2 4 6 2 9 3" xfId="23569" xr:uid="{4E66C2DC-1DEF-4363-AE5E-74839127D5D5}"/>
    <cellStyle name="Input 2 4 6 2 9 3 2" xfId="29380" xr:uid="{E0B8CA00-EB69-4BE7-BF7C-42EE692C858A}"/>
    <cellStyle name="Input 2 4 6 2 9 4" xfId="49566" xr:uid="{B8D2B183-1666-4B3D-BC82-E38319CE4656}"/>
    <cellStyle name="Input 2 4 6 3" xfId="3477" xr:uid="{00000000-0005-0000-0000-000038050000}"/>
    <cellStyle name="Input 2 4 6 3 2" xfId="10384" xr:uid="{DAC8ABDF-1892-436C-900D-6BBDF0F4463D}"/>
    <cellStyle name="Input 2 4 6 3 2 2" xfId="32871" xr:uid="{CCA6F2B7-39EE-48CB-8254-75A4103A1743}"/>
    <cellStyle name="Input 2 4 6 3 2 3" xfId="24671" xr:uid="{DBF6E5B3-CA15-48BC-84C1-D1091AD373CA}"/>
    <cellStyle name="Input 2 4 6 3 3" xfId="15655" xr:uid="{97D47D20-EC0E-4701-8F74-BBF9263C7999}"/>
    <cellStyle name="Input 2 4 6 3 3 2" xfId="38071" xr:uid="{EABF2276-2DF4-4DC5-B977-13AD3B8FF1C0}"/>
    <cellStyle name="Input 2 4 6 3 3 3" xfId="50126" xr:uid="{82F174FA-D6E8-434A-82C7-0EE9D04A6E5C}"/>
    <cellStyle name="Input 2 4 6 3 4" xfId="15930" xr:uid="{75C58ABC-0771-439A-BA26-39A01041F786}"/>
    <cellStyle name="Input 2 4 6 3 4 2" xfId="46156" xr:uid="{B7FE7D78-43C4-4207-9D4B-1052872435AB}"/>
    <cellStyle name="Input 2 4 6 3 5" xfId="48927" xr:uid="{C9210D74-8114-412F-89DD-722A9D4C5C9E}"/>
    <cellStyle name="Input 2 4 6 4" xfId="5010" xr:uid="{00000000-0005-0000-0000-000038050000}"/>
    <cellStyle name="Input 2 4 6 4 2" xfId="11904" xr:uid="{491ABC6E-0952-43B8-B329-E604D1AF43B6}"/>
    <cellStyle name="Input 2 4 6 4 2 2" xfId="34390" xr:uid="{AEA9180E-1EB7-4D10-A012-7C60466FF99C}"/>
    <cellStyle name="Input 2 4 6 4 2 3" xfId="24744" xr:uid="{3E6887E7-186D-490F-B466-C8663A675606}"/>
    <cellStyle name="Input 2 4 6 4 3" xfId="16947" xr:uid="{3053FDA4-2B63-4C2E-84EA-1B1DB5539729}"/>
    <cellStyle name="Input 2 4 6 4 3 2" xfId="39337" xr:uid="{08704EF2-7FFC-48DC-A5DD-D08335CEBAE9}"/>
    <cellStyle name="Input 2 4 6 4 3 3" xfId="28605" xr:uid="{347109D3-E85A-4D48-9E23-A6EDCD31D2FF}"/>
    <cellStyle name="Input 2 4 6 4 4" xfId="21371" xr:uid="{D3A8C05C-E1E3-4674-A2C4-4C71DA9BAA27}"/>
    <cellStyle name="Input 2 4 6 4 4 2" xfId="47927" xr:uid="{98CFE83C-77A3-41E9-87EF-1EE7C2A6121A}"/>
    <cellStyle name="Input 2 4 6 4 5" xfId="49246" xr:uid="{8231399C-83AE-4559-821F-0BA739F0E828}"/>
    <cellStyle name="Input 2 4 6 5" xfId="4460" xr:uid="{00000000-0005-0000-0000-000038050000}"/>
    <cellStyle name="Input 2 4 6 5 2" xfId="11362" xr:uid="{6AFB8A9A-115C-4871-98F9-58AABAE8BB51}"/>
    <cellStyle name="Input 2 4 6 5 2 2" xfId="33848" xr:uid="{EB4DA98F-32F5-45AA-9031-E3939981D936}"/>
    <cellStyle name="Input 2 4 6 5 2 3" xfId="42171" xr:uid="{87B3C4A7-2397-470E-9D1A-6F64D57BE0BA}"/>
    <cellStyle name="Input 2 4 6 5 3" xfId="16397" xr:uid="{5DA4D138-DE74-4D5F-BB99-ECFEF7396ED2}"/>
    <cellStyle name="Input 2 4 6 5 3 2" xfId="38787" xr:uid="{C65224E0-6B27-4BB1-A0B8-CD09824103DE}"/>
    <cellStyle name="Input 2 4 6 5 3 3" xfId="32652" xr:uid="{D46653D2-8772-40F3-8A8A-AB88DDD6544E}"/>
    <cellStyle name="Input 2 4 6 5 4" xfId="14539" xr:uid="{9734602C-A974-4256-B546-4F83F3574394}"/>
    <cellStyle name="Input 2 4 6 5 4 2" xfId="43595" xr:uid="{8F17A7D5-D77D-454F-859C-7975E29AA35B}"/>
    <cellStyle name="Input 2 4 6 5 5" xfId="53123" xr:uid="{DEF05314-ED8B-459C-AE25-5F50DCDE03FA}"/>
    <cellStyle name="Input 2 4 6 6" xfId="4757" xr:uid="{00000000-0005-0000-0000-000038050000}"/>
    <cellStyle name="Input 2 4 6 6 2" xfId="11655" xr:uid="{2F51657F-62E3-4432-9C1D-964977BE11BE}"/>
    <cellStyle name="Input 2 4 6 6 2 2" xfId="34141" xr:uid="{51C5E0DD-8929-48C8-92DD-2105FD8C8728}"/>
    <cellStyle name="Input 2 4 6 6 2 3" xfId="27785" xr:uid="{FB939211-A631-49B9-8175-7F6C9AC48A33}"/>
    <cellStyle name="Input 2 4 6 6 3" xfId="16694" xr:uid="{5DD2341E-2AD6-4D00-BB60-2F961EDB2EE6}"/>
    <cellStyle name="Input 2 4 6 6 3 2" xfId="39084" xr:uid="{76E67307-2981-4733-A27B-1D152299C57E}"/>
    <cellStyle name="Input 2 4 6 6 3 3" xfId="45141" xr:uid="{FA693FA5-023E-440B-A6BF-744C8859B7D5}"/>
    <cellStyle name="Input 2 4 6 6 4" xfId="14295" xr:uid="{D443457A-075B-496F-9B9C-691337341C8F}"/>
    <cellStyle name="Input 2 4 6 6 4 2" xfId="43651" xr:uid="{085E18CD-4466-4321-823F-47719B262510}"/>
    <cellStyle name="Input 2 4 6 6 5" xfId="29860" xr:uid="{EBF18B7A-206C-4FB7-8DC0-83BCBFB28161}"/>
    <cellStyle name="Input 2 4 6 7" xfId="2294" xr:uid="{00000000-0005-0000-0000-000038050000}"/>
    <cellStyle name="Input 2 4 6 7 2" xfId="9205" xr:uid="{425B23A4-2CCE-4F3A-A3A3-CEE209DF9879}"/>
    <cellStyle name="Input 2 4 6 7 2 2" xfId="31780" xr:uid="{C818152C-1861-4429-9E7A-6F0E64531959}"/>
    <cellStyle name="Input 2 4 6 7 2 3" xfId="46280" xr:uid="{F1DB959E-8BA0-4BA2-80F3-F8CDAB22E5B4}"/>
    <cellStyle name="Input 2 4 6 7 3" xfId="14861" xr:uid="{0573ABD7-AE3D-4140-9981-374FB7FAA70C}"/>
    <cellStyle name="Input 2 4 6 7 3 2" xfId="37315" xr:uid="{D6A4F86E-9AE4-4BD3-954C-98EF990FF830}"/>
    <cellStyle name="Input 2 4 6 7 3 3" xfId="29154" xr:uid="{CDFC95FD-E432-43AF-ABE8-CF7BB1D071E3}"/>
    <cellStyle name="Input 2 4 6 7 4" xfId="20591" xr:uid="{076C4C80-54EF-44F0-A908-D87A53A903A8}"/>
    <cellStyle name="Input 2 4 6 7 4 2" xfId="25069" xr:uid="{3B85D23D-10BF-4517-BC94-08E260E287AD}"/>
    <cellStyle name="Input 2 4 6 7 5" xfId="52300" xr:uid="{51938904-0DF9-472C-B4B5-3095E10DB657}"/>
    <cellStyle name="Input 2 4 6 8" xfId="14192" xr:uid="{BF91F75D-46DE-49EE-93BA-F0EA39983312}"/>
    <cellStyle name="Input 2 4 6 8 2" xfId="36667" xr:uid="{E2D2E949-8FAD-404A-A0A4-7D5FB915FE21}"/>
    <cellStyle name="Input 2 4 6 8 3" xfId="50751" xr:uid="{4F410E0F-5A2B-414F-B01F-9AB401D1AE49}"/>
    <cellStyle name="Input 2 4 6 9" xfId="14271" xr:uid="{5AA4DB5E-CA80-4F5D-83A2-2B9065FF0FBB}"/>
    <cellStyle name="Input 2 4 6 9 2" xfId="36741" xr:uid="{58ECC455-024B-4254-B69D-8381ECCA82D2}"/>
    <cellStyle name="Input 2 4 6 9 3" xfId="32636" xr:uid="{DCD3D0AF-D39A-45BC-8413-ED7CEF511E22}"/>
    <cellStyle name="Input 2 4 7" xfId="1645" xr:uid="{00000000-0005-0000-0000-00003B050000}"/>
    <cellStyle name="Input 2 4 7 10" xfId="14359" xr:uid="{818C5E46-335C-4DA0-B7F7-5BD521F1D129}"/>
    <cellStyle name="Input 2 4 7 10 2" xfId="36827" xr:uid="{7E4A057A-A481-44C2-B343-FB333C280460}"/>
    <cellStyle name="Input 2 4 7 10 3" xfId="51591" xr:uid="{21A4EE90-C24D-4289-8B02-71C74DCBD6FA}"/>
    <cellStyle name="Input 2 4 7 11" xfId="13979" xr:uid="{1B8A9333-22C6-4036-B1ED-3AA114D41C80}"/>
    <cellStyle name="Input 2 4 7 11 2" xfId="36463" xr:uid="{16A8F436-B8C6-4F38-95C7-8CE867785CA2}"/>
    <cellStyle name="Input 2 4 7 11 3" xfId="47703" xr:uid="{3E7F367B-A6B7-4B91-A426-7949D3B0126C}"/>
    <cellStyle name="Input 2 4 7 12" xfId="20580" xr:uid="{F6C06BBF-42A6-4743-819D-EA690825BBA1}"/>
    <cellStyle name="Input 2 4 7 12 2" xfId="51963" xr:uid="{CC695425-60D2-481C-8994-7B4E2AFF1709}"/>
    <cellStyle name="Input 2 4 7 13" xfId="29745" xr:uid="{5F8B50C6-36CA-41FF-93F5-C72168780DD4}"/>
    <cellStyle name="Input 2 4 7 2" xfId="3743" xr:uid="{00000000-0005-0000-0000-00003A050000}"/>
    <cellStyle name="Input 2 4 7 2 2" xfId="10647" xr:uid="{A4F4D97C-CF04-4755-8D00-79A94B861E46}"/>
    <cellStyle name="Input 2 4 7 2 2 2" xfId="33133" xr:uid="{B69C8CD6-AEB3-4C29-86C9-F806AAECFB54}"/>
    <cellStyle name="Input 2 4 7 2 2 3" xfId="28310" xr:uid="{25D689DC-F488-4264-B7C3-0E14C1460C3F}"/>
    <cellStyle name="Input 2 4 7 2 3" xfId="15824" xr:uid="{4B983854-7AC0-4AA7-9377-F7D13068DBA1}"/>
    <cellStyle name="Input 2 4 7 2 3 2" xfId="38232" xr:uid="{8F633E34-34C2-4EC3-990F-E1AC81983817}"/>
    <cellStyle name="Input 2 4 7 2 3 3" xfId="30777" xr:uid="{7E25C57E-ABB1-4043-8A2B-A27EAA07C734}"/>
    <cellStyle name="Input 2 4 7 2 4" xfId="20281" xr:uid="{90C6F430-1390-46EF-8A63-9910261B7800}"/>
    <cellStyle name="Input 2 4 7 2 4 2" xfId="46406" xr:uid="{01A42735-EECE-4EB9-8A21-A22BD19F6E91}"/>
    <cellStyle name="Input 2 4 7 2 5" xfId="51577" xr:uid="{DCA089E5-98A5-498F-9499-494F774D5472}"/>
    <cellStyle name="Input 2 4 7 3" xfId="5178" xr:uid="{00000000-0005-0000-0000-00003A050000}"/>
    <cellStyle name="Input 2 4 7 3 2" xfId="12071" xr:uid="{78FA1203-499C-4896-B82C-2BDC7AD2BC32}"/>
    <cellStyle name="Input 2 4 7 3 2 2" xfId="34557" xr:uid="{4166E01D-AF54-461E-904B-9102E2168DD8}"/>
    <cellStyle name="Input 2 4 7 3 2 3" xfId="29793" xr:uid="{FE7FBDEA-5032-4282-A065-D351F230EE2C}"/>
    <cellStyle name="Input 2 4 7 3 3" xfId="17115" xr:uid="{87F39793-6FCA-4683-801A-86EC73E680D8}"/>
    <cellStyle name="Input 2 4 7 3 3 2" xfId="39505" xr:uid="{619E669E-E106-49B8-A1A9-5BE7063BD3ED}"/>
    <cellStyle name="Input 2 4 7 3 3 3" xfId="28753" xr:uid="{CC0E44CB-C4C6-44AA-A164-076160CFDB36}"/>
    <cellStyle name="Input 2 4 7 3 4" xfId="21539" xr:uid="{21A39F20-3133-46A4-ABFF-C5C5CC17B57C}"/>
    <cellStyle name="Input 2 4 7 3 4 2" xfId="45059" xr:uid="{B04B464B-8325-4642-99A8-2DD6C700366A}"/>
    <cellStyle name="Input 2 4 7 3 5" xfId="47154" xr:uid="{52FFD2C3-A6A8-4878-9992-2CA1EDF41248}"/>
    <cellStyle name="Input 2 4 7 4" xfId="4617" xr:uid="{00000000-0005-0000-0000-00003A050000}"/>
    <cellStyle name="Input 2 4 7 4 2" xfId="11518" xr:uid="{B706BB21-D9E3-411E-959A-86FC0AB21202}"/>
    <cellStyle name="Input 2 4 7 4 2 2" xfId="34004" xr:uid="{386EA89B-4D1E-4661-8DBC-06C8A66808FC}"/>
    <cellStyle name="Input 2 4 7 4 2 3" xfId="45477" xr:uid="{A0C763DF-BF48-408A-88F4-1A6B33657430}"/>
    <cellStyle name="Input 2 4 7 4 3" xfId="16554" xr:uid="{7CDFE092-608B-4C56-99F4-5220689D7823}"/>
    <cellStyle name="Input 2 4 7 4 3 2" xfId="38944" xr:uid="{67BDD301-A1C3-4E1B-BF91-F24B7BEE3149}"/>
    <cellStyle name="Input 2 4 7 4 3 3" xfId="36501" xr:uid="{56B71EBF-E683-4A96-A590-2E8DE551219B}"/>
    <cellStyle name="Input 2 4 7 4 4" xfId="15474" xr:uid="{A947AF91-F5A7-4467-ABFE-5CB348BC26C1}"/>
    <cellStyle name="Input 2 4 7 4 4 2" xfId="37579" xr:uid="{A9BF9CF7-8FEC-47F7-9D63-9FAAB7C1D3ED}"/>
    <cellStyle name="Input 2 4 7 4 5" xfId="51711" xr:uid="{E72E65E2-34D8-45EF-97D8-B8D48BE900C0}"/>
    <cellStyle name="Input 2 4 7 5" xfId="4584" xr:uid="{00000000-0005-0000-0000-00003A050000}"/>
    <cellStyle name="Input 2 4 7 5 2" xfId="11486" xr:uid="{2FE14C75-5EA0-492B-81FC-FB075739B0D4}"/>
    <cellStyle name="Input 2 4 7 5 2 2" xfId="33972" xr:uid="{360F9063-ED33-407E-92CC-2889608A51C9}"/>
    <cellStyle name="Input 2 4 7 5 2 3" xfId="25682" xr:uid="{B5216172-C2C7-4D2C-9432-DD6195B1DE17}"/>
    <cellStyle name="Input 2 4 7 5 3" xfId="16521" xr:uid="{155AFE2C-AA33-418F-B11B-8BA6CA4A8C48}"/>
    <cellStyle name="Input 2 4 7 5 3 2" xfId="38911" xr:uid="{8B461AF5-6695-4D34-B982-937D006ADADA}"/>
    <cellStyle name="Input 2 4 7 5 3 3" xfId="29038" xr:uid="{C7C94283-4A82-495E-8F9B-9364BDB1D2D6}"/>
    <cellStyle name="Input 2 4 7 5 4" xfId="14476" xr:uid="{D5C1A147-CE28-46C4-963F-50F93A084045}"/>
    <cellStyle name="Input 2 4 7 5 4 2" xfId="30051" xr:uid="{F8327281-5AF1-498E-9A88-B78A34EC8FA9}"/>
    <cellStyle name="Input 2 4 7 5 5" xfId="50836" xr:uid="{1B1FBC56-3684-43DF-86E0-F9D9F2291324}"/>
    <cellStyle name="Input 2 4 7 6" xfId="4619" xr:uid="{00000000-0005-0000-0000-00003A050000}"/>
    <cellStyle name="Input 2 4 7 6 2" xfId="11520" xr:uid="{26F86F30-EE1F-4CA3-AA64-A5DA4CDB936F}"/>
    <cellStyle name="Input 2 4 7 6 2 2" xfId="34006" xr:uid="{B97B835C-4CEE-4B3D-B2D3-F1CAD6866A6D}"/>
    <cellStyle name="Input 2 4 7 6 2 3" xfId="29120" xr:uid="{789D0965-0E35-4514-8852-9D01DD551F02}"/>
    <cellStyle name="Input 2 4 7 6 3" xfId="16556" xr:uid="{4EE58067-C8EF-40A0-A9EA-80A6D7DA0F23}"/>
    <cellStyle name="Input 2 4 7 6 3 2" xfId="38946" xr:uid="{02F98891-32BB-4291-A035-60B7EE5122DD}"/>
    <cellStyle name="Input 2 4 7 6 3 3" xfId="42602" xr:uid="{1DCFDEB0-5B2E-4EB1-98F8-9F7E7EDC5609}"/>
    <cellStyle name="Input 2 4 7 6 4" xfId="14615" xr:uid="{FA2B7089-8AC2-42DD-8329-CB765E7204C1}"/>
    <cellStyle name="Input 2 4 7 6 4 2" xfId="52632" xr:uid="{4F901A05-DDEA-4CEB-96FE-25C17924F9BE}"/>
    <cellStyle name="Input 2 4 7 6 5" xfId="24348" xr:uid="{07FA9D4E-001E-4F30-A3DF-B0BDB8172301}"/>
    <cellStyle name="Input 2 4 7 7" xfId="6012" xr:uid="{00000000-0005-0000-0000-00003A050000}"/>
    <cellStyle name="Input 2 4 7 7 2" xfId="12893" xr:uid="{CE39CC5D-42DC-44C7-9C05-7F2DF8138E46}"/>
    <cellStyle name="Input 2 4 7 7 2 2" xfId="35377" xr:uid="{4471B6CE-FA1F-426F-9D13-9C1AE6EA8DC3}"/>
    <cellStyle name="Input 2 4 7 7 2 3" xfId="50033" xr:uid="{AD01897A-485E-4D97-9204-C38785977A61}"/>
    <cellStyle name="Input 2 4 7 7 3" xfId="17949" xr:uid="{440B691D-5C0E-49B9-94E8-76A658F6C03B}"/>
    <cellStyle name="Input 2 4 7 7 3 2" xfId="40339" xr:uid="{AE620045-26CC-44BD-A016-81BDE7461C8C}"/>
    <cellStyle name="Input 2 4 7 7 3 3" xfId="29093" xr:uid="{3EFCF9D8-5E5D-462C-B423-2EBBCFB61104}"/>
    <cellStyle name="Input 2 4 7 7 4" xfId="22373" xr:uid="{FE5C3191-AA40-47D3-9F82-BB15571DDF5C}"/>
    <cellStyle name="Input 2 4 7 7 4 2" xfId="48539" xr:uid="{2EEBFD4F-1FE7-414A-A985-FD6033A9165C}"/>
    <cellStyle name="Input 2 4 7 7 5" xfId="49651" xr:uid="{9E55F596-3DD0-460D-A2BA-F5C71C4CD534}"/>
    <cellStyle name="Input 2 4 7 8" xfId="6850" xr:uid="{00000000-0005-0000-0000-00003A050000}"/>
    <cellStyle name="Input 2 4 7 8 2" xfId="13693" xr:uid="{854F8F68-CC9B-4703-84CD-836F34F98DF5}"/>
    <cellStyle name="Input 2 4 7 8 2 2" xfId="36177" xr:uid="{090385CB-23DB-41E2-B34C-DFA5182E3BBB}"/>
    <cellStyle name="Input 2 4 7 8 2 3" xfId="28636" xr:uid="{46294DBB-C0F3-4D5E-B6B8-EA7866CFC033}"/>
    <cellStyle name="Input 2 4 7 8 3" xfId="18787" xr:uid="{73A0C401-E232-4EBB-9494-3D93AD7703AB}"/>
    <cellStyle name="Input 2 4 7 8 3 2" xfId="41177" xr:uid="{9740B888-A64E-4585-9338-CC15B6EE0062}"/>
    <cellStyle name="Input 2 4 7 8 3 3" xfId="37263" xr:uid="{1FCBCC79-EE76-484B-9D96-FD6DC943501E}"/>
    <cellStyle name="Input 2 4 7 8 4" xfId="23211" xr:uid="{237FC002-33C0-48A2-A964-5724C154A214}"/>
    <cellStyle name="Input 2 4 7 8 4 2" xfId="52058" xr:uid="{8B958192-9FB1-4E75-AD7C-616F0069FAA0}"/>
    <cellStyle name="Input 2 4 7 8 5" xfId="43994" xr:uid="{AE35FE47-B86E-4BF1-893D-EED1295BD33E}"/>
    <cellStyle name="Input 2 4 7 9" xfId="2295" xr:uid="{00000000-0005-0000-0000-00003A050000}"/>
    <cellStyle name="Input 2 4 7 9 2" xfId="14862" xr:uid="{6F1E01CD-AB36-4E55-AC7D-7FBA9FC75E10}"/>
    <cellStyle name="Input 2 4 7 9 2 2" xfId="37316" xr:uid="{7BB8EF67-D749-4E76-B412-08BD6B332DC0}"/>
    <cellStyle name="Input 2 4 7 9 2 3" xfId="53918" xr:uid="{76944415-C454-4C70-9418-0AE31D4D1E1F}"/>
    <cellStyle name="Input 2 4 7 9 3" xfId="21159" xr:uid="{7FC78FD8-308C-479A-8427-7A7824A0EB94}"/>
    <cellStyle name="Input 2 4 7 9 3 2" xfId="51086" xr:uid="{677DC78D-B1F9-42B7-B6D9-413DB0302435}"/>
    <cellStyle name="Input 2 4 7 9 4" xfId="47981" xr:uid="{C70472C0-543A-4430-B051-F0F55BBC47EE}"/>
    <cellStyle name="Input 2 4 8" xfId="2595" xr:uid="{00000000-0005-0000-0000-00002F050000}"/>
    <cellStyle name="Input 2 4 8 2" xfId="9504" xr:uid="{E9A68689-678D-436C-9850-E4EF1474B433}"/>
    <cellStyle name="Input 2 4 8 2 2" xfId="32056" xr:uid="{7E240803-F6B5-4FB7-8BE4-ECCE31764AAF}"/>
    <cellStyle name="Input 2 4 8 2 3" xfId="28070" xr:uid="{99E8EEEB-5E7E-4C93-AC8D-4B0E50198022}"/>
    <cellStyle name="Input 2 4 8 3" xfId="15073" xr:uid="{21AE37D5-A0D2-4A51-B6C1-AFAFCA08E1F6}"/>
    <cellStyle name="Input 2 4 8 3 2" xfId="37518" xr:uid="{030A2C7E-FFBB-4C97-8C74-18AFF5791050}"/>
    <cellStyle name="Input 2 4 8 3 3" xfId="51853" xr:uid="{E5655909-5661-44B7-A476-6B1E9AE0D471}"/>
    <cellStyle name="Input 2 4 8 4" xfId="14978" xr:uid="{2AAF22C8-0B1C-48E7-8165-DF4F8FFC86BD}"/>
    <cellStyle name="Input 2 4 8 4 2" xfId="51209" xr:uid="{34782EC2-FEDA-4A73-BC76-315F394667F1}"/>
    <cellStyle name="Input 2 4 8 5" xfId="51293" xr:uid="{9D5E9402-C370-47CF-B89E-3650CB3E712C}"/>
    <cellStyle name="Input 2 4 9" xfId="4423" xr:uid="{00000000-0005-0000-0000-00002F050000}"/>
    <cellStyle name="Input 2 4 9 2" xfId="11325" xr:uid="{0C0CA5DE-40FE-435C-99D5-C7FB0307A3D3}"/>
    <cellStyle name="Input 2 4 9 2 2" xfId="33811" xr:uid="{1F7894EC-1A67-4770-8B9F-B6F2B75ED66B}"/>
    <cellStyle name="Input 2 4 9 2 3" xfId="41607" xr:uid="{F3E0BCEA-73EE-4DC9-8030-FF7E0A813703}"/>
    <cellStyle name="Input 2 4 9 3" xfId="16360" xr:uid="{4B2B2E41-0969-4F9D-8FDE-0BC85E4C3425}"/>
    <cellStyle name="Input 2 4 9 3 2" xfId="38750" xr:uid="{EB1242D3-17FD-432D-9B42-2077AF5A3777}"/>
    <cellStyle name="Input 2 4 9 3 3" xfId="25757" xr:uid="{C2F565A1-F6AA-4F0E-B28E-6C63E74B760E}"/>
    <cellStyle name="Input 2 4 9 4" xfId="14022" xr:uid="{FD0A4B60-38E0-45D0-B73E-57148ED0D998}"/>
    <cellStyle name="Input 2 4 9 4 2" xfId="49344" xr:uid="{B3800F7B-6D73-4E76-B93E-093DB2CFDB6A}"/>
    <cellStyle name="Input 2 4 9 5" xfId="49627" xr:uid="{98D82E27-2A3A-4F51-ADB2-5609EEB259CB}"/>
    <cellStyle name="Input 2 5" xfId="452" xr:uid="{00000000-0005-0000-0000-00003C050000}"/>
    <cellStyle name="Input 2 5 10" xfId="4388" xr:uid="{00000000-0005-0000-0000-00003B050000}"/>
    <cellStyle name="Input 2 5 10 2" xfId="11290" xr:uid="{DB289AA0-F999-4B97-ABCF-A78C0896B6C7}"/>
    <cellStyle name="Input 2 5 10 2 2" xfId="33776" xr:uid="{DBD7ACF9-CA1C-47D6-8C6C-9ED251D3E8BE}"/>
    <cellStyle name="Input 2 5 10 2 3" xfId="27598" xr:uid="{ADC78048-39FF-4F29-BF44-3839ABBBD23E}"/>
    <cellStyle name="Input 2 5 10 3" xfId="16325" xr:uid="{E610F9E5-54BC-4C4A-B43D-DB514F8630D3}"/>
    <cellStyle name="Input 2 5 10 3 2" xfId="38715" xr:uid="{1F97D154-5A79-446E-8C4B-98FAAD37CC4D}"/>
    <cellStyle name="Input 2 5 10 3 3" xfId="26330" xr:uid="{F2F948CD-89F9-4E13-91A5-B5F64BB8C827}"/>
    <cellStyle name="Input 2 5 10 4" xfId="8453" xr:uid="{0D074969-D5D2-47F4-85E9-AAF4BD3ADF93}"/>
    <cellStyle name="Input 2 5 10 4 2" xfId="52597" xr:uid="{AE7FA67B-B484-4A3D-8655-C4E6E0678505}"/>
    <cellStyle name="Input 2 5 10 5" xfId="53174" xr:uid="{298BB870-8321-4859-8CD9-EBFC3F4FC83B}"/>
    <cellStyle name="Input 2 5 11" xfId="5566" xr:uid="{00000000-0005-0000-0000-00003B050000}"/>
    <cellStyle name="Input 2 5 11 2" xfId="12451" xr:uid="{83F4BBD9-C225-4BD9-998D-516912747E97}"/>
    <cellStyle name="Input 2 5 11 2 2" xfId="34936" xr:uid="{911259E7-0E80-4403-A641-258BF9329C20}"/>
    <cellStyle name="Input 2 5 11 2 3" xfId="23630" xr:uid="{608594C4-D77A-4707-917B-8AB31C6F53F8}"/>
    <cellStyle name="Input 2 5 11 3" xfId="17503" xr:uid="{BA019440-BE5E-47F4-899C-C8404C23FB3A}"/>
    <cellStyle name="Input 2 5 11 3 2" xfId="39893" xr:uid="{C155566E-99D8-4441-B672-8685C068DB68}"/>
    <cellStyle name="Input 2 5 11 3 3" xfId="43494" xr:uid="{D339C81E-4263-4A63-91CB-AC306A9E17A2}"/>
    <cellStyle name="Input 2 5 11 4" xfId="21927" xr:uid="{5D6F16AA-1750-43F6-85FB-7354C7FE5520}"/>
    <cellStyle name="Input 2 5 11 4 2" xfId="47641" xr:uid="{41E36267-C3E4-44C0-BF8C-D3D02EC35E9C}"/>
    <cellStyle name="Input 2 5 11 5" xfId="47536" xr:uid="{0C1B75C4-2BED-4316-9ED2-33EA438C8D97}"/>
    <cellStyle name="Input 2 5 12" xfId="6497" xr:uid="{00000000-0005-0000-0000-00003B050000}"/>
    <cellStyle name="Input 2 5 12 2" xfId="13366" xr:uid="{E9F2F395-4647-41B2-ACC6-BCE46B5A3125}"/>
    <cellStyle name="Input 2 5 12 2 2" xfId="35850" xr:uid="{A6800ACC-C1CD-4672-AFFD-71C74185AFF6}"/>
    <cellStyle name="Input 2 5 12 2 3" xfId="47485" xr:uid="{3812E9F1-6F86-4B84-8E51-7CE51778EBE5}"/>
    <cellStyle name="Input 2 5 12 3" xfId="18434" xr:uid="{988107E9-998A-4B0E-BD7B-81BE5A389972}"/>
    <cellStyle name="Input 2 5 12 3 2" xfId="40824" xr:uid="{04C5D61C-68B1-4365-B31B-B86863243E5C}"/>
    <cellStyle name="Input 2 5 12 3 3" xfId="37835" xr:uid="{E2887B3A-FDEC-4435-B4EA-F7DFA3074CF8}"/>
    <cellStyle name="Input 2 5 12 4" xfId="22858" xr:uid="{912CAF51-3FCD-4745-8CE0-B5A3CA73DAD5}"/>
    <cellStyle name="Input 2 5 12 4 2" xfId="44664" xr:uid="{58F7AAFA-BF99-4281-B8E3-62BAC51287D5}"/>
    <cellStyle name="Input 2 5 12 5" xfId="52151" xr:uid="{6B61E2DC-310C-4AA1-B385-DFE1F4CC8321}"/>
    <cellStyle name="Input 2 5 13" xfId="13539" xr:uid="{92FCD49B-9267-4A02-A9BC-31ED1F86F87A}"/>
    <cellStyle name="Input 2 5 13 2" xfId="36023" xr:uid="{30437D1F-695F-47A9-BA72-B1450513B7DF}"/>
    <cellStyle name="Input 2 5 13 3" xfId="23608" xr:uid="{D13E3F00-FDFA-41A1-81B1-9485BE87764B}"/>
    <cellStyle name="Input 2 5 14" xfId="20355" xr:uid="{5EAE1C37-A538-4E50-A750-20EA332BCFAE}"/>
    <cellStyle name="Input 2 5 14 2" xfId="42652" xr:uid="{F4F643C0-5E09-4E6A-8A6F-B9228FDFC333}"/>
    <cellStyle name="Input 2 5 14 3" xfId="41797" xr:uid="{AC482893-97F1-44F2-ADAD-64511F659367}"/>
    <cellStyle name="Input 2 5 15" xfId="14968" xr:uid="{EAB3A420-4A4D-4A5D-9907-F39020268F73}"/>
    <cellStyle name="Input 2 5 15 2" xfId="28424" xr:uid="{7FC7BBD8-AC8F-40E3-83D0-D45F41BB6981}"/>
    <cellStyle name="Input 2 5 16" xfId="25412" xr:uid="{114B71C6-44EF-47AB-878A-4477841C4134}"/>
    <cellStyle name="Input 2 5 2" xfId="605" xr:uid="{00000000-0005-0000-0000-00003D050000}"/>
    <cellStyle name="Input 2 5 2 10" xfId="15523" xr:uid="{3BA3AD24-68E0-46B0-AF5B-3CF231453F19}"/>
    <cellStyle name="Input 2 5 2 10 2" xfId="53893" xr:uid="{A8784A47-ABE0-451C-B6FF-A78A5DE1EE84}"/>
    <cellStyle name="Input 2 5 2 11" xfId="53227" xr:uid="{34E9505E-5454-4DBE-BC54-DEDA7D5A3E4F}"/>
    <cellStyle name="Input 2 5 2 2" xfId="1739" xr:uid="{00000000-0005-0000-0000-00003E050000}"/>
    <cellStyle name="Input 2 5 2 2 10" xfId="14440" xr:uid="{131EA743-DD97-4FC1-9A6C-A5FF3F1C7CEC}"/>
    <cellStyle name="Input 2 5 2 2 10 2" xfId="36906" xr:uid="{D7E1C3FB-1904-4E9D-967C-FA0141D31152}"/>
    <cellStyle name="Input 2 5 2 2 10 3" xfId="46146" xr:uid="{93CB14C6-DC4C-4B72-9191-DA12244F8710}"/>
    <cellStyle name="Input 2 5 2 2 11" xfId="20968" xr:uid="{E578F870-2F7E-48E9-BE27-41FA6BA65781}"/>
    <cellStyle name="Input 2 5 2 2 11 2" xfId="43222" xr:uid="{FB067C83-61BD-470A-B0B9-E9024E5BF8EC}"/>
    <cellStyle name="Input 2 5 2 2 11 3" xfId="49536" xr:uid="{6EF8B137-E9BC-4776-821D-3F192D651E92}"/>
    <cellStyle name="Input 2 5 2 2 12" xfId="19280" xr:uid="{70632A89-2092-4528-9E2F-29EA000D1C72}"/>
    <cellStyle name="Input 2 5 2 2 12 2" xfId="44875" xr:uid="{6150E73B-D125-4819-B1D3-7591F284781D}"/>
    <cellStyle name="Input 2 5 2 2 13" xfId="53805" xr:uid="{79062106-A595-43C5-B718-98566B5E018B}"/>
    <cellStyle name="Input 2 5 2 2 2" xfId="3837" xr:uid="{00000000-0005-0000-0000-00003D050000}"/>
    <cellStyle name="Input 2 5 2 2 2 2" xfId="10741" xr:uid="{8AED1B63-E815-410A-8023-68CFD49243AF}"/>
    <cellStyle name="Input 2 5 2 2 2 2 2" xfId="33227" xr:uid="{B76DA73B-15EC-4D8A-94D6-1B1073FFEF71}"/>
    <cellStyle name="Input 2 5 2 2 2 2 3" xfId="26139" xr:uid="{18506C79-9E49-474E-BE6F-C804A84D6EFC}"/>
    <cellStyle name="Input 2 5 2 2 2 3" xfId="15897" xr:uid="{FC34443A-853A-4955-93FD-0E5D7959BB0B}"/>
    <cellStyle name="Input 2 5 2 2 2 3 2" xfId="38303" xr:uid="{6FC9CB21-E651-49D5-8E83-9D1C528C4352}"/>
    <cellStyle name="Input 2 5 2 2 2 3 3" xfId="50261" xr:uid="{CB1FDBB5-1FED-457F-8BE4-C82D3AFE4B0D}"/>
    <cellStyle name="Input 2 5 2 2 2 4" xfId="16252" xr:uid="{0F7E0333-1972-41FC-A7FB-2910449AABA4}"/>
    <cellStyle name="Input 2 5 2 2 2 4 2" xfId="27723" xr:uid="{4C84FCBA-E46F-4E99-8745-260D61B80943}"/>
    <cellStyle name="Input 2 5 2 2 2 5" xfId="35540" xr:uid="{452A21A2-A677-48D3-A868-F7C1D1A16DB3}"/>
    <cellStyle name="Input 2 5 2 2 3" xfId="5253" xr:uid="{00000000-0005-0000-0000-00003D050000}"/>
    <cellStyle name="Input 2 5 2 2 3 2" xfId="12145" xr:uid="{66FA1A9C-AC5D-4708-8FD9-14E6413EA526}"/>
    <cellStyle name="Input 2 5 2 2 3 2 2" xfId="34630" xr:uid="{B05AC853-B734-4AEB-9F54-D0282063A340}"/>
    <cellStyle name="Input 2 5 2 2 3 2 3" xfId="27995" xr:uid="{C80437A5-5F9F-4206-ACBD-AF773AA41011}"/>
    <cellStyle name="Input 2 5 2 2 3 3" xfId="17190" xr:uid="{A21B548C-084E-4C7A-88AA-20A9EAC65ED8}"/>
    <cellStyle name="Input 2 5 2 2 3 3 2" xfId="39580" xr:uid="{D196D3A5-DAA9-4BD7-A697-A52254AADA9A}"/>
    <cellStyle name="Input 2 5 2 2 3 3 3" xfId="28427" xr:uid="{028268B0-AEB4-4D79-B95F-29D04523F01E}"/>
    <cellStyle name="Input 2 5 2 2 3 4" xfId="21614" xr:uid="{B5D15E19-F230-4558-B1C2-ACDA48A2AAB3}"/>
    <cellStyle name="Input 2 5 2 2 3 4 2" xfId="41776" xr:uid="{FAC3DC20-9CC5-48B2-A219-91B46D773B01}"/>
    <cellStyle name="Input 2 5 2 2 3 5" xfId="47780" xr:uid="{57725C21-1934-4534-A027-ED0D40653E57}"/>
    <cellStyle name="Input 2 5 2 2 4" xfId="5665" xr:uid="{00000000-0005-0000-0000-00003D050000}"/>
    <cellStyle name="Input 2 5 2 2 4 2" xfId="12549" xr:uid="{3D315EDA-81B0-4E2A-BCC8-BD960797F895}"/>
    <cellStyle name="Input 2 5 2 2 4 2 2" xfId="35034" xr:uid="{ED05C5BD-CD3C-480A-B47F-27077BFFA2CF}"/>
    <cellStyle name="Input 2 5 2 2 4 2 3" xfId="36717" xr:uid="{F9CFF7DA-A4BB-4638-AE2C-1A2F568E59B4}"/>
    <cellStyle name="Input 2 5 2 2 4 3" xfId="17602" xr:uid="{A602C2D8-97B7-458D-9880-F01E549CE389}"/>
    <cellStyle name="Input 2 5 2 2 4 3 2" xfId="39992" xr:uid="{303910CB-3A6F-4918-9E7C-58612A06E42D}"/>
    <cellStyle name="Input 2 5 2 2 4 3 3" xfId="28607" xr:uid="{CAE1CBA5-CF94-458B-A1D9-D74CD2B09E8C}"/>
    <cellStyle name="Input 2 5 2 2 4 4" xfId="22026" xr:uid="{62BECE13-C00D-4416-ADBE-C853737AB675}"/>
    <cellStyle name="Input 2 5 2 2 4 4 2" xfId="49466" xr:uid="{1A62F15E-CF61-4BB6-8812-0EBCDA999EB4}"/>
    <cellStyle name="Input 2 5 2 2 4 5" xfId="51806" xr:uid="{8F6C5EFA-72B5-4F8A-A157-800DFA9C6381}"/>
    <cellStyle name="Input 2 5 2 2 5" xfId="4835" xr:uid="{00000000-0005-0000-0000-00003D050000}"/>
    <cellStyle name="Input 2 5 2 2 5 2" xfId="11732" xr:uid="{BFE88B1B-29B1-449D-AE46-B5FC67263352}"/>
    <cellStyle name="Input 2 5 2 2 5 2 2" xfId="34218" xr:uid="{94A6C874-CA08-4316-A37A-5B8FF0FE2C15}"/>
    <cellStyle name="Input 2 5 2 2 5 2 3" xfId="43485" xr:uid="{DA24440C-17FF-44B1-8D71-73CF17239CF4}"/>
    <cellStyle name="Input 2 5 2 2 5 3" xfId="16772" xr:uid="{98E45A48-C248-45CC-9F91-A9443551053D}"/>
    <cellStyle name="Input 2 5 2 2 5 3 2" xfId="39162" xr:uid="{C446EBF0-0543-405F-9949-7DD6170E1A24}"/>
    <cellStyle name="Input 2 5 2 2 5 3 3" xfId="24888" xr:uid="{CC344F04-C7E1-437C-B007-905F3957432D}"/>
    <cellStyle name="Input 2 5 2 2 5 4" xfId="19421" xr:uid="{1783FF99-C52B-4DF3-828B-266BCF888B5E}"/>
    <cellStyle name="Input 2 5 2 2 5 4 2" xfId="43824" xr:uid="{588465E4-18AB-47A2-AE50-384F0610F405}"/>
    <cellStyle name="Input 2 5 2 2 5 5" xfId="49240" xr:uid="{9CEC454A-E3CA-455F-9009-E25659478E96}"/>
    <cellStyle name="Input 2 5 2 2 6" xfId="6404" xr:uid="{00000000-0005-0000-0000-00003D050000}"/>
    <cellStyle name="Input 2 5 2 2 6 2" xfId="13276" xr:uid="{7D4D8710-7A34-46C3-9107-857976A618B3}"/>
    <cellStyle name="Input 2 5 2 2 6 2 2" xfId="35760" xr:uid="{2E88A85E-7144-4BB6-A01E-C949AB8DBFC0}"/>
    <cellStyle name="Input 2 5 2 2 6 2 3" xfId="26221" xr:uid="{BAECD2D9-D92B-44BE-92BC-D4E936827B01}"/>
    <cellStyle name="Input 2 5 2 2 6 3" xfId="18341" xr:uid="{526818E9-1A20-4517-94A0-AF08FDB568AA}"/>
    <cellStyle name="Input 2 5 2 2 6 3 2" xfId="40731" xr:uid="{9BBDC524-6C55-4965-8C17-8F31F1E62062}"/>
    <cellStyle name="Input 2 5 2 2 6 3 3" xfId="28454" xr:uid="{7AF1DE73-ACCA-434E-80F9-D37038602BC9}"/>
    <cellStyle name="Input 2 5 2 2 6 4" xfId="22765" xr:uid="{EF77588F-DB07-4D46-90A1-F3AB8D523FEF}"/>
    <cellStyle name="Input 2 5 2 2 6 4 2" xfId="52997" xr:uid="{14A9B801-61BD-4155-A172-DC1E727C989F}"/>
    <cellStyle name="Input 2 5 2 2 6 5" xfId="53276" xr:uid="{10086942-1655-4A72-8559-DA3650379444}"/>
    <cellStyle name="Input 2 5 2 2 7" xfId="5354" xr:uid="{00000000-0005-0000-0000-00003D050000}"/>
    <cellStyle name="Input 2 5 2 2 7 2" xfId="12246" xr:uid="{A8CC7616-5277-4DFF-B3F3-43BC5062FDD3}"/>
    <cellStyle name="Input 2 5 2 2 7 2 2" xfId="34731" xr:uid="{BB3A5B9F-57B8-4A9A-8ED1-E5F40CD66913}"/>
    <cellStyle name="Input 2 5 2 2 7 2 3" xfId="42033" xr:uid="{21512E6B-5680-44A7-87C3-0241E3DEF5D4}"/>
    <cellStyle name="Input 2 5 2 2 7 3" xfId="17291" xr:uid="{37B201A1-3960-4AFE-9C31-E5C7B1A6B4A6}"/>
    <cellStyle name="Input 2 5 2 2 7 3 2" xfId="39681" xr:uid="{F6157F47-EAD7-4D67-A257-88526AAC7DA9}"/>
    <cellStyle name="Input 2 5 2 2 7 3 3" xfId="44046" xr:uid="{9A0F0DAB-AA6D-4BBC-8310-48D023BF9376}"/>
    <cellStyle name="Input 2 5 2 2 7 4" xfId="21715" xr:uid="{5EFD731B-0171-4C39-B85C-738079AA2863}"/>
    <cellStyle name="Input 2 5 2 2 7 4 2" xfId="51499" xr:uid="{A049B225-15C9-4591-BB43-722E06487854}"/>
    <cellStyle name="Input 2 5 2 2 7 5" xfId="49640" xr:uid="{98D44DB7-2276-4ED4-8749-EA8631994177}"/>
    <cellStyle name="Input 2 5 2 2 8" xfId="6921" xr:uid="{00000000-0005-0000-0000-00003D050000}"/>
    <cellStyle name="Input 2 5 2 2 8 2" xfId="13759" xr:uid="{E13B85FF-3063-43F0-904E-6F3CB00693D4}"/>
    <cellStyle name="Input 2 5 2 2 8 2 2" xfId="36243" xr:uid="{6C25FDA2-D438-4A1A-ACD1-4262686A8F7A}"/>
    <cellStyle name="Input 2 5 2 2 8 2 3" xfId="46829" xr:uid="{609BD983-F9DA-4899-B099-B6051745065B}"/>
    <cellStyle name="Input 2 5 2 2 8 3" xfId="18858" xr:uid="{460E36F7-F67F-4E41-B9D8-6CEB50533E02}"/>
    <cellStyle name="Input 2 5 2 2 8 3 2" xfId="41248" xr:uid="{B923AA66-1136-48A4-9949-725C9C48A36A}"/>
    <cellStyle name="Input 2 5 2 2 8 3 3" xfId="30087" xr:uid="{94F8BB01-FD53-4E56-85D5-DAABC57752CD}"/>
    <cellStyle name="Input 2 5 2 2 8 4" xfId="23282" xr:uid="{CC20F38B-DBCC-465D-A7F2-FE0D77883D8A}"/>
    <cellStyle name="Input 2 5 2 2 8 4 2" xfId="53313" xr:uid="{A427FB40-D404-4F04-923D-83ED3AF832C3}"/>
    <cellStyle name="Input 2 5 2 2 8 5" xfId="45701" xr:uid="{2071F012-6B70-4A12-BE80-86A72527AF97}"/>
    <cellStyle name="Input 2 5 2 2 9" xfId="2322" xr:uid="{00000000-0005-0000-0000-00003D050000}"/>
    <cellStyle name="Input 2 5 2 2 9 2" xfId="14884" xr:uid="{1DA53004-C2ED-43BD-81F7-D9DDE7C364F8}"/>
    <cellStyle name="Input 2 5 2 2 9 2 2" xfId="37338" xr:uid="{6FF2DED5-B834-420A-B76C-51B2EAA4A2D4}"/>
    <cellStyle name="Input 2 5 2 2 9 2 3" xfId="46518" xr:uid="{791A2125-5C5C-4ABD-BC9D-E5A11E231AF5}"/>
    <cellStyle name="Input 2 5 2 2 9 3" xfId="20155" xr:uid="{78A2A383-05D3-4AEE-B397-049994A76CA0}"/>
    <cellStyle name="Input 2 5 2 2 9 3 2" xfId="45288" xr:uid="{F7E89A5E-6383-44ED-9A8A-905B05393D2C}"/>
    <cellStyle name="Input 2 5 2 2 9 4" xfId="24674" xr:uid="{4FDABAC3-D7A9-4654-BE6E-4AB0295A5D34}"/>
    <cellStyle name="Input 2 5 2 3" xfId="2751" xr:uid="{00000000-0005-0000-0000-00003C050000}"/>
    <cellStyle name="Input 2 5 2 3 2" xfId="9660" xr:uid="{43CB963B-1140-4FFA-8AE2-4AFC1B1AF8B4}"/>
    <cellStyle name="Input 2 5 2 3 2 2" xfId="32208" xr:uid="{4576713B-46A7-41BB-B985-DB2B01C3F931}"/>
    <cellStyle name="Input 2 5 2 3 2 3" xfId="47319" xr:uid="{81DAC7D3-36D6-4086-B2E5-C4381393AE35}"/>
    <cellStyle name="Input 2 5 2 3 3" xfId="15178" xr:uid="{C187A644-D347-48A3-B65E-CE383DB22B64}"/>
    <cellStyle name="Input 2 5 2 3 3 2" xfId="37618" xr:uid="{F9FC6D38-9BB2-4FFA-9A04-1B0D85091AF8}"/>
    <cellStyle name="Input 2 5 2 3 3 3" xfId="49917" xr:uid="{A1369AF0-048F-4F67-A460-1386B86340F7}"/>
    <cellStyle name="Input 2 5 2 3 4" xfId="20837" xr:uid="{8F4D3BA1-CA36-4A3C-9FC6-BD4277082C8A}"/>
    <cellStyle name="Input 2 5 2 3 4 2" xfId="29496" xr:uid="{BC022356-C642-4D6A-A4D8-C7176B0165E0}"/>
    <cellStyle name="Input 2 5 2 3 5" xfId="48063" xr:uid="{CAF6E6B0-6975-4EDD-90FF-ED8A1034DB5B}"/>
    <cellStyle name="Input 2 5 2 4" xfId="4544" xr:uid="{00000000-0005-0000-0000-00003C050000}"/>
    <cellStyle name="Input 2 5 2 4 2" xfId="11446" xr:uid="{A2CCC267-DDBC-47F3-8E3B-B79180EB113E}"/>
    <cellStyle name="Input 2 5 2 4 2 2" xfId="33932" xr:uid="{20A43469-C191-44E3-A457-22B1E131F0C4}"/>
    <cellStyle name="Input 2 5 2 4 2 3" xfId="44695" xr:uid="{794889A5-A0E0-4B7B-8598-6FD1F998208B}"/>
    <cellStyle name="Input 2 5 2 4 3" xfId="16481" xr:uid="{1ABDDEEE-CE1D-428B-9F69-DE28A89CA46C}"/>
    <cellStyle name="Input 2 5 2 4 3 2" xfId="38871" xr:uid="{607AD5C9-5562-46F4-BEDB-2E72900835A5}"/>
    <cellStyle name="Input 2 5 2 4 3 3" xfId="45798" xr:uid="{2142E86E-BD8C-454C-AF38-5A2994BD7298}"/>
    <cellStyle name="Input 2 5 2 4 4" xfId="15614" xr:uid="{B39E4670-5C39-45E4-842B-720B3089CF7F}"/>
    <cellStyle name="Input 2 5 2 4 4 2" xfId="51733" xr:uid="{73E4E8D1-9260-49A4-AFAE-7CFA1C19CC98}"/>
    <cellStyle name="Input 2 5 2 4 5" xfId="48999" xr:uid="{346D292A-A632-4ABC-A26F-4AC97BFA82E0}"/>
    <cellStyle name="Input 2 5 2 5" xfId="5098" xr:uid="{00000000-0005-0000-0000-00003C050000}"/>
    <cellStyle name="Input 2 5 2 5 2" xfId="11991" xr:uid="{C589D4B4-50FC-4A18-9A03-464290430F30}"/>
    <cellStyle name="Input 2 5 2 5 2 2" xfId="34477" xr:uid="{87EF8041-73DD-4750-98D5-D43EFC22977F}"/>
    <cellStyle name="Input 2 5 2 5 2 3" xfId="29981" xr:uid="{D9E18DBD-A669-4285-AE91-408514FB52EF}"/>
    <cellStyle name="Input 2 5 2 5 3" xfId="17035" xr:uid="{ED502CC4-2037-4CA8-B58A-51F141114F31}"/>
    <cellStyle name="Input 2 5 2 5 3 2" xfId="39425" xr:uid="{A8A58AFE-2468-43D5-A778-85BFFE105B23}"/>
    <cellStyle name="Input 2 5 2 5 3 3" xfId="24932" xr:uid="{D42989BE-BB08-4089-B26D-C667F8996B1F}"/>
    <cellStyle name="Input 2 5 2 5 4" xfId="21459" xr:uid="{B7816650-97F8-49A8-BD0B-88CA9654B3B1}"/>
    <cellStyle name="Input 2 5 2 5 4 2" xfId="46393" xr:uid="{B044FCE8-AC91-49A3-91AB-7EF458D0793E}"/>
    <cellStyle name="Input 2 5 2 5 5" xfId="53729" xr:uid="{B22747C1-9DBC-4085-AA85-00E84CF1E64C}"/>
    <cellStyle name="Input 2 5 2 6" xfId="6255" xr:uid="{00000000-0005-0000-0000-00003C050000}"/>
    <cellStyle name="Input 2 5 2 6 2" xfId="13128" xr:uid="{99ACB476-A7B7-40C4-8ED7-9640B7869F70}"/>
    <cellStyle name="Input 2 5 2 6 2 2" xfId="35612" xr:uid="{7C8D873C-6FB9-4A51-A2C9-B196484E7041}"/>
    <cellStyle name="Input 2 5 2 6 2 3" xfId="47509" xr:uid="{DCECEF06-7720-41A0-8886-F0B8B864D06B}"/>
    <cellStyle name="Input 2 5 2 6 3" xfId="18192" xr:uid="{ACA8A326-D594-42AC-85E4-7B2B6E2EE801}"/>
    <cellStyle name="Input 2 5 2 6 3 2" xfId="40582" xr:uid="{37A6ECFA-0A0E-4E7F-B9EF-0D9DBD013D55}"/>
    <cellStyle name="Input 2 5 2 6 3 3" xfId="25492" xr:uid="{A50CE97F-9377-414A-9A2F-08EFCD72CC4F}"/>
    <cellStyle name="Input 2 5 2 6 4" xfId="22616" xr:uid="{22C4AB79-FB1A-4A5A-949D-619F8092140F}"/>
    <cellStyle name="Input 2 5 2 6 4 2" xfId="46105" xr:uid="{5069F523-F16A-4C61-A587-4488C6D97405}"/>
    <cellStyle name="Input 2 5 2 6 5" xfId="52813" xr:uid="{62009F64-D64A-4478-9391-5E948DC09A4C}"/>
    <cellStyle name="Input 2 5 2 7" xfId="4714" xr:uid="{00000000-0005-0000-0000-00003C050000}"/>
    <cellStyle name="Input 2 5 2 7 2" xfId="11612" xr:uid="{FFDEE5EA-0E4F-42A5-9523-60F6253D0B39}"/>
    <cellStyle name="Input 2 5 2 7 2 2" xfId="34098" xr:uid="{AA0AA967-3A2F-4135-AEF3-904572137CF5}"/>
    <cellStyle name="Input 2 5 2 7 2 3" xfId="45169" xr:uid="{2E29EF95-4261-4158-B13A-3CA91A578851}"/>
    <cellStyle name="Input 2 5 2 7 3" xfId="16651" xr:uid="{D3907ABC-9012-4A01-BC60-C1E9FB175BC7}"/>
    <cellStyle name="Input 2 5 2 7 3 2" xfId="39041" xr:uid="{4036E898-74E6-446A-A466-DA13F6B2B29A}"/>
    <cellStyle name="Input 2 5 2 7 3 3" xfId="29542" xr:uid="{EE6146A2-21E4-4621-A1CB-0A1FFE46EC84}"/>
    <cellStyle name="Input 2 5 2 7 4" xfId="14326" xr:uid="{46FF52F4-E221-487A-866C-42A3B73165E2}"/>
    <cellStyle name="Input 2 5 2 7 4 2" xfId="27112" xr:uid="{5317A7EE-4D83-4E18-8FDF-B949B00BB27A}"/>
    <cellStyle name="Input 2 5 2 7 5" xfId="52342" xr:uid="{E0A2D61B-22D0-4F84-9E1D-CE409F0E97CC}"/>
    <cellStyle name="Input 2 5 2 8" xfId="11233" xr:uid="{33A3148D-4974-43A9-92CF-9357BF73E0AB}"/>
    <cellStyle name="Input 2 5 2 8 2" xfId="33719" xr:uid="{0F81B022-BB1C-40AA-A913-ECE8A0E16FE4}"/>
    <cellStyle name="Input 2 5 2 8 3" xfId="45049" xr:uid="{C0533750-EB0C-4CDD-821C-2093C91CE47E}"/>
    <cellStyle name="Input 2 5 2 9" xfId="20563" xr:uid="{D8E6371A-B3FC-42BE-9FB8-C74483A06C12}"/>
    <cellStyle name="Input 2 5 2 9 2" xfId="42847" xr:uid="{DB06CE56-6E8C-4544-9F11-79B845C3CE59}"/>
    <cellStyle name="Input 2 5 2 9 3" xfId="44598" xr:uid="{51C368F9-334C-4762-96FB-726151302F6F}"/>
    <cellStyle name="Input 2 5 3" xfId="852" xr:uid="{00000000-0005-0000-0000-00003F050000}"/>
    <cellStyle name="Input 2 5 3 10" xfId="15375" xr:uid="{894F1CE1-6592-41B4-9EF4-311F809108DD}"/>
    <cellStyle name="Input 2 5 3 10 2" xfId="45760" xr:uid="{22CFEC95-095D-4E90-AC9F-D1B03A56A753}"/>
    <cellStyle name="Input 2 5 3 11" xfId="49961" xr:uid="{10D68273-29FD-4BB7-AB0F-6FCF2B2AA466}"/>
    <cellStyle name="Input 2 5 3 2" xfId="1837" xr:uid="{00000000-0005-0000-0000-000040050000}"/>
    <cellStyle name="Input 2 5 3 2 10" xfId="14521" xr:uid="{72F7F5F1-4892-49EB-9BE0-3CC71F21DBFB}"/>
    <cellStyle name="Input 2 5 3 2 10 2" xfId="36982" xr:uid="{79E2FB07-BF4F-430B-A1A5-79B85373852F}"/>
    <cellStyle name="Input 2 5 3 2 10 3" xfId="49598" xr:uid="{0074E6F8-F54B-4407-96F5-0A9C20402A99}"/>
    <cellStyle name="Input 2 5 3 2 11" xfId="21214" xr:uid="{670E2112-869A-48FF-BD39-B27C0DD83FCB}"/>
    <cellStyle name="Input 2 5 3 2 11 2" xfId="43453" xr:uid="{41A20C90-6A2D-465A-B4BB-98DB6A937F68}"/>
    <cellStyle name="Input 2 5 3 2 11 3" xfId="53799" xr:uid="{D2896CF0-180C-4529-BF85-DD6A2E4B9EE5}"/>
    <cellStyle name="Input 2 5 3 2 12" xfId="7721" xr:uid="{7931B4ED-9F96-4FB7-AB61-84A623AE70BE}"/>
    <cellStyle name="Input 2 5 3 2 12 2" xfId="47000" xr:uid="{6EF2E0DC-EE75-4411-9B64-D804FFC07E13}"/>
    <cellStyle name="Input 2 5 3 2 13" xfId="46700" xr:uid="{A7751C83-F170-4E33-8AA0-CF57BB5B45E2}"/>
    <cellStyle name="Input 2 5 3 2 2" xfId="3935" xr:uid="{00000000-0005-0000-0000-00003F050000}"/>
    <cellStyle name="Input 2 5 3 2 2 2" xfId="10839" xr:uid="{6025FDBE-41E5-4291-A9E7-03D36E433F5F}"/>
    <cellStyle name="Input 2 5 3 2 2 2 2" xfId="33325" xr:uid="{7C897E07-B966-4E84-B029-C6813A3B6709}"/>
    <cellStyle name="Input 2 5 3 2 2 2 3" xfId="37640" xr:uid="{37D14186-72E6-4CE2-90F4-C10F2C1CA404}"/>
    <cellStyle name="Input 2 5 3 2 2 3" xfId="15977" xr:uid="{E08092DA-EF7E-450C-B9D8-0100847DFFF8}"/>
    <cellStyle name="Input 2 5 3 2 2 3 2" xfId="38380" xr:uid="{DC5CC243-5780-4912-96AC-F5B23D12679B}"/>
    <cellStyle name="Input 2 5 3 2 2 3 3" xfId="47550" xr:uid="{862AF204-A11D-4A77-B25A-6BC08AABC5EA}"/>
    <cellStyle name="Input 2 5 3 2 2 4" xfId="15595" xr:uid="{215CFA09-BF6C-4A0D-8720-C5B4742BADE9}"/>
    <cellStyle name="Input 2 5 3 2 2 4 2" xfId="47258" xr:uid="{9828BDB1-6D79-414E-8317-B2131189A70E}"/>
    <cellStyle name="Input 2 5 3 2 2 5" xfId="52809" xr:uid="{F12196C0-5A5C-4D4E-872C-4A27FA827630}"/>
    <cellStyle name="Input 2 5 3 2 3" xfId="5330" xr:uid="{00000000-0005-0000-0000-00003F050000}"/>
    <cellStyle name="Input 2 5 3 2 3 2" xfId="12222" xr:uid="{BF63FFB6-776F-4A23-B22D-118086F7C07E}"/>
    <cellStyle name="Input 2 5 3 2 3 2 2" xfId="34707" xr:uid="{EA1BF071-1F29-4E99-B676-3099BDCDF8D4}"/>
    <cellStyle name="Input 2 5 3 2 3 2 3" xfId="43598" xr:uid="{3FA51BF2-8975-4DF2-A4E9-28A79CA9DA05}"/>
    <cellStyle name="Input 2 5 3 2 3 3" xfId="17267" xr:uid="{60409DE4-9373-4A61-8527-931ACCE89EFF}"/>
    <cellStyle name="Input 2 5 3 2 3 3 2" xfId="39657" xr:uid="{32651E55-2826-4905-ACFB-DEA9BA1DAD2D}"/>
    <cellStyle name="Input 2 5 3 2 3 3 3" xfId="28210" xr:uid="{C5141FD8-0EB9-40F7-B40E-80C058F48337}"/>
    <cellStyle name="Input 2 5 3 2 3 4" xfId="21691" xr:uid="{6B5140C7-55EB-495C-9250-AD5CFB556DFB}"/>
    <cellStyle name="Input 2 5 3 2 3 4 2" xfId="53807" xr:uid="{C392B01A-561C-4C7E-9FD4-243C8B415446}"/>
    <cellStyle name="Input 2 5 3 2 3 5" xfId="48864" xr:uid="{3D5A228C-248C-47B3-BA11-E875BFCCDB9A}"/>
    <cellStyle name="Input 2 5 3 2 4" xfId="5740" xr:uid="{00000000-0005-0000-0000-00003F050000}"/>
    <cellStyle name="Input 2 5 3 2 4 2" xfId="12624" xr:uid="{C62D6C45-838B-4CF5-A698-3591322999F6}"/>
    <cellStyle name="Input 2 5 3 2 4 2 2" xfId="35109" xr:uid="{0A1F5E15-4CCC-4AF1-8BD7-1F124AF45040}"/>
    <cellStyle name="Input 2 5 3 2 4 2 3" xfId="27964" xr:uid="{C824D8CD-A3C1-4C76-A901-DCBDA7FB0330}"/>
    <cellStyle name="Input 2 5 3 2 4 3" xfId="17677" xr:uid="{B70B48BF-AFFF-465A-A6F9-C63433CC6BB9}"/>
    <cellStyle name="Input 2 5 3 2 4 3 2" xfId="40067" xr:uid="{EE6AE860-A1B1-479C-B364-8CAD76E9EA7B}"/>
    <cellStyle name="Input 2 5 3 2 4 3 3" xfId="24276" xr:uid="{A46C4BFA-EA06-4B3A-91CC-FE89D68BC35A}"/>
    <cellStyle name="Input 2 5 3 2 4 4" xfId="22101" xr:uid="{253F7630-EE1A-471A-8AC6-998C3EDE023D}"/>
    <cellStyle name="Input 2 5 3 2 4 4 2" xfId="30507" xr:uid="{638F0190-D69C-4A08-9D75-7E6EF113408E}"/>
    <cellStyle name="Input 2 5 3 2 4 5" xfId="24142" xr:uid="{A76A4914-9275-4A8C-B26A-334261EE3DEB}"/>
    <cellStyle name="Input 2 5 3 2 5" xfId="6094" xr:uid="{00000000-0005-0000-0000-00003F050000}"/>
    <cellStyle name="Input 2 5 3 2 5 2" xfId="12972" xr:uid="{18FBE3FB-A010-45BC-B569-FBF96BB3F488}"/>
    <cellStyle name="Input 2 5 3 2 5 2 2" xfId="35456" xr:uid="{14AB3A85-A408-47D4-963C-936795E44254}"/>
    <cellStyle name="Input 2 5 3 2 5 2 3" xfId="50506" xr:uid="{A90F46FE-7CC0-4251-A29C-378A6E7F9DC0}"/>
    <cellStyle name="Input 2 5 3 2 5 3" xfId="18031" xr:uid="{6BB0E843-345F-4E91-A6CC-A4B3882AB968}"/>
    <cellStyle name="Input 2 5 3 2 5 3 2" xfId="40421" xr:uid="{16DD713F-A980-465E-8993-FF7D060F5E48}"/>
    <cellStyle name="Input 2 5 3 2 5 3 3" xfId="45364" xr:uid="{25107606-942A-4370-8437-3938D029D7D2}"/>
    <cellStyle name="Input 2 5 3 2 5 4" xfId="22455" xr:uid="{DD8E90C1-24E1-4402-BE9F-5BCBC99822EB}"/>
    <cellStyle name="Input 2 5 3 2 5 4 2" xfId="32500" xr:uid="{898DBA53-B3C3-46A2-A92F-35573F360946}"/>
    <cellStyle name="Input 2 5 3 2 5 5" xfId="51159" xr:uid="{7D32CDB2-2640-4DFC-9621-DD57A6F5C979}"/>
    <cellStyle name="Input 2 5 3 2 6" xfId="6469" xr:uid="{00000000-0005-0000-0000-00003F050000}"/>
    <cellStyle name="Input 2 5 3 2 6 2" xfId="13339" xr:uid="{D92474E9-C266-4E2A-9479-220E855DE383}"/>
    <cellStyle name="Input 2 5 3 2 6 2 2" xfId="35823" xr:uid="{AAEAAC76-3EAB-4C7C-B400-F4536009133B}"/>
    <cellStyle name="Input 2 5 3 2 6 2 3" xfId="29444" xr:uid="{6B469F1C-FEE5-42F0-943B-043D7864A031}"/>
    <cellStyle name="Input 2 5 3 2 6 3" xfId="18406" xr:uid="{B25731BD-58F1-483A-9F7C-2E9C122B2D23}"/>
    <cellStyle name="Input 2 5 3 2 6 3 2" xfId="40796" xr:uid="{DB826744-40A9-47C5-803F-0FC1CECFFD40}"/>
    <cellStyle name="Input 2 5 3 2 6 3 3" xfId="28352" xr:uid="{FAF6FA65-C6CC-40D4-8CFA-BA02758B70F3}"/>
    <cellStyle name="Input 2 5 3 2 6 4" xfId="22830" xr:uid="{87B4F4A4-F2F5-4B6B-9F61-E8C0267F0440}"/>
    <cellStyle name="Input 2 5 3 2 6 4 2" xfId="50843" xr:uid="{4C411E34-D06E-44FA-894C-40000281F5C0}"/>
    <cellStyle name="Input 2 5 3 2 6 5" xfId="47397" xr:uid="{EB1A8719-6526-4848-B18B-ED5B7B97DFA6}"/>
    <cellStyle name="Input 2 5 3 2 7" xfId="6417" xr:uid="{00000000-0005-0000-0000-00003F050000}"/>
    <cellStyle name="Input 2 5 3 2 7 2" xfId="13289" xr:uid="{C41398D7-DD41-436C-A33B-AE170C443EBF}"/>
    <cellStyle name="Input 2 5 3 2 7 2 2" xfId="35773" xr:uid="{22CE0320-2AFF-43E4-9BB0-5AB3312FF677}"/>
    <cellStyle name="Input 2 5 3 2 7 2 3" xfId="52931" xr:uid="{724F96ED-D5A8-4550-9709-289ADABF3847}"/>
    <cellStyle name="Input 2 5 3 2 7 3" xfId="18354" xr:uid="{D9F61427-1AB0-4B6D-A919-1A5E1BCE43E1}"/>
    <cellStyle name="Input 2 5 3 2 7 3 2" xfId="40744" xr:uid="{00E9C28A-3E29-478D-B7AC-0EC69FB32A55}"/>
    <cellStyle name="Input 2 5 3 2 7 3 3" xfId="25044" xr:uid="{17B174C0-252A-4D01-B691-EDB4ABB1F5CD}"/>
    <cellStyle name="Input 2 5 3 2 7 4" xfId="22778" xr:uid="{73121E83-20E9-45C9-BC11-531F5A89CF2E}"/>
    <cellStyle name="Input 2 5 3 2 7 4 2" xfId="46418" xr:uid="{BC716D3E-7DC9-4A4E-88ED-29326FCDFA8E}"/>
    <cellStyle name="Input 2 5 3 2 7 5" xfId="45780" xr:uid="{B5981B5C-4218-4ECE-A785-AA6830F0FB15}"/>
    <cellStyle name="Input 2 5 3 2 8" xfId="6969" xr:uid="{00000000-0005-0000-0000-00003F050000}"/>
    <cellStyle name="Input 2 5 3 2 8 2" xfId="13806" xr:uid="{50224704-55D1-4F8E-94D0-F802B681377B}"/>
    <cellStyle name="Input 2 5 3 2 8 2 2" xfId="36290" xr:uid="{579460BE-3F3E-4D47-B079-804EFE3C7013}"/>
    <cellStyle name="Input 2 5 3 2 8 2 3" xfId="46054" xr:uid="{4AA66ADF-523A-4EAC-B205-1BB2066DCBDE}"/>
    <cellStyle name="Input 2 5 3 2 8 3" xfId="18906" xr:uid="{728E78DA-1744-415E-B601-82C4A1FA4811}"/>
    <cellStyle name="Input 2 5 3 2 8 3 2" xfId="41296" xr:uid="{CB25A397-8D23-4197-8A15-66686729B982}"/>
    <cellStyle name="Input 2 5 3 2 8 3 3" xfId="42562" xr:uid="{F3B6FEE1-97EC-40C1-A8D4-63EAEFDB5C4A}"/>
    <cellStyle name="Input 2 5 3 2 8 4" xfId="23330" xr:uid="{CB2A5785-88F1-4E2D-A6DC-EEC42FCFA8E9}"/>
    <cellStyle name="Input 2 5 3 2 8 4 2" xfId="28945" xr:uid="{76286A59-5CDA-4BBC-B1BB-07AFB0F07F87}"/>
    <cellStyle name="Input 2 5 3 2 8 5" xfId="44189" xr:uid="{0561394E-30F4-4D6B-9633-570A6ADA971A}"/>
    <cellStyle name="Input 2 5 3 2 9" xfId="7115" xr:uid="{00000000-0005-0000-0000-00003F050000}"/>
    <cellStyle name="Input 2 5 3 2 9 2" xfId="19052" xr:uid="{59FCD5C8-1C2F-4710-A4D2-E2DBCBC704DF}"/>
    <cellStyle name="Input 2 5 3 2 9 2 2" xfId="41442" xr:uid="{85896A1A-9B8A-4F45-BAFF-9342A723F1A0}"/>
    <cellStyle name="Input 2 5 3 2 9 2 3" xfId="29779" xr:uid="{231D78BA-6C22-4A65-ACC2-570A4B6B8DC1}"/>
    <cellStyle name="Input 2 5 3 2 9 3" xfId="23476" xr:uid="{4665DC55-9D39-433F-91E8-4A58D679C24B}"/>
    <cellStyle name="Input 2 5 3 2 9 3 2" xfId="47609" xr:uid="{B21C4683-33FF-4402-BE46-F1B0C5A60021}"/>
    <cellStyle name="Input 2 5 3 2 9 4" xfId="52523" xr:uid="{274964BF-3D0F-46E6-9EE1-4354729303F5}"/>
    <cellStyle name="Input 2 5 3 3" xfId="2984" xr:uid="{00000000-0005-0000-0000-00003E050000}"/>
    <cellStyle name="Input 2 5 3 3 2" xfId="9893" xr:uid="{7C865B82-D0F7-4FA7-AC48-3A32F09A7825}"/>
    <cellStyle name="Input 2 5 3 3 2 2" xfId="32416" xr:uid="{098F84B1-117F-408F-9411-24C9B9A8398E}"/>
    <cellStyle name="Input 2 5 3 3 2 3" xfId="25383" xr:uid="{68904E6A-48B9-403A-BCD5-69B5FDDC6EE1}"/>
    <cellStyle name="Input 2 5 3 3 3" xfId="15331" xr:uid="{4C62C5FD-8FCC-4398-8277-3FAAFD7EACF6}"/>
    <cellStyle name="Input 2 5 3 3 3 2" xfId="37763" xr:uid="{01699085-F8C9-4E5E-AFD9-57064F00372D}"/>
    <cellStyle name="Input 2 5 3 3 3 3" xfId="50464" xr:uid="{4DC31366-FA1F-4BD9-9FB2-A5B76D0D9C60}"/>
    <cellStyle name="Input 2 5 3 3 4" xfId="21286" xr:uid="{B6A982B7-AB02-455C-B5B5-5FC6868637ED}"/>
    <cellStyle name="Input 2 5 3 3 4 2" xfId="47284" xr:uid="{0B93D214-DF6E-4925-949F-A106723C4F28}"/>
    <cellStyle name="Input 2 5 3 3 5" xfId="46515" xr:uid="{DD96ECF8-CD29-488B-89A4-8F99DF6689B7}"/>
    <cellStyle name="Input 2 5 3 4" xfId="4696" xr:uid="{00000000-0005-0000-0000-00003E050000}"/>
    <cellStyle name="Input 2 5 3 4 2" xfId="11594" xr:uid="{8DE00B22-37CC-43B9-A9D6-99E8A6F3A2B1}"/>
    <cellStyle name="Input 2 5 3 4 2 2" xfId="34080" xr:uid="{861D9D15-AABC-4732-874B-B7A248B6C4BA}"/>
    <cellStyle name="Input 2 5 3 4 2 3" xfId="43087" xr:uid="{B030843E-F22D-4BDC-B1A0-1DBDF94F754F}"/>
    <cellStyle name="Input 2 5 3 4 3" xfId="16633" xr:uid="{B2901EEC-9AC1-4D0C-A0E1-692DFF4D6A98}"/>
    <cellStyle name="Input 2 5 3 4 3 2" xfId="39023" xr:uid="{877785DC-D5E4-4838-9462-0934F78C8151}"/>
    <cellStyle name="Input 2 5 3 4 3 3" xfId="45721" xr:uid="{07C44F99-2513-40E0-BEA0-9AEB143047C4}"/>
    <cellStyle name="Input 2 5 3 4 4" xfId="14298" xr:uid="{D8570066-4C3C-4B7A-9C59-6B006F7F0EB4}"/>
    <cellStyle name="Input 2 5 3 4 4 2" xfId="45781" xr:uid="{CE744917-CAF4-4D09-A8E9-A1439E368F21}"/>
    <cellStyle name="Input 2 5 3 4 5" xfId="28710" xr:uid="{42208F18-0F4E-4E55-8904-57293789A0AE}"/>
    <cellStyle name="Input 2 5 3 5" xfId="2397" xr:uid="{00000000-0005-0000-0000-00003E050000}"/>
    <cellStyle name="Input 2 5 3 5 2" xfId="9306" xr:uid="{9A8E334B-A352-45F6-A09F-DCDD4A5FF2CB}"/>
    <cellStyle name="Input 2 5 3 5 2 2" xfId="31881" xr:uid="{F58BD8E4-74A8-41E0-9C80-42CED33542C5}"/>
    <cellStyle name="Input 2 5 3 5 2 3" xfId="50498" xr:uid="{A4D723D7-A26B-4EEE-8A0F-CA1642085F61}"/>
    <cellStyle name="Input 2 5 3 5 3" xfId="14945" xr:uid="{14404500-08EE-4D0A-9C9A-799BAFCB4847}"/>
    <cellStyle name="Input 2 5 3 5 3 2" xfId="37399" xr:uid="{44FAA749-B906-4779-9ADA-400B582D7B6F}"/>
    <cellStyle name="Input 2 5 3 5 3 3" xfId="46466" xr:uid="{EC3FCBFB-C80E-45CA-8343-A2D6BED4CC95}"/>
    <cellStyle name="Input 2 5 3 5 4" xfId="19668" xr:uid="{FFCBB025-15CA-4646-A90D-F73349144B82}"/>
    <cellStyle name="Input 2 5 3 5 4 2" xfId="25322" xr:uid="{696A4770-DC2B-4197-BA34-270372819CC9}"/>
    <cellStyle name="Input 2 5 3 5 5" xfId="50488" xr:uid="{4C0397A6-BCFF-4C29-87FD-0EED76A69FD8}"/>
    <cellStyle name="Input 2 5 3 6" xfId="4507" xr:uid="{00000000-0005-0000-0000-00003E050000}"/>
    <cellStyle name="Input 2 5 3 6 2" xfId="11409" xr:uid="{9164DD74-C27B-4487-9D1A-D519CDB89356}"/>
    <cellStyle name="Input 2 5 3 6 2 2" xfId="33895" xr:uid="{96CC214F-42E2-4528-98E9-416CC04EA89A}"/>
    <cellStyle name="Input 2 5 3 6 2 3" xfId="29231" xr:uid="{9D4C4564-1F10-46E6-B3CA-9F288BFD4EA7}"/>
    <cellStyle name="Input 2 5 3 6 3" xfId="16444" xr:uid="{2465E1D7-A1D4-49C8-A397-F82AC9B1D4C5}"/>
    <cellStyle name="Input 2 5 3 6 3 2" xfId="38834" xr:uid="{942F1908-73F1-4F7B-8129-1881B3959F53}"/>
    <cellStyle name="Input 2 5 3 6 3 3" xfId="44679" xr:uid="{AA0227B5-BF57-40D2-B62A-3246C0A11CD7}"/>
    <cellStyle name="Input 2 5 3 6 4" xfId="14162" xr:uid="{3958F60B-3752-4791-8D2B-64C3E4992FEC}"/>
    <cellStyle name="Input 2 5 3 6 4 2" xfId="53580" xr:uid="{46AE0751-4358-44A0-84D0-D56696EF2C44}"/>
    <cellStyle name="Input 2 5 3 6 5" xfId="42790" xr:uid="{2C1CC66B-4A48-4274-B784-1879D816A802}"/>
    <cellStyle name="Input 2 5 3 7" xfId="5569" xr:uid="{00000000-0005-0000-0000-00003E050000}"/>
    <cellStyle name="Input 2 5 3 7 2" xfId="12454" xr:uid="{014994B1-F77F-468C-AEE9-4A392D073EF4}"/>
    <cellStyle name="Input 2 5 3 7 2 2" xfId="34939" xr:uid="{78E7AA4C-712A-4AB4-883D-0FD6702A715B}"/>
    <cellStyle name="Input 2 5 3 7 2 3" xfId="28127" xr:uid="{946B41B1-663F-4EEF-8DBC-81F5025BC908}"/>
    <cellStyle name="Input 2 5 3 7 3" xfId="17506" xr:uid="{BBCB103B-DA45-4BF2-84E3-8E6F0ECE8636}"/>
    <cellStyle name="Input 2 5 3 7 3 2" xfId="39896" xr:uid="{21D3E728-EB42-447E-9498-5F8F42EC7C2F}"/>
    <cellStyle name="Input 2 5 3 7 3 3" xfId="43681" xr:uid="{0524EA45-5846-455C-8E6D-832C60734256}"/>
    <cellStyle name="Input 2 5 3 7 4" xfId="21930" xr:uid="{0B8DE6B3-7D6B-4603-9EA4-009A5A220F77}"/>
    <cellStyle name="Input 2 5 3 7 4 2" xfId="50967" xr:uid="{6304BE04-B4CC-46AA-9092-2BE8B92F7D1E}"/>
    <cellStyle name="Input 2 5 3 7 5" xfId="48723" xr:uid="{923684F1-9A27-4035-AE03-751C98D60CA5}"/>
    <cellStyle name="Input 2 5 3 8" xfId="7257" xr:uid="{9F5A1814-96D0-4890-8D8C-6FDC6A612FDB}"/>
    <cellStyle name="Input 2 5 3 8 2" xfId="29946" xr:uid="{827A503E-6EA0-4E8A-A3EC-934E1A6AEDF5}"/>
    <cellStyle name="Input 2 5 3 8 3" xfId="54112" xr:uid="{E9097B75-6DAB-49EE-AF37-A9B790CC2772}"/>
    <cellStyle name="Input 2 5 3 9" xfId="14256" xr:uid="{90577116-561B-46E8-9FA9-04123448EBEF}"/>
    <cellStyle name="Input 2 5 3 9 2" xfId="36729" xr:uid="{A5AC6425-9ED2-4303-86E6-AA9301F3F374}"/>
    <cellStyle name="Input 2 5 3 9 3" xfId="41880" xr:uid="{E5952CD3-FE67-4B5D-AB2E-26235A0CD0BA}"/>
    <cellStyle name="Input 2 5 4" xfId="1039" xr:uid="{00000000-0005-0000-0000-000041050000}"/>
    <cellStyle name="Input 2 5 4 10" xfId="20780" xr:uid="{0C933814-1BA7-4DFA-A69D-5DBF07FAF3DC}"/>
    <cellStyle name="Input 2 5 4 10 2" xfId="30696" xr:uid="{45A8B769-3325-4204-A805-179B7DD22B9A}"/>
    <cellStyle name="Input 2 5 4 11" xfId="50305" xr:uid="{DA94893A-856E-49D1-B159-F644E0D9960C}"/>
    <cellStyle name="Input 2 5 4 2" xfId="1929" xr:uid="{00000000-0005-0000-0000-000042050000}"/>
    <cellStyle name="Input 2 5 4 2 10" xfId="14599" xr:uid="{51CBEED1-9BB9-4708-B60A-4863F565352B}"/>
    <cellStyle name="Input 2 5 4 2 10 2" xfId="37060" xr:uid="{82F3F26A-E0C6-4B12-876B-992AB129EE43}"/>
    <cellStyle name="Input 2 5 4 2 10 3" xfId="47988" xr:uid="{2D91AD5C-1241-417B-973B-B020513829C0}"/>
    <cellStyle name="Input 2 5 4 2 11" xfId="15689" xr:uid="{BC870F32-1CB0-4D4F-9EA6-684FE186597E}"/>
    <cellStyle name="Input 2 5 4 2 11 2" xfId="38103" xr:uid="{E4304352-727C-477A-A8B7-24421FCE95CE}"/>
    <cellStyle name="Input 2 5 4 2 11 3" xfId="48522" xr:uid="{1215E3AD-2DCF-45CC-8B7E-54982CC45F1B}"/>
    <cellStyle name="Input 2 5 4 2 12" xfId="14023" xr:uid="{543FA89F-034F-430F-9886-F1CD594C4EC3}"/>
    <cellStyle name="Input 2 5 4 2 12 2" xfId="46000" xr:uid="{BFB104AD-93E7-4D52-A0D5-572A8B5B58C4}"/>
    <cellStyle name="Input 2 5 4 2 13" xfId="52110" xr:uid="{54B811E6-E243-4171-BF73-05F0BDDB99D8}"/>
    <cellStyle name="Input 2 5 4 2 2" xfId="4026" xr:uid="{00000000-0005-0000-0000-000041050000}"/>
    <cellStyle name="Input 2 5 4 2 2 2" xfId="10930" xr:uid="{A796016F-B54E-4280-BB81-D6FF9CBD8FDE}"/>
    <cellStyle name="Input 2 5 4 2 2 2 2" xfId="33416" xr:uid="{FFEAD644-1311-4DD1-8895-C96AE4444F68}"/>
    <cellStyle name="Input 2 5 4 2 2 2 3" xfId="48642" xr:uid="{3CACCE0B-7941-4055-8278-5B3F4DB5F17A}"/>
    <cellStyle name="Input 2 5 4 2 2 3" xfId="16050" xr:uid="{A9ADA2D2-CAAC-4CBB-85E3-1F4BEA5D10B4}"/>
    <cellStyle name="Input 2 5 4 2 2 3 2" xfId="38451" xr:uid="{4C95C33C-7673-4C05-B67C-88D28E624B4A}"/>
    <cellStyle name="Input 2 5 4 2 2 3 3" xfId="52261" xr:uid="{8DC17159-9A38-4115-BCE4-43DDC3FA6DAC}"/>
    <cellStyle name="Input 2 5 4 2 2 4" xfId="15615" xr:uid="{AB706135-80A9-49E4-83CC-D0D4CB3868DF}"/>
    <cellStyle name="Input 2 5 4 2 2 4 2" xfId="48019" xr:uid="{943A14A6-F710-497D-9CB6-4804C6C264AB}"/>
    <cellStyle name="Input 2 5 4 2 2 5" xfId="45901" xr:uid="{E941CEDA-C20B-4D1B-97C3-CBA51D9578C0}"/>
    <cellStyle name="Input 2 5 4 2 3" xfId="5401" xr:uid="{00000000-0005-0000-0000-000041050000}"/>
    <cellStyle name="Input 2 5 4 2 3 2" xfId="12292" xr:uid="{882D9CE4-39D7-4A84-BC13-94F55D137012}"/>
    <cellStyle name="Input 2 5 4 2 3 2 2" xfId="34777" xr:uid="{9FCEC266-75FF-455C-A365-EFC5B1E5E4BC}"/>
    <cellStyle name="Input 2 5 4 2 3 2 3" xfId="25876" xr:uid="{1A5ECCB1-67DA-40E7-AA76-97FA38FAEED0}"/>
    <cellStyle name="Input 2 5 4 2 3 3" xfId="17338" xr:uid="{76B4F083-0246-4686-8BF6-7136F92D7CC8}"/>
    <cellStyle name="Input 2 5 4 2 3 3 2" xfId="39728" xr:uid="{6EE823F5-7B8B-4A39-9F7B-6F457F3783A4}"/>
    <cellStyle name="Input 2 5 4 2 3 3 3" xfId="28699" xr:uid="{0822DC42-C778-4888-A3DC-ADFB17C93C4A}"/>
    <cellStyle name="Input 2 5 4 2 3 4" xfId="21762" xr:uid="{104B89D6-4C86-47F0-B49F-59AC5B84E769}"/>
    <cellStyle name="Input 2 5 4 2 3 4 2" xfId="47210" xr:uid="{81DF41E9-AE80-4040-BAB5-17DA5BD8AB80}"/>
    <cellStyle name="Input 2 5 4 2 3 5" xfId="52789" xr:uid="{5A68EAB1-7C10-4D27-A68E-CD7EEFC4FBE8}"/>
    <cellStyle name="Input 2 5 4 2 4" xfId="5814" xr:uid="{00000000-0005-0000-0000-000041050000}"/>
    <cellStyle name="Input 2 5 4 2 4 2" xfId="12697" xr:uid="{5DF34840-1A4F-47F7-AE5F-9484FD8C933A}"/>
    <cellStyle name="Input 2 5 4 2 4 2 2" xfId="35182" xr:uid="{9014D757-BAF3-4C27-8061-659CA3017556}"/>
    <cellStyle name="Input 2 5 4 2 4 2 3" xfId="32529" xr:uid="{988E0912-F81A-4C47-9EC2-D5934F450CBC}"/>
    <cellStyle name="Input 2 5 4 2 4 3" xfId="17751" xr:uid="{E43AA5D3-E010-463F-AC05-4899C63F0339}"/>
    <cellStyle name="Input 2 5 4 2 4 3 2" xfId="40141" xr:uid="{E49B9CF9-F53A-49D1-AC41-E6BC47811BC4}"/>
    <cellStyle name="Input 2 5 4 2 4 3 3" xfId="41755" xr:uid="{309E961A-0FF9-45DE-9BB5-53391C00CB30}"/>
    <cellStyle name="Input 2 5 4 2 4 4" xfId="22175" xr:uid="{523CC424-A4A1-44F4-8354-FAC5477889DE}"/>
    <cellStyle name="Input 2 5 4 2 4 4 2" xfId="47149" xr:uid="{5DBB8D09-9116-4D43-A4B9-6D084D88A0F6}"/>
    <cellStyle name="Input 2 5 4 2 4 5" xfId="52289" xr:uid="{9E65BFEA-F26F-4391-BD78-8D3A1FECF93F}"/>
    <cellStyle name="Input 2 5 4 2 5" xfId="6158" xr:uid="{00000000-0005-0000-0000-000041050000}"/>
    <cellStyle name="Input 2 5 4 2 5 2" xfId="13035" xr:uid="{1C9C8395-D7B4-42BF-AFBC-DBA04A64BDB5}"/>
    <cellStyle name="Input 2 5 4 2 5 2 2" xfId="35519" xr:uid="{40CD510F-86E3-4C01-B479-625A3BC574D9}"/>
    <cellStyle name="Input 2 5 4 2 5 2 3" xfId="47620" xr:uid="{51820DAD-B946-440C-96B3-5BC0B3D08E25}"/>
    <cellStyle name="Input 2 5 4 2 5 3" xfId="18095" xr:uid="{7DA53B14-B9AA-4984-B074-C3839FC0761B}"/>
    <cellStyle name="Input 2 5 4 2 5 3 2" xfId="40485" xr:uid="{8200ABDF-E3B4-4155-8534-31A7047B46F7}"/>
    <cellStyle name="Input 2 5 4 2 5 3 3" xfId="25047" xr:uid="{2B0B1B5C-593E-488C-A79F-F69C16345951}"/>
    <cellStyle name="Input 2 5 4 2 5 4" xfId="22519" xr:uid="{DBCA61C4-F090-474B-B633-F38D8662B862}"/>
    <cellStyle name="Input 2 5 4 2 5 4 2" xfId="52608" xr:uid="{EEF2B827-75D6-4E10-A36C-32F6849CDA76}"/>
    <cellStyle name="Input 2 5 4 2 5 5" xfId="28251" xr:uid="{73B85557-C74F-442C-BD2D-39837A3C51C1}"/>
    <cellStyle name="Input 2 5 4 2 6" xfId="6531" xr:uid="{00000000-0005-0000-0000-000041050000}"/>
    <cellStyle name="Input 2 5 4 2 6 2" xfId="13400" xr:uid="{6D08978E-E681-42EF-A0B1-BA353520259B}"/>
    <cellStyle name="Input 2 5 4 2 6 2 2" xfId="35884" xr:uid="{7E385C76-6477-4241-AE0D-0B1A9078975C}"/>
    <cellStyle name="Input 2 5 4 2 6 2 3" xfId="50445" xr:uid="{4713604A-1A01-4AAF-B0AD-1C14A6914DDB}"/>
    <cellStyle name="Input 2 5 4 2 6 3" xfId="18468" xr:uid="{FDC37DD0-6B14-41E6-8A1B-AE9FAAEF6C7B}"/>
    <cellStyle name="Input 2 5 4 2 6 3 2" xfId="40858" xr:uid="{A9A63AFF-13E1-4FBF-ADF0-8F89AE257509}"/>
    <cellStyle name="Input 2 5 4 2 6 3 3" xfId="29087" xr:uid="{D788FA76-1272-4102-8BCC-19CCDAB19BD3}"/>
    <cellStyle name="Input 2 5 4 2 6 4" xfId="22892" xr:uid="{67ACECE3-81E2-4B40-820D-73D7039A6B63}"/>
    <cellStyle name="Input 2 5 4 2 6 4 2" xfId="53677" xr:uid="{21BCBD55-7292-4FFF-8868-EF768EFC2023}"/>
    <cellStyle name="Input 2 5 4 2 6 5" xfId="47666" xr:uid="{D71A083B-DDBD-4348-B189-4EF808A2E429}"/>
    <cellStyle name="Input 2 5 4 2 7" xfId="6342" xr:uid="{00000000-0005-0000-0000-000041050000}"/>
    <cellStyle name="Input 2 5 4 2 7 2" xfId="13214" xr:uid="{711817F3-9CE6-4446-8D39-04CF7DB0732B}"/>
    <cellStyle name="Input 2 5 4 2 7 2 2" xfId="35698" xr:uid="{3D299925-A990-403E-83CF-D67AEEF2AEB7}"/>
    <cellStyle name="Input 2 5 4 2 7 2 3" xfId="52072" xr:uid="{D927033D-4B40-40EA-B341-8ADDAD9345A5}"/>
    <cellStyle name="Input 2 5 4 2 7 3" xfId="18279" xr:uid="{E8359778-9BBE-4560-9F60-B4110337D07D}"/>
    <cellStyle name="Input 2 5 4 2 7 3 2" xfId="40669" xr:uid="{221FE92F-E156-4E29-8B6E-AE73FDFE80EA}"/>
    <cellStyle name="Input 2 5 4 2 7 3 3" xfId="23768" xr:uid="{63E0D66D-A2DB-4DB1-B6FC-5EE009B117DE}"/>
    <cellStyle name="Input 2 5 4 2 7 4" xfId="22703" xr:uid="{25CD8CDB-A749-46CD-B61F-D646C5DFB161}"/>
    <cellStyle name="Input 2 5 4 2 7 4 2" xfId="27877" xr:uid="{437526A8-35F7-487C-977D-74A4E5E7B0F9}"/>
    <cellStyle name="Input 2 5 4 2 7 5" xfId="46477" xr:uid="{92CBE28C-5039-492F-93AB-C6A80D24E57E}"/>
    <cellStyle name="Input 2 5 4 2 8" xfId="7015" xr:uid="{00000000-0005-0000-0000-000041050000}"/>
    <cellStyle name="Input 2 5 4 2 8 2" xfId="13852" xr:uid="{8B2DBA68-18A8-47E8-AD38-F4112B3B4D34}"/>
    <cellStyle name="Input 2 5 4 2 8 2 2" xfId="36336" xr:uid="{028AAAE6-580F-4410-8375-61FC115980F2}"/>
    <cellStyle name="Input 2 5 4 2 8 2 3" xfId="45967" xr:uid="{5D8CAD22-39E8-4437-B844-59D78972C6F1}"/>
    <cellStyle name="Input 2 5 4 2 8 3" xfId="18952" xr:uid="{8337C340-76AF-4CD3-986E-9EE349A52636}"/>
    <cellStyle name="Input 2 5 4 2 8 3 2" xfId="41342" xr:uid="{1DCB0567-C3C1-4B82-B1FC-BD7D6501498A}"/>
    <cellStyle name="Input 2 5 4 2 8 3 3" xfId="44804" xr:uid="{4441751A-6B53-4FD3-AEB8-EEF3C8328CF5}"/>
    <cellStyle name="Input 2 5 4 2 8 4" xfId="23376" xr:uid="{D18C15C1-0C2E-47CC-A303-86BDCCEBDC12}"/>
    <cellStyle name="Input 2 5 4 2 8 4 2" xfId="52899" xr:uid="{1E5CC302-D2D4-4BE2-A50D-F3449BF60013}"/>
    <cellStyle name="Input 2 5 4 2 8 5" xfId="50106" xr:uid="{A2EFC599-A54A-4DCA-9B76-B96D0125A5C1}"/>
    <cellStyle name="Input 2 5 4 2 9" xfId="7131" xr:uid="{00000000-0005-0000-0000-000041050000}"/>
    <cellStyle name="Input 2 5 4 2 9 2" xfId="19068" xr:uid="{D4CE48A3-6052-404E-94A0-1C62E3C9F275}"/>
    <cellStyle name="Input 2 5 4 2 9 2 2" xfId="41458" xr:uid="{3826FDBC-DE74-4B1B-972D-E8CF28BA63E9}"/>
    <cellStyle name="Input 2 5 4 2 9 2 3" xfId="25123" xr:uid="{C4DDAFD0-E6E5-43EE-8A9C-6B25AEDE1D55}"/>
    <cellStyle name="Input 2 5 4 2 9 3" xfId="23492" xr:uid="{C047D079-A843-4264-93B1-357DC353707B}"/>
    <cellStyle name="Input 2 5 4 2 9 3 2" xfId="46801" xr:uid="{6C6FB2FC-AA05-4FF0-8060-5DCB9AB9F5BA}"/>
    <cellStyle name="Input 2 5 4 2 9 4" xfId="49864" xr:uid="{3C7F44FC-8863-4984-9C92-B3D2A88200BD}"/>
    <cellStyle name="Input 2 5 4 3" xfId="3162" xr:uid="{00000000-0005-0000-0000-000040050000}"/>
    <cellStyle name="Input 2 5 4 3 2" xfId="10071" xr:uid="{C9B5369C-17B7-4ED7-91AA-8B531A08F244}"/>
    <cellStyle name="Input 2 5 4 3 2 2" xfId="32578" xr:uid="{A42A3A2C-8059-4F1B-8177-52F4213764E8}"/>
    <cellStyle name="Input 2 5 4 3 2 3" xfId="53316" xr:uid="{3FF139E8-2C64-4726-9280-C46690E2B339}"/>
    <cellStyle name="Input 2 5 4 3 3" xfId="15449" xr:uid="{B77AA2DD-AAD1-4D27-AAB8-53DBABAD51A6}"/>
    <cellStyle name="Input 2 5 4 3 3 2" xfId="37875" xr:uid="{233CD59F-AC8E-4FA8-B76B-A90E0EB96962}"/>
    <cellStyle name="Input 2 5 4 3 3 3" xfId="49725" xr:uid="{ACF4F80F-B958-4480-9A89-43992CD121AC}"/>
    <cellStyle name="Input 2 5 4 3 4" xfId="20830" xr:uid="{566C8630-428E-4B0D-A78F-949B4A1CFDA1}"/>
    <cellStyle name="Input 2 5 4 3 4 2" xfId="45638" xr:uid="{92C9982A-347B-4466-8719-9E33D14A0EAD}"/>
    <cellStyle name="Input 2 5 4 3 5" xfId="48815" xr:uid="{3BE85E8B-BF75-42B4-AF98-7D76B3E73725}"/>
    <cellStyle name="Input 2 5 4 4" xfId="4813" xr:uid="{00000000-0005-0000-0000-000040050000}"/>
    <cellStyle name="Input 2 5 4 4 2" xfId="11710" xr:uid="{BA1BB158-1175-435A-BD53-0721D50447EB}"/>
    <cellStyle name="Input 2 5 4 4 2 2" xfId="34196" xr:uid="{ACC09576-ED36-4789-B282-2F7DCF92BC1E}"/>
    <cellStyle name="Input 2 5 4 4 2 3" xfId="41645" xr:uid="{97BA75B6-B7C3-4B9B-B03C-B78167263FBC}"/>
    <cellStyle name="Input 2 5 4 4 3" xfId="16750" xr:uid="{95ADCAC0-B962-460C-8940-D6DB7B05F8B6}"/>
    <cellStyle name="Input 2 5 4 4 3 2" xfId="39140" xr:uid="{E6A1EC3F-9B0C-47E3-A5E4-44E7363AE646}"/>
    <cellStyle name="Input 2 5 4 4 3 3" xfId="42645" xr:uid="{B329881C-B59F-4524-8F59-ABD8F1D28BAD}"/>
    <cellStyle name="Input 2 5 4 4 4" xfId="20472" xr:uid="{AB450B47-1070-4D4B-AD70-962D773E8AF1}"/>
    <cellStyle name="Input 2 5 4 4 4 2" xfId="46599" xr:uid="{B7F6E5B2-AC29-4933-B198-0D0B470D1655}"/>
    <cellStyle name="Input 2 5 4 4 5" xfId="47346" xr:uid="{3B14B2AC-9058-4219-B3F6-495F786A3902}"/>
    <cellStyle name="Input 2 5 4 5" xfId="5092" xr:uid="{00000000-0005-0000-0000-000040050000}"/>
    <cellStyle name="Input 2 5 4 5 2" xfId="11985" xr:uid="{551630FC-65DA-447A-9629-E96648FB1FAC}"/>
    <cellStyle name="Input 2 5 4 5 2 2" xfId="34471" xr:uid="{67654948-1CEB-4295-86C5-E8F2CC2D1FE5}"/>
    <cellStyle name="Input 2 5 4 5 2 3" xfId="45205" xr:uid="{FD1E3E4B-2551-4044-82B5-37B70E2F13CF}"/>
    <cellStyle name="Input 2 5 4 5 3" xfId="17029" xr:uid="{0B37B41D-FC29-46DC-AAB1-99C56045F1DB}"/>
    <cellStyle name="Input 2 5 4 5 3 2" xfId="39419" xr:uid="{075DC55B-EBAC-4762-8CB1-3E28E44050F6}"/>
    <cellStyle name="Input 2 5 4 5 3 3" xfId="32115" xr:uid="{6CF35D06-F972-45A4-8109-93475CD82329}"/>
    <cellStyle name="Input 2 5 4 5 4" xfId="21453" xr:uid="{5B2EE98D-293E-4A0C-92AB-F33B4395A01F}"/>
    <cellStyle name="Input 2 5 4 5 4 2" xfId="54006" xr:uid="{19D75369-F067-433E-AD2B-648BA4FD4F43}"/>
    <cellStyle name="Input 2 5 4 5 5" xfId="32637" xr:uid="{F2BB77FB-FA31-480F-AC27-6D08B1340925}"/>
    <cellStyle name="Input 2 5 4 6" xfId="5903" xr:uid="{00000000-0005-0000-0000-000040050000}"/>
    <cellStyle name="Input 2 5 4 6 2" xfId="12784" xr:uid="{07AD72DF-6417-4272-8DAB-37165F68C71B}"/>
    <cellStyle name="Input 2 5 4 6 2 2" xfId="35268" xr:uid="{36482DF7-8237-42E0-B8D3-26CA68741602}"/>
    <cellStyle name="Input 2 5 4 6 2 3" xfId="44883" xr:uid="{A5832B63-2291-47EA-AA5F-0339AE33553D}"/>
    <cellStyle name="Input 2 5 4 6 3" xfId="17840" xr:uid="{4EC6CB8C-B1D7-4768-9829-5033DC57471D}"/>
    <cellStyle name="Input 2 5 4 6 3 2" xfId="40230" xr:uid="{96A0B8F7-8F1F-4E86-BE44-812C04730118}"/>
    <cellStyle name="Input 2 5 4 6 3 3" xfId="45267" xr:uid="{EFAB76A4-AD76-4825-B0DF-608644BC60F1}"/>
    <cellStyle name="Input 2 5 4 6 4" xfId="22264" xr:uid="{D7232A75-ACC6-48AC-AEBE-73BE2180410F}"/>
    <cellStyle name="Input 2 5 4 6 4 2" xfId="51699" xr:uid="{307868B4-D84A-43DB-8663-15040128A3DA}"/>
    <cellStyle name="Input 2 5 4 6 5" xfId="32140" xr:uid="{F39EC618-1071-4B9C-8064-7078C9F4E8A2}"/>
    <cellStyle name="Input 2 5 4 7" xfId="3279" xr:uid="{00000000-0005-0000-0000-000040050000}"/>
    <cellStyle name="Input 2 5 4 7 2" xfId="10187" xr:uid="{7E834AFB-DF19-4A70-B5EC-232A7C125584}"/>
    <cellStyle name="Input 2 5 4 7 2 2" xfId="32683" xr:uid="{13D965F0-15D8-4C33-B280-F3F4BD054DBC}"/>
    <cellStyle name="Input 2 5 4 7 2 3" xfId="47222" xr:uid="{08994AE6-A084-47BC-9943-8B46888B3558}"/>
    <cellStyle name="Input 2 5 4 7 3" xfId="15520" xr:uid="{E6A670F9-8DA8-40A3-8E93-2E425B04BF1A}"/>
    <cellStyle name="Input 2 5 4 7 3 2" xfId="37941" xr:uid="{C5FC4FF6-D04E-4E69-ABC9-0EB973CBCF55}"/>
    <cellStyle name="Input 2 5 4 7 3 3" xfId="48607" xr:uid="{7E16D0B7-FEBF-4696-B7B1-0A939308931F}"/>
    <cellStyle name="Input 2 5 4 7 4" xfId="15993" xr:uid="{0FF88BFA-5E71-43E5-8BE7-AE68C893C28F}"/>
    <cellStyle name="Input 2 5 4 7 4 2" xfId="28595" xr:uid="{0047F07F-105B-4B1B-813B-4A7C73297B0B}"/>
    <cellStyle name="Input 2 5 4 7 5" xfId="50470" xr:uid="{DB45709A-AB7C-46AA-8757-A1F72B68C943}"/>
    <cellStyle name="Input 2 5 4 8" xfId="8423" xr:uid="{5301AB72-93F5-4F70-BEE0-F2D3EB786AC5}"/>
    <cellStyle name="Input 2 5 4 8 2" xfId="31011" xr:uid="{63A71957-0D4A-4483-AA8B-4E0DFD4DF2D4}"/>
    <cellStyle name="Input 2 5 4 8 3" xfId="47372" xr:uid="{C357498E-F435-49CE-8A43-B55D779071B3}"/>
    <cellStyle name="Input 2 5 4 9" xfId="20424" xr:uid="{375BD120-D019-4BEA-ADC9-1787B2F27F9F}"/>
    <cellStyle name="Input 2 5 4 9 2" xfId="42718" xr:uid="{37747358-00E9-41D5-9191-34E4EAFEFB40}"/>
    <cellStyle name="Input 2 5 4 9 3" xfId="43551" xr:uid="{EA68C32D-8119-492F-B544-7786001260FB}"/>
    <cellStyle name="Input 2 5 5" xfId="1223" xr:uid="{00000000-0005-0000-0000-000043050000}"/>
    <cellStyle name="Input 2 5 5 10" xfId="20954" xr:uid="{EF83C630-154C-4144-BA71-6758D4820612}"/>
    <cellStyle name="Input 2 5 5 10 2" xfId="51824" xr:uid="{C00294AD-C841-471B-8AE0-BB83F2521F2E}"/>
    <cellStyle name="Input 2 5 5 11" xfId="28295" xr:uid="{0E4E9C90-388D-4417-87A6-718DD1CB0ACD}"/>
    <cellStyle name="Input 2 5 5 2" xfId="2023" xr:uid="{00000000-0005-0000-0000-000044050000}"/>
    <cellStyle name="Input 2 5 5 2 10" xfId="14671" xr:uid="{EBDE6A57-8907-4E72-8B3E-3668D14F3F95}"/>
    <cellStyle name="Input 2 5 5 2 10 2" xfId="37131" xr:uid="{B9F8B718-C82F-4247-B32C-7EEF6676A528}"/>
    <cellStyle name="Input 2 5 5 2 10 3" xfId="50127" xr:uid="{5CCCBF09-3DEE-40FA-BDA3-1B09B465FAA9}"/>
    <cellStyle name="Input 2 5 5 2 11" xfId="20632" xr:uid="{C04B283E-67DA-466F-B85A-5C4E76D5E4C0}"/>
    <cellStyle name="Input 2 5 5 2 11 2" xfId="42911" xr:uid="{D3EDC6D6-D129-44FA-8746-5C614FCC6DC2}"/>
    <cellStyle name="Input 2 5 5 2 11 3" xfId="41824" xr:uid="{A7A079B6-1A99-4935-93C5-0219135E3B3B}"/>
    <cellStyle name="Input 2 5 5 2 12" xfId="19754" xr:uid="{5F791CE6-E564-43EC-AFCE-BCDBD5961545}"/>
    <cellStyle name="Input 2 5 5 2 12 2" xfId="28864" xr:uid="{388E4530-E9D3-475A-A54D-6B5EEDC6B06F}"/>
    <cellStyle name="Input 2 5 5 2 13" xfId="51151" xr:uid="{214A1BBF-87CE-4536-AB2B-565AA58DFB9F}"/>
    <cellStyle name="Input 2 5 5 2 2" xfId="4118" xr:uid="{00000000-0005-0000-0000-000043050000}"/>
    <cellStyle name="Input 2 5 5 2 2 2" xfId="11022" xr:uid="{4FEBBE06-910D-4294-A66F-FF4AD8EF34E2}"/>
    <cellStyle name="Input 2 5 5 2 2 2 2" xfId="33508" xr:uid="{BEE6537F-4708-4C4E-8FEC-3F9D69CBD22E}"/>
    <cellStyle name="Input 2 5 5 2 2 2 3" xfId="49947" xr:uid="{DA58117B-5A15-42B6-B674-99BD957A606E}"/>
    <cellStyle name="Input 2 5 5 2 2 3" xfId="16122" xr:uid="{E86DAB1A-7601-4ACA-A6C7-7341EF4D7F6F}"/>
    <cellStyle name="Input 2 5 5 2 2 3 2" xfId="38522" xr:uid="{03E1098A-FECA-4CAB-9C92-BD2B89DAC93E}"/>
    <cellStyle name="Input 2 5 5 2 2 3 3" xfId="31532" xr:uid="{DDE1B623-DDD1-48D4-9315-FC325E5A428D}"/>
    <cellStyle name="Input 2 5 5 2 2 4" xfId="19887" xr:uid="{EEE1EF50-6115-4C20-B750-C28C003B3755}"/>
    <cellStyle name="Input 2 5 5 2 2 4 2" xfId="44769" xr:uid="{F771459A-4A0A-4AE2-9784-C7BE2EF2B4BC}"/>
    <cellStyle name="Input 2 5 5 2 2 5" xfId="44260" xr:uid="{5F5B66C2-C937-4B92-9E0D-8F70F43795E6}"/>
    <cellStyle name="Input 2 5 5 2 3" xfId="5464" xr:uid="{00000000-0005-0000-0000-000043050000}"/>
    <cellStyle name="Input 2 5 5 2 3 2" xfId="12353" xr:uid="{6E3EDCE0-33AC-43C6-A5FB-2148C9CA9D06}"/>
    <cellStyle name="Input 2 5 5 2 3 2 2" xfId="34838" xr:uid="{74A704F2-7216-4A85-8B64-17449DF3E893}"/>
    <cellStyle name="Input 2 5 5 2 3 2 3" xfId="28887" xr:uid="{78303218-4EAE-4679-902C-5D4223D2CB00}"/>
    <cellStyle name="Input 2 5 5 2 3 3" xfId="17401" xr:uid="{015BC682-13E5-4399-A859-2B6D453165AA}"/>
    <cellStyle name="Input 2 5 5 2 3 3 2" xfId="39791" xr:uid="{D6E40851-2491-46AE-BE36-0B748355DD2A}"/>
    <cellStyle name="Input 2 5 5 2 3 3 3" xfId="28062" xr:uid="{32C24875-435B-4228-A80D-C5ADF518B8C0}"/>
    <cellStyle name="Input 2 5 5 2 3 4" xfId="21825" xr:uid="{6204893D-8712-4AAB-BE64-870AF2546305}"/>
    <cellStyle name="Input 2 5 5 2 3 4 2" xfId="46947" xr:uid="{8551C137-34D2-42B2-9435-3E6B9ABBBCF0}"/>
    <cellStyle name="Input 2 5 5 2 3 5" xfId="30746" xr:uid="{691C7033-89EE-4912-8C85-E121E3E3174F}"/>
    <cellStyle name="Input 2 5 5 2 4" xfId="5887" xr:uid="{00000000-0005-0000-0000-000043050000}"/>
    <cellStyle name="Input 2 5 5 2 4 2" xfId="12769" xr:uid="{E8308CB6-1D03-48A2-95F6-1E3D4F3B18E4}"/>
    <cellStyle name="Input 2 5 5 2 4 2 2" xfId="35253" xr:uid="{EB06BE5A-04EC-4CAA-8C09-43A9AF2D79D9}"/>
    <cellStyle name="Input 2 5 5 2 4 2 3" xfId="26309" xr:uid="{374D86D5-958F-45B8-A9C4-B2390D201E20}"/>
    <cellStyle name="Input 2 5 5 2 4 3" xfId="17824" xr:uid="{11EF982B-B791-4338-B963-CCE660DEDD8E}"/>
    <cellStyle name="Input 2 5 5 2 4 3 2" xfId="40214" xr:uid="{7BCB38F6-1574-4181-82E9-046B03DC182A}"/>
    <cellStyle name="Input 2 5 5 2 4 3 3" xfId="37473" xr:uid="{9B1E4C2D-B866-4A52-A82E-929851B5824D}"/>
    <cellStyle name="Input 2 5 5 2 4 4" xfId="22248" xr:uid="{03DB38F1-A283-451A-86F2-B443B34ADAB4}"/>
    <cellStyle name="Input 2 5 5 2 4 4 2" xfId="49111" xr:uid="{CE7EC773-9014-4379-87E6-8EF408205569}"/>
    <cellStyle name="Input 2 5 5 2 4 5" xfId="53857" xr:uid="{3BE76CEA-C87B-44DC-B1A2-DEE41B1F3AD8}"/>
    <cellStyle name="Input 2 5 5 2 5" xfId="6225" xr:uid="{00000000-0005-0000-0000-000043050000}"/>
    <cellStyle name="Input 2 5 5 2 5 2" xfId="13100" xr:uid="{2A46548D-BC6D-4424-AC9E-26ADCE7B08A3}"/>
    <cellStyle name="Input 2 5 5 2 5 2 2" xfId="35584" xr:uid="{DDC2782E-2C9F-4DC6-9604-AE6885058CC3}"/>
    <cellStyle name="Input 2 5 5 2 5 2 3" xfId="53560" xr:uid="{D4289042-3F35-4D41-A5F2-C866EEE75388}"/>
    <cellStyle name="Input 2 5 5 2 5 3" xfId="18162" xr:uid="{FDB3683A-3511-448F-9C43-06F752DD86AB}"/>
    <cellStyle name="Input 2 5 5 2 5 3 2" xfId="40552" xr:uid="{817F0F8B-78D7-4A72-9D2D-202393555593}"/>
    <cellStyle name="Input 2 5 5 2 5 3 3" xfId="30527" xr:uid="{A417A94C-9D61-4DD3-A26E-B5DC2D44760D}"/>
    <cellStyle name="Input 2 5 5 2 5 4" xfId="22586" xr:uid="{6394CF9C-F7EE-499A-9CCC-89ABC8C49D79}"/>
    <cellStyle name="Input 2 5 5 2 5 4 2" xfId="53396" xr:uid="{974EE39D-D723-4781-8DBC-CC8CBEE793E5}"/>
    <cellStyle name="Input 2 5 5 2 5 5" xfId="28734" xr:uid="{E47A57DB-9732-493E-A06C-BCA524535EE1}"/>
    <cellStyle name="Input 2 5 5 2 6" xfId="6591" xr:uid="{00000000-0005-0000-0000-000043050000}"/>
    <cellStyle name="Input 2 5 5 2 6 2" xfId="13457" xr:uid="{02A15D04-9667-4E53-B7FF-CFC826ABAF63}"/>
    <cellStyle name="Input 2 5 5 2 6 2 2" xfId="35941" xr:uid="{F5568CFF-D4A3-4886-8204-7845E438A8CA}"/>
    <cellStyle name="Input 2 5 5 2 6 2 3" xfId="41854" xr:uid="{527EF7B7-0AC0-4B80-90F9-5F9C82732C9D}"/>
    <cellStyle name="Input 2 5 5 2 6 3" xfId="18528" xr:uid="{3F3CD332-ED11-43C4-9D95-2F61EB5BD4CB}"/>
    <cellStyle name="Input 2 5 5 2 6 3 2" xfId="40918" xr:uid="{6DCA6022-2692-4CDB-875E-5ECBA341ACD6}"/>
    <cellStyle name="Input 2 5 5 2 6 3 3" xfId="42950" xr:uid="{4375BE34-398A-46AB-929C-6C27BC79B426}"/>
    <cellStyle name="Input 2 5 5 2 6 4" xfId="22952" xr:uid="{CE033F3C-C538-432F-BD96-31BD5C3E083B}"/>
    <cellStyle name="Input 2 5 5 2 6 4 2" xfId="50720" xr:uid="{02F5636D-EAC1-4F3B-901C-A98EF809405D}"/>
    <cellStyle name="Input 2 5 5 2 6 5" xfId="51703" xr:uid="{40C0680F-EF18-4F4E-8EF8-4E9044E9C088}"/>
    <cellStyle name="Input 2 5 5 2 7" xfId="5915" xr:uid="{00000000-0005-0000-0000-000043050000}"/>
    <cellStyle name="Input 2 5 5 2 7 2" xfId="12796" xr:uid="{D053F79F-1C53-4964-A8A3-20568D4FA43D}"/>
    <cellStyle name="Input 2 5 5 2 7 2 2" xfId="35280" xr:uid="{1535A2C8-C108-45EB-9213-FECF8CBF9C77}"/>
    <cellStyle name="Input 2 5 5 2 7 2 3" xfId="53467" xr:uid="{C903DA96-9C96-4E56-B48B-F50581DAE954}"/>
    <cellStyle name="Input 2 5 5 2 7 3" xfId="17852" xr:uid="{C9AE6052-CCD3-453A-B349-B3376BB472D1}"/>
    <cellStyle name="Input 2 5 5 2 7 3 2" xfId="40242" xr:uid="{379F7BB4-4FD6-42EC-A636-BD1DD16A5015}"/>
    <cellStyle name="Input 2 5 5 2 7 3 3" xfId="27900" xr:uid="{5B0B8484-00DD-4C6F-B299-BC979C278223}"/>
    <cellStyle name="Input 2 5 5 2 7 4" xfId="22276" xr:uid="{58EF4446-C1AA-471E-BA69-A89B8B5B5751}"/>
    <cellStyle name="Input 2 5 5 2 7 4 2" xfId="53827" xr:uid="{D4D14949-B49B-4534-B2BC-110508A70603}"/>
    <cellStyle name="Input 2 5 5 2 7 5" xfId="43673" xr:uid="{8AC56D08-6C15-4C6E-866C-3F7A0D24788A}"/>
    <cellStyle name="Input 2 5 5 2 8" xfId="7061" xr:uid="{00000000-0005-0000-0000-000043050000}"/>
    <cellStyle name="Input 2 5 5 2 8 2" xfId="13897" xr:uid="{05C8C603-C359-48A7-9B41-B3E5CDD1448E}"/>
    <cellStyle name="Input 2 5 5 2 8 2 2" xfId="36381" xr:uid="{4879F388-ED88-49CF-9FD5-D122E915B6C1}"/>
    <cellStyle name="Input 2 5 5 2 8 2 3" xfId="46083" xr:uid="{57B187E6-2C8F-40F0-A27A-4E8F1C8B01D3}"/>
    <cellStyle name="Input 2 5 5 2 8 3" xfId="18998" xr:uid="{A96336BF-A0D2-4EFC-93FC-FE2341C2B0C3}"/>
    <cellStyle name="Input 2 5 5 2 8 3 2" xfId="41388" xr:uid="{F1A9F136-8E78-4CB0-8233-A90ED1D580B9}"/>
    <cellStyle name="Input 2 5 5 2 8 3 3" xfId="44304" xr:uid="{FE318747-4B03-4192-9346-FCAEE86AA768}"/>
    <cellStyle name="Input 2 5 5 2 8 4" xfId="23422" xr:uid="{C9CB5655-1E3E-4B6C-AEC2-8563710E2D35}"/>
    <cellStyle name="Input 2 5 5 2 8 4 2" xfId="29633" xr:uid="{BDA1B9C4-A6AB-4BF7-9C37-C63F42B5E733}"/>
    <cellStyle name="Input 2 5 5 2 8 5" xfId="27209" xr:uid="{0DFCBA20-A959-4AA9-AB4B-E4AC72AF87EF}"/>
    <cellStyle name="Input 2 5 5 2 9" xfId="7176" xr:uid="{00000000-0005-0000-0000-000043050000}"/>
    <cellStyle name="Input 2 5 5 2 9 2" xfId="19113" xr:uid="{9BCFE401-9E66-4AC2-91F5-DECA5786DF30}"/>
    <cellStyle name="Input 2 5 5 2 9 2 2" xfId="41503" xr:uid="{798D741E-8533-43C1-8862-3ABFC7F55A5A}"/>
    <cellStyle name="Input 2 5 5 2 9 2 3" xfId="23619" xr:uid="{7B9FE1A6-913C-4A04-B329-C0E396C31659}"/>
    <cellStyle name="Input 2 5 5 2 9 3" xfId="23537" xr:uid="{528127E3-5E2A-4377-ABC7-E95929A2097F}"/>
    <cellStyle name="Input 2 5 5 2 9 3 2" xfId="53547" xr:uid="{4B9FFCB9-C90A-4612-9D41-AFDF603C3079}"/>
    <cellStyle name="Input 2 5 5 2 9 4" xfId="44913" xr:uid="{8D51C6C0-66BA-4303-AF95-451F2A592752}"/>
    <cellStyle name="Input 2 5 5 3" xfId="3336" xr:uid="{00000000-0005-0000-0000-000042050000}"/>
    <cellStyle name="Input 2 5 5 3 2" xfId="10244" xr:uid="{2B2E2D12-6C3A-4A37-8BD0-9CC38C487971}"/>
    <cellStyle name="Input 2 5 5 3 2 2" xfId="32738" xr:uid="{125F4364-CF50-4B02-AE79-F415256E66D1}"/>
    <cellStyle name="Input 2 5 5 3 2 3" xfId="52765" xr:uid="{A67D9681-A8CA-4F47-B062-664AA183BB95}"/>
    <cellStyle name="Input 2 5 5 3 3" xfId="15562" xr:uid="{F3C3E190-B752-49E0-BD72-A22182F73025}"/>
    <cellStyle name="Input 2 5 5 3 3 2" xfId="37981" xr:uid="{8981A36C-5784-45D0-93D8-F98629F6B6FC}"/>
    <cellStyle name="Input 2 5 5 3 3 3" xfId="53847" xr:uid="{DBFD51D1-0BE4-426D-A76E-E36D3F3EED91}"/>
    <cellStyle name="Input 2 5 5 3 4" xfId="7250" xr:uid="{63698F0D-E942-4FE1-8577-73973ED1B1F5}"/>
    <cellStyle name="Input 2 5 5 3 4 2" xfId="46347" xr:uid="{96EE0BC3-C905-452D-A1C8-471BC62070A7}"/>
    <cellStyle name="Input 2 5 5 3 5" xfId="51033" xr:uid="{04F8C8D5-EFBF-491B-8627-36EF365642E5}"/>
    <cellStyle name="Input 2 5 5 4" xfId="4923" xr:uid="{00000000-0005-0000-0000-000042050000}"/>
    <cellStyle name="Input 2 5 5 4 2" xfId="11818" xr:uid="{8A36407C-A25C-445F-B095-8B690982F259}"/>
    <cellStyle name="Input 2 5 5 4 2 2" xfId="34304" xr:uid="{91B19791-EC45-454D-9F3E-CE94CB6BB330}"/>
    <cellStyle name="Input 2 5 5 4 2 3" xfId="44849" xr:uid="{D16780C8-A69E-4F3E-A07F-A8BDAF89C4BE}"/>
    <cellStyle name="Input 2 5 5 4 3" xfId="16860" xr:uid="{E715B217-2AA0-428C-969D-0F6B5A153266}"/>
    <cellStyle name="Input 2 5 5 4 3 2" xfId="39250" xr:uid="{90B3FC3B-8ACD-48E3-851F-E52B85692896}"/>
    <cellStyle name="Input 2 5 5 4 3 3" xfId="24783" xr:uid="{F741E76B-4D06-4390-ADBA-D05227EADAAC}"/>
    <cellStyle name="Input 2 5 5 4 4" xfId="20781" xr:uid="{97EB42BD-7CE5-4AB2-8F79-2CBF0B40A6C4}"/>
    <cellStyle name="Input 2 5 5 4 4 2" xfId="51771" xr:uid="{2C6E2B9D-0B07-471A-BB80-D34A5978CDA0}"/>
    <cellStyle name="Input 2 5 5 4 5" xfId="26036" xr:uid="{C81A29FC-8D07-48E2-93DF-43E77B9411B2}"/>
    <cellStyle name="Input 2 5 5 5" xfId="5851" xr:uid="{00000000-0005-0000-0000-000042050000}"/>
    <cellStyle name="Input 2 5 5 5 2" xfId="12733" xr:uid="{6AEC1F25-288D-4228-87D7-B59CA7127D05}"/>
    <cellStyle name="Input 2 5 5 5 2 2" xfId="35217" xr:uid="{536FB981-0593-4BA8-AB33-25E693C0AFC2}"/>
    <cellStyle name="Input 2 5 5 5 2 3" xfId="45726" xr:uid="{8FEE7373-B981-4793-B1AC-A8B9E92CCBC6}"/>
    <cellStyle name="Input 2 5 5 5 3" xfId="17788" xr:uid="{759D867D-7D98-4828-8BAB-F31EE72A37E7}"/>
    <cellStyle name="Input 2 5 5 5 3 2" xfId="40178" xr:uid="{BF62B06D-26FB-4631-B63E-0C73A9776A89}"/>
    <cellStyle name="Input 2 5 5 5 3 3" xfId="30715" xr:uid="{310341F4-A70D-45E2-9F2D-9323EB2E351D}"/>
    <cellStyle name="Input 2 5 5 5 4" xfId="22212" xr:uid="{2B444C90-9E0A-42C2-9EEF-2CA9B152494B}"/>
    <cellStyle name="Input 2 5 5 5 4 2" xfId="29784" xr:uid="{9AB0FD10-0400-4276-B94A-08D164D30915}"/>
    <cellStyle name="Input 2 5 5 5 5" xfId="24199" xr:uid="{60898686-92ED-4FBD-931F-3090C307DD6D}"/>
    <cellStyle name="Input 2 5 5 6" xfId="4631" xr:uid="{00000000-0005-0000-0000-000042050000}"/>
    <cellStyle name="Input 2 5 5 6 2" xfId="11532" xr:uid="{EE9A9773-C571-4BCC-B801-0D9EA579F548}"/>
    <cellStyle name="Input 2 5 5 6 2 2" xfId="34018" xr:uid="{5F6ADAF5-9BB7-4AEF-8CB7-EB43DE873C59}"/>
    <cellStyle name="Input 2 5 5 6 2 3" xfId="25126" xr:uid="{D5FD158F-B841-49B6-8422-164807492D52}"/>
    <cellStyle name="Input 2 5 5 6 3" xfId="16568" xr:uid="{3C6E6B4F-69F6-4BE6-A972-C18DFE41C4CE}"/>
    <cellStyle name="Input 2 5 5 6 3 2" xfId="38958" xr:uid="{C04AE0CF-6F77-4AAD-AFDD-04DCDA150311}"/>
    <cellStyle name="Input 2 5 5 6 3 3" xfId="30331" xr:uid="{D56C0863-6600-42D7-BF0F-F480BFF08537}"/>
    <cellStyle name="Input 2 5 5 6 4" xfId="20585" xr:uid="{11E1AF0A-D40C-4DDD-B246-7FFF2DC32F1B}"/>
    <cellStyle name="Input 2 5 5 6 4 2" xfId="50131" xr:uid="{3AB3B646-E656-4291-AA33-08C0B8758FF0}"/>
    <cellStyle name="Input 2 5 5 6 5" xfId="44406" xr:uid="{B5374E4D-A56C-45E1-BCDF-B79C05768B8B}"/>
    <cellStyle name="Input 2 5 5 7" xfId="5494" xr:uid="{00000000-0005-0000-0000-000042050000}"/>
    <cellStyle name="Input 2 5 5 7 2" xfId="12383" xr:uid="{643FDD99-D930-4722-9AAF-C5A5DBA32BCD}"/>
    <cellStyle name="Input 2 5 5 7 2 2" xfId="34868" xr:uid="{065EB767-57C3-4240-B36C-74918B4541AD}"/>
    <cellStyle name="Input 2 5 5 7 2 3" xfId="27736" xr:uid="{712EE848-A1CA-43A2-9716-F7246CCED655}"/>
    <cellStyle name="Input 2 5 5 7 3" xfId="17431" xr:uid="{76923550-9BF6-4DC4-8B0C-8C60226A7E03}"/>
    <cellStyle name="Input 2 5 5 7 3 2" xfId="39821" xr:uid="{379797E9-F7D2-4762-A28B-9E14FD10E037}"/>
    <cellStyle name="Input 2 5 5 7 3 3" xfId="45391" xr:uid="{361ABB46-BEDF-48C5-BF2F-FA8058A658CF}"/>
    <cellStyle name="Input 2 5 5 7 4" xfId="21855" xr:uid="{4F23AE88-D903-4E2C-9CBA-CC63848DD983}"/>
    <cellStyle name="Input 2 5 5 7 4 2" xfId="48010" xr:uid="{9FFD338F-D1FD-4D86-9C07-36E2842A7617}"/>
    <cellStyle name="Input 2 5 5 7 5" xfId="27593" xr:uid="{3B667606-89B4-4243-BD2B-20936302DCCC}"/>
    <cellStyle name="Input 2 5 5 8" xfId="14098" xr:uid="{0B4555A6-69E2-4DD8-A20F-39D474835B07}"/>
    <cellStyle name="Input 2 5 5 8 2" xfId="36576" xr:uid="{49BC9134-40CC-4503-90FF-08365AA435AA}"/>
    <cellStyle name="Input 2 5 5 8 3" xfId="32525" xr:uid="{E044D9EB-BE1D-4757-8B1C-D0F64973420E}"/>
    <cellStyle name="Input 2 5 5 9" xfId="20933" xr:uid="{BFB9B533-26F5-4BC4-BA9D-74853CE2CFCA}"/>
    <cellStyle name="Input 2 5 5 9 2" xfId="43192" xr:uid="{8A94FFD3-73BD-49D8-8403-7F63027EA56F}"/>
    <cellStyle name="Input 2 5 5 9 3" xfId="29167" xr:uid="{89E3CADD-3B44-4847-A211-9BE3A305DDEF}"/>
    <cellStyle name="Input 2 5 6" xfId="1385" xr:uid="{00000000-0005-0000-0000-000045050000}"/>
    <cellStyle name="Input 2 5 6 10" xfId="19964" xr:uid="{EC425868-B368-412B-98CD-EAC497BECA4F}"/>
    <cellStyle name="Input 2 5 6 10 2" xfId="29797" xr:uid="{009F077F-A916-4FD2-BC00-EEF8E92F6A29}"/>
    <cellStyle name="Input 2 5 6 11" xfId="45931" xr:uid="{750291A9-D187-48F7-B36B-0A7E46D30296}"/>
    <cellStyle name="Input 2 5 6 2" xfId="2114" xr:uid="{00000000-0005-0000-0000-000046050000}"/>
    <cellStyle name="Input 2 5 6 2 10" xfId="14743" xr:uid="{7407CA27-092D-4612-B627-F4540CC53C3C}"/>
    <cellStyle name="Input 2 5 6 2 10 2" xfId="37201" xr:uid="{1AA376E8-95DB-4671-A450-75CDCB19B265}"/>
    <cellStyle name="Input 2 5 6 2 10 3" xfId="43682" xr:uid="{ED3382DD-32FD-4BBC-A800-E3BE7668BE27}"/>
    <cellStyle name="Input 2 5 6 2 11" xfId="20113" xr:uid="{C3DB5833-4A15-4CEC-8DF3-85E97D9E9F70}"/>
    <cellStyle name="Input 2 5 6 2 11 2" xfId="42428" xr:uid="{BE806B5F-CF11-49D7-B6E8-BC5853512947}"/>
    <cellStyle name="Input 2 5 6 2 11 3" xfId="26550" xr:uid="{FC71A931-2472-435C-AFDD-B131325C447C}"/>
    <cellStyle name="Input 2 5 6 2 12" xfId="20165" xr:uid="{08F13849-65F8-4CB2-AA3A-E025731D1F5D}"/>
    <cellStyle name="Input 2 5 6 2 12 2" xfId="44525" xr:uid="{7861E9AE-C0FA-440E-8E03-539A0FC19CF8}"/>
    <cellStyle name="Input 2 5 6 2 13" xfId="49515" xr:uid="{60A3EFE0-201E-409B-8361-49A229112EA4}"/>
    <cellStyle name="Input 2 5 6 2 2" xfId="4207" xr:uid="{00000000-0005-0000-0000-000045050000}"/>
    <cellStyle name="Input 2 5 6 2 2 2" xfId="11111" xr:uid="{E1D75AF9-E18F-4B6B-A3A6-3F7F817B79ED}"/>
    <cellStyle name="Input 2 5 6 2 2 2 2" xfId="33597" xr:uid="{F3EAA8A2-5FA1-4FC2-8928-8013E22C6CDD}"/>
    <cellStyle name="Input 2 5 6 2 2 2 3" xfId="52808" xr:uid="{0AC409C3-9DB3-4676-99AA-9E11373DEB76}"/>
    <cellStyle name="Input 2 5 6 2 2 3" xfId="16200" xr:uid="{A1C31040-B712-4256-9CF8-FD9C7703C4D4}"/>
    <cellStyle name="Input 2 5 6 2 2 3 2" xfId="38599" xr:uid="{3B0C4852-5BC8-4B2E-AEF3-8819C478C759}"/>
    <cellStyle name="Input 2 5 6 2 2 3 3" xfId="37366" xr:uid="{D97D83F4-0338-459F-819A-F9CB0A1B5A48}"/>
    <cellStyle name="Input 2 5 6 2 2 4" xfId="19435" xr:uid="{C04855A7-1BE7-47D6-9219-12A7BD47D33F}"/>
    <cellStyle name="Input 2 5 6 2 2 4 2" xfId="30340" xr:uid="{6483BE65-55E6-4E3D-981C-3C111D2A6B08}"/>
    <cellStyle name="Input 2 5 6 2 2 5" xfId="50392" xr:uid="{79748F30-393A-4711-A270-3D5EE04AC318}"/>
    <cellStyle name="Input 2 5 6 2 3" xfId="5533" xr:uid="{00000000-0005-0000-0000-000045050000}"/>
    <cellStyle name="Input 2 5 6 2 3 2" xfId="12422" xr:uid="{363EE674-6F7B-4E70-81CE-DB96D2B70147}"/>
    <cellStyle name="Input 2 5 6 2 3 2 2" xfId="34907" xr:uid="{0673027E-1E7E-414F-AB33-F067F7CBE3A4}"/>
    <cellStyle name="Input 2 5 6 2 3 2 3" xfId="28905" xr:uid="{10F865D6-2F89-48DE-B11B-38F119B4E0E2}"/>
    <cellStyle name="Input 2 5 6 2 3 3" xfId="17470" xr:uid="{669A9F5B-DCBB-47FD-9559-86B6D0258D37}"/>
    <cellStyle name="Input 2 5 6 2 3 3 2" xfId="39860" xr:uid="{15935CF9-5E18-4B8C-B86B-73F88CBBBE9C}"/>
    <cellStyle name="Input 2 5 6 2 3 3 3" xfId="41816" xr:uid="{F4BC06FA-1E33-46BE-8338-604118BCD14C}"/>
    <cellStyle name="Input 2 5 6 2 3 4" xfId="21894" xr:uid="{C49482A8-399A-44D8-9355-147EDE5736F3}"/>
    <cellStyle name="Input 2 5 6 2 3 4 2" xfId="24273" xr:uid="{D4E9D8B7-511A-4228-B095-8B5E6773F47C}"/>
    <cellStyle name="Input 2 5 6 2 3 5" xfId="47419" xr:uid="{A4385B3E-EADC-4231-BA7E-7A82F1AAD42B}"/>
    <cellStyle name="Input 2 5 6 2 4" xfId="5955" xr:uid="{00000000-0005-0000-0000-000045050000}"/>
    <cellStyle name="Input 2 5 6 2 4 2" xfId="12836" xr:uid="{42C3EA21-31C0-48D6-A505-F29496C64EE3}"/>
    <cellStyle name="Input 2 5 6 2 4 2 2" xfId="35320" xr:uid="{7DA3B2BD-9423-4132-8FF9-052033C21FE6}"/>
    <cellStyle name="Input 2 5 6 2 4 2 3" xfId="44869" xr:uid="{E333B5FD-466D-472C-96FD-2E6293B3FF09}"/>
    <cellStyle name="Input 2 5 6 2 4 3" xfId="17892" xr:uid="{0361E064-9F61-45BB-8893-68253D93B2F6}"/>
    <cellStyle name="Input 2 5 6 2 4 3 2" xfId="40282" xr:uid="{C7236135-CFAE-4F06-9BDE-917FE6C787BD}"/>
    <cellStyle name="Input 2 5 6 2 4 3 3" xfId="25967" xr:uid="{AC4C16A2-EDB5-436D-8275-8A62CDB1B037}"/>
    <cellStyle name="Input 2 5 6 2 4 4" xfId="22316" xr:uid="{A1202276-0BB6-4452-99D8-2AC5C66B1934}"/>
    <cellStyle name="Input 2 5 6 2 4 4 2" xfId="50062" xr:uid="{2C2E3F2A-6EDE-440E-9CF3-76C9B685FBE5}"/>
    <cellStyle name="Input 2 5 6 2 4 5" xfId="47726" xr:uid="{AA4F3B56-6683-4384-A4BB-91E5970215FC}"/>
    <cellStyle name="Input 2 5 6 2 5" xfId="6295" xr:uid="{00000000-0005-0000-0000-000045050000}"/>
    <cellStyle name="Input 2 5 6 2 5 2" xfId="13167" xr:uid="{FF6E14CD-2158-4925-855A-07E24F9AD105}"/>
    <cellStyle name="Input 2 5 6 2 5 2 2" xfId="35651" xr:uid="{51A0B0EC-5F28-491E-BE87-8CE19FDF665A}"/>
    <cellStyle name="Input 2 5 6 2 5 2 3" xfId="28509" xr:uid="{89B6622B-B71D-4052-BE96-344037F1C9AA}"/>
    <cellStyle name="Input 2 5 6 2 5 3" xfId="18232" xr:uid="{4562503D-B719-4DCB-8CC3-8A5FB0A9C8F4}"/>
    <cellStyle name="Input 2 5 6 2 5 3 2" xfId="40622" xr:uid="{CF0B065C-DA92-4AA7-8E08-92D02EB9D125}"/>
    <cellStyle name="Input 2 5 6 2 5 3 3" xfId="28586" xr:uid="{81F3CA4C-17E1-4F9A-8BB3-10019EC090B6}"/>
    <cellStyle name="Input 2 5 6 2 5 4" xfId="22656" xr:uid="{BAAC3F2D-A2DD-43FB-9E09-C6C071E4802D}"/>
    <cellStyle name="Input 2 5 6 2 5 4 2" xfId="44262" xr:uid="{689C464C-9439-4D59-849D-02038F33071A}"/>
    <cellStyle name="Input 2 5 6 2 5 5" xfId="51280" xr:uid="{F83ED98A-D7C0-46CF-859D-F983CC2AA703}"/>
    <cellStyle name="Input 2 5 6 2 6" xfId="6650" xr:uid="{00000000-0005-0000-0000-000045050000}"/>
    <cellStyle name="Input 2 5 6 2 6 2" xfId="13516" xr:uid="{D95C5E2A-D999-44A5-9AB9-61E1E956BE6D}"/>
    <cellStyle name="Input 2 5 6 2 6 2 2" xfId="36000" xr:uid="{660A979A-4947-4F9E-B59F-7098A1E346A4}"/>
    <cellStyle name="Input 2 5 6 2 6 2 3" xfId="49662" xr:uid="{222BB5C4-3C78-44E6-BF89-75CE4ED27834}"/>
    <cellStyle name="Input 2 5 6 2 6 3" xfId="18587" xr:uid="{07271D9A-B7BB-426A-849F-EBF3B09B73E3}"/>
    <cellStyle name="Input 2 5 6 2 6 3 2" xfId="40977" xr:uid="{F03C6C1C-9AF0-44F2-8BC7-63CBA9BDE152}"/>
    <cellStyle name="Input 2 5 6 2 6 3 3" xfId="44973" xr:uid="{922D54DC-EA21-4A9D-967D-9D036563F5BA}"/>
    <cellStyle name="Input 2 5 6 2 6 4" xfId="23011" xr:uid="{CE0BD633-B8E5-4E10-AC33-AE1F3ECCB459}"/>
    <cellStyle name="Input 2 5 6 2 6 4 2" xfId="50682" xr:uid="{DFF54D66-0A15-4AEE-BC31-FB2DDC1DEE42}"/>
    <cellStyle name="Input 2 5 6 2 6 5" xfId="49446" xr:uid="{69CF2BD7-6B16-47D1-959F-4B4E6F2389C2}"/>
    <cellStyle name="Input 2 5 6 2 7" xfId="4360" xr:uid="{00000000-0005-0000-0000-000045050000}"/>
    <cellStyle name="Input 2 5 6 2 7 2" xfId="11263" xr:uid="{7A7F7DE8-CA2A-4298-98A5-75A38CEC45A7}"/>
    <cellStyle name="Input 2 5 6 2 7 2 2" xfId="33749" xr:uid="{E6CCBF68-C3BD-4BD8-BDD5-DE036004555C}"/>
    <cellStyle name="Input 2 5 6 2 7 2 3" xfId="29408" xr:uid="{94E65300-5D2D-44D2-8843-94C35FFC9DB3}"/>
    <cellStyle name="Input 2 5 6 2 7 3" xfId="16297" xr:uid="{51DD94B6-C703-4505-B3E8-B2B5759717B4}"/>
    <cellStyle name="Input 2 5 6 2 7 3 2" xfId="38687" xr:uid="{EE226522-63EF-493F-911E-DC2478ABA023}"/>
    <cellStyle name="Input 2 5 6 2 7 3 3" xfId="45538" xr:uid="{085E6FB7-5AB9-4D1F-BCFE-4F8A90325887}"/>
    <cellStyle name="Input 2 5 6 2 7 4" xfId="15276" xr:uid="{1B8BF8B9-FA52-4615-8F70-28B68B085033}"/>
    <cellStyle name="Input 2 5 6 2 7 4 2" xfId="24326" xr:uid="{1AB881FE-B4D5-4343-B818-2B7273192B73}"/>
    <cellStyle name="Input 2 5 6 2 7 5" xfId="48154" xr:uid="{0F1F5EC3-BBA1-4F79-8E64-D3D7474C2DA8}"/>
    <cellStyle name="Input 2 5 6 2 8" xfId="7105" xr:uid="{00000000-0005-0000-0000-000045050000}"/>
    <cellStyle name="Input 2 5 6 2 8 2" xfId="13941" xr:uid="{E49A2D04-77BF-447C-B1C8-795CDB6BE0AF}"/>
    <cellStyle name="Input 2 5 6 2 8 2 2" xfId="36425" xr:uid="{CA424C52-AA5A-4748-B16B-DEB23019C309}"/>
    <cellStyle name="Input 2 5 6 2 8 2 3" xfId="45111" xr:uid="{44394851-F765-45FB-BB26-80298519A19F}"/>
    <cellStyle name="Input 2 5 6 2 8 3" xfId="19042" xr:uid="{CE8EAF4E-FB3B-404F-A73C-5548292F799D}"/>
    <cellStyle name="Input 2 5 6 2 8 3 2" xfId="41432" xr:uid="{EB27D125-72BC-4427-8F79-D6D226B98B12}"/>
    <cellStyle name="Input 2 5 6 2 8 3 3" xfId="27591" xr:uid="{EFD1FED5-4D5A-498C-B013-99C743BD0A2A}"/>
    <cellStyle name="Input 2 5 6 2 8 4" xfId="23466" xr:uid="{39EB58E5-CF1E-4C10-9C09-02FA45F579F7}"/>
    <cellStyle name="Input 2 5 6 2 8 4 2" xfId="28834" xr:uid="{B083C22C-DD76-40C0-8138-E3E3F5D524FC}"/>
    <cellStyle name="Input 2 5 6 2 8 5" xfId="48550" xr:uid="{F401B6A6-34F5-4F65-B528-188146C9973F}"/>
    <cellStyle name="Input 2 5 6 2 9" xfId="7220" xr:uid="{00000000-0005-0000-0000-000045050000}"/>
    <cellStyle name="Input 2 5 6 2 9 2" xfId="19157" xr:uid="{B2017EDA-762A-4DD7-A5E1-4B0F631C3B34}"/>
    <cellStyle name="Input 2 5 6 2 9 2 2" xfId="41547" xr:uid="{751D4DE6-86DE-4300-92DA-C477A61368BC}"/>
    <cellStyle name="Input 2 5 6 2 9 2 3" xfId="36017" xr:uid="{9144C9E1-3ACA-4D0F-BCC7-FFCE7ED104C7}"/>
    <cellStyle name="Input 2 5 6 2 9 3" xfId="23581" xr:uid="{9C76D254-A101-4795-A05B-A29FD4222F1B}"/>
    <cellStyle name="Input 2 5 6 2 9 3 2" xfId="43521" xr:uid="{73E091E3-1868-4F4D-9BCC-35D78F1DDA40}"/>
    <cellStyle name="Input 2 5 6 2 9 4" xfId="28658" xr:uid="{420F2FC8-7D10-4BBB-B023-C2A7FCD91416}"/>
    <cellStyle name="Input 2 5 6 3" xfId="3489" xr:uid="{00000000-0005-0000-0000-000044050000}"/>
    <cellStyle name="Input 2 5 6 3 2" xfId="10396" xr:uid="{F1675059-0126-4FA9-A465-39E4778A12E5}"/>
    <cellStyle name="Input 2 5 6 3 2 2" xfId="32883" xr:uid="{32F121CC-5888-4CD6-8055-6A32F1182087}"/>
    <cellStyle name="Input 2 5 6 3 2 3" xfId="28169" xr:uid="{E11C8520-CB06-4808-B064-158D3B8E46A9}"/>
    <cellStyle name="Input 2 5 6 3 3" xfId="15667" xr:uid="{B54896B8-C69A-41DE-8684-B693189F190C}"/>
    <cellStyle name="Input 2 5 6 3 3 2" xfId="38083" xr:uid="{88B46F8F-CD63-4DB8-9C02-88953F481AB0}"/>
    <cellStyle name="Input 2 5 6 3 3 3" xfId="49772" xr:uid="{784C85BC-B8C8-4DF8-8F06-2EB508C6B859}"/>
    <cellStyle name="Input 2 5 6 3 4" xfId="20783" xr:uid="{70C89366-8874-4EDD-98B9-23315099007B}"/>
    <cellStyle name="Input 2 5 6 3 4 2" xfId="28659" xr:uid="{D76EC938-396D-4EA4-BD79-C5478C5AABAE}"/>
    <cellStyle name="Input 2 5 6 3 5" xfId="28552" xr:uid="{41B4AAE6-0B2A-4613-AA25-9074BF871B61}"/>
    <cellStyle name="Input 2 5 6 4" xfId="5022" xr:uid="{00000000-0005-0000-0000-000044050000}"/>
    <cellStyle name="Input 2 5 6 4 2" xfId="11916" xr:uid="{171C3F7C-715B-4603-9A11-6A20ED1207CF}"/>
    <cellStyle name="Input 2 5 6 4 2 2" xfId="34402" xr:uid="{70339304-2FCE-42BB-B38F-B6F41C71757C}"/>
    <cellStyle name="Input 2 5 6 4 2 3" xfId="27713" xr:uid="{59E08A64-375A-41E9-8F4F-6D4BB52147BE}"/>
    <cellStyle name="Input 2 5 6 4 3" xfId="16959" xr:uid="{31587F9A-E8A1-4EEE-93E6-B69319393725}"/>
    <cellStyle name="Input 2 5 6 4 3 2" xfId="39349" xr:uid="{42B2AE03-157E-4ECA-BF57-E137A89406D9}"/>
    <cellStyle name="Input 2 5 6 4 3 3" xfId="29080" xr:uid="{9431FB5C-9996-42B9-A001-E5BBEBAEFC91}"/>
    <cellStyle name="Input 2 5 6 4 4" xfId="21383" xr:uid="{B88DB772-9012-4101-8DD0-A3DDA1DE4058}"/>
    <cellStyle name="Input 2 5 6 4 4 2" xfId="52623" xr:uid="{C58782F6-DCE9-4A15-87A9-36D22F758C49}"/>
    <cellStyle name="Input 2 5 6 4 5" xfId="44438" xr:uid="{46D687F0-EFC7-48C0-9C01-C25265D12B4E}"/>
    <cellStyle name="Input 2 5 6 5" xfId="5690" xr:uid="{00000000-0005-0000-0000-000044050000}"/>
    <cellStyle name="Input 2 5 6 5 2" xfId="12574" xr:uid="{42FF9F94-F503-47CF-9C0E-5C22499698C5}"/>
    <cellStyle name="Input 2 5 6 5 2 2" xfId="35059" xr:uid="{4DA278AE-F2BC-488A-8C23-D8F15880F8D9}"/>
    <cellStyle name="Input 2 5 6 5 2 3" xfId="43863" xr:uid="{A08944A5-96DE-4202-96D7-D05AD0AEAFEC}"/>
    <cellStyle name="Input 2 5 6 5 3" xfId="17627" xr:uid="{2D7A7425-5D4E-4EEB-80A4-F9764EC28E72}"/>
    <cellStyle name="Input 2 5 6 5 3 2" xfId="40017" xr:uid="{3FB2BEC6-D475-4DC3-ACB5-2F077AC6BE46}"/>
    <cellStyle name="Input 2 5 6 5 3 3" xfId="42822" xr:uid="{1A98697D-E9D4-4CC4-A871-C6EC53769BAE}"/>
    <cellStyle name="Input 2 5 6 5 4" xfId="22051" xr:uid="{4B39354C-6DF3-48BF-AF34-A03B9FB6C029}"/>
    <cellStyle name="Input 2 5 6 5 4 2" xfId="47578" xr:uid="{BAD92103-3A71-40A2-BE39-7BE93F81DC51}"/>
    <cellStyle name="Input 2 5 6 5 5" xfId="48108" xr:uid="{52A56616-6C4D-477A-BDC4-249F98A0D386}"/>
    <cellStyle name="Input 2 5 6 6" xfId="3019" xr:uid="{00000000-0005-0000-0000-000044050000}"/>
    <cellStyle name="Input 2 5 6 6 2" xfId="9928" xr:uid="{9C9CB3FF-E972-459A-A916-E3B3EFF7FB9C}"/>
    <cellStyle name="Input 2 5 6 6 2 2" xfId="32448" xr:uid="{253D6B54-2628-472F-B5CE-E9A39CD07D7A}"/>
    <cellStyle name="Input 2 5 6 6 2 3" xfId="32803" xr:uid="{15B3B973-0BFF-4343-85BD-3504F9E6C33A}"/>
    <cellStyle name="Input 2 5 6 6 3" xfId="15358" xr:uid="{95FF0E4E-ED23-4AA6-A835-7D907A7EE54F}"/>
    <cellStyle name="Input 2 5 6 6 3 2" xfId="37789" xr:uid="{CBC2ADDD-4DAA-4692-A9CF-B661A0DDB544}"/>
    <cellStyle name="Input 2 5 6 6 3 3" xfId="50804" xr:uid="{2CA8DF2D-5BFF-4043-9178-80308BED0843}"/>
    <cellStyle name="Input 2 5 6 6 4" xfId="21285" xr:uid="{644ABE8C-A2D8-426E-AABF-DA2075C1E2A0}"/>
    <cellStyle name="Input 2 5 6 6 4 2" xfId="50665" xr:uid="{4F613622-29DB-44DD-A829-AEBA1C0609F8}"/>
    <cellStyle name="Input 2 5 6 6 5" xfId="52295" xr:uid="{A9B88622-3FC3-4FA0-8570-78168AE8CEF0}"/>
    <cellStyle name="Input 2 5 6 7" xfId="6021" xr:uid="{00000000-0005-0000-0000-000044050000}"/>
    <cellStyle name="Input 2 5 6 7 2" xfId="12901" xr:uid="{A20150AA-3408-4724-84BF-D071A1C4EC07}"/>
    <cellStyle name="Input 2 5 6 7 2 2" xfId="35385" xr:uid="{C0FD09D4-188D-4AF7-BE46-9C7DED916B2E}"/>
    <cellStyle name="Input 2 5 6 7 2 3" xfId="49730" xr:uid="{453A307F-B5AF-4E3C-96F6-406453B20103}"/>
    <cellStyle name="Input 2 5 6 7 3" xfId="17958" xr:uid="{6E96A6AE-0C1E-4A84-A1EC-240900ED6502}"/>
    <cellStyle name="Input 2 5 6 7 3 2" xfId="40348" xr:uid="{8A456950-C5EA-41F9-9A6D-D1C96FC366E1}"/>
    <cellStyle name="Input 2 5 6 7 3 3" xfId="30282" xr:uid="{40EB502F-03EF-4D45-A15E-8F0DB6D36D5D}"/>
    <cellStyle name="Input 2 5 6 7 4" xfId="22382" xr:uid="{DBAD398E-F93E-491C-9066-452B55F78310}"/>
    <cellStyle name="Input 2 5 6 7 4 2" xfId="28271" xr:uid="{7060D4C9-6DD5-4128-BA95-B275FA86065F}"/>
    <cellStyle name="Input 2 5 6 7 5" xfId="52345" xr:uid="{AC7F0B63-3669-4408-B707-8D87C5DB33C1}"/>
    <cellStyle name="Input 2 5 6 8" xfId="14204" xr:uid="{64203725-B2C7-4ABF-9F7A-D2D3CBF9CDBA}"/>
    <cellStyle name="Input 2 5 6 8 2" xfId="36679" xr:uid="{B0B656F9-B53A-4855-B6F1-965EDAE1CC4C}"/>
    <cellStyle name="Input 2 5 6 8 3" xfId="48586" xr:uid="{BA2CFD3A-C51C-4253-9338-5FD572CF0DAE}"/>
    <cellStyle name="Input 2 5 6 9" xfId="19808" xr:uid="{4FA38EF5-7D4A-4462-A002-21F754E3C5ED}"/>
    <cellStyle name="Input 2 5 6 9 2" xfId="42146" xr:uid="{CFE58A80-A5AA-4526-8C02-6F3B79788364}"/>
    <cellStyle name="Input 2 5 6 9 3" xfId="32298" xr:uid="{6BD91110-7B0D-4103-A7D2-2F9C8A6F404E}"/>
    <cellStyle name="Input 2 5 7" xfId="1657" xr:uid="{00000000-0005-0000-0000-000047050000}"/>
    <cellStyle name="Input 2 5 7 10" xfId="14371" xr:uid="{51CBDBFD-AE06-49F5-813D-82752A3C0412}"/>
    <cellStyle name="Input 2 5 7 10 2" xfId="36839" xr:uid="{58FD9AF4-1F96-499B-B469-C09D6B1A042D}"/>
    <cellStyle name="Input 2 5 7 10 3" xfId="53242" xr:uid="{252160B6-3294-4886-B8CE-9A0697F62140}"/>
    <cellStyle name="Input 2 5 7 11" xfId="20468" xr:uid="{03240EAD-57D1-4705-96B4-92B520CA50F5}"/>
    <cellStyle name="Input 2 5 7 11 2" xfId="42757" xr:uid="{358ED737-B259-4994-B706-7252EB037815}"/>
    <cellStyle name="Input 2 5 7 11 3" xfId="46869" xr:uid="{4072810D-2F61-4A8B-96B7-BC9A35A845D1}"/>
    <cellStyle name="Input 2 5 7 12" xfId="20705" xr:uid="{144690CF-1C25-480A-BFBA-563AEE0ABDE2}"/>
    <cellStyle name="Input 2 5 7 12 2" xfId="29901" xr:uid="{4852962C-98BB-4859-946F-32833F1D7C99}"/>
    <cellStyle name="Input 2 5 7 13" xfId="51357" xr:uid="{C8B893E4-F08E-45ED-B43E-1BD2CE4F69ED}"/>
    <cellStyle name="Input 2 5 7 2" xfId="3755" xr:uid="{00000000-0005-0000-0000-000046050000}"/>
    <cellStyle name="Input 2 5 7 2 2" xfId="10659" xr:uid="{4E49560F-EB65-452D-B95D-FA6A85F8FE1C}"/>
    <cellStyle name="Input 2 5 7 2 2 2" xfId="33145" xr:uid="{8C9DF7F5-7EE1-45F3-B31B-D3F50655D0B9}"/>
    <cellStyle name="Input 2 5 7 2 2 3" xfId="53600" xr:uid="{92F25BF0-B3EF-463E-AFB1-0A519ED99BF3}"/>
    <cellStyle name="Input 2 5 7 2 3" xfId="15836" xr:uid="{8CBFC1EB-CB0A-432B-8CAA-F9866F68B85F}"/>
    <cellStyle name="Input 2 5 7 2 3 2" xfId="38244" xr:uid="{15774B3D-5510-4E50-B14E-507494699702}"/>
    <cellStyle name="Input 2 5 7 2 3 3" xfId="44809" xr:uid="{3678D0E0-1654-4959-A731-DD02677D88A1}"/>
    <cellStyle name="Input 2 5 7 2 4" xfId="9286" xr:uid="{FF68699A-C0B2-4E1F-B5F9-61D4E2C663CD}"/>
    <cellStyle name="Input 2 5 7 2 4 2" xfId="49953" xr:uid="{AD5DFA7B-D583-44ED-9487-422E3FF37B7F}"/>
    <cellStyle name="Input 2 5 7 2 5" xfId="46240" xr:uid="{4A560BF9-EDA3-4FA2-AEA2-082EAF9C17EE}"/>
    <cellStyle name="Input 2 5 7 3" xfId="5190" xr:uid="{00000000-0005-0000-0000-000046050000}"/>
    <cellStyle name="Input 2 5 7 3 2" xfId="12083" xr:uid="{CA6BB440-0D23-45E1-90D0-234E20E4521A}"/>
    <cellStyle name="Input 2 5 7 3 2 2" xfId="34569" xr:uid="{91FF0726-5DC2-4260-9239-A95181F64FB4}"/>
    <cellStyle name="Input 2 5 7 3 2 3" xfId="28836" xr:uid="{D74D090C-9BAD-4C2E-ADE6-A1FF96102A60}"/>
    <cellStyle name="Input 2 5 7 3 3" xfId="17127" xr:uid="{CA940E9F-40E2-4BF1-8FCB-68F8B54AB317}"/>
    <cellStyle name="Input 2 5 7 3 3 2" xfId="39517" xr:uid="{C5C2ED80-3F0C-4ADC-9C97-7CF25E0F3BD5}"/>
    <cellStyle name="Input 2 5 7 3 3 3" xfId="45450" xr:uid="{9CBB075E-E625-4F1F-AF46-F8CE4BFBC205}"/>
    <cellStyle name="Input 2 5 7 3 4" xfId="21551" xr:uid="{1BC386F8-982B-4044-8644-244600E82385}"/>
    <cellStyle name="Input 2 5 7 3 4 2" xfId="24162" xr:uid="{EAAD2130-6BF8-4BE7-8D5E-317BBFA516CE}"/>
    <cellStyle name="Input 2 5 7 3 5" xfId="48566" xr:uid="{7594B549-E23F-48C0-8071-0BF043701E70}"/>
    <cellStyle name="Input 2 5 7 4" xfId="4577" xr:uid="{00000000-0005-0000-0000-000046050000}"/>
    <cellStyle name="Input 2 5 7 4 2" xfId="11479" xr:uid="{0A6B9C80-EF67-4079-B73E-A40D044E21D6}"/>
    <cellStyle name="Input 2 5 7 4 2 2" xfId="33965" xr:uid="{40CD09C2-9169-42B3-ACF2-0F0CE0C28927}"/>
    <cellStyle name="Input 2 5 7 4 2 3" xfId="24332" xr:uid="{30DB85F9-BBFC-4ABA-9282-F3092C292FF6}"/>
    <cellStyle name="Input 2 5 7 4 3" xfId="16514" xr:uid="{55C13067-9D62-451C-8A40-7819A726BF6E}"/>
    <cellStyle name="Input 2 5 7 4 3 2" xfId="38904" xr:uid="{4DBFE01D-DEEC-478E-897D-051D2DE84A40}"/>
    <cellStyle name="Input 2 5 7 4 3 3" xfId="38205" xr:uid="{FD24EB3F-6872-4CD5-8F8D-37B08BD12A64}"/>
    <cellStyle name="Input 2 5 7 4 4" xfId="19259" xr:uid="{219D94A1-D6D9-474F-B4C8-BBE0EF00FE3A}"/>
    <cellStyle name="Input 2 5 7 4 4 2" xfId="32612" xr:uid="{0612F81B-D375-4971-A5CC-E8C6CDF3F3AF}"/>
    <cellStyle name="Input 2 5 7 4 5" xfId="52392" xr:uid="{7D9658F6-A835-4CFA-9CCB-C98CA7BE4450}"/>
    <cellStyle name="Input 2 5 7 5" xfId="4506" xr:uid="{00000000-0005-0000-0000-000046050000}"/>
    <cellStyle name="Input 2 5 7 5 2" xfId="11408" xr:uid="{85D81D95-7F5F-461C-8A89-F309548A1E37}"/>
    <cellStyle name="Input 2 5 7 5 2 2" xfId="33894" xr:uid="{5B3919D9-3740-47FF-BCF8-4BCC181250B7}"/>
    <cellStyle name="Input 2 5 7 5 2 3" xfId="24122" xr:uid="{8AD49E50-4556-469C-A7C0-83892616B13C}"/>
    <cellStyle name="Input 2 5 7 5 3" xfId="16443" xr:uid="{B325FF40-FA8B-44F2-AA68-C27C7A3DBE18}"/>
    <cellStyle name="Input 2 5 7 5 3 2" xfId="38833" xr:uid="{8F02FF05-791A-44E3-8FCA-644FC9EFA0BD}"/>
    <cellStyle name="Input 2 5 7 5 3 3" xfId="31007" xr:uid="{DCCB392B-BFF0-4A03-B681-F68E0FBC7202}"/>
    <cellStyle name="Input 2 5 7 5 4" xfId="14038" xr:uid="{418A9951-A28E-4DEC-93CF-053C25C1A808}"/>
    <cellStyle name="Input 2 5 7 5 4 2" xfId="47671" xr:uid="{C92A84A2-C89D-44CE-B8AE-3F1DC45C211D}"/>
    <cellStyle name="Input 2 5 7 5 5" xfId="42819" xr:uid="{2F8C1C13-88F9-403C-8516-A11D06C0E860}"/>
    <cellStyle name="Input 2 5 7 6" xfId="5696" xr:uid="{00000000-0005-0000-0000-000046050000}"/>
    <cellStyle name="Input 2 5 7 6 2" xfId="12580" xr:uid="{21EA5216-B9FF-41E0-AA2F-B544F61C1455}"/>
    <cellStyle name="Input 2 5 7 6 2 2" xfId="35065" xr:uid="{EE23A0F7-5FF6-4F4F-BF1A-B3A55BDEDA96}"/>
    <cellStyle name="Input 2 5 7 6 2 3" xfId="43581" xr:uid="{376C53CA-656C-4D76-B1DF-7690570DFB37}"/>
    <cellStyle name="Input 2 5 7 6 3" xfId="17633" xr:uid="{06D3F674-94D3-4A3E-9360-78FA4859A52C}"/>
    <cellStyle name="Input 2 5 7 6 3 2" xfId="40023" xr:uid="{FFAD1078-5BE2-412F-BCA5-7A17A4FCEC9F}"/>
    <cellStyle name="Input 2 5 7 6 3 3" xfId="24738" xr:uid="{B1CD8BB7-DB0D-4907-B72F-C6BB95889A7F}"/>
    <cellStyle name="Input 2 5 7 6 4" xfId="22057" xr:uid="{84062706-47DD-4FB3-8B3C-903AA04567F4}"/>
    <cellStyle name="Input 2 5 7 6 4 2" xfId="48828" xr:uid="{B6BA8E83-B4A2-479F-AA85-ED153343D126}"/>
    <cellStyle name="Input 2 5 7 6 5" xfId="49085" xr:uid="{FF983B49-20D2-466B-A3EB-B0E18E253133}"/>
    <cellStyle name="Input 2 5 7 7" xfId="2345" xr:uid="{00000000-0005-0000-0000-000046050000}"/>
    <cellStyle name="Input 2 5 7 7 2" xfId="9254" xr:uid="{988AD7E9-DB49-4173-A494-57D6D61AEF77}"/>
    <cellStyle name="Input 2 5 7 7 2 2" xfId="31829" xr:uid="{7C5367B7-AECB-481F-9F05-677E3F7AE858}"/>
    <cellStyle name="Input 2 5 7 7 2 3" xfId="51728" xr:uid="{E8A668D6-BB7C-4852-B36B-0FA93434EDA5}"/>
    <cellStyle name="Input 2 5 7 7 3" xfId="14903" xr:uid="{23F3AB06-F594-4ED7-8144-439943C45EE5}"/>
    <cellStyle name="Input 2 5 7 7 3 2" xfId="37357" xr:uid="{D9184D85-CFC7-4F6D-8D3C-8EB06270804C}"/>
    <cellStyle name="Input 2 5 7 7 3 3" xfId="47613" xr:uid="{075A77E5-8C4B-4C02-B80D-8358BC070974}"/>
    <cellStyle name="Input 2 5 7 7 4" xfId="12385" xr:uid="{F1015C46-3410-40ED-8DE1-F3AC9409F473}"/>
    <cellStyle name="Input 2 5 7 7 4 2" xfId="43865" xr:uid="{E681B4ED-4FEA-40AE-B758-1D59144C7701}"/>
    <cellStyle name="Input 2 5 7 7 5" xfId="48189" xr:uid="{885AEB76-71C4-4AE3-9AF1-454C307A72AC}"/>
    <cellStyle name="Input 2 5 7 8" xfId="6778" xr:uid="{00000000-0005-0000-0000-000046050000}"/>
    <cellStyle name="Input 2 5 7 8 2" xfId="13629" xr:uid="{5A38E867-190D-468C-B26A-A0B3B71808C7}"/>
    <cellStyle name="Input 2 5 7 8 2 2" xfId="36113" xr:uid="{C2F141F5-5A4C-4C73-A76A-D75A4E77C550}"/>
    <cellStyle name="Input 2 5 7 8 2 3" xfId="46277" xr:uid="{D6803F16-CD68-4503-A01B-E8F104D02C12}"/>
    <cellStyle name="Input 2 5 7 8 3" xfId="18715" xr:uid="{BBB7D86D-4830-4606-A774-2E34FBF35315}"/>
    <cellStyle name="Input 2 5 7 8 3 2" xfId="41105" xr:uid="{8C4B953B-05BB-47B9-985D-A4382026AD07}"/>
    <cellStyle name="Input 2 5 7 8 3 3" xfId="44912" xr:uid="{2FA125B2-48A4-42D1-AE7E-A5E6DD8008A4}"/>
    <cellStyle name="Input 2 5 7 8 4" xfId="23139" xr:uid="{D95BFD41-2180-44E4-A960-AE8029FCDBB6}"/>
    <cellStyle name="Input 2 5 7 8 4 2" xfId="49356" xr:uid="{2B583DB6-B7F4-4035-81A3-E3BBB2FCAC32}"/>
    <cellStyle name="Input 2 5 7 8 5" xfId="48955" xr:uid="{D1C7214D-2457-4363-9878-043DBAA79FE8}"/>
    <cellStyle name="Input 2 5 7 9" xfId="6492" xr:uid="{00000000-0005-0000-0000-000046050000}"/>
    <cellStyle name="Input 2 5 7 9 2" xfId="18429" xr:uid="{E48170A0-EF5A-4EA9-98D4-822126F6EF75}"/>
    <cellStyle name="Input 2 5 7 9 2 2" xfId="40819" xr:uid="{9A19223F-F690-4B5B-AFEE-AFAB57036ADC}"/>
    <cellStyle name="Input 2 5 7 9 2 3" xfId="28715" xr:uid="{7B74AD7B-552B-4B88-9CB0-96317CF861E3}"/>
    <cellStyle name="Input 2 5 7 9 3" xfId="22853" xr:uid="{F66B0FF6-A9D9-4D0B-8CCC-70B3F489CE37}"/>
    <cellStyle name="Input 2 5 7 9 3 2" xfId="52301" xr:uid="{705136B8-812F-4A88-86BE-42E3AEC00E20}"/>
    <cellStyle name="Input 2 5 7 9 4" xfId="52260" xr:uid="{76878E70-E1A5-4532-9CE1-4DEC9FBCD65E}"/>
    <cellStyle name="Input 2 5 8" xfId="2605" xr:uid="{00000000-0005-0000-0000-00003B050000}"/>
    <cellStyle name="Input 2 5 8 2" xfId="9514" xr:uid="{F214E77E-A961-466B-BC23-7D7E6709EDF1}"/>
    <cellStyle name="Input 2 5 8 2 2" xfId="32066" xr:uid="{424853B8-E12E-499D-940D-846ED8F3F9D8}"/>
    <cellStyle name="Input 2 5 8 2 3" xfId="51784" xr:uid="{28C5B9CD-C0DC-45E5-BC20-19857E75D8BF}"/>
    <cellStyle name="Input 2 5 8 3" xfId="15083" xr:uid="{37B541E5-B02A-469D-8A7E-F782E667DFE7}"/>
    <cellStyle name="Input 2 5 8 3 2" xfId="37528" xr:uid="{B5205B32-7B83-411C-8E4C-5072B3DDB818}"/>
    <cellStyle name="Input 2 5 8 3 3" xfId="52201" xr:uid="{900D2275-AE87-4171-80B3-6F4876792450}"/>
    <cellStyle name="Input 2 5 8 4" xfId="16009" xr:uid="{6B6CE310-4AD6-4FAC-AD45-635AF41268EE}"/>
    <cellStyle name="Input 2 5 8 4 2" xfId="29674" xr:uid="{BA5703DF-16B3-4F75-A3A2-24F781C91D11}"/>
    <cellStyle name="Input 2 5 8 5" xfId="50181" xr:uid="{761C6F34-623C-41FF-BB39-C8F6100ECA32}"/>
    <cellStyle name="Input 2 5 9" xfId="4435" xr:uid="{00000000-0005-0000-0000-00003B050000}"/>
    <cellStyle name="Input 2 5 9 2" xfId="11337" xr:uid="{6D15A854-6631-4DD1-A7E4-931BCAAAE2A7}"/>
    <cellStyle name="Input 2 5 9 2 2" xfId="33823" xr:uid="{71C82061-967A-490B-96CD-ECEEB8E209F4}"/>
    <cellStyle name="Input 2 5 9 2 3" xfId="27299" xr:uid="{9D80FE06-E378-4495-ADD1-1E2DA21EBCEA}"/>
    <cellStyle name="Input 2 5 9 3" xfId="16372" xr:uid="{80DC8CF8-3C30-4E71-8363-D114DE6F136A}"/>
    <cellStyle name="Input 2 5 9 3 2" xfId="38762" xr:uid="{1941E3AB-B168-4A1A-B95B-0A2FDA573D1C}"/>
    <cellStyle name="Input 2 5 9 3 3" xfId="41756" xr:uid="{58078BB0-F8F2-4D24-BA23-D2065D338A42}"/>
    <cellStyle name="Input 2 5 9 4" xfId="15275" xr:uid="{68A9B62E-79CF-45DC-B708-FA6A67AC56F3}"/>
    <cellStyle name="Input 2 5 9 4 2" xfId="46011" xr:uid="{BBC2B386-97FC-4BAD-A884-C68ACEA038AD}"/>
    <cellStyle name="Input 2 5 9 5" xfId="45015" xr:uid="{0CE9A9EB-7E22-46DA-8E8D-253D67FFF1E2}"/>
    <cellStyle name="Input 2 6" xfId="458" xr:uid="{00000000-0005-0000-0000-000048050000}"/>
    <cellStyle name="Input 2 6 10" xfId="5604" xr:uid="{00000000-0005-0000-0000-000047050000}"/>
    <cellStyle name="Input 2 6 10 2" xfId="12489" xr:uid="{7EF544D4-951B-4798-8DFF-7F738897AFA9}"/>
    <cellStyle name="Input 2 6 10 2 2" xfId="34974" xr:uid="{5DE626D1-84A0-4FEF-AF0F-CE9158AAAC9D}"/>
    <cellStyle name="Input 2 6 10 2 3" xfId="26417" xr:uid="{D9D72263-32DF-4CD4-8089-8426EFA38CE4}"/>
    <cellStyle name="Input 2 6 10 3" xfId="17541" xr:uid="{D4D3C242-F3A8-43B6-87E7-478FD1D83036}"/>
    <cellStyle name="Input 2 6 10 3 2" xfId="39931" xr:uid="{ACABD70C-E22A-4F6A-9386-BF81B92DD0A6}"/>
    <cellStyle name="Input 2 6 10 3 3" xfId="32178" xr:uid="{6810D249-F066-4A27-A88F-2C8FB5F51B74}"/>
    <cellStyle name="Input 2 6 10 4" xfId="21965" xr:uid="{973F5552-CB20-43FA-BCA8-9CECC1B30D15}"/>
    <cellStyle name="Input 2 6 10 4 2" xfId="52688" xr:uid="{86F92ECB-B9DF-4672-9381-D56B9BF66B32}"/>
    <cellStyle name="Input 2 6 10 5" xfId="50766" xr:uid="{4CBD429A-F121-41BC-AAC1-085083BC61E7}"/>
    <cellStyle name="Input 2 6 11" xfId="5285" xr:uid="{00000000-0005-0000-0000-000047050000}"/>
    <cellStyle name="Input 2 6 11 2" xfId="12177" xr:uid="{183BFDF1-319C-47A4-839E-5413195AD75C}"/>
    <cellStyle name="Input 2 6 11 2 2" xfId="34662" xr:uid="{EF49BAF4-5439-4460-8F4E-86E1A74EF6A8}"/>
    <cellStyle name="Input 2 6 11 2 3" xfId="25049" xr:uid="{FFA4324A-0C71-412A-AD0B-CA168D08EEBA}"/>
    <cellStyle name="Input 2 6 11 3" xfId="17222" xr:uid="{CFEBD2B7-BEAF-4FDD-A033-B76C7134DEE9}"/>
    <cellStyle name="Input 2 6 11 3 2" xfId="39612" xr:uid="{2F13B0E5-AEEA-4F91-8286-1700A26C8B55}"/>
    <cellStyle name="Input 2 6 11 3 3" xfId="26080" xr:uid="{D58685FD-8A08-4030-AC50-0BADC54F2CB8}"/>
    <cellStyle name="Input 2 6 11 4" xfId="21646" xr:uid="{F16DE9BD-61FC-4872-8DB6-DA3335E5F457}"/>
    <cellStyle name="Input 2 6 11 4 2" xfId="53059" xr:uid="{6785D719-4AE1-43A4-9F41-83ED890062B3}"/>
    <cellStyle name="Input 2 6 11 5" xfId="53026" xr:uid="{66834F3A-D9C8-4C53-AA28-6E1CA0D43E9E}"/>
    <cellStyle name="Input 2 6 12" xfId="6546" xr:uid="{00000000-0005-0000-0000-000047050000}"/>
    <cellStyle name="Input 2 6 12 2" xfId="13414" xr:uid="{7A3E72B0-FC77-4108-9A2C-7C08E9D50DFE}"/>
    <cellStyle name="Input 2 6 12 2 2" xfId="35898" xr:uid="{1BA37F69-66EA-4DDB-A6AE-F90214D95DBA}"/>
    <cellStyle name="Input 2 6 12 2 3" xfId="43951" xr:uid="{26930ACE-E78C-486D-A2CE-7E6C5FC921F9}"/>
    <cellStyle name="Input 2 6 12 3" xfId="18483" xr:uid="{3BD000BB-86A1-45E3-B8EB-F0E02A8F9010}"/>
    <cellStyle name="Input 2 6 12 3 2" xfId="40873" xr:uid="{AB2D893F-9349-4D57-994A-E66FBF1BAE76}"/>
    <cellStyle name="Input 2 6 12 3 3" xfId="37712" xr:uid="{DDA384D8-0AAD-487D-9D07-24E957450773}"/>
    <cellStyle name="Input 2 6 12 4" xfId="22907" xr:uid="{95060F8C-A6D5-4EDC-BC4C-0D5158E9AF7B}"/>
    <cellStyle name="Input 2 6 12 4 2" xfId="28842" xr:uid="{3ADCCF3C-C150-43ED-9437-923007CB6892}"/>
    <cellStyle name="Input 2 6 12 5" xfId="47120" xr:uid="{D01BC8C4-582D-472C-BF16-212955AE8AF5}"/>
    <cellStyle name="Input 2 6 13" xfId="8969" xr:uid="{49B18234-9347-4D47-B5E4-74C41661C27D}"/>
    <cellStyle name="Input 2 6 13 2" xfId="31548" xr:uid="{1DF2C290-48C0-4FEA-A29A-60CC36CE02CD}"/>
    <cellStyle name="Input 2 6 13 3" xfId="47770" xr:uid="{1D839BA3-8D4B-4EAA-9108-4319DA67ECC6}"/>
    <cellStyle name="Input 2 6 14" xfId="19565" xr:uid="{1B1335A2-2842-409F-AD12-E82416EF43BE}"/>
    <cellStyle name="Input 2 6 14 2" xfId="41923" xr:uid="{BBB4CB7E-86BD-4C1B-8396-0E0748FDA08E}"/>
    <cellStyle name="Input 2 6 14 3" xfId="45083" xr:uid="{38189CC3-D0A9-4C4F-B347-63B38DC74D1E}"/>
    <cellStyle name="Input 2 6 15" xfId="20809" xr:uid="{DE2F10F8-9D9D-4C41-8C31-D99E8F482D35}"/>
    <cellStyle name="Input 2 6 15 2" xfId="49666" xr:uid="{C324904D-73D5-4DE4-B7E3-CF5F28239F33}"/>
    <cellStyle name="Input 2 6 16" xfId="53032" xr:uid="{E472D87E-02CC-44AF-83D2-62B50688B592}"/>
    <cellStyle name="Input 2 6 2" xfId="611" xr:uid="{00000000-0005-0000-0000-000049050000}"/>
    <cellStyle name="Input 2 6 2 10" xfId="21263" xr:uid="{B990F784-3036-4BCF-86D0-02FE27382C44}"/>
    <cellStyle name="Input 2 6 2 10 2" xfId="46058" xr:uid="{AAEEE706-E0C1-4DC0-98BD-C5BBA5930AF6}"/>
    <cellStyle name="Input 2 6 2 11" xfId="48803" xr:uid="{BAC9297E-6784-4493-949B-9746474425CC}"/>
    <cellStyle name="Input 2 6 2 2" xfId="1745" xr:uid="{00000000-0005-0000-0000-00004A050000}"/>
    <cellStyle name="Input 2 6 2 2 10" xfId="14446" xr:uid="{522929DC-1E07-441C-A264-7EC9D72CD9EF}"/>
    <cellStyle name="Input 2 6 2 2 10 2" xfId="36912" xr:uid="{4EB142D8-16D7-400B-BB3D-15877D1BDC58}"/>
    <cellStyle name="Input 2 6 2 2 10 3" xfId="54058" xr:uid="{8A66DC20-C8E9-43E5-A7FA-9AE4D438E369}"/>
    <cellStyle name="Input 2 6 2 2 11" xfId="20299" xr:uid="{60164365-1B66-428F-90BE-0EF3B25D4CD3}"/>
    <cellStyle name="Input 2 6 2 2 11 2" xfId="42598" xr:uid="{E559C29D-B946-4332-B1F3-929B69104FA6}"/>
    <cellStyle name="Input 2 6 2 2 11 3" xfId="48800" xr:uid="{8CB87176-D0B4-4E6A-B987-DBF21B4A2360}"/>
    <cellStyle name="Input 2 6 2 2 12" xfId="16082" xr:uid="{4E4E857C-FEBF-4B6D-A038-BEB92343103E}"/>
    <cellStyle name="Input 2 6 2 2 12 2" xfId="48931" xr:uid="{18720D7E-6B2E-48AB-9F49-7206C86A05EB}"/>
    <cellStyle name="Input 2 6 2 2 13" xfId="51557" xr:uid="{BF062D2A-BD79-4400-89F9-9BD8D23A0FD9}"/>
    <cellStyle name="Input 2 6 2 2 2" xfId="3843" xr:uid="{00000000-0005-0000-0000-000049050000}"/>
    <cellStyle name="Input 2 6 2 2 2 2" xfId="10747" xr:uid="{C911AA48-48A1-4E8A-BE4F-8E058C5837A5}"/>
    <cellStyle name="Input 2 6 2 2 2 2 2" xfId="33233" xr:uid="{B03265BC-0976-4AD5-AF07-78974EAD1A76}"/>
    <cellStyle name="Input 2 6 2 2 2 2 3" xfId="50378" xr:uid="{EEB9C17E-0639-42A0-910E-5DC05537A8B0}"/>
    <cellStyle name="Input 2 6 2 2 2 3" xfId="15903" xr:uid="{E044AEAF-E607-4DD6-94DF-3503016C2D35}"/>
    <cellStyle name="Input 2 6 2 2 2 3 2" xfId="38309" xr:uid="{CE5A01FD-C08C-440F-AD6D-04671F775EE4}"/>
    <cellStyle name="Input 2 6 2 2 2 3 3" xfId="27926" xr:uid="{9CD543F9-0B84-4ACC-A8F2-1DF932B4E281}"/>
    <cellStyle name="Input 2 6 2 2 2 4" xfId="21231" xr:uid="{3D667E30-D3B8-44F3-8C77-14D93CCF7CFF}"/>
    <cellStyle name="Input 2 6 2 2 2 4 2" xfId="47082" xr:uid="{96568E1B-1DE1-4D41-B5A3-3612A9DF1C7C}"/>
    <cellStyle name="Input 2 6 2 2 2 5" xfId="53791" xr:uid="{7EB9FAF0-4B8F-453A-ABF6-99781D7DF568}"/>
    <cellStyle name="Input 2 6 2 2 3" xfId="5259" xr:uid="{00000000-0005-0000-0000-000049050000}"/>
    <cellStyle name="Input 2 6 2 2 3 2" xfId="12151" xr:uid="{D0AEEF3C-A161-4052-A473-A35A81B9F0B8}"/>
    <cellStyle name="Input 2 6 2 2 3 2 2" xfId="34636" xr:uid="{897F4FB5-31E3-4200-A628-F99AD0D987FE}"/>
    <cellStyle name="Input 2 6 2 2 3 2 3" xfId="25953" xr:uid="{690AC30C-6BC5-46A2-A640-948B563D4037}"/>
    <cellStyle name="Input 2 6 2 2 3 3" xfId="17196" xr:uid="{A47395D2-59C5-401B-9324-E42CAABF120D}"/>
    <cellStyle name="Input 2 6 2 2 3 3 2" xfId="39586" xr:uid="{9862DD6B-CDBF-440B-B47E-EF6D077EDBFC}"/>
    <cellStyle name="Input 2 6 2 2 3 3 3" xfId="44323" xr:uid="{16EA4EFE-6595-4F46-9EC3-78530462B174}"/>
    <cellStyle name="Input 2 6 2 2 3 4" xfId="21620" xr:uid="{29A1FA2C-A543-4216-A491-C1E243BCBC30}"/>
    <cellStyle name="Input 2 6 2 2 3 4 2" xfId="49374" xr:uid="{89B35A22-CE61-4275-8CC4-6A86009071A4}"/>
    <cellStyle name="Input 2 6 2 2 3 5" xfId="49966" xr:uid="{99A8F32E-182C-4EE2-A8D2-5CA4D289193A}"/>
    <cellStyle name="Input 2 6 2 2 4" xfId="5671" xr:uid="{00000000-0005-0000-0000-000049050000}"/>
    <cellStyle name="Input 2 6 2 2 4 2" xfId="12555" xr:uid="{9322FE34-3216-43E3-87CF-1696E2606972}"/>
    <cellStyle name="Input 2 6 2 2 4 2 2" xfId="35040" xr:uid="{DEC5C508-5699-4D86-9F6B-671C59E4A3B1}"/>
    <cellStyle name="Input 2 6 2 2 4 2 3" xfId="43727" xr:uid="{E0A5873A-0868-4D70-B79C-FE2410A27299}"/>
    <cellStyle name="Input 2 6 2 2 4 3" xfId="17608" xr:uid="{55EC8FCE-BFFB-43D5-A4A6-5C7941D9F9E3}"/>
    <cellStyle name="Input 2 6 2 2 4 3 2" xfId="39998" xr:uid="{846CE3D3-31E3-4C3B-8EBF-A2BB9D2FE291}"/>
    <cellStyle name="Input 2 6 2 2 4 3 3" xfId="30199" xr:uid="{81B859DA-D3A6-40B7-8395-5850D9E740D2}"/>
    <cellStyle name="Input 2 6 2 2 4 4" xfId="22032" xr:uid="{C7820970-B798-45B5-8A1F-2839992AA5BE}"/>
    <cellStyle name="Input 2 6 2 2 4 4 2" xfId="43767" xr:uid="{436296E8-0657-4040-B021-DE7C4FFFD5C2}"/>
    <cellStyle name="Input 2 6 2 2 4 5" xfId="49794" xr:uid="{AE90AFAB-9466-420C-BFC7-0C0676C7A87E}"/>
    <cellStyle name="Input 2 6 2 2 5" xfId="5074" xr:uid="{00000000-0005-0000-0000-000049050000}"/>
    <cellStyle name="Input 2 6 2 2 5 2" xfId="11967" xr:uid="{2C589B2A-D69E-4730-B536-F640A2EF1A25}"/>
    <cellStyle name="Input 2 6 2 2 5 2 2" xfId="34453" xr:uid="{6180FEA1-4065-4B9A-8BBA-4629B808B6A0}"/>
    <cellStyle name="Input 2 6 2 2 5 2 3" xfId="41678" xr:uid="{F053F071-326F-4767-AFAC-E909DFF3A73F}"/>
    <cellStyle name="Input 2 6 2 2 5 3" xfId="17011" xr:uid="{D335CA8E-715B-4A59-8672-AB73441B2FC3}"/>
    <cellStyle name="Input 2 6 2 2 5 3 2" xfId="39401" xr:uid="{894A1C50-A739-4C0B-AB4D-3AA8F521F150}"/>
    <cellStyle name="Input 2 6 2 2 5 3 3" xfId="28785" xr:uid="{FE6FE6A9-7625-4F4C-8F8D-B64DBBC40BA1}"/>
    <cellStyle name="Input 2 6 2 2 5 4" xfId="21435" xr:uid="{3FF81718-ED87-4E9C-8292-862E0D0B11BC}"/>
    <cellStyle name="Input 2 6 2 2 5 4 2" xfId="49726" xr:uid="{F55BC181-92AB-4CEB-B4CF-1CD8B6A82B8F}"/>
    <cellStyle name="Input 2 6 2 2 5 5" xfId="52631" xr:uid="{E34ED6C7-DED6-4FA9-97CD-A66012334A34}"/>
    <cellStyle name="Input 2 6 2 2 6" xfId="6410" xr:uid="{00000000-0005-0000-0000-000049050000}"/>
    <cellStyle name="Input 2 6 2 2 6 2" xfId="13282" xr:uid="{2FE7D28D-E689-48B8-97C9-0C4D789668F8}"/>
    <cellStyle name="Input 2 6 2 2 6 2 2" xfId="35766" xr:uid="{50C0F38D-3BE8-4784-9559-DBE89B4A41F9}"/>
    <cellStyle name="Input 2 6 2 2 6 2 3" xfId="50536" xr:uid="{DAACFACA-5372-4680-B57E-F2C4669F33A0}"/>
    <cellStyle name="Input 2 6 2 2 6 3" xfId="18347" xr:uid="{12589907-D8EE-43B9-B6A7-6AA12FAFD56A}"/>
    <cellStyle name="Input 2 6 2 2 6 3 2" xfId="40737" xr:uid="{A82BD96D-4EDB-4933-ACDF-79DAE7220AB7}"/>
    <cellStyle name="Input 2 6 2 2 6 3 3" xfId="23979" xr:uid="{342DAF81-66E0-4480-A764-2A46FDC5DA91}"/>
    <cellStyle name="Input 2 6 2 2 6 4" xfId="22771" xr:uid="{36E55357-4F4F-41B5-9FD9-D0B27D04A486}"/>
    <cellStyle name="Input 2 6 2 2 6 4 2" xfId="28223" xr:uid="{FA09967E-A4C7-4C7E-8E89-DCC575C4A8E9}"/>
    <cellStyle name="Input 2 6 2 2 6 5" xfId="51494" xr:uid="{A21EC5B9-0E03-4402-B1FD-34CECC504740}"/>
    <cellStyle name="Input 2 6 2 2 7" xfId="5290" xr:uid="{00000000-0005-0000-0000-000049050000}"/>
    <cellStyle name="Input 2 6 2 2 7 2" xfId="12182" xr:uid="{611883E2-952B-4FE2-BE3F-C8798ACAC88B}"/>
    <cellStyle name="Input 2 6 2 2 7 2 2" xfId="34667" xr:uid="{1889EFEC-4A88-44F5-B0A2-AF671A494C16}"/>
    <cellStyle name="Input 2 6 2 2 7 2 3" xfId="29876" xr:uid="{3D98417B-D7ED-474D-B400-26143FB89A5A}"/>
    <cellStyle name="Input 2 6 2 2 7 3" xfId="17227" xr:uid="{3EFADA2B-B742-4315-8A93-479355041BE6}"/>
    <cellStyle name="Input 2 6 2 2 7 3 2" xfId="39617" xr:uid="{7240C189-7AEA-4AE5-A194-BD9D782445BE}"/>
    <cellStyle name="Input 2 6 2 2 7 3 3" xfId="27947" xr:uid="{50EF707D-968A-4417-AA62-AC4A2EAC807C}"/>
    <cellStyle name="Input 2 6 2 2 7 4" xfId="21651" xr:uid="{F2033E0B-5E5B-43AF-959F-A5EF1EFE0F3F}"/>
    <cellStyle name="Input 2 6 2 2 7 4 2" xfId="49858" xr:uid="{C8D80780-2EB8-4BD6-90AC-0F05E02F3E9F}"/>
    <cellStyle name="Input 2 6 2 2 7 5" xfId="51344" xr:uid="{3CB8F9C9-6327-4F81-AC59-4A3197413084}"/>
    <cellStyle name="Input 2 6 2 2 8" xfId="6927" xr:uid="{00000000-0005-0000-0000-000049050000}"/>
    <cellStyle name="Input 2 6 2 2 8 2" xfId="13765" xr:uid="{8B74B2AC-2F5E-4CC2-8106-F4948A83B180}"/>
    <cellStyle name="Input 2 6 2 2 8 2 2" xfId="36249" xr:uid="{A2A3CFC1-FBD3-402F-A904-39A07871E897}"/>
    <cellStyle name="Input 2 6 2 2 8 2 3" xfId="26451" xr:uid="{57DE5CA2-423F-42A2-ADA6-8A39F5C43895}"/>
    <cellStyle name="Input 2 6 2 2 8 3" xfId="18864" xr:uid="{C4D2A143-5999-4CBF-84CA-F029002E7B91}"/>
    <cellStyle name="Input 2 6 2 2 8 3 2" xfId="41254" xr:uid="{A3CBBD2C-125E-4332-8872-206B636D31FB}"/>
    <cellStyle name="Input 2 6 2 2 8 3 3" xfId="44086" xr:uid="{D48BDCC9-7649-4E65-94FB-837808A6AAB1}"/>
    <cellStyle name="Input 2 6 2 2 8 4" xfId="23288" xr:uid="{0498033C-71E3-41FF-BE75-66A3CCF167D3}"/>
    <cellStyle name="Input 2 6 2 2 8 4 2" xfId="46066" xr:uid="{29187409-876F-406C-B238-E8D0CB144B9D}"/>
    <cellStyle name="Input 2 6 2 2 8 5" xfId="48899" xr:uid="{1D3B09DF-92CB-46D4-BEA0-66FBC18B47B9}"/>
    <cellStyle name="Input 2 6 2 2 9" xfId="6725" xr:uid="{00000000-0005-0000-0000-000049050000}"/>
    <cellStyle name="Input 2 6 2 2 9 2" xfId="18662" xr:uid="{2D4F51B9-2A9B-4214-8126-1FF890571E3D}"/>
    <cellStyle name="Input 2 6 2 2 9 2 2" xfId="41052" xr:uid="{8C17F370-9F26-49C4-BF5A-D361BE12CBBB}"/>
    <cellStyle name="Input 2 6 2 2 9 2 3" xfId="29816" xr:uid="{26AD9CE9-159A-498E-BF14-EF4506502002}"/>
    <cellStyle name="Input 2 6 2 2 9 3" xfId="23086" xr:uid="{97A1E126-349F-4483-902F-741A259B6D84}"/>
    <cellStyle name="Input 2 6 2 2 9 3 2" xfId="48981" xr:uid="{16FFC9E6-CEB6-4832-9AF6-CDE8ED4894EB}"/>
    <cellStyle name="Input 2 6 2 2 9 4" xfId="26559" xr:uid="{3E4908E9-45CA-4BFA-8265-2EB41829AE8E}"/>
    <cellStyle name="Input 2 6 2 3" xfId="2756" xr:uid="{00000000-0005-0000-0000-000048050000}"/>
    <cellStyle name="Input 2 6 2 3 2" xfId="9665" xr:uid="{994643BD-8796-45D6-A42E-D80BDFC2161F}"/>
    <cellStyle name="Input 2 6 2 3 2 2" xfId="32213" xr:uid="{C29DA10E-715F-468E-9E5C-5151D1884C0B}"/>
    <cellStyle name="Input 2 6 2 3 2 3" xfId="42031" xr:uid="{75865A5B-FBFB-4602-B62B-46BC8079F8A9}"/>
    <cellStyle name="Input 2 6 2 3 3" xfId="15183" xr:uid="{BBE32BAA-E1B6-4947-B7A1-E2261A6F380A}"/>
    <cellStyle name="Input 2 6 2 3 3 2" xfId="37623" xr:uid="{D7936609-E588-4DA5-A2A6-7B1523D16DCB}"/>
    <cellStyle name="Input 2 6 2 3 3 3" xfId="45554" xr:uid="{3DFC6949-ABA5-4830-844B-5D2C2174CFB7}"/>
    <cellStyle name="Input 2 6 2 3 4" xfId="8290" xr:uid="{43BB9CCA-6EC9-4150-BB65-484680510172}"/>
    <cellStyle name="Input 2 6 2 3 4 2" xfId="44017" xr:uid="{7CCD5A3C-FE0A-463D-9CDC-BC38D955C0C1}"/>
    <cellStyle name="Input 2 6 2 3 5" xfId="30818" xr:uid="{21D133E4-BE5E-47C7-8757-C42D6FBD8F71}"/>
    <cellStyle name="Input 2 6 2 4" xfId="4550" xr:uid="{00000000-0005-0000-0000-000048050000}"/>
    <cellStyle name="Input 2 6 2 4 2" xfId="11452" xr:uid="{CB0261A5-5407-4A7F-84AE-191CC69C1AA0}"/>
    <cellStyle name="Input 2 6 2 4 2 2" xfId="33938" xr:uid="{A4FEAD96-07C7-4E26-9028-4F607399DF37}"/>
    <cellStyle name="Input 2 6 2 4 2 3" xfId="44735" xr:uid="{79864B4D-549D-46C1-BBC1-6CDC2B4F1580}"/>
    <cellStyle name="Input 2 6 2 4 3" xfId="16487" xr:uid="{E917B734-D26A-49BA-9D2E-B7DD8E7F166E}"/>
    <cellStyle name="Input 2 6 2 4 3 2" xfId="38877" xr:uid="{2B16BA75-0E56-49CF-A66B-1C6460DA83BD}"/>
    <cellStyle name="Input 2 6 2 4 3 3" xfId="44675" xr:uid="{6F3C4696-473D-456F-866F-C818A598A7A5}"/>
    <cellStyle name="Input 2 6 2 4 4" xfId="14254" xr:uid="{0F17DD76-6A5E-418C-8A77-696138D0D774}"/>
    <cellStyle name="Input 2 6 2 4 4 2" xfId="48646" xr:uid="{388C638F-24E8-4493-A05C-22CF9A883C5E}"/>
    <cellStyle name="Input 2 6 2 4 5" xfId="42306" xr:uid="{B49F4754-4F22-4E6B-8B82-13532541D136}"/>
    <cellStyle name="Input 2 6 2 5" xfId="3147" xr:uid="{00000000-0005-0000-0000-000048050000}"/>
    <cellStyle name="Input 2 6 2 5 2" xfId="10056" xr:uid="{6F312225-D520-40E7-A619-289C51F280EC}"/>
    <cellStyle name="Input 2 6 2 5 2 2" xfId="32563" xr:uid="{EE20A58F-CAE7-4F20-982C-B84416BFCE44}"/>
    <cellStyle name="Input 2 6 2 5 2 3" xfId="49876" xr:uid="{37019BC5-214A-42EB-BEAA-5C16532A3718}"/>
    <cellStyle name="Input 2 6 2 5 3" xfId="15434" xr:uid="{7B3A202B-5903-4396-A5B8-8F4C1BD6F18B}"/>
    <cellStyle name="Input 2 6 2 5 3 2" xfId="37860" xr:uid="{8E928EB3-29B2-45C0-B915-6D6C5A36EA25}"/>
    <cellStyle name="Input 2 6 2 5 3 3" xfId="45690" xr:uid="{E2B57A31-3F56-400F-81D5-FFD1945461A8}"/>
    <cellStyle name="Input 2 6 2 5 4" xfId="15220" xr:uid="{91FC7EDD-BD8C-43BC-8CA5-9E30A1BFA065}"/>
    <cellStyle name="Input 2 6 2 5 4 2" xfId="48130" xr:uid="{D0D7EBCD-46AB-4C01-B668-1AFE33DB3BC6}"/>
    <cellStyle name="Input 2 6 2 5 5" xfId="41792" xr:uid="{5E088231-5525-4D8D-B5B0-035A2A5FEBD8}"/>
    <cellStyle name="Input 2 6 2 6" xfId="6060" xr:uid="{00000000-0005-0000-0000-000048050000}"/>
    <cellStyle name="Input 2 6 2 6 2" xfId="12938" xr:uid="{B80C39B6-1FA9-428B-BCF5-0F391205C45D}"/>
    <cellStyle name="Input 2 6 2 6 2 2" xfId="35422" xr:uid="{1AEE9F5B-E8C2-4B5F-B332-284EC186D774}"/>
    <cellStyle name="Input 2 6 2 6 2 3" xfId="45082" xr:uid="{648E104F-60A0-4F10-9D21-DECEBBE68312}"/>
    <cellStyle name="Input 2 6 2 6 3" xfId="17997" xr:uid="{8AE2C525-61FC-4109-B140-B25ABB566E43}"/>
    <cellStyle name="Input 2 6 2 6 3 2" xfId="40387" xr:uid="{1AD05726-510B-4A71-818E-29ACC1C89340}"/>
    <cellStyle name="Input 2 6 2 6 3 3" xfId="41837" xr:uid="{7691692A-2DCD-4AB1-90A3-D7258A2EBCBE}"/>
    <cellStyle name="Input 2 6 2 6 4" xfId="22421" xr:uid="{4DBCD73C-9029-4964-99B5-16CBC23616B2}"/>
    <cellStyle name="Input 2 6 2 6 4 2" xfId="46462" xr:uid="{8DA2FBEB-C402-4B43-9BBA-383F4C5C3055}"/>
    <cellStyle name="Input 2 6 2 6 5" xfId="52436" xr:uid="{D496987D-697C-43EC-BD45-412F1A358B16}"/>
    <cellStyle name="Input 2 6 2 7" xfId="4745" xr:uid="{00000000-0005-0000-0000-000048050000}"/>
    <cellStyle name="Input 2 6 2 7 2" xfId="11643" xr:uid="{A391C34F-D617-433F-B621-D4CE3D38F2A5}"/>
    <cellStyle name="Input 2 6 2 7 2 2" xfId="34129" xr:uid="{8ED25B7D-E5E7-4A35-9822-2F9E58D01EBF}"/>
    <cellStyle name="Input 2 6 2 7 2 3" xfId="23958" xr:uid="{12BDF738-9BCB-444F-9321-3B7A025D35EC}"/>
    <cellStyle name="Input 2 6 2 7 3" xfId="16682" xr:uid="{095F7CE2-5F69-4886-B392-B4B9D77159A1}"/>
    <cellStyle name="Input 2 6 2 7 3 2" xfId="39072" xr:uid="{060408F9-4133-4CAC-A795-7F0958213A43}"/>
    <cellStyle name="Input 2 6 2 7 3 3" xfId="25313" xr:uid="{B771945A-F063-494D-8CB2-5F8EB0144B36}"/>
    <cellStyle name="Input 2 6 2 7 4" xfId="21053" xr:uid="{06B20728-79C8-4795-AB1F-56A0D8D106D0}"/>
    <cellStyle name="Input 2 6 2 7 4 2" xfId="50589" xr:uid="{963C3C47-09B4-4B8E-A199-3FD7C823D760}"/>
    <cellStyle name="Input 2 6 2 7 5" xfId="50529" xr:uid="{CD8399D3-4F51-4BA4-8CFC-CEFE70E8ADE1}"/>
    <cellStyle name="Input 2 6 2 8" xfId="7522" xr:uid="{853947A0-F9CE-4E16-8819-8DB8371D0386}"/>
    <cellStyle name="Input 2 6 2 8 2" xfId="30189" xr:uid="{0D156FE6-E0F9-418A-9284-925310B12407}"/>
    <cellStyle name="Input 2 6 2 8 3" xfId="50921" xr:uid="{05C820FF-154A-457C-93FA-0BCBC6409B7C}"/>
    <cellStyle name="Input 2 6 2 9" xfId="20614" xr:uid="{CAD7EF21-FEBE-4C52-B627-678EC05B1690}"/>
    <cellStyle name="Input 2 6 2 9 2" xfId="42895" xr:uid="{B3AF9FC6-577C-46B1-8D58-FD1067809139}"/>
    <cellStyle name="Input 2 6 2 9 3" xfId="49267" xr:uid="{C7FB45FC-7CD5-4615-8578-F22938175169}"/>
    <cellStyle name="Input 2 6 3" xfId="858" xr:uid="{00000000-0005-0000-0000-00004B050000}"/>
    <cellStyle name="Input 2 6 3 10" xfId="20890" xr:uid="{2736A411-070B-4C3B-BFDB-97BA2375447F}"/>
    <cellStyle name="Input 2 6 3 10 2" xfId="28348" xr:uid="{829CC478-EF44-4AD8-9F4E-C23B7D129E0F}"/>
    <cellStyle name="Input 2 6 3 11" xfId="47022" xr:uid="{EA3A3841-946A-413B-B1B4-DD4585B45DB4}"/>
    <cellStyle name="Input 2 6 3 2" xfId="1843" xr:uid="{00000000-0005-0000-0000-00004C050000}"/>
    <cellStyle name="Input 2 6 3 2 10" xfId="14527" xr:uid="{5FF05E6F-2B91-46A1-9112-D1262B158A16}"/>
    <cellStyle name="Input 2 6 3 2 10 2" xfId="36988" xr:uid="{02EE3610-F4C7-4464-908C-975DF4804339}"/>
    <cellStyle name="Input 2 6 3 2 10 3" xfId="44885" xr:uid="{A9DE1E60-4FBC-4C96-B2AE-BEFB31301E82}"/>
    <cellStyle name="Input 2 6 3 2 11" xfId="19805" xr:uid="{B9D43BD9-D63F-432D-9F4A-F49C1476D45E}"/>
    <cellStyle name="Input 2 6 3 2 11 2" xfId="42143" xr:uid="{FB76087D-6CAB-4F9D-AC39-04D38C57D3BF}"/>
    <cellStyle name="Input 2 6 3 2 11 3" xfId="25630" xr:uid="{AD801733-7DF4-438F-82F8-992755D08BAA}"/>
    <cellStyle name="Input 2 6 3 2 12" xfId="7243" xr:uid="{06D94C27-2518-4308-83F3-3C7566BAB1D7}"/>
    <cellStyle name="Input 2 6 3 2 12 2" xfId="47861" xr:uid="{F21C73A2-CC76-4CAF-BA1E-C4DB97EB6CF2}"/>
    <cellStyle name="Input 2 6 3 2 13" xfId="27599" xr:uid="{6D35795D-1C7C-4047-99B0-BA29CC810570}"/>
    <cellStyle name="Input 2 6 3 2 2" xfId="3941" xr:uid="{00000000-0005-0000-0000-00004B050000}"/>
    <cellStyle name="Input 2 6 3 2 2 2" xfId="10845" xr:uid="{2CCD0AA0-1013-4861-BAC5-4CCD40F789DE}"/>
    <cellStyle name="Input 2 6 3 2 2 2 2" xfId="33331" xr:uid="{7D247993-CB4A-47E6-A516-2F2CFBA9561D}"/>
    <cellStyle name="Input 2 6 3 2 2 2 3" xfId="52004" xr:uid="{CD62701F-FAAA-44B5-B0E5-0E39282A23AB}"/>
    <cellStyle name="Input 2 6 3 2 2 3" xfId="15983" xr:uid="{11869F2E-1F43-4AA9-98CC-734773F03C17}"/>
    <cellStyle name="Input 2 6 3 2 2 3 2" xfId="38386" xr:uid="{2CC96B00-CD0E-426E-B003-28E0B794E2DF}"/>
    <cellStyle name="Input 2 6 3 2 2 3 3" xfId="53095" xr:uid="{E361CB41-3B55-4B74-93F1-9EA88ADB3724}"/>
    <cellStyle name="Input 2 6 3 2 2 4" xfId="20430" xr:uid="{B3405E93-D246-42D5-8ECC-3995DA4D9139}"/>
    <cellStyle name="Input 2 6 3 2 2 4 2" xfId="43539" xr:uid="{4AE7A600-3244-4217-8340-49386FE4824C}"/>
    <cellStyle name="Input 2 6 3 2 2 5" xfId="52381" xr:uid="{0B00717B-8E23-44CD-AF8C-6BEDC24D3C82}"/>
    <cellStyle name="Input 2 6 3 2 3" xfId="5336" xr:uid="{00000000-0005-0000-0000-00004B050000}"/>
    <cellStyle name="Input 2 6 3 2 3 2" xfId="12228" xr:uid="{9ABA71BD-635F-44B5-B5C1-64E21BE3E697}"/>
    <cellStyle name="Input 2 6 3 2 3 2 2" xfId="34713" xr:uid="{C70BA4B6-FF88-437A-89D2-0A60BA22EABE}"/>
    <cellStyle name="Input 2 6 3 2 3 2 3" xfId="24722" xr:uid="{28D75B99-5578-4614-879D-0DADE34F7E57}"/>
    <cellStyle name="Input 2 6 3 2 3 3" xfId="17273" xr:uid="{0BC8C5E5-375F-4B73-969B-8FC3824D3CC2}"/>
    <cellStyle name="Input 2 6 3 2 3 3 2" xfId="39663" xr:uid="{41CAF155-C2DD-4BFC-BA94-B7E974C815C3}"/>
    <cellStyle name="Input 2 6 3 2 3 3 3" xfId="28040" xr:uid="{5945EEE3-0684-467B-8BCE-61EA0E1D7146}"/>
    <cellStyle name="Input 2 6 3 2 3 4" xfId="21697" xr:uid="{2BF43DB5-3C31-4D5D-A5AF-C43D6E1DAB8C}"/>
    <cellStyle name="Input 2 6 3 2 3 4 2" xfId="47474" xr:uid="{4BBCBE7B-73D7-4914-81E7-9D328D16A7B8}"/>
    <cellStyle name="Input 2 6 3 2 3 5" xfId="49049" xr:uid="{100879C6-9891-4787-B4AA-806AF4BA1979}"/>
    <cellStyle name="Input 2 6 3 2 4" xfId="5746" xr:uid="{00000000-0005-0000-0000-00004B050000}"/>
    <cellStyle name="Input 2 6 3 2 4 2" xfId="12630" xr:uid="{B83BE39B-04ED-4E77-89EE-49C577FE741E}"/>
    <cellStyle name="Input 2 6 3 2 4 2 2" xfId="35115" xr:uid="{86D679A8-A768-4A55-926B-4C4BC4A47E81}"/>
    <cellStyle name="Input 2 6 3 2 4 2 3" xfId="28357" xr:uid="{E89EC5B3-6033-4484-893B-13E5F0AC6902}"/>
    <cellStyle name="Input 2 6 3 2 4 3" xfId="17683" xr:uid="{E9748B15-9D4C-424E-88A3-C9F779861643}"/>
    <cellStyle name="Input 2 6 3 2 4 3 2" xfId="40073" xr:uid="{33DA499E-66F0-4010-9864-6E1519594C99}"/>
    <cellStyle name="Input 2 6 3 2 4 3 3" xfId="29614" xr:uid="{415C7CF3-9386-41B4-BB03-F56F253F5C02}"/>
    <cellStyle name="Input 2 6 3 2 4 4" xfId="22107" xr:uid="{A43667B1-4D39-4268-A1A9-368FC8654BED}"/>
    <cellStyle name="Input 2 6 3 2 4 4 2" xfId="49553" xr:uid="{280F6583-E603-400D-A71E-CF4851C28D56}"/>
    <cellStyle name="Input 2 6 3 2 4 5" xfId="53603" xr:uid="{8C18325F-CDCB-41D0-8CE1-5B23606DC12E}"/>
    <cellStyle name="Input 2 6 3 2 5" xfId="6100" xr:uid="{00000000-0005-0000-0000-00004B050000}"/>
    <cellStyle name="Input 2 6 3 2 5 2" xfId="12978" xr:uid="{D3888B8F-09D8-4AF8-BA75-7BCD3C04BC65}"/>
    <cellStyle name="Input 2 6 3 2 5 2 2" xfId="35462" xr:uid="{724856B9-05D4-406D-9DD1-812D3C87752D}"/>
    <cellStyle name="Input 2 6 3 2 5 2 3" xfId="53712" xr:uid="{8FB30B4D-72E7-4AF9-90DB-EB1836BB6579}"/>
    <cellStyle name="Input 2 6 3 2 5 3" xfId="18037" xr:uid="{80E3E8F3-FB78-47C4-BBF1-BFDF646E657F}"/>
    <cellStyle name="Input 2 6 3 2 5 3 2" xfId="40427" xr:uid="{541515FD-00EE-43B1-A968-98507AFF02C7}"/>
    <cellStyle name="Input 2 6 3 2 5 3 3" xfId="30291" xr:uid="{2EF6992A-FC23-45CB-B596-2872DE6290BF}"/>
    <cellStyle name="Input 2 6 3 2 5 4" xfId="22461" xr:uid="{F86FE35E-85C0-4F99-84D6-56ED178756DF}"/>
    <cellStyle name="Input 2 6 3 2 5 4 2" xfId="50840" xr:uid="{1D438058-34A7-4BCD-856D-B636839CFBF6}"/>
    <cellStyle name="Input 2 6 3 2 5 5" xfId="32002" xr:uid="{01FD711F-B77C-479B-887C-5CA1C1977E1C}"/>
    <cellStyle name="Input 2 6 3 2 6" xfId="6475" xr:uid="{00000000-0005-0000-0000-00004B050000}"/>
    <cellStyle name="Input 2 6 3 2 6 2" xfId="13345" xr:uid="{CDD1454F-BE2B-45D9-93D3-26F43DE2DBE9}"/>
    <cellStyle name="Input 2 6 3 2 6 2 2" xfId="35829" xr:uid="{0C8AA000-C924-4966-AAA4-74194F04AA94}"/>
    <cellStyle name="Input 2 6 3 2 6 2 3" xfId="50252" xr:uid="{853AE64C-008C-41ED-AA0D-92112C4A2EC0}"/>
    <cellStyle name="Input 2 6 3 2 6 3" xfId="18412" xr:uid="{4F000317-8A84-4EA3-9F1C-881C751477FF}"/>
    <cellStyle name="Input 2 6 3 2 6 3 2" xfId="40802" xr:uid="{04DBAD89-6656-4841-BAE9-030498D06F52}"/>
    <cellStyle name="Input 2 6 3 2 6 3 3" xfId="28207" xr:uid="{E0790569-7D7C-4142-8837-6732BB2CD052}"/>
    <cellStyle name="Input 2 6 3 2 6 4" xfId="22836" xr:uid="{277709DA-AE1D-4140-AD16-A87509216406}"/>
    <cellStyle name="Input 2 6 3 2 6 4 2" xfId="43660" xr:uid="{DBC63162-7772-4A10-A073-11EF8A689928}"/>
    <cellStyle name="Input 2 6 3 2 6 5" xfId="28205" xr:uid="{300F329C-D13B-42B9-907C-D31F919C0F6D}"/>
    <cellStyle name="Input 2 6 3 2 7" xfId="4555" xr:uid="{00000000-0005-0000-0000-00004B050000}"/>
    <cellStyle name="Input 2 6 3 2 7 2" xfId="11457" xr:uid="{5D2F082E-5515-42AE-A494-DB1B6A381E0F}"/>
    <cellStyle name="Input 2 6 3 2 7 2 2" xfId="33943" xr:uid="{6A12A80E-18C1-4019-A47E-33645D592E0F}"/>
    <cellStyle name="Input 2 6 3 2 7 2 3" xfId="32829" xr:uid="{40C34815-CA01-4B86-9614-2CB9CF4FC821}"/>
    <cellStyle name="Input 2 6 3 2 7 3" xfId="16492" xr:uid="{28BC730B-52AC-48F9-ABAF-5434DC0436A3}"/>
    <cellStyle name="Input 2 6 3 2 7 3 2" xfId="38882" xr:uid="{7D24EA6E-1D13-46A2-A84C-6394E7F6E801}"/>
    <cellStyle name="Input 2 6 3 2 7 3 3" xfId="26939" xr:uid="{15DBFB13-9FBF-4D0E-8B5F-E54D4C93B9E0}"/>
    <cellStyle name="Input 2 6 3 2 7 4" xfId="7593" xr:uid="{2532BE8E-FC3B-4BF7-9FE7-EE44AEB05F11}"/>
    <cellStyle name="Input 2 6 3 2 7 4 2" xfId="49036" xr:uid="{7393491D-A43D-4C5F-AE67-61D58C36E1FF}"/>
    <cellStyle name="Input 2 6 3 2 7 5" xfId="47746" xr:uid="{B5A6A95E-1677-4947-91E7-016275744C02}"/>
    <cellStyle name="Input 2 6 3 2 8" xfId="6975" xr:uid="{00000000-0005-0000-0000-00004B050000}"/>
    <cellStyle name="Input 2 6 3 2 8 2" xfId="13812" xr:uid="{034378A1-BCC6-48C9-A6CC-E4F259207F66}"/>
    <cellStyle name="Input 2 6 3 2 8 2 2" xfId="36296" xr:uid="{AD01C8E8-1253-46DA-9BCA-B0BF18B58C7E}"/>
    <cellStyle name="Input 2 6 3 2 8 2 3" xfId="51583" xr:uid="{1FB68EAE-8141-417E-A5D2-57270FB9F6D4}"/>
    <cellStyle name="Input 2 6 3 2 8 3" xfId="18912" xr:uid="{4E1D7D92-338B-4B32-A223-179E66907CF0}"/>
    <cellStyle name="Input 2 6 3 2 8 3 2" xfId="41302" xr:uid="{B39C12EC-9531-4161-8E80-A16728056596}"/>
    <cellStyle name="Input 2 6 3 2 8 3 3" xfId="29655" xr:uid="{8DFE32D6-AF1E-4D78-A2C3-261D9188120C}"/>
    <cellStyle name="Input 2 6 3 2 8 4" xfId="23336" xr:uid="{0293E085-55CD-4C36-8593-18CE94423E1B}"/>
    <cellStyle name="Input 2 6 3 2 8 4 2" xfId="25714" xr:uid="{5EFE90E1-2222-4010-AA75-AFCE8A5F8003}"/>
    <cellStyle name="Input 2 6 3 2 8 5" xfId="53400" xr:uid="{D08AA1C8-AF91-47EF-8269-C4ADF3A8F76C}"/>
    <cellStyle name="Input 2 6 3 2 9" xfId="4880" xr:uid="{00000000-0005-0000-0000-00004B050000}"/>
    <cellStyle name="Input 2 6 3 2 9 2" xfId="16817" xr:uid="{CB163871-1CAA-4A08-976A-32F82C0A8C8C}"/>
    <cellStyle name="Input 2 6 3 2 9 2 2" xfId="39207" xr:uid="{6EC44B95-F286-4E7E-B7E0-32BBCA953183}"/>
    <cellStyle name="Input 2 6 3 2 9 2 3" xfId="43507" xr:uid="{6E42B163-F252-4019-AC6B-C7DEBC10C1A1}"/>
    <cellStyle name="Input 2 6 3 2 9 3" xfId="15208" xr:uid="{92F7FA7F-6569-4694-A5C0-7CCBBE1F4600}"/>
    <cellStyle name="Input 2 6 3 2 9 3 2" xfId="24109" xr:uid="{61626C95-9CA5-40E5-A17F-7A85C1E685F9}"/>
    <cellStyle name="Input 2 6 3 2 9 4" xfId="47238" xr:uid="{2CFD9611-03CC-4148-9E75-73920604E81D}"/>
    <cellStyle name="Input 2 6 3 3" xfId="2989" xr:uid="{00000000-0005-0000-0000-00004A050000}"/>
    <cellStyle name="Input 2 6 3 3 2" xfId="9898" xr:uid="{BD2ED7FA-08B8-44E8-9C36-F0479FCAE2A7}"/>
    <cellStyle name="Input 2 6 3 3 2 2" xfId="32421" xr:uid="{39907CB7-D983-4B59-8308-A26CF51A5300}"/>
    <cellStyle name="Input 2 6 3 3 2 3" xfId="48207" xr:uid="{927381E8-5018-4329-9FCF-DB376C851F1E}"/>
    <cellStyle name="Input 2 6 3 3 3" xfId="15336" xr:uid="{D7C629EA-987E-4679-9F6B-AC9FD0ABE1BD}"/>
    <cellStyle name="Input 2 6 3 3 3 2" xfId="37768" xr:uid="{73CD3708-F172-4898-A96B-BF1B17FD9B74}"/>
    <cellStyle name="Input 2 6 3 3 3 3" xfId="46761" xr:uid="{A7AF6612-759B-4FF3-98C7-204CC54E40E8}"/>
    <cellStyle name="Input 2 6 3 3 4" xfId="20147" xr:uid="{2720F592-032E-4A76-A810-0524AD741126}"/>
    <cellStyle name="Input 2 6 3 3 4 2" xfId="28376" xr:uid="{918A03AF-7441-4AB4-8F0E-E9429386785E}"/>
    <cellStyle name="Input 2 6 3 3 5" xfId="23645" xr:uid="{1E6A892E-B743-41EF-AA1D-0BB5184D0542}"/>
    <cellStyle name="Input 2 6 3 4" xfId="4702" xr:uid="{00000000-0005-0000-0000-00004A050000}"/>
    <cellStyle name="Input 2 6 3 4 2" xfId="11600" xr:uid="{749BD149-8F99-4784-BE0A-65951E870C71}"/>
    <cellStyle name="Input 2 6 3 4 2 2" xfId="34086" xr:uid="{60F98CC3-5EBD-418F-9783-242FBE1C50FB}"/>
    <cellStyle name="Input 2 6 3 4 2 3" xfId="27972" xr:uid="{3E5A2A0C-7DF9-4D8C-B6DC-F868C33DE330}"/>
    <cellStyle name="Input 2 6 3 4 3" xfId="16639" xr:uid="{BD32FB77-F488-4D69-9216-2525B49BA471}"/>
    <cellStyle name="Input 2 6 3 4 3 2" xfId="39029" xr:uid="{3A56716A-9C3B-4A0F-B4AD-45BD94395703}"/>
    <cellStyle name="Input 2 6 3 4 3 3" xfId="26680" xr:uid="{96DC2B84-1CC9-4381-95A2-EA54056BF180}"/>
    <cellStyle name="Input 2 6 3 4 4" xfId="15688" xr:uid="{56A570A9-3181-4D2E-B872-D55FCA968475}"/>
    <cellStyle name="Input 2 6 3 4 4 2" xfId="51439" xr:uid="{D55EB878-EE91-4ABE-A4C6-B41DD6D22E56}"/>
    <cellStyle name="Input 2 6 3 4 5" xfId="27194" xr:uid="{E5223C57-7478-4302-B055-99AB8CC6EA1C}"/>
    <cellStyle name="Input 2 6 3 5" xfId="4734" xr:uid="{00000000-0005-0000-0000-00004A050000}"/>
    <cellStyle name="Input 2 6 3 5 2" xfId="11632" xr:uid="{9B6951AC-B478-41D9-9958-2B84E84E06EC}"/>
    <cellStyle name="Input 2 6 3 5 2 2" xfId="34118" xr:uid="{3D60B75C-FE0A-4119-B448-B58909D7FA0A}"/>
    <cellStyle name="Input 2 6 3 5 2 3" xfId="30477" xr:uid="{EA42A139-E4C8-4DA2-A39F-F6A4217C6317}"/>
    <cellStyle name="Input 2 6 3 5 3" xfId="16671" xr:uid="{188EF4FC-6356-4DCC-9881-6D3B14D5EB51}"/>
    <cellStyle name="Input 2 6 3 5 3 2" xfId="39061" xr:uid="{2F6291DB-5452-41B4-97D9-F41680B5F88C}"/>
    <cellStyle name="Input 2 6 3 5 3 3" xfId="45140" xr:uid="{8FDC87F8-9524-4F2F-BA14-AA7A9EF6AE9D}"/>
    <cellStyle name="Input 2 6 3 5 4" xfId="15500" xr:uid="{9CBC989D-9E68-4178-9F24-5E11C240B5C5}"/>
    <cellStyle name="Input 2 6 3 5 4 2" xfId="28385" xr:uid="{246DB476-92F4-4BB6-91DB-B7EDD5611C79}"/>
    <cellStyle name="Input 2 6 3 5 5" xfId="51716" xr:uid="{11146918-7680-4EC5-A994-53ECDB98D079}"/>
    <cellStyle name="Input 2 6 3 6" xfId="3337" xr:uid="{00000000-0005-0000-0000-00004A050000}"/>
    <cellStyle name="Input 2 6 3 6 2" xfId="10245" xr:uid="{154E1C58-B64B-41EF-9C6D-9615DBA918F1}"/>
    <cellStyle name="Input 2 6 3 6 2 2" xfId="32739" xr:uid="{7868B7E7-B094-4B4B-89BA-50FB7BCE91B7}"/>
    <cellStyle name="Input 2 6 3 6 2 3" xfId="49843" xr:uid="{E8142759-ED54-4FFF-A7EA-D1138BEE65B5}"/>
    <cellStyle name="Input 2 6 3 6 3" xfId="15563" xr:uid="{12E465A7-EDEF-45F3-B9CA-32DFE97C256E}"/>
    <cellStyle name="Input 2 6 3 6 3 2" xfId="37982" xr:uid="{3256656F-DE17-4113-9866-39DCE43D4E01}"/>
    <cellStyle name="Input 2 6 3 6 3 3" xfId="50940" xr:uid="{1B6792AC-36E8-42EC-ADF4-24EB624C61AE}"/>
    <cellStyle name="Input 2 6 3 6 4" xfId="20827" xr:uid="{0F03AEED-452B-4012-AC92-D4A2216F996D}"/>
    <cellStyle name="Input 2 6 3 6 4 2" xfId="26946" xr:uid="{31A47B19-E1C1-41D3-A7AF-103BADA30E31}"/>
    <cellStyle name="Input 2 6 3 6 5" xfId="47617" xr:uid="{D2BF448F-79E7-48E6-97AC-A093B1926958}"/>
    <cellStyle name="Input 2 6 3 7" xfId="2628" xr:uid="{00000000-0005-0000-0000-00004A050000}"/>
    <cellStyle name="Input 2 6 3 7 2" xfId="9537" xr:uid="{F77B8DC7-9AB3-496E-9E73-E19AFE4FE374}"/>
    <cellStyle name="Input 2 6 3 7 2 2" xfId="32088" xr:uid="{01739D8C-BDAF-4104-8CBD-8A8BE349E9D6}"/>
    <cellStyle name="Input 2 6 3 7 2 3" xfId="54102" xr:uid="{1B8B4EEC-CB32-4BCA-9C64-33A11C911F87}"/>
    <cellStyle name="Input 2 6 3 7 3" xfId="15098" xr:uid="{6813D5D0-7760-43D9-9A8F-E3867C8BB56B}"/>
    <cellStyle name="Input 2 6 3 7 3 2" xfId="37542" xr:uid="{6C4FEF53-1F3E-4EF7-A46B-C523F9D06161}"/>
    <cellStyle name="Input 2 6 3 7 3 3" xfId="53979" xr:uid="{E5B5B70F-B8B7-4A36-9668-265FB5AA2E6C}"/>
    <cellStyle name="Input 2 6 3 7 4" xfId="20225" xr:uid="{33A2999D-1506-4960-A775-0DB3ACCAD017}"/>
    <cellStyle name="Input 2 6 3 7 4 2" xfId="29829" xr:uid="{142FA83E-B0C8-4DE2-B769-DE1A62C0843D}"/>
    <cellStyle name="Input 2 6 3 7 5" xfId="52212" xr:uid="{806EABA1-E658-48ED-ADD3-DDCD34C5B5EE}"/>
    <cellStyle name="Input 2 6 3 8" xfId="7259" xr:uid="{1F2EF485-5F0B-4C6E-8500-CF1DE9C24D56}"/>
    <cellStyle name="Input 2 6 3 8 2" xfId="29948" xr:uid="{6F4B4E8D-3AA7-4C11-8C56-7BC08C543EE0}"/>
    <cellStyle name="Input 2 6 3 8 3" xfId="51201" xr:uid="{E52E0734-49F6-44CD-9B8B-3418A88A606B}"/>
    <cellStyle name="Input 2 6 3 9" xfId="19389" xr:uid="{F1693DA0-D6DB-43E5-B108-757BE67FBAF8}"/>
    <cellStyle name="Input 2 6 3 9 2" xfId="41762" xr:uid="{3805E6C7-FF71-42A7-BC93-E238F55B07F8}"/>
    <cellStyle name="Input 2 6 3 9 3" xfId="32122" xr:uid="{7E1E6DF2-6DD9-45F4-A417-BFE422294F8A}"/>
    <cellStyle name="Input 2 6 4" xfId="1045" xr:uid="{00000000-0005-0000-0000-00004D050000}"/>
    <cellStyle name="Input 2 6 4 10" xfId="20612" xr:uid="{A9CAEDC6-23FB-46CC-A8B6-3D014661A8F9}"/>
    <cellStyle name="Input 2 6 4 10 2" xfId="34522" xr:uid="{CABF624F-136F-4570-A016-CB66AC0606C4}"/>
    <cellStyle name="Input 2 6 4 11" xfId="46653" xr:uid="{1255C0AD-932A-4F19-870D-01ED819B832C}"/>
    <cellStyle name="Input 2 6 4 2" xfId="1935" xr:uid="{00000000-0005-0000-0000-00004E050000}"/>
    <cellStyle name="Input 2 6 4 2 10" xfId="14605" xr:uid="{11955E23-0047-47C4-9E7D-678C0E2AF022}"/>
    <cellStyle name="Input 2 6 4 2 10 2" xfId="37066" xr:uid="{99CB7651-9592-4227-9251-B9BE4EDE308B}"/>
    <cellStyle name="Input 2 6 4 2 10 3" xfId="27537" xr:uid="{63E9281E-1C84-4A33-B52E-5325ED889D73}"/>
    <cellStyle name="Input 2 6 4 2 11" xfId="21193" xr:uid="{6358C71C-BDF1-4569-8113-FC9CEA5E113C}"/>
    <cellStyle name="Input 2 6 4 2 11 2" xfId="43433" xr:uid="{1D39B551-EA6B-4576-AE1A-86A72EF8DF4A}"/>
    <cellStyle name="Input 2 6 4 2 11 3" xfId="26087" xr:uid="{3E4D5CD9-FE27-4A38-8002-61D572CB218D}"/>
    <cellStyle name="Input 2 6 4 2 12" xfId="15507" xr:uid="{E18DBB86-5075-4560-89B5-880F351CD669}"/>
    <cellStyle name="Input 2 6 4 2 12 2" xfId="53526" xr:uid="{4A22EB55-B40D-4E2C-9E9A-B0DDFB0CAF0E}"/>
    <cellStyle name="Input 2 6 4 2 13" xfId="48213" xr:uid="{5688C9F7-8E4A-458F-B69E-7267143AD396}"/>
    <cellStyle name="Input 2 6 4 2 2" xfId="4032" xr:uid="{00000000-0005-0000-0000-00004D050000}"/>
    <cellStyle name="Input 2 6 4 2 2 2" xfId="10936" xr:uid="{DAD3569B-4C02-4715-BECE-686BC49AA1A8}"/>
    <cellStyle name="Input 2 6 4 2 2 2 2" xfId="33422" xr:uid="{40B39643-EF40-4EC5-8FAB-B3C4A7623B01}"/>
    <cellStyle name="Input 2 6 4 2 2 2 3" xfId="47406" xr:uid="{C3857669-747F-4383-AB26-35A448A7D7CB}"/>
    <cellStyle name="Input 2 6 4 2 2 3" xfId="16056" xr:uid="{B75BF6AE-0206-4523-8ACC-4AD4045B4611}"/>
    <cellStyle name="Input 2 6 4 2 2 3 2" xfId="38457" xr:uid="{99E07C4C-A5EE-4F2E-BCA7-C9B7AEB73642}"/>
    <cellStyle name="Input 2 6 4 2 2 3 3" xfId="26328" xr:uid="{08422653-B211-4E53-B2CE-A6DFE3A070E6}"/>
    <cellStyle name="Input 2 6 4 2 2 4" xfId="20934" xr:uid="{133A6F2A-898D-4D5E-B4E3-ECB5EE051530}"/>
    <cellStyle name="Input 2 6 4 2 2 4 2" xfId="52996" xr:uid="{FA6BCCD6-A77E-4A6C-980B-833B846610FB}"/>
    <cellStyle name="Input 2 6 4 2 2 5" xfId="36502" xr:uid="{9579DD32-D912-4A42-9A09-E42971A023B7}"/>
    <cellStyle name="Input 2 6 4 2 3" xfId="5407" xr:uid="{00000000-0005-0000-0000-00004D050000}"/>
    <cellStyle name="Input 2 6 4 2 3 2" xfId="12298" xr:uid="{D4CF4277-40C2-416B-8B9A-B87C2C0F2C75}"/>
    <cellStyle name="Input 2 6 4 2 3 2 2" xfId="34783" xr:uid="{04846CAC-F323-4BFA-9A63-B727C7690585}"/>
    <cellStyle name="Input 2 6 4 2 3 2 3" xfId="45150" xr:uid="{F43BF678-DEAD-438C-8EFD-6CD59F5DA1A0}"/>
    <cellStyle name="Input 2 6 4 2 3 3" xfId="17344" xr:uid="{A06C7133-FC8D-48A2-934D-49F531FB1CEA}"/>
    <cellStyle name="Input 2 6 4 2 3 3 2" xfId="39734" xr:uid="{C4AC6872-6DEA-4F78-A192-8BBD8B03C1D1}"/>
    <cellStyle name="Input 2 6 4 2 3 3 3" xfId="37495" xr:uid="{CCBC97B4-1DC0-4169-AF9B-B50124080CCD}"/>
    <cellStyle name="Input 2 6 4 2 3 4" xfId="21768" xr:uid="{A64CE088-31F9-402C-BBDF-9C1EB8DFC0F7}"/>
    <cellStyle name="Input 2 6 4 2 3 4 2" xfId="52986" xr:uid="{3B0C37B2-BDD4-4864-BA2C-46BE96E3E055}"/>
    <cellStyle name="Input 2 6 4 2 3 5" xfId="47948" xr:uid="{C0E51959-874B-489E-82C7-28903E3F6348}"/>
    <cellStyle name="Input 2 6 4 2 4" xfId="5820" xr:uid="{00000000-0005-0000-0000-00004D050000}"/>
    <cellStyle name="Input 2 6 4 2 4 2" xfId="12703" xr:uid="{B8633D68-C9AD-4522-9834-9C24A8B3625A}"/>
    <cellStyle name="Input 2 6 4 2 4 2 2" xfId="35188" xr:uid="{70D40702-ED4B-4387-A573-598EECC9C0A3}"/>
    <cellStyle name="Input 2 6 4 2 4 2 3" xfId="37362" xr:uid="{9F5B46F0-2FA0-4974-B9CE-BDA4BC710B10}"/>
    <cellStyle name="Input 2 6 4 2 4 3" xfId="17757" xr:uid="{1A7F0E11-FE25-49F8-B0A7-A461371240E2}"/>
    <cellStyle name="Input 2 6 4 2 4 3 2" xfId="40147" xr:uid="{1705332E-B018-44EC-9799-EF216334CD81}"/>
    <cellStyle name="Input 2 6 4 2 4 3 3" xfId="29733" xr:uid="{EEF5A0EC-AD3B-4D29-9671-5885AE20C9F4}"/>
    <cellStyle name="Input 2 6 4 2 4 4" xfId="22181" xr:uid="{093D2482-849B-420A-AE71-C9B4BEAEAD63}"/>
    <cellStyle name="Input 2 6 4 2 4 4 2" xfId="52922" xr:uid="{FCEB8156-F2AE-4A70-8A6B-21762C6EF6C5}"/>
    <cellStyle name="Input 2 6 4 2 4 5" xfId="50641" xr:uid="{249C77CE-DB3D-4562-B06E-74E666F73B37}"/>
    <cellStyle name="Input 2 6 4 2 5" xfId="6164" xr:uid="{00000000-0005-0000-0000-00004D050000}"/>
    <cellStyle name="Input 2 6 4 2 5 2" xfId="13041" xr:uid="{EE206BC3-5946-4F31-B7EB-420DF24834AA}"/>
    <cellStyle name="Input 2 6 4 2 5 2 2" xfId="35525" xr:uid="{91B2B10C-8B0E-4DBA-B6F3-A31938838F93}"/>
    <cellStyle name="Input 2 6 4 2 5 2 3" xfId="53604" xr:uid="{CE2AD92C-B866-4508-8A27-396ACCA7D3FC}"/>
    <cellStyle name="Input 2 6 4 2 5 3" xfId="18101" xr:uid="{BD422698-2D3D-48C5-8495-E4BDFA7AF92D}"/>
    <cellStyle name="Input 2 6 4 2 5 3 2" xfId="40491" xr:uid="{07924EB0-CB4E-4141-84B0-9579E15C7C46}"/>
    <cellStyle name="Input 2 6 4 2 5 3 3" xfId="24292" xr:uid="{D3A15853-3DCE-4842-B7F6-D2CA479490A0}"/>
    <cellStyle name="Input 2 6 4 2 5 4" xfId="22525" xr:uid="{32B6F1AB-DF03-422D-B4B1-259913612674}"/>
    <cellStyle name="Input 2 6 4 2 5 4 2" xfId="47380" xr:uid="{7C417DDC-862E-4E82-95CB-E92485E6B1F8}"/>
    <cellStyle name="Input 2 6 4 2 5 5" xfId="53012" xr:uid="{F9BEB41E-969B-45BA-BB44-AA5E3F8F87BA}"/>
    <cellStyle name="Input 2 6 4 2 6" xfId="6537" xr:uid="{00000000-0005-0000-0000-00004D050000}"/>
    <cellStyle name="Input 2 6 4 2 6 2" xfId="13406" xr:uid="{02A8201B-F595-48E6-AC52-1932C46738A0}"/>
    <cellStyle name="Input 2 6 4 2 6 2 2" xfId="35890" xr:uid="{CFDB9E57-CEE4-42C9-9E59-E29A8C4F16D9}"/>
    <cellStyle name="Input 2 6 4 2 6 2 3" xfId="25154" xr:uid="{F4C37A5C-A658-4DA5-AC5A-1FF6C737739D}"/>
    <cellStyle name="Input 2 6 4 2 6 3" xfId="18474" xr:uid="{A0B80BA9-2D36-4B22-B34D-C261E81BABFB}"/>
    <cellStyle name="Input 2 6 4 2 6 3 2" xfId="40864" xr:uid="{26BBA83B-6A13-49DD-A152-90BCB0653101}"/>
    <cellStyle name="Input 2 6 4 2 6 3 3" xfId="29459" xr:uid="{5407FE05-2C43-4616-8B24-454245A5CDF9}"/>
    <cellStyle name="Input 2 6 4 2 6 4" xfId="22898" xr:uid="{536DA334-ED8B-4930-85C1-B9028A3AB3D3}"/>
    <cellStyle name="Input 2 6 4 2 6 4 2" xfId="47138" xr:uid="{3105EA52-3413-47EE-80F3-10BE3067F320}"/>
    <cellStyle name="Input 2 6 4 2 6 5" xfId="42199" xr:uid="{BA0CD870-1A70-436F-8B63-E26DF4B423D5}"/>
    <cellStyle name="Input 2 6 4 2 7" xfId="5136" xr:uid="{00000000-0005-0000-0000-00004D050000}"/>
    <cellStyle name="Input 2 6 4 2 7 2" xfId="12029" xr:uid="{CD3F3F96-B9F1-400A-8A53-89B164EB9627}"/>
    <cellStyle name="Input 2 6 4 2 7 2 2" xfId="34515" xr:uid="{3E554D50-9C98-4D75-85A0-82B1D753FA32}"/>
    <cellStyle name="Input 2 6 4 2 7 2 3" xfId="27911" xr:uid="{9A704764-1236-44DF-9F43-95F70ED334B8}"/>
    <cellStyle name="Input 2 6 4 2 7 3" xfId="17073" xr:uid="{027A9941-C688-4F99-A835-0D2150A3653A}"/>
    <cellStyle name="Input 2 6 4 2 7 3 2" xfId="39463" xr:uid="{103BF6A3-E0E6-47A0-AB2F-10AF19192F9D}"/>
    <cellStyle name="Input 2 6 4 2 7 3 3" xfId="45730" xr:uid="{A23B3406-A1B9-4868-8BC6-B259B2D5AC13}"/>
    <cellStyle name="Input 2 6 4 2 7 4" xfId="21497" xr:uid="{6D7947BC-1FFF-41D7-A479-65102927334D}"/>
    <cellStyle name="Input 2 6 4 2 7 4 2" xfId="48485" xr:uid="{B539504A-2E43-447D-95C1-3F22F4677972}"/>
    <cellStyle name="Input 2 6 4 2 7 5" xfId="53428" xr:uid="{E6DCE90F-F196-41AC-98A1-6DFB8075C763}"/>
    <cellStyle name="Input 2 6 4 2 8" xfId="7021" xr:uid="{00000000-0005-0000-0000-00004D050000}"/>
    <cellStyle name="Input 2 6 4 2 8 2" xfId="13858" xr:uid="{62B2DEBF-1ED4-4031-BCD9-99BF5D6F22AC}"/>
    <cellStyle name="Input 2 6 4 2 8 2 2" xfId="36342" xr:uid="{2B0AEC04-9FC9-44E8-A03E-F2A37D969F2D}"/>
    <cellStyle name="Input 2 6 4 2 8 2 3" xfId="53245" xr:uid="{C6472F31-4536-4701-8F13-3718E7EEA246}"/>
    <cellStyle name="Input 2 6 4 2 8 3" xfId="18958" xr:uid="{B9B0AADC-3C58-42C0-8D8A-A39A536B7ECA}"/>
    <cellStyle name="Input 2 6 4 2 8 3 2" xfId="41348" xr:uid="{70802636-B151-4861-8F7D-01962C4748FE}"/>
    <cellStyle name="Input 2 6 4 2 8 3 3" xfId="24230" xr:uid="{D04CEACB-64C2-4072-8ADE-2A531B3EFCFC}"/>
    <cellStyle name="Input 2 6 4 2 8 4" xfId="23382" xr:uid="{6AF82C96-8FEC-464E-84B2-631C74952D79}"/>
    <cellStyle name="Input 2 6 4 2 8 4 2" xfId="45642" xr:uid="{8F0C8FC2-FA13-4335-B698-26E81FFA5DD0}"/>
    <cellStyle name="Input 2 6 4 2 8 5" xfId="46137" xr:uid="{77189602-7ED1-4E18-803D-80951B3EE56A}"/>
    <cellStyle name="Input 2 6 4 2 9" xfId="7137" xr:uid="{00000000-0005-0000-0000-00004D050000}"/>
    <cellStyle name="Input 2 6 4 2 9 2" xfId="19074" xr:uid="{6861C75D-8126-494E-99DD-46BDE0F4754B}"/>
    <cellStyle name="Input 2 6 4 2 9 2 2" xfId="41464" xr:uid="{918472FF-0772-4C4D-BDFD-565EAB67F02F}"/>
    <cellStyle name="Input 2 6 4 2 9 2 3" xfId="31256" xr:uid="{4CE1A96A-6958-4889-9565-6838586CE9C6}"/>
    <cellStyle name="Input 2 6 4 2 9 3" xfId="23498" xr:uid="{B7CA3DF8-E6FA-4FB6-9D1E-ABCC97E776BA}"/>
    <cellStyle name="Input 2 6 4 2 9 3 2" xfId="52383" xr:uid="{473AB202-D2ED-46C0-BE0F-4822967A18BD}"/>
    <cellStyle name="Input 2 6 4 2 9 4" xfId="23646" xr:uid="{16E5D072-B006-4395-B05E-E400657DE8DD}"/>
    <cellStyle name="Input 2 6 4 3" xfId="3166" xr:uid="{00000000-0005-0000-0000-00004C050000}"/>
    <cellStyle name="Input 2 6 4 3 2" xfId="10075" xr:uid="{7ED2489B-7536-4197-8DE7-168A6F9A4589}"/>
    <cellStyle name="Input 2 6 4 3 2 2" xfId="32582" xr:uid="{29FD87BC-CBBC-4040-BC2D-978CFC61D8FD}"/>
    <cellStyle name="Input 2 6 4 3 2 3" xfId="52602" xr:uid="{BF3295EC-7410-4F93-8265-2667046D8743}"/>
    <cellStyle name="Input 2 6 4 3 3" xfId="15453" xr:uid="{7C712156-5273-4F1E-B233-C6A67B20CB67}"/>
    <cellStyle name="Input 2 6 4 3 3 2" xfId="37879" xr:uid="{A975208D-5550-41FD-8A8C-2866E6EACAA1}"/>
    <cellStyle name="Input 2 6 4 3 3 3" xfId="49756" xr:uid="{2E4A2A5A-F171-41D0-9CD0-D4A905509D77}"/>
    <cellStyle name="Input 2 6 4 3 4" xfId="19609" xr:uid="{41002A42-2BD6-468B-9795-E2F951F2C49D}"/>
    <cellStyle name="Input 2 6 4 3 4 2" xfId="26009" xr:uid="{A18CE05D-B680-4B12-B0C9-E186E5FA22DE}"/>
    <cellStyle name="Input 2 6 4 3 5" xfId="53548" xr:uid="{AD3E691C-2571-417E-84E9-293B54DE3A86}"/>
    <cellStyle name="Input 2 6 4 4" xfId="4819" xr:uid="{00000000-0005-0000-0000-00004C050000}"/>
    <cellStyle name="Input 2 6 4 4 2" xfId="11716" xr:uid="{D55DDCF5-D16C-4F81-8369-7C58215F602A}"/>
    <cellStyle name="Input 2 6 4 4 2 2" xfId="34202" xr:uid="{EB040A06-DE17-419F-95B1-B6A80FE2AFA3}"/>
    <cellStyle name="Input 2 6 4 4 2 3" xfId="42331" xr:uid="{A09890AA-C6FB-4C96-A3BE-011BA9E986F7}"/>
    <cellStyle name="Input 2 6 4 4 3" xfId="16756" xr:uid="{89B01715-4263-4C3E-81B5-B948578D63B5}"/>
    <cellStyle name="Input 2 6 4 4 3 2" xfId="39146" xr:uid="{C00E9976-4889-4A0D-874E-905D7F539AE9}"/>
    <cellStyle name="Input 2 6 4 4 3 3" xfId="27896" xr:uid="{C30915DF-7740-4AC0-9A1A-54C1FCD093F7}"/>
    <cellStyle name="Input 2 6 4 4 4" xfId="16064" xr:uid="{86115790-DFCB-4960-9A78-FC86CFE5F716}"/>
    <cellStyle name="Input 2 6 4 4 4 2" xfId="41576" xr:uid="{664AE78A-9803-4CE6-BE4E-B3B2FC0F717B}"/>
    <cellStyle name="Input 2 6 4 4 5" xfId="28866" xr:uid="{4658EDE9-ECD9-4073-B022-5EEBECF6160A}"/>
    <cellStyle name="Input 2 6 4 5" xfId="4484" xr:uid="{00000000-0005-0000-0000-00004C050000}"/>
    <cellStyle name="Input 2 6 4 5 2" xfId="11386" xr:uid="{35EA5DE5-6DFB-4902-9978-BD0A41BD9BED}"/>
    <cellStyle name="Input 2 6 4 5 2 2" xfId="33872" xr:uid="{2F7577F9-A1E8-4F1B-A970-CC45FBD16610}"/>
    <cellStyle name="Input 2 6 4 5 2 3" xfId="41800" xr:uid="{F5FB88AD-FB6F-4A9F-96F9-9840AC16537A}"/>
    <cellStyle name="Input 2 6 4 5 3" xfId="16421" xr:uid="{26D4BEF0-68AB-4013-AC35-6C87ED3DF098}"/>
    <cellStyle name="Input 2 6 4 5 3 2" xfId="38811" xr:uid="{9B9DA3D7-B361-4370-A902-78431E4E660B}"/>
    <cellStyle name="Input 2 6 4 5 3 3" xfId="26305" xr:uid="{2F58FE76-DA2D-47CA-A0C8-1E91719F311F}"/>
    <cellStyle name="Input 2 6 4 5 4" xfId="14961" xr:uid="{83BC7705-9A47-460C-9C09-F0EF8C064736}"/>
    <cellStyle name="Input 2 6 4 5 4 2" xfId="53468" xr:uid="{D53D127B-98C6-47A9-89E6-4DB78E168B3B}"/>
    <cellStyle name="Input 2 6 4 5 5" xfId="49211" xr:uid="{18CD70D9-EFD5-4C29-AD66-F6604E72A877}"/>
    <cellStyle name="Input 2 6 4 6" xfId="4502" xr:uid="{00000000-0005-0000-0000-00004C050000}"/>
    <cellStyle name="Input 2 6 4 6 2" xfId="11404" xr:uid="{A39A6F74-B116-4F63-9DE9-A445EF791C8E}"/>
    <cellStyle name="Input 2 6 4 6 2 2" xfId="33890" xr:uid="{2E2F40AD-825E-4D25-BF67-48DA20EAC7A9}"/>
    <cellStyle name="Input 2 6 4 6 2 3" xfId="44817" xr:uid="{74F7311B-72CA-4E46-9872-F1745AEC4DCF}"/>
    <cellStyle name="Input 2 6 4 6 3" xfId="16439" xr:uid="{024FD511-8A98-4E00-B0B3-C334C9661989}"/>
    <cellStyle name="Input 2 6 4 6 3 2" xfId="38829" xr:uid="{B530D13A-E975-4646-AA4E-1238FA580654}"/>
    <cellStyle name="Input 2 6 4 6 3 3" xfId="42268" xr:uid="{580B0D6E-84F5-4F40-ACFC-8AFFA23AE2BD}"/>
    <cellStyle name="Input 2 6 4 6 4" xfId="21046" xr:uid="{483CBB3D-7586-4BCF-B155-570C63C0D7B0}"/>
    <cellStyle name="Input 2 6 4 6 4 2" xfId="47542" xr:uid="{A378B8E2-208C-4BC1-B56A-B28063EDDE7E}"/>
    <cellStyle name="Input 2 6 4 6 5" xfId="29489" xr:uid="{25B93023-0835-49BA-A7F3-6BF340994442}"/>
    <cellStyle name="Input 2 6 4 7" xfId="4748" xr:uid="{00000000-0005-0000-0000-00004C050000}"/>
    <cellStyle name="Input 2 6 4 7 2" xfId="11646" xr:uid="{5FA621A4-FDBE-4E71-9631-7833DA8D8A8A}"/>
    <cellStyle name="Input 2 6 4 7 2 2" xfId="34132" xr:uid="{35E2F1A0-B96E-4DCB-808F-978DA140FF9F}"/>
    <cellStyle name="Input 2 6 4 7 2 3" xfId="44934" xr:uid="{7D9850F5-1901-43D6-922A-53E269837DB2}"/>
    <cellStyle name="Input 2 6 4 7 3" xfId="16685" xr:uid="{73C9A6E3-1FF5-4E90-8D64-278752F6F6D1}"/>
    <cellStyle name="Input 2 6 4 7 3 2" xfId="39075" xr:uid="{4EE26FB9-FA91-4129-9217-F83A02DD2367}"/>
    <cellStyle name="Input 2 6 4 7 3 3" xfId="32257" xr:uid="{CBB3D262-9872-4EB3-A5BC-DA9BE65EE5AF}"/>
    <cellStyle name="Input 2 6 4 7 4" xfId="19240" xr:uid="{89234FE0-4B94-47A6-B058-E73D713498BB}"/>
    <cellStyle name="Input 2 6 4 7 4 2" xfId="41892" xr:uid="{3E39649E-CD43-48A8-9373-AF46F67A2D04}"/>
    <cellStyle name="Input 2 6 4 7 5" xfId="53223" xr:uid="{E7274425-3CC0-4C6C-91FA-BE49F0E0FB76}"/>
    <cellStyle name="Input 2 6 4 8" xfId="8117" xr:uid="{F59B586D-5F31-484B-9FB3-2990CA2D3215}"/>
    <cellStyle name="Input 2 6 4 8 2" xfId="30730" xr:uid="{ED3F8B9A-D8B2-48D2-84FB-9018E8F4714C}"/>
    <cellStyle name="Input 2 6 4 8 3" xfId="47574" xr:uid="{C2F7D335-DED4-440D-83D1-9C4879954765}"/>
    <cellStyle name="Input 2 6 4 9" xfId="20013" xr:uid="{246EAEE0-6DDA-4C5C-9360-2B2FDE5EA9F0}"/>
    <cellStyle name="Input 2 6 4 9 2" xfId="42338" xr:uid="{94FE524B-6E63-4A25-A1F8-071DCC1F2EAD}"/>
    <cellStyle name="Input 2 6 4 9 3" xfId="30824" xr:uid="{4C34A555-E617-48FC-9349-DBCB36108F19}"/>
    <cellStyle name="Input 2 6 5" xfId="1229" xr:uid="{00000000-0005-0000-0000-00004F050000}"/>
    <cellStyle name="Input 2 6 5 10" xfId="7820" xr:uid="{49345F7F-6FD5-489A-9063-2F755E6C5555}"/>
    <cellStyle name="Input 2 6 5 10 2" xfId="50215" xr:uid="{E95A7638-3359-4D06-8D3A-6E91409388D3}"/>
    <cellStyle name="Input 2 6 5 11" xfId="53379" xr:uid="{1CCD37BB-12EE-4D05-BBBD-D44ABCC9221E}"/>
    <cellStyle name="Input 2 6 5 2" xfId="2029" xr:uid="{00000000-0005-0000-0000-000050050000}"/>
    <cellStyle name="Input 2 6 5 2 10" xfId="14677" xr:uid="{19D736BC-3E57-4D3B-8E47-7D7189FFB5C5}"/>
    <cellStyle name="Input 2 6 5 2 10 2" xfId="37137" xr:uid="{6488F55B-C600-4D0B-AFDA-EECEEAC3E047}"/>
    <cellStyle name="Input 2 6 5 2 10 3" xfId="28183" xr:uid="{33D536D2-D1D0-407F-83BC-FDCAA83245F5}"/>
    <cellStyle name="Input 2 6 5 2 11" xfId="19948" xr:uid="{FACB6B49-9294-46F1-8499-EE180A310FDD}"/>
    <cellStyle name="Input 2 6 5 2 11 2" xfId="42278" xr:uid="{758EFA80-8D77-4209-8F90-AFBE792A7384}"/>
    <cellStyle name="Input 2 6 5 2 11 3" xfId="44095" xr:uid="{C795FAC2-8FD5-4A0A-93BC-BD22B55E09AD}"/>
    <cellStyle name="Input 2 6 5 2 12" xfId="20201" xr:uid="{0838BCDD-4F24-42A7-A457-5F93AA7BB1FA}"/>
    <cellStyle name="Input 2 6 5 2 12 2" xfId="26704" xr:uid="{E47492A0-4C3A-470E-B1EA-1B24435B884D}"/>
    <cellStyle name="Input 2 6 5 2 13" xfId="32833" xr:uid="{3F578F9A-926A-4BE6-BE6D-2C6BA563F3FE}"/>
    <cellStyle name="Input 2 6 5 2 2" xfId="4124" xr:uid="{00000000-0005-0000-0000-00004F050000}"/>
    <cellStyle name="Input 2 6 5 2 2 2" xfId="11028" xr:uid="{7260C546-FAB4-4991-9698-76C9DFD78B95}"/>
    <cellStyle name="Input 2 6 5 2 2 2 2" xfId="33514" xr:uid="{BEEE7365-BE5F-45C4-BD5F-E1877C4B3836}"/>
    <cellStyle name="Input 2 6 5 2 2 2 3" xfId="25931" xr:uid="{E9A7D9BB-83C6-4601-A6BF-4CEF50811EFB}"/>
    <cellStyle name="Input 2 6 5 2 2 3" xfId="16128" xr:uid="{E14BAB5B-E2E4-4756-8533-2F16D0C2572D}"/>
    <cellStyle name="Input 2 6 5 2 2 3 2" xfId="38528" xr:uid="{6DCC9C0A-8026-4CEE-BC2B-8A7E46E71188}"/>
    <cellStyle name="Input 2 6 5 2 2 3 3" xfId="43092" xr:uid="{1D533E16-C66F-4F88-98C9-E751F382CB9E}"/>
    <cellStyle name="Input 2 6 5 2 2 4" xfId="19489" xr:uid="{A5D200B1-16ED-4C29-9309-44E57CD09F66}"/>
    <cellStyle name="Input 2 6 5 2 2 4 2" xfId="23871" xr:uid="{7FBB9435-F995-4267-BAAC-C08E22D3B3E3}"/>
    <cellStyle name="Input 2 6 5 2 2 5" xfId="43618" xr:uid="{4FBA84CC-871E-410B-ADEE-7E5B4802BA7D}"/>
    <cellStyle name="Input 2 6 5 2 3" xfId="5470" xr:uid="{00000000-0005-0000-0000-00004F050000}"/>
    <cellStyle name="Input 2 6 5 2 3 2" xfId="12359" xr:uid="{236E23F0-6928-4B6D-9296-F0FE29EA252E}"/>
    <cellStyle name="Input 2 6 5 2 3 2 2" xfId="34844" xr:uid="{BF69F8A2-2E75-41A3-A470-CCD81030E799}"/>
    <cellStyle name="Input 2 6 5 2 3 2 3" xfId="45846" xr:uid="{12A315DF-12EF-413A-84C1-82EC7DFA12CE}"/>
    <cellStyle name="Input 2 6 5 2 3 3" xfId="17407" xr:uid="{3933AD8A-A56D-4EAA-898D-C9C42B1F1879}"/>
    <cellStyle name="Input 2 6 5 2 3 3 2" xfId="39797" xr:uid="{8F26F8CE-0897-4AA1-804B-672EB17728CE}"/>
    <cellStyle name="Input 2 6 5 2 3 3 3" xfId="43744" xr:uid="{2D7CF95F-EC53-4BAC-846E-1F669766F0BB}"/>
    <cellStyle name="Input 2 6 5 2 3 4" xfId="21831" xr:uid="{43593CD4-E8C0-47EA-BF98-029F68C51A1D}"/>
    <cellStyle name="Input 2 6 5 2 3 4 2" xfId="47575" xr:uid="{18AB3F55-37CC-4A72-A638-8D888D386A64}"/>
    <cellStyle name="Input 2 6 5 2 3 5" xfId="49022" xr:uid="{95F11BB1-8E26-44E4-BD9E-9030C10F8315}"/>
    <cellStyle name="Input 2 6 5 2 4" xfId="5893" xr:uid="{00000000-0005-0000-0000-00004F050000}"/>
    <cellStyle name="Input 2 6 5 2 4 2" xfId="12775" xr:uid="{456ECB3E-DD4E-49B8-9C34-1ECF52911E9F}"/>
    <cellStyle name="Input 2 6 5 2 4 2 2" xfId="35259" xr:uid="{520811D2-3EED-499B-A02B-27277E0A0E59}"/>
    <cellStyle name="Input 2 6 5 2 4 2 3" xfId="24524" xr:uid="{156D4BCB-19EC-4FC7-A695-C92F1A05BCD7}"/>
    <cellStyle name="Input 2 6 5 2 4 3" xfId="17830" xr:uid="{394C575F-FE0E-48F4-B4E9-19590AF6F408}"/>
    <cellStyle name="Input 2 6 5 2 4 3 2" xfId="40220" xr:uid="{F4C1421E-F14C-4DF1-B60B-F09BADEE3450}"/>
    <cellStyle name="Input 2 6 5 2 4 3 3" xfId="30808" xr:uid="{C3E2228C-6FCF-472B-BADD-D709188E1525}"/>
    <cellStyle name="Input 2 6 5 2 4 4" xfId="22254" xr:uid="{8557EF79-4881-4017-8B63-DCDD89A22E6B}"/>
    <cellStyle name="Input 2 6 5 2 4 4 2" xfId="51902" xr:uid="{2E2F596A-1821-4602-A956-3F3023EB2879}"/>
    <cellStyle name="Input 2 6 5 2 4 5" xfId="48889" xr:uid="{6C420A30-868B-4EF9-B2F1-2E5AD9CB1F38}"/>
    <cellStyle name="Input 2 6 5 2 5" xfId="6231" xr:uid="{00000000-0005-0000-0000-00004F050000}"/>
    <cellStyle name="Input 2 6 5 2 5 2" xfId="13106" xr:uid="{F12B9189-5BE9-4783-8AA9-F07ED4BBC505}"/>
    <cellStyle name="Input 2 6 5 2 5 2 2" xfId="35590" xr:uid="{00F6A933-A5F3-4649-AD90-019F1AFC2154}"/>
    <cellStyle name="Input 2 6 5 2 5 2 3" xfId="46121" xr:uid="{E5B6E614-BFF0-4E26-9309-FCD046CB7675}"/>
    <cellStyle name="Input 2 6 5 2 5 3" xfId="18168" xr:uid="{48EEE757-1EFD-4B7E-8D5B-19B2FF414260}"/>
    <cellStyle name="Input 2 6 5 2 5 3 2" xfId="40558" xr:uid="{7999EDFC-43D3-4569-8EF8-3527B126880B}"/>
    <cellStyle name="Input 2 6 5 2 5 3 3" xfId="41832" xr:uid="{04585F2E-0DFF-4979-9DF4-B302EE4648E7}"/>
    <cellStyle name="Input 2 6 5 2 5 4" xfId="22592" xr:uid="{43BFE145-95D9-4EF0-9988-177DB7BF6EE6}"/>
    <cellStyle name="Input 2 6 5 2 5 4 2" xfId="46873" xr:uid="{CC2AC3B2-8B85-4847-82C6-38C8B0FCC522}"/>
    <cellStyle name="Input 2 6 5 2 5 5" xfId="23633" xr:uid="{05B05EE4-EACB-4911-9372-C2D2C5420740}"/>
    <cellStyle name="Input 2 6 5 2 6" xfId="6597" xr:uid="{00000000-0005-0000-0000-00004F050000}"/>
    <cellStyle name="Input 2 6 5 2 6 2" xfId="13463" xr:uid="{8384F24F-49D2-4F06-84C0-19D82A6E9EE0}"/>
    <cellStyle name="Input 2 6 5 2 6 2 2" xfId="35947" xr:uid="{EEF56B7F-B668-4A79-A092-6F77026AD229}"/>
    <cellStyle name="Input 2 6 5 2 6 2 3" xfId="50148" xr:uid="{0B727F02-02E5-41BF-BDAC-DE90364D90B2}"/>
    <cellStyle name="Input 2 6 5 2 6 3" xfId="18534" xr:uid="{9E734DF5-2EAD-42A2-B40F-02BC18C81D6B}"/>
    <cellStyle name="Input 2 6 5 2 6 3 2" xfId="40924" xr:uid="{8B8968A9-39E2-47F1-A7AF-5A3A6FF00F8E}"/>
    <cellStyle name="Input 2 6 5 2 6 3 3" xfId="36775" xr:uid="{4B49E53C-6DC0-4459-BB29-FDCA394897FC}"/>
    <cellStyle name="Input 2 6 5 2 6 4" xfId="22958" xr:uid="{A0A23BE4-51E5-4FAD-BAC2-E35C02AD74F2}"/>
    <cellStyle name="Input 2 6 5 2 6 4 2" xfId="43130" xr:uid="{4C9FDBC9-DB9E-470A-A325-30C070613BD3}"/>
    <cellStyle name="Input 2 6 5 2 6 5" xfId="48834" xr:uid="{BD866B32-F6D4-4A74-83AD-539342C24A24}"/>
    <cellStyle name="Input 2 6 5 2 7" xfId="4363" xr:uid="{00000000-0005-0000-0000-00004F050000}"/>
    <cellStyle name="Input 2 6 5 2 7 2" xfId="11266" xr:uid="{20C92AA6-CF28-49EC-ACB2-6B3265D96AF8}"/>
    <cellStyle name="Input 2 6 5 2 7 2 2" xfId="33752" xr:uid="{AE92C0FA-2608-4954-8DCB-95C2794A7360}"/>
    <cellStyle name="Input 2 6 5 2 7 2 3" xfId="43247" xr:uid="{7794E50F-200C-4AE0-92A7-C0DD1C524233}"/>
    <cellStyle name="Input 2 6 5 2 7 3" xfId="16300" xr:uid="{61558548-5FDE-4206-9380-B74664FF56F4}"/>
    <cellStyle name="Input 2 6 5 2 7 3 2" xfId="38690" xr:uid="{8A87660A-F213-4637-85FA-CCEB265AE0D3}"/>
    <cellStyle name="Input 2 6 5 2 7 3 3" xfId="36796" xr:uid="{A5FBD0C0-8480-435C-BBAA-C307BBC1A831}"/>
    <cellStyle name="Input 2 6 5 2 7 4" xfId="14753" xr:uid="{A561EF43-0FFB-4F4F-A30B-18AA6770D3E2}"/>
    <cellStyle name="Input 2 6 5 2 7 4 2" xfId="50734" xr:uid="{B7F6D05F-9790-4244-9434-D3E9DA26835E}"/>
    <cellStyle name="Input 2 6 5 2 7 5" xfId="43429" xr:uid="{2C621C21-9C22-49B4-AA32-C413513EBB84}"/>
    <cellStyle name="Input 2 6 5 2 8" xfId="7067" xr:uid="{00000000-0005-0000-0000-00004F050000}"/>
    <cellStyle name="Input 2 6 5 2 8 2" xfId="13903" xr:uid="{EDFFEFB3-3833-430A-8B70-A9D836E08D51}"/>
    <cellStyle name="Input 2 6 5 2 8 2 2" xfId="36387" xr:uid="{1D6A23C7-F72F-4E9B-A9F3-42D02C44A848}"/>
    <cellStyle name="Input 2 6 5 2 8 2 3" xfId="48376" xr:uid="{B614CA5F-42DC-44A4-87B4-11ADFD47FAEC}"/>
    <cellStyle name="Input 2 6 5 2 8 3" xfId="19004" xr:uid="{6A2F6639-6F7F-4945-85BB-E270CC3363D3}"/>
    <cellStyle name="Input 2 6 5 2 8 3 2" xfId="41394" xr:uid="{F785B891-E7AB-4FF4-8A0F-C26DBE03B2CB}"/>
    <cellStyle name="Input 2 6 5 2 8 3 3" xfId="44651" xr:uid="{5891C690-A9EF-4BC1-9A26-45066EF7A7E1}"/>
    <cellStyle name="Input 2 6 5 2 8 4" xfId="23428" xr:uid="{07EBBFFB-9119-43F8-A01F-B5611712BBE8}"/>
    <cellStyle name="Input 2 6 5 2 8 4 2" xfId="50454" xr:uid="{6C77E8DA-C90F-4489-B03B-A02F9270CD7C}"/>
    <cellStyle name="Input 2 6 5 2 8 5" xfId="48410" xr:uid="{4951C784-3191-408A-91F4-966B35A7CF36}"/>
    <cellStyle name="Input 2 6 5 2 9" xfId="7182" xr:uid="{00000000-0005-0000-0000-00004F050000}"/>
    <cellStyle name="Input 2 6 5 2 9 2" xfId="19119" xr:uid="{B1297815-442A-439D-8B7A-2657CB21D3F5}"/>
    <cellStyle name="Input 2 6 5 2 9 2 2" xfId="41509" xr:uid="{BCFD6C50-20D9-425C-8D46-CD6304191344}"/>
    <cellStyle name="Input 2 6 5 2 9 2 3" xfId="28743" xr:uid="{FF7B6EFF-5F0B-456C-A80A-B47A3408A4EF}"/>
    <cellStyle name="Input 2 6 5 2 9 3" xfId="23543" xr:uid="{FC3398E7-86FC-457A-98D6-CAD19D201B50}"/>
    <cellStyle name="Input 2 6 5 2 9 3 2" xfId="46586" xr:uid="{E62111C2-7077-4960-A99E-8D6FF529DF3C}"/>
    <cellStyle name="Input 2 6 5 2 9 4" xfId="52063" xr:uid="{C7FA1543-7150-433D-AAFD-642EAAC42B17}"/>
    <cellStyle name="Input 2 6 5 3" xfId="3341" xr:uid="{00000000-0005-0000-0000-00004E050000}"/>
    <cellStyle name="Input 2 6 5 3 2" xfId="10249" xr:uid="{9F7D412B-7055-4BCA-B1E7-CE0936A90775}"/>
    <cellStyle name="Input 2 6 5 3 2 2" xfId="32743" xr:uid="{85E464A5-EB51-4E86-B8FF-4E451FBB5C63}"/>
    <cellStyle name="Input 2 6 5 3 2 3" xfId="49574" xr:uid="{6E9BFE48-8589-4730-9CBF-1B2FF32C9485}"/>
    <cellStyle name="Input 2 6 5 3 3" xfId="15567" xr:uid="{08F0EE87-E091-4C79-9894-3B87D89E2BC6}"/>
    <cellStyle name="Input 2 6 5 3 3 2" xfId="37986" xr:uid="{A347C8DC-EC1E-4C59-ADAB-FB00146AB581}"/>
    <cellStyle name="Input 2 6 5 3 3 3" xfId="49331" xr:uid="{C0A0B3C6-B490-4022-890E-726C2602CC70}"/>
    <cellStyle name="Input 2 6 5 3 4" xfId="20776" xr:uid="{DB17443B-5C7A-4890-B147-66E4A288DE24}"/>
    <cellStyle name="Input 2 6 5 3 4 2" xfId="27115" xr:uid="{C27AE6C5-B0CC-48E4-BFA0-5601ED5D9488}"/>
    <cellStyle name="Input 2 6 5 3 5" xfId="50178" xr:uid="{FB10FC98-C0F5-428F-AEBC-271C1772C389}"/>
    <cellStyle name="Input 2 6 5 4" xfId="4929" xr:uid="{00000000-0005-0000-0000-00004E050000}"/>
    <cellStyle name="Input 2 6 5 4 2" xfId="11824" xr:uid="{5D72ECCC-B3D8-40F2-ABC9-D0B7FBBEE356}"/>
    <cellStyle name="Input 2 6 5 4 2 2" xfId="34310" xr:uid="{50EDD52A-2514-479E-89E5-674C290425EA}"/>
    <cellStyle name="Input 2 6 5 4 2 3" xfId="24384" xr:uid="{2E9A5245-C414-4C1C-AB22-FC4E5F0025C2}"/>
    <cellStyle name="Input 2 6 5 4 3" xfId="16866" xr:uid="{ABD54F1E-633F-4D2F-8EBF-90F53E035CAE}"/>
    <cellStyle name="Input 2 6 5 4 3 2" xfId="39256" xr:uid="{841B1A11-249E-4F0B-8D82-8F4A71AE8417}"/>
    <cellStyle name="Input 2 6 5 4 3 3" xfId="28859" xr:uid="{867A791E-98B3-4A61-A064-D36D10F013B0}"/>
    <cellStyle name="Input 2 6 5 4 4" xfId="21290" xr:uid="{66A09C1A-5557-4AC1-BB35-B9B2E50F6144}"/>
    <cellStyle name="Input 2 6 5 4 4 2" xfId="46737" xr:uid="{B2C151D5-1972-4151-8FBA-07E925830A81}"/>
    <cellStyle name="Input 2 6 5 4 5" xfId="36532" xr:uid="{D6D41476-55D1-4467-8954-1097320145F7}"/>
    <cellStyle name="Input 2 6 5 5" xfId="5631" xr:uid="{00000000-0005-0000-0000-00004E050000}"/>
    <cellStyle name="Input 2 6 5 5 2" xfId="12515" xr:uid="{29F4B0BD-E578-4D7D-8B10-353EC40FB38C}"/>
    <cellStyle name="Input 2 6 5 5 2 2" xfId="35000" xr:uid="{5EAAE49A-1F38-461D-A0B6-51C2E415973C}"/>
    <cellStyle name="Input 2 6 5 5 2 3" xfId="44949" xr:uid="{DFE9B3EE-CC36-47DF-82C0-F6884E25CA43}"/>
    <cellStyle name="Input 2 6 5 5 3" xfId="17568" xr:uid="{C3053323-A3EC-425F-AB48-9AC904992AD6}"/>
    <cellStyle name="Input 2 6 5 5 3 2" xfId="39958" xr:uid="{330D0E0B-7E84-4E3B-A5F9-A29A002F1224}"/>
    <cellStyle name="Input 2 6 5 5 3 3" xfId="44060" xr:uid="{C27CCE45-ED50-4463-9DCC-D4BA3BF95807}"/>
    <cellStyle name="Input 2 6 5 5 4" xfId="21992" xr:uid="{A130434D-2C6B-45F2-880D-33C3455508F9}"/>
    <cellStyle name="Input 2 6 5 5 4 2" xfId="53582" xr:uid="{1BB1993C-CC44-4E24-9F4A-56DD2575535F}"/>
    <cellStyle name="Input 2 6 5 5 5" xfId="52370" xr:uid="{DEA111DD-862D-4437-8175-F9E39A4BB469}"/>
    <cellStyle name="Input 2 6 5 6" xfId="2395" xr:uid="{00000000-0005-0000-0000-00004E050000}"/>
    <cellStyle name="Input 2 6 5 6 2" xfId="9304" xr:uid="{3C7C6237-61AD-4837-9A4E-CDD4451F7F65}"/>
    <cellStyle name="Input 2 6 5 6 2 2" xfId="31879" xr:uid="{D1FE7DFB-C0B3-4D3E-93AD-4B6BBB87DDAE}"/>
    <cellStyle name="Input 2 6 5 6 2 3" xfId="32508" xr:uid="{65732803-C998-4167-9B7C-D50A7386812A}"/>
    <cellStyle name="Input 2 6 5 6 3" xfId="14943" xr:uid="{27531D64-8629-4C74-B1C6-F5CDDB46DFBC}"/>
    <cellStyle name="Input 2 6 5 6 3 2" xfId="37397" xr:uid="{CF06872E-77C0-4A3F-AF39-6D96EA6C7894}"/>
    <cellStyle name="Input 2 6 5 6 3 3" xfId="52738" xr:uid="{6AA29059-C203-450A-91F1-A32EA8E23AE1}"/>
    <cellStyle name="Input 2 6 5 6 4" xfId="19982" xr:uid="{DD6DF1F1-29F6-4340-873B-850435D406A0}"/>
    <cellStyle name="Input 2 6 5 6 4 2" xfId="24116" xr:uid="{613EF786-1A0F-4EAE-A777-361D79A19058}"/>
    <cellStyle name="Input 2 6 5 6 5" xfId="53407" xr:uid="{5AD422DF-6254-4585-9688-5F534E22B986}"/>
    <cellStyle name="Input 2 6 5 7" xfId="6873" xr:uid="{00000000-0005-0000-0000-00004E050000}"/>
    <cellStyle name="Input 2 6 5 7 2" xfId="13714" xr:uid="{3F268A78-789B-4C89-B3C6-8CA973290836}"/>
    <cellStyle name="Input 2 6 5 7 2 2" xfId="36198" xr:uid="{EC7B4A12-F457-4667-8854-48ADE08C0D41}"/>
    <cellStyle name="Input 2 6 5 7 2 3" xfId="51828" xr:uid="{82AE3A06-22B2-4D3F-A359-90F674799D08}"/>
    <cellStyle name="Input 2 6 5 7 3" xfId="18810" xr:uid="{830C76B0-C2FE-4FBF-BD2C-CB27B89A3318}"/>
    <cellStyle name="Input 2 6 5 7 3 2" xfId="41200" xr:uid="{CF11ABC3-FA75-4568-8081-BAD1FCE40564}"/>
    <cellStyle name="Input 2 6 5 7 3 3" xfId="30690" xr:uid="{58DCC4E2-B13B-4FD3-B782-EBA83482E6E3}"/>
    <cellStyle name="Input 2 6 5 7 4" xfId="23234" xr:uid="{5BF4F049-4770-497E-AC44-1C3887546379}"/>
    <cellStyle name="Input 2 6 5 7 4 2" xfId="44677" xr:uid="{0D7F2CE3-664B-47BC-BC12-25DB4A5795AA}"/>
    <cellStyle name="Input 2 6 5 7 5" xfId="45371" xr:uid="{3C56A330-4DC4-4C7E-A091-EBE0CD47587E}"/>
    <cellStyle name="Input 2 6 5 8" xfId="14104" xr:uid="{4221175A-2F42-4EAF-92F0-F6C3EDAB63E0}"/>
    <cellStyle name="Input 2 6 5 8 2" xfId="36582" xr:uid="{B74F15F7-F786-45E3-8CB0-5ED99FADFAD7}"/>
    <cellStyle name="Input 2 6 5 8 3" xfId="50706" xr:uid="{06DF132F-C078-4E90-B5F2-21AB0F333B7F}"/>
    <cellStyle name="Input 2 6 5 9" xfId="21171" xr:uid="{32E116E5-91A0-4BF4-ACDE-734A39DD0CCC}"/>
    <cellStyle name="Input 2 6 5 9 2" xfId="43412" xr:uid="{4F934DE5-DD5D-4C7C-B48C-E3472E4A2E65}"/>
    <cellStyle name="Input 2 6 5 9 3" xfId="50495" xr:uid="{86A428AF-EBEE-4225-A60D-21088E7997C9}"/>
    <cellStyle name="Input 2 6 6" xfId="1391" xr:uid="{00000000-0005-0000-0000-000051050000}"/>
    <cellStyle name="Input 2 6 6 10" xfId="14010" xr:uid="{5BB85CCE-9CB8-47A2-ADBE-CCC1CFE9840B}"/>
    <cellStyle name="Input 2 6 6 10 2" xfId="31401" xr:uid="{E9FBF265-05A9-4AC9-96FE-4BBE31C5B329}"/>
    <cellStyle name="Input 2 6 6 11" xfId="27712" xr:uid="{4B05C91D-83F8-43B1-846D-F0FAE713FF50}"/>
    <cellStyle name="Input 2 6 6 2" xfId="2120" xr:uid="{00000000-0005-0000-0000-000052050000}"/>
    <cellStyle name="Input 2 6 6 2 10" xfId="14749" xr:uid="{2244586F-012A-42A0-8F9D-F5582D274695}"/>
    <cellStyle name="Input 2 6 6 2 10 2" xfId="37207" xr:uid="{BB9299BE-73BB-43F1-8B9F-FBA77F94C42B}"/>
    <cellStyle name="Input 2 6 6 2 10 3" xfId="50557" xr:uid="{9ACD113D-5801-4DD7-B1CD-670301AD1DD7}"/>
    <cellStyle name="Input 2 6 6 2 11" xfId="20778" xr:uid="{88C5F8F1-B51C-4BC4-9FE0-17DB0E065596}"/>
    <cellStyle name="Input 2 6 6 2 11 2" xfId="43046" xr:uid="{A1416EC9-B131-456F-80DD-F6D5493B8DB1}"/>
    <cellStyle name="Input 2 6 6 2 11 3" xfId="28245" xr:uid="{005B026B-6855-4ADE-983F-33C16AA4F000}"/>
    <cellStyle name="Input 2 6 6 2 12" xfId="14380" xr:uid="{C6A50F80-2314-46FA-ADC8-2D6C51133AA1}"/>
    <cellStyle name="Input 2 6 6 2 12 2" xfId="49585" xr:uid="{2DAC9EE1-3247-4478-8B3E-49620586B468}"/>
    <cellStyle name="Input 2 6 6 2 13" xfId="46789" xr:uid="{392D08C6-D755-4B5F-953C-B17C758AF7EC}"/>
    <cellStyle name="Input 2 6 6 2 2" xfId="4213" xr:uid="{00000000-0005-0000-0000-000051050000}"/>
    <cellStyle name="Input 2 6 6 2 2 2" xfId="11117" xr:uid="{D6293AA5-3465-4DEB-A175-1188FF01B585}"/>
    <cellStyle name="Input 2 6 6 2 2 2 2" xfId="33603" xr:uid="{883ED0B4-BF57-44A0-8211-E68E8D6DFEDA}"/>
    <cellStyle name="Input 2 6 6 2 2 2 3" xfId="45502" xr:uid="{B58DD827-C660-4694-BA15-6E137C703F88}"/>
    <cellStyle name="Input 2 6 6 2 2 3" xfId="16206" xr:uid="{F6C0D4A1-901A-4BD6-961D-A2965552055C}"/>
    <cellStyle name="Input 2 6 6 2 2 3 2" xfId="38605" xr:uid="{46389F72-5661-4B5A-830C-FBCDF36CFD83}"/>
    <cellStyle name="Input 2 6 6 2 2 3 3" xfId="26547" xr:uid="{AE179B88-6305-4503-AA54-04A006878273}"/>
    <cellStyle name="Input 2 6 6 2 2 4" xfId="14768" xr:uid="{FF4D9843-9C1A-4152-AD32-314BF60978CB}"/>
    <cellStyle name="Input 2 6 6 2 2 4 2" xfId="52019" xr:uid="{05BC806D-CCEF-4E5D-AC9B-EB9C1BB2802C}"/>
    <cellStyle name="Input 2 6 6 2 2 5" xfId="46363" xr:uid="{E2E26FB5-6082-4CF0-B550-7E29DFC7B3A7}"/>
    <cellStyle name="Input 2 6 6 2 3" xfId="5539" xr:uid="{00000000-0005-0000-0000-000051050000}"/>
    <cellStyle name="Input 2 6 6 2 3 2" xfId="12428" xr:uid="{9A9800E2-6887-407A-AA42-06D3A622493E}"/>
    <cellStyle name="Input 2 6 6 2 3 2 2" xfId="34913" xr:uid="{5531B292-4FDA-443A-BD3B-8D14390358E4}"/>
    <cellStyle name="Input 2 6 6 2 3 2 3" xfId="45289" xr:uid="{58D7BE09-E2D7-49EF-A194-2ED3046FF313}"/>
    <cellStyle name="Input 2 6 6 2 3 3" xfId="17476" xr:uid="{CE2C2790-264E-4D80-9610-DF6287E0A984}"/>
    <cellStyle name="Input 2 6 6 2 3 3 2" xfId="39866" xr:uid="{21607785-5458-40DB-8037-A7F3B8C2C31A}"/>
    <cellStyle name="Input 2 6 6 2 3 3 3" xfId="44775" xr:uid="{D64D555C-6B86-4476-B282-A37095AC101C}"/>
    <cellStyle name="Input 2 6 6 2 3 4" xfId="21900" xr:uid="{5D12A1A0-4812-41F8-B352-33E42276349F}"/>
    <cellStyle name="Input 2 6 6 2 3 4 2" xfId="23791" xr:uid="{1881B451-3EEB-4031-BF8F-B45463195BBD}"/>
    <cellStyle name="Input 2 6 6 2 3 5" xfId="44127" xr:uid="{9F263069-C06F-4CA9-BC2F-F57E78F04184}"/>
    <cellStyle name="Input 2 6 6 2 4" xfId="5961" xr:uid="{00000000-0005-0000-0000-000051050000}"/>
    <cellStyle name="Input 2 6 6 2 4 2" xfId="12842" xr:uid="{AC4B2E35-0BB2-40E5-87F5-26E28FC0F950}"/>
    <cellStyle name="Input 2 6 6 2 4 2 2" xfId="35326" xr:uid="{0DF90C3C-45C4-4BE0-BBF5-6C1E858587E2}"/>
    <cellStyle name="Input 2 6 6 2 4 2 3" xfId="49675" xr:uid="{3D9B2912-BFD7-400B-B194-F6CD097AF27A}"/>
    <cellStyle name="Input 2 6 6 2 4 3" xfId="17898" xr:uid="{B92A85F8-93CB-40A6-B951-F961E7C3A601}"/>
    <cellStyle name="Input 2 6 6 2 4 3 2" xfId="40288" xr:uid="{C20BCFE7-9AB6-4918-B206-DEC69DE84DFE}"/>
    <cellStyle name="Input 2 6 6 2 4 3 3" xfId="26066" xr:uid="{A1A88B66-5450-48C5-9EFB-8115698BA014}"/>
    <cellStyle name="Input 2 6 6 2 4 4" xfId="22322" xr:uid="{99C23639-7E07-44CC-B6AA-27EE0169D0FD}"/>
    <cellStyle name="Input 2 6 6 2 4 4 2" xfId="37629" xr:uid="{FEFDFA3B-0E01-4B86-9F9B-6240FC753DBF}"/>
    <cellStyle name="Input 2 6 6 2 4 5" xfId="23921" xr:uid="{46B47E43-2466-4921-96C2-87A7A7F7BDBB}"/>
    <cellStyle name="Input 2 6 6 2 5" xfId="6301" xr:uid="{00000000-0005-0000-0000-000051050000}"/>
    <cellStyle name="Input 2 6 6 2 5 2" xfId="13173" xr:uid="{C8FCE111-27B1-4674-AC69-04C8D7B12328}"/>
    <cellStyle name="Input 2 6 6 2 5 2 2" xfId="35657" xr:uid="{4447D4DC-EEA1-4984-870C-3161D8948708}"/>
    <cellStyle name="Input 2 6 6 2 5 2 3" xfId="52746" xr:uid="{8CB15FBD-88CA-4841-ADD1-96F9C33EA7E5}"/>
    <cellStyle name="Input 2 6 6 2 5 3" xfId="18238" xr:uid="{F0211954-B3D5-4785-98FA-698A58A83F61}"/>
    <cellStyle name="Input 2 6 6 2 5 3 2" xfId="40628" xr:uid="{D7BCFFB1-E13E-4427-B501-6985CBB16717}"/>
    <cellStyle name="Input 2 6 6 2 5 3 3" xfId="44459" xr:uid="{33AF2F85-502D-46E0-8984-2BC099745BDB}"/>
    <cellStyle name="Input 2 6 6 2 5 4" xfId="22662" xr:uid="{12B728C1-3EE5-4541-B266-A521CD50A8C0}"/>
    <cellStyle name="Input 2 6 6 2 5 4 2" xfId="48532" xr:uid="{115FB39A-8747-41B4-AB2F-631C90525CC1}"/>
    <cellStyle name="Input 2 6 6 2 5 5" xfId="51601" xr:uid="{27BCE262-7A9C-4EA7-BF85-1F76471302BA}"/>
    <cellStyle name="Input 2 6 6 2 6" xfId="6656" xr:uid="{00000000-0005-0000-0000-000051050000}"/>
    <cellStyle name="Input 2 6 6 2 6 2" xfId="13522" xr:uid="{5F0E4C3B-2984-4C0C-BB26-D20F8BE637C6}"/>
    <cellStyle name="Input 2 6 6 2 6 2 2" xfId="36006" xr:uid="{AAAAE3DB-5415-4862-8084-A672CCFD568F}"/>
    <cellStyle name="Input 2 6 6 2 6 2 3" xfId="43611" xr:uid="{D1F5C9F0-3787-435B-8D21-FD1CCB017B4D}"/>
    <cellStyle name="Input 2 6 6 2 6 3" xfId="18593" xr:uid="{5F75FBB7-651F-4C0E-A6F8-967767523B6B}"/>
    <cellStyle name="Input 2 6 6 2 6 3 2" xfId="40983" xr:uid="{6268CEEF-9246-4596-960E-0406CC857614}"/>
    <cellStyle name="Input 2 6 6 2 6 3 3" xfId="30772" xr:uid="{55630481-FE6A-4E86-9B77-F33CD8E1BD02}"/>
    <cellStyle name="Input 2 6 6 2 6 4" xfId="23017" xr:uid="{C05323EE-2CDC-4CA3-9AE0-A5E3EE148A31}"/>
    <cellStyle name="Input 2 6 6 2 6 4 2" xfId="42801" xr:uid="{BFB262AE-46F5-42DF-B51F-698F657131C3}"/>
    <cellStyle name="Input 2 6 6 2 6 5" xfId="46863" xr:uid="{27F8FCF4-F966-4DA2-8001-F9A7D43971FE}"/>
    <cellStyle name="Input 2 6 6 2 7" xfId="4368" xr:uid="{00000000-0005-0000-0000-000051050000}"/>
    <cellStyle name="Input 2 6 6 2 7 2" xfId="11271" xr:uid="{E452F441-7B29-427B-9480-B4C1D7D5FBEE}"/>
    <cellStyle name="Input 2 6 6 2 7 2 2" xfId="33757" xr:uid="{52422C79-8496-43E4-82EC-61272B71F278}"/>
    <cellStyle name="Input 2 6 6 2 7 2 3" xfId="30779" xr:uid="{C6693BC3-0823-4323-A8AA-8E93C945E332}"/>
    <cellStyle name="Input 2 6 6 2 7 3" xfId="16305" xr:uid="{D0858F46-BF72-4664-8CDF-9422C5711A42}"/>
    <cellStyle name="Input 2 6 6 2 7 3 2" xfId="38695" xr:uid="{FC578D2A-642D-424E-9CA9-5965583F4539}"/>
    <cellStyle name="Input 2 6 6 2 7 3 3" xfId="42028" xr:uid="{27433B11-BA6F-44F8-9649-2F19384D019D}"/>
    <cellStyle name="Input 2 6 6 2 7 4" xfId="20763" xr:uid="{A08E8C85-127F-4578-92EF-F683FB3DB670}"/>
    <cellStyle name="Input 2 6 6 2 7 4 2" xfId="46944" xr:uid="{3F3FFD47-7C68-4829-9DE6-98BA429B6152}"/>
    <cellStyle name="Input 2 6 6 2 7 5" xfId="53985" xr:uid="{92E580E9-37AE-413B-BA59-8D917761B370}"/>
    <cellStyle name="Input 2 6 6 2 8" xfId="7111" xr:uid="{00000000-0005-0000-0000-000051050000}"/>
    <cellStyle name="Input 2 6 6 2 8 2" xfId="13947" xr:uid="{A341FBB7-B63E-4742-93DA-6278AC293E98}"/>
    <cellStyle name="Input 2 6 6 2 8 2 2" xfId="36431" xr:uid="{844FB379-9DF3-4853-93C3-4245213D0927}"/>
    <cellStyle name="Input 2 6 6 2 8 2 3" xfId="52244" xr:uid="{0A558167-11D4-4FD0-B7C3-C4B5BAE4EDF6}"/>
    <cellStyle name="Input 2 6 6 2 8 3" xfId="19048" xr:uid="{B48C5C8A-42D2-49C9-9CA0-4368CD115E05}"/>
    <cellStyle name="Input 2 6 6 2 8 3 2" xfId="41438" xr:uid="{CE4538B7-A743-4B88-A1AC-A39D6666E987}"/>
    <cellStyle name="Input 2 6 6 2 8 3 3" xfId="43741" xr:uid="{1E9B96A1-BA1A-43D1-BD26-822430F265CB}"/>
    <cellStyle name="Input 2 6 6 2 8 4" xfId="23472" xr:uid="{22E0A922-821C-4466-B2BC-7DB43C527EE7}"/>
    <cellStyle name="Input 2 6 6 2 8 4 2" xfId="49770" xr:uid="{AA946AB4-7EF3-4BEC-8F35-C38ABC8FFE95}"/>
    <cellStyle name="Input 2 6 6 2 8 5" xfId="50976" xr:uid="{CCFF36F6-4403-4820-8D35-54D73B1D6340}"/>
    <cellStyle name="Input 2 6 6 2 9" xfId="7226" xr:uid="{00000000-0005-0000-0000-000051050000}"/>
    <cellStyle name="Input 2 6 6 2 9 2" xfId="19163" xr:uid="{C2DA5F6A-CB7D-4779-B0ED-8502DEAA8FAB}"/>
    <cellStyle name="Input 2 6 6 2 9 2 2" xfId="41553" xr:uid="{B00C2ABC-869D-4DA4-955F-5D0356D384B1}"/>
    <cellStyle name="Input 2 6 6 2 9 2 3" xfId="30157" xr:uid="{8F3C0C2B-5DDF-4ABE-B5A5-B9AABC8037E7}"/>
    <cellStyle name="Input 2 6 6 2 9 3" xfId="23587" xr:uid="{973D6089-A1B6-4454-9910-9D0C51CCABCB}"/>
    <cellStyle name="Input 2 6 6 2 9 3 2" xfId="44417" xr:uid="{C52AA0B3-22FE-452F-9571-F04642AF01F1}"/>
    <cellStyle name="Input 2 6 6 2 9 4" xfId="48494" xr:uid="{B38D0C8A-16AD-45CD-B1AF-2DAAF0078402}"/>
    <cellStyle name="Input 2 6 6 3" xfId="3493" xr:uid="{00000000-0005-0000-0000-000050050000}"/>
    <cellStyle name="Input 2 6 6 3 2" xfId="10400" xr:uid="{1EB3085F-9BAC-4457-81CE-90A46FA9B9BD}"/>
    <cellStyle name="Input 2 6 6 3 2 2" xfId="32887" xr:uid="{CA3600C9-A192-4392-96AC-392ACA1B24FF}"/>
    <cellStyle name="Input 2 6 6 3 2 3" xfId="32264" xr:uid="{7652DD2E-8A4C-4878-8AA0-290D10743D5E}"/>
    <cellStyle name="Input 2 6 6 3 3" xfId="15671" xr:uid="{6988CE67-5246-4FB7-9280-1A14C7D5C8D3}"/>
    <cellStyle name="Input 2 6 6 3 3 2" xfId="38087" xr:uid="{E944EC51-42D0-4910-B97F-263D4BF80890}"/>
    <cellStyle name="Input 2 6 6 3 3 3" xfId="48909" xr:uid="{FE9138C5-243B-4A7B-B380-0891C82119CB}"/>
    <cellStyle name="Input 2 6 6 3 4" xfId="20552" xr:uid="{3E98CB63-1415-4030-A14F-B22CE53A6CD4}"/>
    <cellStyle name="Input 2 6 6 3 4 2" xfId="25911" xr:uid="{E1795E30-76B1-4BDA-93D3-CFD49F96BC56}"/>
    <cellStyle name="Input 2 6 6 3 5" xfId="46496" xr:uid="{FCD0E55F-940D-4228-BC62-9D228E40C817}"/>
    <cellStyle name="Input 2 6 6 4" xfId="5028" xr:uid="{00000000-0005-0000-0000-000050050000}"/>
    <cellStyle name="Input 2 6 6 4 2" xfId="11922" xr:uid="{7DC73C1C-D57D-4EA4-97EC-74C489407E8B}"/>
    <cellStyle name="Input 2 6 6 4 2 2" xfId="34408" xr:uid="{AC121368-CB30-45D2-9965-9F7B1A9AE6FC}"/>
    <cellStyle name="Input 2 6 6 4 2 3" xfId="42119" xr:uid="{67C94B3F-FE42-46DD-8FEA-2B9DBB8FD9F0}"/>
    <cellStyle name="Input 2 6 6 4 3" xfId="16965" xr:uid="{2D067E5E-AD19-4F74-AB0F-5D5A2F35C1FE}"/>
    <cellStyle name="Input 2 6 6 4 3 2" xfId="39355" xr:uid="{39B74EC8-5EAF-45DB-B5E6-901A7C0780D2}"/>
    <cellStyle name="Input 2 6 6 4 3 3" xfId="26318" xr:uid="{404CD6E4-8688-444C-8562-ABE34984C180}"/>
    <cellStyle name="Input 2 6 6 4 4" xfId="21389" xr:uid="{329B2FFA-4D5F-4BEF-A076-A2659BB4B2D9}"/>
    <cellStyle name="Input 2 6 6 4 4 2" xfId="42582" xr:uid="{917F2F11-AA8C-4B1C-9484-6F5E9D24E6B3}"/>
    <cellStyle name="Input 2 6 6 4 5" xfId="52701" xr:uid="{B0C1DB83-0364-4C8F-85CC-B565E6424678}"/>
    <cellStyle name="Input 2 6 6 5" xfId="3455" xr:uid="{00000000-0005-0000-0000-000050050000}"/>
    <cellStyle name="Input 2 6 6 5 2" xfId="10363" xr:uid="{3E8875D1-F7D1-4356-82C1-B3D60FD0A63B}"/>
    <cellStyle name="Input 2 6 6 5 2 2" xfId="32850" xr:uid="{E17F2869-C2C9-4F2B-9E36-E82CA0D60F36}"/>
    <cellStyle name="Input 2 6 6 5 2 3" xfId="50466" xr:uid="{758CF99D-9272-4BFF-AB2A-C71D535801D4}"/>
    <cellStyle name="Input 2 6 6 5 3" xfId="15633" xr:uid="{FC514A5D-DE1B-4D3D-898E-241D507744FF}"/>
    <cellStyle name="Input 2 6 6 5 3 2" xfId="38049" xr:uid="{2B28080B-7117-49CA-BE58-6D6A3AE637A6}"/>
    <cellStyle name="Input 2 6 6 5 3 3" xfId="29882" xr:uid="{9FD6A375-2023-4AFF-9D73-1DD515428A20}"/>
    <cellStyle name="Input 2 6 6 5 4" xfId="14950" xr:uid="{60EDBE34-A419-4233-A2DF-4404F3375C8D}"/>
    <cellStyle name="Input 2 6 6 5 4 2" xfId="28493" xr:uid="{0CE3827F-DAE6-45C8-A0E2-C8558222A28A}"/>
    <cellStyle name="Input 2 6 6 5 5" xfId="53149" xr:uid="{E64225F2-7FDB-4BC9-9330-8B1FE13A7D50}"/>
    <cellStyle name="Input 2 6 6 6" xfId="5676" xr:uid="{00000000-0005-0000-0000-000050050000}"/>
    <cellStyle name="Input 2 6 6 6 2" xfId="12560" xr:uid="{54ADD719-73B5-4093-A06E-7D465740D3A9}"/>
    <cellStyle name="Input 2 6 6 6 2 2" xfId="35045" xr:uid="{C913542B-707A-4097-9CE4-E6756B02ED51}"/>
    <cellStyle name="Input 2 6 6 6 2 3" xfId="26360" xr:uid="{1A61F1B4-8555-4E1D-BF94-AD402C4248A9}"/>
    <cellStyle name="Input 2 6 6 6 3" xfId="17613" xr:uid="{8155373A-0F8E-4CC9-B35B-92A50E5B17D6}"/>
    <cellStyle name="Input 2 6 6 6 3 2" xfId="40003" xr:uid="{ADA6E4F0-6751-4399-B365-25E40E036501}"/>
    <cellStyle name="Input 2 6 6 6 3 3" xfId="43585" xr:uid="{7F59BF2D-7228-48DC-819C-B5303A027692}"/>
    <cellStyle name="Input 2 6 6 6 4" xfId="22037" xr:uid="{25B8D704-8ED0-4B76-BACE-0789C31AF94B}"/>
    <cellStyle name="Input 2 6 6 6 4 2" xfId="44700" xr:uid="{1FDBFA9B-DB31-463D-B066-A4D7A5407032}"/>
    <cellStyle name="Input 2 6 6 6 5" xfId="50723" xr:uid="{1AEE1A71-C523-4E28-BBFE-20B71CBB3088}"/>
    <cellStyle name="Input 2 6 6 7" xfId="4605" xr:uid="{00000000-0005-0000-0000-000050050000}"/>
    <cellStyle name="Input 2 6 6 7 2" xfId="11506" xr:uid="{711B77DA-5706-4BC2-AD69-16C32E351728}"/>
    <cellStyle name="Input 2 6 6 7 2 2" xfId="33992" xr:uid="{796139A9-96DE-46D5-94C5-818839646B6E}"/>
    <cellStyle name="Input 2 6 6 7 2 3" xfId="28405" xr:uid="{F970C5D8-F5F0-4C28-86E0-983855841958}"/>
    <cellStyle name="Input 2 6 6 7 3" xfId="16542" xr:uid="{A28E124A-84EC-4C93-B553-830DD963DD74}"/>
    <cellStyle name="Input 2 6 6 7 3 2" xfId="38932" xr:uid="{77411FC1-0791-4703-A2D7-3AC6EAE8E256}"/>
    <cellStyle name="Input 2 6 6 7 3 3" xfId="27544" xr:uid="{4AEDF231-B10C-4568-AE78-1B14016EACEF}"/>
    <cellStyle name="Input 2 6 6 7 4" xfId="20179" xr:uid="{42351B46-ED19-4115-9563-3FA5680CB585}"/>
    <cellStyle name="Input 2 6 6 7 4 2" xfId="28880" xr:uid="{C174E7E6-6663-4AAE-A0FF-F7BD9850052D}"/>
    <cellStyle name="Input 2 6 6 7 5" xfId="27280" xr:uid="{14F77552-AAE7-402C-B986-6AB2CC615E34}"/>
    <cellStyle name="Input 2 6 6 8" xfId="14210" xr:uid="{0A1356FB-DAF0-4258-BC3E-FEB3809FE7C6}"/>
    <cellStyle name="Input 2 6 6 8 2" xfId="36685" xr:uid="{185FCA6A-AE39-46FA-8E35-0198F3141F48}"/>
    <cellStyle name="Input 2 6 6 8 3" xfId="29045" xr:uid="{6462AA8C-1115-44AF-9144-8D34006329F0}"/>
    <cellStyle name="Input 2 6 6 9" xfId="20160" xr:uid="{2E9CBBAC-AC11-4570-B134-9499F3533177}"/>
    <cellStyle name="Input 2 6 6 9 2" xfId="42471" xr:uid="{780226D8-8762-4F89-83E1-E3AB6A0BEC14}"/>
    <cellStyle name="Input 2 6 6 9 3" xfId="45461" xr:uid="{D413717F-BC7D-471E-95FB-A61C929D40AB}"/>
    <cellStyle name="Input 2 6 7" xfId="1663" xr:uid="{00000000-0005-0000-0000-000053050000}"/>
    <cellStyle name="Input 2 6 7 10" xfId="14377" xr:uid="{53877557-B97D-45E4-A01E-4E3190D1E4B1}"/>
    <cellStyle name="Input 2 6 7 10 2" xfId="36845" xr:uid="{6BC9CABB-7466-4287-B661-E252EFFC8118}"/>
    <cellStyle name="Input 2 6 7 10 3" xfId="46414" xr:uid="{BBF4C778-3A9A-49CB-A5AC-313C2CB89952}"/>
    <cellStyle name="Input 2 6 7 11" xfId="20712" xr:uid="{2327A483-9241-4B63-815B-2151A0201FAD}"/>
    <cellStyle name="Input 2 6 7 11 2" xfId="42983" xr:uid="{AD6161B6-36D3-470F-A2D0-431332202593}"/>
    <cellStyle name="Input 2 6 7 11 3" xfId="45783" xr:uid="{96E5CAEF-6D30-418E-9BC8-C219265AEE9B}"/>
    <cellStyle name="Input 2 6 7 12" xfId="15200" xr:uid="{55BF00B5-9D6E-409E-BE84-8E09A052E08F}"/>
    <cellStyle name="Input 2 6 7 12 2" xfId="45231" xr:uid="{720858CB-BF22-4A4E-8B21-3E2B28B5EA5A}"/>
    <cellStyle name="Input 2 6 7 13" xfId="50882" xr:uid="{F0A17B48-CBF3-4AE6-B63D-3ABCF3064CC6}"/>
    <cellStyle name="Input 2 6 7 2" xfId="3761" xr:uid="{00000000-0005-0000-0000-000052050000}"/>
    <cellStyle name="Input 2 6 7 2 2" xfId="10665" xr:uid="{A38B6593-3F03-4A9E-A091-2366A68F6D12}"/>
    <cellStyle name="Input 2 6 7 2 2 2" xfId="33151" xr:uid="{25ED49CC-F188-4F64-9D83-D0277ED1EE79}"/>
    <cellStyle name="Input 2 6 7 2 2 3" xfId="47060" xr:uid="{17BBF9D7-2444-4DF2-9C25-32AC092561F3}"/>
    <cellStyle name="Input 2 6 7 2 3" xfId="15842" xr:uid="{CFAA5F18-61D4-409C-AFFD-40FA6C75A04E}"/>
    <cellStyle name="Input 2 6 7 2 3 2" xfId="38250" xr:uid="{2EC78813-5B69-4485-9F51-1F8CC8798459}"/>
    <cellStyle name="Input 2 6 7 2 3 3" xfId="50019" xr:uid="{D55314E8-FE58-44F8-BB55-8063C1ECFF4B}"/>
    <cellStyle name="Input 2 6 7 2 4" xfId="20697" xr:uid="{A2C56F08-A080-48E7-99B4-24F4FA1C6A32}"/>
    <cellStyle name="Input 2 6 7 2 4 2" xfId="26117" xr:uid="{53ABFC90-1907-4AD6-AEE2-BD6D6406991F}"/>
    <cellStyle name="Input 2 6 7 2 5" xfId="43881" xr:uid="{AA118601-5817-429D-B7C7-2C03C3D96F3D}"/>
    <cellStyle name="Input 2 6 7 3" xfId="5196" xr:uid="{00000000-0005-0000-0000-000052050000}"/>
    <cellStyle name="Input 2 6 7 3 2" xfId="12089" xr:uid="{ACA42CC4-C226-4EB4-A939-9F061B98BAFF}"/>
    <cellStyle name="Input 2 6 7 3 2 2" xfId="34575" xr:uid="{EBF329EF-E553-427F-BABE-21675C397F29}"/>
    <cellStyle name="Input 2 6 7 3 2 3" xfId="29139" xr:uid="{465C8EF6-AD8C-4DAD-8CFF-47B3A67DCAAC}"/>
    <cellStyle name="Input 2 6 7 3 3" xfId="17133" xr:uid="{1064CD33-6F0F-450C-93FC-BA2A8059429D}"/>
    <cellStyle name="Input 2 6 7 3 3 2" xfId="39523" xr:uid="{CCF38F15-8F7E-4762-9B8D-29FD63899EAC}"/>
    <cellStyle name="Input 2 6 7 3 3 3" xfId="29204" xr:uid="{DEC02D95-79C6-4164-99EE-43852B1074F3}"/>
    <cellStyle name="Input 2 6 7 3 4" xfId="21557" xr:uid="{563D1868-7707-4482-9DBE-EA3A1385AD29}"/>
    <cellStyle name="Input 2 6 7 3 4 2" xfId="48362" xr:uid="{CD111187-D04A-4DA7-A3FB-75841EB3AB69}"/>
    <cellStyle name="Input 2 6 7 3 5" xfId="52016" xr:uid="{A02AB93C-80C1-4C40-A709-E90B51CD26E6}"/>
    <cellStyle name="Input 2 6 7 4" xfId="5546" xr:uid="{00000000-0005-0000-0000-000052050000}"/>
    <cellStyle name="Input 2 6 7 4 2" xfId="12434" xr:uid="{B60D04C8-0BAD-4493-A1C6-D9FBF572F917}"/>
    <cellStyle name="Input 2 6 7 4 2 2" xfId="34919" xr:uid="{A28798D2-F080-4459-9B5F-75F713846205}"/>
    <cellStyle name="Input 2 6 7 4 2 3" xfId="42513" xr:uid="{DC386F61-5BB7-4BD0-BA4C-CFFCCDD14660}"/>
    <cellStyle name="Input 2 6 7 4 3" xfId="17483" xr:uid="{3B4F52C6-C350-4680-AD55-C5B4D5238276}"/>
    <cellStyle name="Input 2 6 7 4 3 2" xfId="39873" xr:uid="{362BB542-5C3A-4FE2-97C6-AE30327D10A9}"/>
    <cellStyle name="Input 2 6 7 4 3 3" xfId="44720" xr:uid="{DAC4839B-F255-4AB7-B627-396DF2DE142B}"/>
    <cellStyle name="Input 2 6 7 4 4" xfId="21907" xr:uid="{7AABDEB6-021B-4411-81D4-4E92E4EC1ED6}"/>
    <cellStyle name="Input 2 6 7 4 4 2" xfId="49315" xr:uid="{FBD3925F-598D-4EE3-95C6-0C992DED112E}"/>
    <cellStyle name="Input 2 6 7 4 5" xfId="48896" xr:uid="{AFCDEFC4-8095-4406-B282-61748EEFF4AE}"/>
    <cellStyle name="Input 2 6 7 5" xfId="5100" xr:uid="{00000000-0005-0000-0000-000052050000}"/>
    <cellStyle name="Input 2 6 7 5 2" xfId="11993" xr:uid="{73CC3DBF-ECFB-4769-9F99-72610174C349}"/>
    <cellStyle name="Input 2 6 7 5 2 2" xfId="34479" xr:uid="{3EDE9EE2-F93C-4470-B429-D3BB4243D845}"/>
    <cellStyle name="Input 2 6 7 5 2 3" xfId="44828" xr:uid="{090B7925-AF8F-4FCD-A6B0-AE3F4B5FED7C}"/>
    <cellStyle name="Input 2 6 7 5 3" xfId="17037" xr:uid="{A86C55BD-6A56-4843-82A5-B331935FAA3D}"/>
    <cellStyle name="Input 2 6 7 5 3 2" xfId="39427" xr:uid="{D6A58731-7836-4B59-B1D8-F5BCA85B538F}"/>
    <cellStyle name="Input 2 6 7 5 3 3" xfId="30853" xr:uid="{B929B1A6-F86E-472C-B371-539FAE28B51D}"/>
    <cellStyle name="Input 2 6 7 5 4" xfId="21461" xr:uid="{903C0AAC-F0D0-4137-A0EF-D9D621CFC49D}"/>
    <cellStyle name="Input 2 6 7 5 4 2" xfId="53684" xr:uid="{FBBD17BC-929C-40FE-8E0B-E1705F253D5E}"/>
    <cellStyle name="Input 2 6 7 5 5" xfId="50816" xr:uid="{55508B53-552A-4D13-B7E9-428DD26D133B}"/>
    <cellStyle name="Input 2 6 7 6" xfId="6309" xr:uid="{00000000-0005-0000-0000-000052050000}"/>
    <cellStyle name="Input 2 6 7 6 2" xfId="13181" xr:uid="{610D369E-F4C3-486C-AC1B-D1C62F7B3D1B}"/>
    <cellStyle name="Input 2 6 7 6 2 2" xfId="35665" xr:uid="{CF39862F-F247-492C-BC08-C45FB21111F9}"/>
    <cellStyle name="Input 2 6 7 6 2 3" xfId="48574" xr:uid="{1605B5A8-FCD8-4A2B-95E5-A7911215D93D}"/>
    <cellStyle name="Input 2 6 7 6 3" xfId="18246" xr:uid="{BE363B8E-9B3C-4778-A2C6-0830EB82503E}"/>
    <cellStyle name="Input 2 6 7 6 3 2" xfId="40636" xr:uid="{0C577DC0-390B-406E-BCF7-8AB1733D4EEB}"/>
    <cellStyle name="Input 2 6 7 6 3 3" xfId="44098" xr:uid="{EB3A26D0-9524-407D-925B-C706C1CF5DC8}"/>
    <cellStyle name="Input 2 6 7 6 4" xfId="22670" xr:uid="{6861066C-7E74-417A-B329-A14B82994280}"/>
    <cellStyle name="Input 2 6 7 6 4 2" xfId="48339" xr:uid="{D7012895-442A-46BA-9C1E-23ACEC3BA84E}"/>
    <cellStyle name="Input 2 6 7 6 5" xfId="28751" xr:uid="{02F66E15-9E73-4D0B-9B3F-CBA8EDD94E14}"/>
    <cellStyle name="Input 2 6 7 7" xfId="4564" xr:uid="{00000000-0005-0000-0000-000052050000}"/>
    <cellStyle name="Input 2 6 7 7 2" xfId="11466" xr:uid="{74D6E92E-3FA2-4CE2-A6B1-0116C6365850}"/>
    <cellStyle name="Input 2 6 7 7 2 2" xfId="33952" xr:uid="{CD02F501-FB30-4AD1-BAF5-A398A694CE4F}"/>
    <cellStyle name="Input 2 6 7 7 2 3" xfId="43536" xr:uid="{01559160-BF1F-43B4-B846-28E9FA2259BB}"/>
    <cellStyle name="Input 2 6 7 7 3" xfId="16501" xr:uid="{D395D213-D5FB-4574-B008-A4110C597366}"/>
    <cellStyle name="Input 2 6 7 7 3 2" xfId="38891" xr:uid="{A9B3B3A7-428F-4083-8981-D257E83B351E}"/>
    <cellStyle name="Input 2 6 7 7 3 3" xfId="23879" xr:uid="{5766709B-57B7-4A60-8E41-A6CA494CF957}"/>
    <cellStyle name="Input 2 6 7 7 4" xfId="15247" xr:uid="{3A6F127D-6E85-4A9E-A4D7-92D25C924D5E}"/>
    <cellStyle name="Input 2 6 7 7 4 2" xfId="29476" xr:uid="{538EB8AA-A8D2-4F4A-8EC2-5286D4C63166}"/>
    <cellStyle name="Input 2 6 7 7 5" xfId="47021" xr:uid="{007C6495-093B-4BB8-87C1-F6CF0780F4C2}"/>
    <cellStyle name="Input 2 6 7 8" xfId="6726" xr:uid="{00000000-0005-0000-0000-000052050000}"/>
    <cellStyle name="Input 2 6 7 8 2" xfId="13585" xr:uid="{9C9BCB6D-BA75-4E12-BBE3-A87FC78A2A48}"/>
    <cellStyle name="Input 2 6 7 8 2 2" xfId="36069" xr:uid="{73F78999-AE12-44D1-91CA-BA0CF575B2A2}"/>
    <cellStyle name="Input 2 6 7 8 2 3" xfId="50044" xr:uid="{97E1B9BB-2877-4361-A141-848C1D90309D}"/>
    <cellStyle name="Input 2 6 7 8 3" xfId="18663" xr:uid="{813CCD22-B233-4DA3-BC7D-0CDB418D453F}"/>
    <cellStyle name="Input 2 6 7 8 3 2" xfId="41053" xr:uid="{A4E94FD0-EF4A-47DE-865E-E711517C850B}"/>
    <cellStyle name="Input 2 6 7 8 3 3" xfId="44000" xr:uid="{C68C120F-18A3-4EE9-B11E-9263CC4CCEA0}"/>
    <cellStyle name="Input 2 6 7 8 4" xfId="23087" xr:uid="{F209ADF8-D3B5-4DA7-A112-17040AE5B468}"/>
    <cellStyle name="Input 2 6 7 8 4 2" xfId="23658" xr:uid="{AF6DDF2B-EA0A-45EB-850B-9CD907A39150}"/>
    <cellStyle name="Input 2 6 7 8 5" xfId="53142" xr:uid="{4AB5831D-F5C2-4C65-AE7B-E25E4804410B}"/>
    <cellStyle name="Input 2 6 7 9" xfId="5906" xr:uid="{00000000-0005-0000-0000-000052050000}"/>
    <cellStyle name="Input 2 6 7 9 2" xfId="17843" xr:uid="{F1CE9CE1-3BA6-4BC4-AD7C-3C91FBC90FC0}"/>
    <cellStyle name="Input 2 6 7 9 2 2" xfId="40233" xr:uid="{7BBDB485-E248-4617-A653-8B4D618C401A}"/>
    <cellStyle name="Input 2 6 7 9 2 3" xfId="41794" xr:uid="{CB26E949-3739-4E95-B063-34467ACE8485}"/>
    <cellStyle name="Input 2 6 7 9 3" xfId="22267" xr:uid="{783378C0-1AE9-4886-814D-FD201CE0C82B}"/>
    <cellStyle name="Input 2 6 7 9 3 2" xfId="44806" xr:uid="{A760D14A-7063-41B0-92B0-91A89A977544}"/>
    <cellStyle name="Input 2 6 7 9 4" xfId="28010" xr:uid="{946EBE75-022A-4D49-B27F-54C2C32063BB}"/>
    <cellStyle name="Input 2 6 8" xfId="2610" xr:uid="{00000000-0005-0000-0000-000047050000}"/>
    <cellStyle name="Input 2 6 8 2" xfId="9519" xr:uid="{27142E2E-000E-45F8-87A1-B2ADF3D1DB23}"/>
    <cellStyle name="Input 2 6 8 2 2" xfId="32071" xr:uid="{0EE7DF0D-54F9-4CDB-A0B0-03CD7CDD37B2}"/>
    <cellStyle name="Input 2 6 8 2 3" xfId="52139" xr:uid="{33AD2AAB-6600-4A36-858B-84C56BB595A3}"/>
    <cellStyle name="Input 2 6 8 3" xfId="15088" xr:uid="{834090B9-23FC-40A2-985C-738BA795C960}"/>
    <cellStyle name="Input 2 6 8 3 2" xfId="37533" xr:uid="{0D769B03-9236-4B17-9341-49896EDCDC70}"/>
    <cellStyle name="Input 2 6 8 3 3" xfId="49572" xr:uid="{F7D8037B-3449-418F-B15C-5F9C808D25B9}"/>
    <cellStyle name="Input 2 6 8 4" xfId="20214" xr:uid="{D0DB911D-B3E5-4935-80B9-B021A2573F6E}"/>
    <cellStyle name="Input 2 6 8 4 2" xfId="28209" xr:uid="{91AE2CFE-0DF6-46C5-BB4B-84FFB8BD05E5}"/>
    <cellStyle name="Input 2 6 8 5" xfId="49449" xr:uid="{56DF3408-056E-4704-8665-4E2BA719DB3E}"/>
    <cellStyle name="Input 2 6 9" xfId="4441" xr:uid="{00000000-0005-0000-0000-000047050000}"/>
    <cellStyle name="Input 2 6 9 2" xfId="11343" xr:uid="{B68E9D00-7A3B-4A64-AA47-6C31A0223552}"/>
    <cellStyle name="Input 2 6 9 2 2" xfId="33829" xr:uid="{B5D89875-E10B-45F6-84C1-2B8EBB472DAC}"/>
    <cellStyle name="Input 2 6 9 2 3" xfId="32771" xr:uid="{2123BC68-FFDC-4F58-A688-FEF8050DB6F9}"/>
    <cellStyle name="Input 2 6 9 3" xfId="16378" xr:uid="{32E6FB83-3C50-4284-B4A9-F2A51810A2BE}"/>
    <cellStyle name="Input 2 6 9 3 2" xfId="38768" xr:uid="{3DF941AB-36F8-46BE-9916-240821440F9E}"/>
    <cellStyle name="Input 2 6 9 3 3" xfId="43455" xr:uid="{CA4B0CCD-63D1-4427-A57B-C3E2C764B594}"/>
    <cellStyle name="Input 2 6 9 4" xfId="15754" xr:uid="{5AE5EEE7-86B6-4931-A5C3-8760849E7353}"/>
    <cellStyle name="Input 2 6 9 4 2" xfId="29472" xr:uid="{E564F4D9-FB33-4070-9B1C-73970E39A9DF}"/>
    <cellStyle name="Input 2 6 9 5" xfId="52253" xr:uid="{382078FB-A7D8-40DE-B12F-18410CF21E73}"/>
    <cellStyle name="Input 2 7" xfId="430" xr:uid="{00000000-0005-0000-0000-000054050000}"/>
    <cellStyle name="Input 2 7 10" xfId="4500" xr:uid="{00000000-0005-0000-0000-000053050000}"/>
    <cellStyle name="Input 2 7 10 2" xfId="11402" xr:uid="{3CFCD2F4-FDC0-4477-876F-BA7E1E1E69A1}"/>
    <cellStyle name="Input 2 7 10 2 2" xfId="33888" xr:uid="{6C9CDA95-32BE-4257-BCD5-2E7B93A2ADF9}"/>
    <cellStyle name="Input 2 7 10 2 3" xfId="29170" xr:uid="{D2126348-D3CB-4D99-AF03-017321C6A36B}"/>
    <cellStyle name="Input 2 7 10 3" xfId="16437" xr:uid="{1DF592CE-2A6C-46ED-9533-CC087D6A39D3}"/>
    <cellStyle name="Input 2 7 10 3 2" xfId="38827" xr:uid="{ABD100E3-58C7-4F3A-B5AD-3AFADDD15F47}"/>
    <cellStyle name="Input 2 7 10 3 3" xfId="26162" xr:uid="{F8272071-D26C-4861-A9AF-57A7F739798B}"/>
    <cellStyle name="Input 2 7 10 4" xfId="19320" xr:uid="{41126714-787B-4DD8-AD10-ADCC6B59C172}"/>
    <cellStyle name="Input 2 7 10 4 2" xfId="24800" xr:uid="{1D7DF9DB-8749-4F09-9521-9CCB8CD4E72C}"/>
    <cellStyle name="Input 2 7 10 5" xfId="49384" xr:uid="{7BF66AC1-3149-4A84-ACC2-10A1A7E1D61B}"/>
    <cellStyle name="Input 2 7 11" xfId="4567" xr:uid="{00000000-0005-0000-0000-000053050000}"/>
    <cellStyle name="Input 2 7 11 2" xfId="11469" xr:uid="{83ADE2A8-05DB-473E-BF62-A3F312B6F362}"/>
    <cellStyle name="Input 2 7 11 2 2" xfId="33955" xr:uid="{BB6A57D7-0E46-497F-AB95-5357FA504148}"/>
    <cellStyle name="Input 2 7 11 2 3" xfId="45648" xr:uid="{410CE6BE-C06E-41CF-8EB8-EB41B339FC91}"/>
    <cellStyle name="Input 2 7 11 3" xfId="16504" xr:uid="{F7129B09-6059-4E2C-873B-00CBC7418323}"/>
    <cellStyle name="Input 2 7 11 3 2" xfId="38894" xr:uid="{85B07080-1894-4A67-8DCE-56C095786587}"/>
    <cellStyle name="Input 2 7 11 3 3" xfId="30402" xr:uid="{B8025DCD-F144-42F3-8CD9-EDDC50EC132F}"/>
    <cellStyle name="Input 2 7 11 4" xfId="14233" xr:uid="{C84D4DE2-174F-4D48-9CD6-8E2179EEED4E}"/>
    <cellStyle name="Input 2 7 11 4 2" xfId="46065" xr:uid="{B16409B4-6931-4D39-9264-143FCCA2F02D}"/>
    <cellStyle name="Input 2 7 11 5" xfId="51333" xr:uid="{224DA215-6661-4C35-B428-572B83B7F08C}"/>
    <cellStyle name="Input 2 7 12" xfId="6734" xr:uid="{00000000-0005-0000-0000-000053050000}"/>
    <cellStyle name="Input 2 7 12 2" xfId="13593" xr:uid="{F39F1C58-6274-435C-8796-EEA1ADF27700}"/>
    <cellStyle name="Input 2 7 12 2 2" xfId="36077" xr:uid="{9070560F-455F-4FD1-99B0-347AD593CEAA}"/>
    <cellStyle name="Input 2 7 12 2 3" xfId="52288" xr:uid="{2778EE3F-AF97-4023-BF4A-25014FCA34A1}"/>
    <cellStyle name="Input 2 7 12 3" xfId="18671" xr:uid="{F5C760DE-6AC8-4541-8458-7DAFE368E08C}"/>
    <cellStyle name="Input 2 7 12 3 2" xfId="41061" xr:uid="{DCE4DD95-AC04-4A8D-B6B4-BC95925ED440}"/>
    <cellStyle name="Input 2 7 12 3 3" xfId="29647" xr:uid="{68386A06-A5EB-45F7-BE11-2CF8EF1AEA12}"/>
    <cellStyle name="Input 2 7 12 4" xfId="23095" xr:uid="{4A58AAA1-9F31-4FB9-8AD7-D56BFBBC2BD3}"/>
    <cellStyle name="Input 2 7 12 4 2" xfId="52020" xr:uid="{FF5B877E-BBD5-4404-8814-84872823ABE0}"/>
    <cellStyle name="Input 2 7 12 5" xfId="49299" xr:uid="{EDFCCA63-AF08-4CF1-A45F-B28984259D06}"/>
    <cellStyle name="Input 2 7 13" xfId="13603" xr:uid="{41E9DFF1-638F-46AA-8381-A89380AD3048}"/>
    <cellStyle name="Input 2 7 13 2" xfId="36087" xr:uid="{528C1442-3BA8-4C96-B6FB-A9E7EC9FEEF7}"/>
    <cellStyle name="Input 2 7 13 3" xfId="30272" xr:uid="{11711020-8A21-4B64-BC88-80F2EBD78603}"/>
    <cellStyle name="Input 2 7 14" xfId="20194" xr:uid="{A40E712F-29F7-4F8F-A9F9-1008D87F6365}"/>
    <cellStyle name="Input 2 7 14 2" xfId="42503" xr:uid="{DDCD120E-13EF-4EF4-A3EB-7AB9D72F8346}"/>
    <cellStyle name="Input 2 7 14 3" xfId="42924" xr:uid="{6BF9A46E-2317-42D4-AB2B-A0621A9C53E0}"/>
    <cellStyle name="Input 2 7 15" xfId="19289" xr:uid="{ADB91F89-1265-4E8C-8018-E5FA8BC2A6DB}"/>
    <cellStyle name="Input 2 7 15 2" xfId="24102" xr:uid="{E2D12D14-7909-4360-8B1B-9EE876391CF4}"/>
    <cellStyle name="Input 2 7 16" xfId="51646" xr:uid="{98BE2957-7F15-49E6-957B-320B5E4FB4D6}"/>
    <cellStyle name="Input 2 7 2" xfId="585" xr:uid="{00000000-0005-0000-0000-000055050000}"/>
    <cellStyle name="Input 2 7 2 10" xfId="20617" xr:uid="{66F23641-736B-4312-A00B-F407A1C5B681}"/>
    <cellStyle name="Input 2 7 2 10 2" xfId="29869" xr:uid="{13110A58-7778-44A7-B659-14A11EADB2EB}"/>
    <cellStyle name="Input 2 7 2 11" xfId="54017" xr:uid="{C1A9F6A9-D441-44BB-8BD9-449572DA6EA3}"/>
    <cellStyle name="Input 2 7 2 2" xfId="1719" xr:uid="{00000000-0005-0000-0000-000056050000}"/>
    <cellStyle name="Input 2 7 2 2 10" xfId="14420" xr:uid="{9863E77C-CAE7-4464-B230-913506845E78}"/>
    <cellStyle name="Input 2 7 2 2 10 2" xfId="36886" xr:uid="{21839FFD-712E-4DBC-BEE0-05D0BBA15CAC}"/>
    <cellStyle name="Input 2 7 2 2 10 3" xfId="48143" xr:uid="{D47DBC7A-97BE-45F0-A939-5D14E9C3EC1A}"/>
    <cellStyle name="Input 2 7 2 2 11" xfId="15708" xr:uid="{E2CF2086-74C1-4BE3-A9F7-A3CB84BC2640}"/>
    <cellStyle name="Input 2 7 2 2 11 2" xfId="38121" xr:uid="{78F59EE1-E9FB-4BC6-84B9-5C4A15B3AF59}"/>
    <cellStyle name="Input 2 7 2 2 11 3" xfId="50170" xr:uid="{5AA3F849-6C4A-4ADA-8FE2-1936274BC578}"/>
    <cellStyle name="Input 2 7 2 2 12" xfId="20600" xr:uid="{260194EE-676D-4ED7-A977-EECD580B1178}"/>
    <cellStyle name="Input 2 7 2 2 12 2" xfId="51613" xr:uid="{4AADDB6B-D4BD-4860-BD0D-6680C1772566}"/>
    <cellStyle name="Input 2 7 2 2 13" xfId="53039" xr:uid="{56B6B951-127D-4A1D-BBAE-74CAB9369C15}"/>
    <cellStyle name="Input 2 7 2 2 2" xfId="3817" xr:uid="{00000000-0005-0000-0000-000055050000}"/>
    <cellStyle name="Input 2 7 2 2 2 2" xfId="10721" xr:uid="{A472D554-E2C5-46F8-B524-DB357F9854E4}"/>
    <cellStyle name="Input 2 7 2 2 2 2 2" xfId="33207" xr:uid="{5E6393CA-7FF0-4BAA-8DD6-BA1405BF9C51}"/>
    <cellStyle name="Input 2 7 2 2 2 2 3" xfId="27385" xr:uid="{2A328104-4685-43FA-996D-F4F595B93565}"/>
    <cellStyle name="Input 2 7 2 2 2 3" xfId="15877" xr:uid="{AB99403A-8789-4E55-8A68-E928185A8E81}"/>
    <cellStyle name="Input 2 7 2 2 2 3 2" xfId="38283" xr:uid="{BDADBD2D-FBA7-4DAA-B6B8-D36421EFC71A}"/>
    <cellStyle name="Input 2 7 2 2 2 3 3" xfId="54075" xr:uid="{5037718D-E208-45FD-835E-41813D54E3D9}"/>
    <cellStyle name="Input 2 7 2 2 2 4" xfId="15268" xr:uid="{EE982105-9F0D-4E6E-B97C-7B82BAFE0199}"/>
    <cellStyle name="Input 2 7 2 2 2 4 2" xfId="47744" xr:uid="{E27715A1-2C4A-407C-8AF2-BD77928FB785}"/>
    <cellStyle name="Input 2 7 2 2 2 5" xfId="46902" xr:uid="{FC24B8EE-9E1F-468D-9639-FF8B64257690}"/>
    <cellStyle name="Input 2 7 2 2 3" xfId="5233" xr:uid="{00000000-0005-0000-0000-000055050000}"/>
    <cellStyle name="Input 2 7 2 2 3 2" xfId="12125" xr:uid="{AA0A0EAA-5FEB-4CE9-AD20-996BD3F69A09}"/>
    <cellStyle name="Input 2 7 2 2 3 2 2" xfId="34610" xr:uid="{BB98EF61-A00C-42CA-915E-D4CE08359EEA}"/>
    <cellStyle name="Input 2 7 2 2 3 2 3" xfId="27998" xr:uid="{793D233D-29EC-4E1D-B58E-C64054828EBD}"/>
    <cellStyle name="Input 2 7 2 2 3 3" xfId="17170" xr:uid="{EFE89715-1F62-4366-86CE-942F694F77D9}"/>
    <cellStyle name="Input 2 7 2 2 3 3 2" xfId="39560" xr:uid="{5B297145-B2DA-4227-B495-4C3D6264FA1A}"/>
    <cellStyle name="Input 2 7 2 2 3 3 3" xfId="26407" xr:uid="{2D606933-8A58-4333-A7A9-F7322F09DDA0}"/>
    <cellStyle name="Input 2 7 2 2 3 4" xfId="21594" xr:uid="{A3E9BA53-0E5D-40FA-A79C-45F885928947}"/>
    <cellStyle name="Input 2 7 2 2 3 4 2" xfId="29023" xr:uid="{D88E5439-F905-4DBA-A076-03C3A7702FCF}"/>
    <cellStyle name="Input 2 7 2 2 3 5" xfId="51951" xr:uid="{A8D79B71-A29C-486C-BF59-F71BD59CAEDD}"/>
    <cellStyle name="Input 2 7 2 2 4" xfId="5645" xr:uid="{00000000-0005-0000-0000-000055050000}"/>
    <cellStyle name="Input 2 7 2 2 4 2" xfId="12529" xr:uid="{9FD426AC-DCAF-4C4F-AA83-5F7326D356DC}"/>
    <cellStyle name="Input 2 7 2 2 4 2 2" xfId="35014" xr:uid="{B6C09975-1FF4-475B-BC4E-F7947B96E6F9}"/>
    <cellStyle name="Input 2 7 2 2 4 2 3" xfId="36779" xr:uid="{45514710-C79C-45FE-9024-7572DDFCEF14}"/>
    <cellStyle name="Input 2 7 2 2 4 3" xfId="17582" xr:uid="{8CAC89FA-92B3-462A-A684-FD8432AB24B2}"/>
    <cellStyle name="Input 2 7 2 2 4 3 2" xfId="39972" xr:uid="{9AE5A62A-DE70-46E5-BC9B-1C45322D457E}"/>
    <cellStyle name="Input 2 7 2 2 4 3 3" xfId="42518" xr:uid="{47722C23-DE3F-4348-BD3F-8E09D19303D2}"/>
    <cellStyle name="Input 2 7 2 2 4 4" xfId="22006" xr:uid="{0FF6965F-A568-42B7-9E90-78C1DEA7B7B0}"/>
    <cellStyle name="Input 2 7 2 2 4 4 2" xfId="46530" xr:uid="{E5B4C7D4-DC5F-475F-BEF8-41964D7B4370}"/>
    <cellStyle name="Input 2 7 2 2 4 5" xfId="51995" xr:uid="{3A0F3EEA-7C66-4D0C-878D-64F601471940}"/>
    <cellStyle name="Input 2 7 2 2 5" xfId="4476" xr:uid="{00000000-0005-0000-0000-000055050000}"/>
    <cellStyle name="Input 2 7 2 2 5 2" xfId="11378" xr:uid="{EA37DE62-4C5B-4F7E-A53E-498CB86B37B5}"/>
    <cellStyle name="Input 2 7 2 2 5 2 2" xfId="33864" xr:uid="{DB0E1801-1EFD-4580-81CD-107548D8BAEE}"/>
    <cellStyle name="Input 2 7 2 2 5 2 3" xfId="27728" xr:uid="{2649852E-331C-42F3-B94E-A883D539D6A2}"/>
    <cellStyle name="Input 2 7 2 2 5 3" xfId="16413" xr:uid="{BC714D68-1FF2-4B3E-A5EC-581A18E390E1}"/>
    <cellStyle name="Input 2 7 2 2 5 3 2" xfId="38803" xr:uid="{2CCD6351-57AB-403D-8271-A3467DF4128E}"/>
    <cellStyle name="Input 2 7 2 2 5 3 3" xfId="30312" xr:uid="{23540D86-531E-4CD5-AE20-51DBAAE91E57}"/>
    <cellStyle name="Input 2 7 2 2 5 4" xfId="19740" xr:uid="{A6504AF1-323A-4B3E-A64E-60D289E9BBD0}"/>
    <cellStyle name="Input 2 7 2 2 5 4 2" xfId="28490" xr:uid="{24CD23FA-B9F1-4C11-B7E7-47B7DED338AC}"/>
    <cellStyle name="Input 2 7 2 2 5 5" xfId="51840" xr:uid="{4D9A21F7-B465-4E60-A2BF-7EFCE00DB6C1}"/>
    <cellStyle name="Input 2 7 2 2 6" xfId="6384" xr:uid="{00000000-0005-0000-0000-000055050000}"/>
    <cellStyle name="Input 2 7 2 2 6 2" xfId="13256" xr:uid="{D4510A7E-1723-44EA-B499-B8F39A1DEA67}"/>
    <cellStyle name="Input 2 7 2 2 6 2 2" xfId="35740" xr:uid="{7C7EF54C-3230-49D6-8C42-94E32070F878}"/>
    <cellStyle name="Input 2 7 2 2 6 2 3" xfId="47015" xr:uid="{7C0EA559-C1C6-4E3A-81CF-93675CF0F76E}"/>
    <cellStyle name="Input 2 7 2 2 6 3" xfId="18321" xr:uid="{915F0DDC-D977-43EC-BF86-55833CC67772}"/>
    <cellStyle name="Input 2 7 2 2 6 3 2" xfId="40711" xr:uid="{BC015ED0-8BAA-46B4-92C0-50BDBF68D3F5}"/>
    <cellStyle name="Input 2 7 2 2 6 3 3" xfId="44264" xr:uid="{0E7C8DD5-9788-44ED-9149-40798BA16B44}"/>
    <cellStyle name="Input 2 7 2 2 6 4" xfId="22745" xr:uid="{AE628E62-7BD8-404F-B27A-9AC6B542A2A0}"/>
    <cellStyle name="Input 2 7 2 2 6 4 2" xfId="53199" xr:uid="{6AF5174D-4739-42D3-9666-ED30D5B4DE0F}"/>
    <cellStyle name="Input 2 7 2 2 6 5" xfId="54050" xr:uid="{0077BE74-F3EE-40FE-977A-1113ACAB623B}"/>
    <cellStyle name="Input 2 7 2 2 7" xfId="4558" xr:uid="{00000000-0005-0000-0000-000055050000}"/>
    <cellStyle name="Input 2 7 2 2 7 2" xfId="11460" xr:uid="{C33623F7-EFB4-44A5-9725-128B625E5CAE}"/>
    <cellStyle name="Input 2 7 2 2 7 2 2" xfId="33946" xr:uid="{D3A926BC-4C75-4D8B-8129-3BCC9D2D1F8A}"/>
    <cellStyle name="Input 2 7 2 2 7 2 3" xfId="23893" xr:uid="{56D75007-38EF-4F1B-891E-32D2842DBE00}"/>
    <cellStyle name="Input 2 7 2 2 7 3" xfId="16495" xr:uid="{7C61E5CD-4C58-4436-8B89-BA357A75CDD6}"/>
    <cellStyle name="Input 2 7 2 2 7 3 2" xfId="38885" xr:uid="{8512D4C8-9320-4AF0-8FE0-148E93A44F12}"/>
    <cellStyle name="Input 2 7 2 2 7 3 3" xfId="25415" xr:uid="{598E39DF-28D9-45FB-96B4-7A1238A5F425}"/>
    <cellStyle name="Input 2 7 2 2 7 4" xfId="15036" xr:uid="{AF7CFBF5-B54C-4D6C-98CB-B2E228FB48AC}"/>
    <cellStyle name="Input 2 7 2 2 7 4 2" xfId="54087" xr:uid="{C10E5E79-D8B9-41D5-A388-1827DC59538C}"/>
    <cellStyle name="Input 2 7 2 2 7 5" xfId="49520" xr:uid="{D9B13867-3104-49FC-A7A4-5BBD4BAB0D9B}"/>
    <cellStyle name="Input 2 7 2 2 8" xfId="6901" xr:uid="{00000000-0005-0000-0000-000055050000}"/>
    <cellStyle name="Input 2 7 2 2 8 2" xfId="13739" xr:uid="{A1D0AB20-40C9-4704-A992-6F0466AD98FA}"/>
    <cellStyle name="Input 2 7 2 2 8 2 2" xfId="36223" xr:uid="{8E8BCCEB-3264-40B0-87F1-7E9876347FDF}"/>
    <cellStyle name="Input 2 7 2 2 8 2 3" xfId="50265" xr:uid="{BD534058-F213-4BEB-A524-3EAEEBE3A87C}"/>
    <cellStyle name="Input 2 7 2 2 8 3" xfId="18838" xr:uid="{9552C2AC-A9B6-4844-985A-FE82D198EEC5}"/>
    <cellStyle name="Input 2 7 2 2 8 3 2" xfId="41228" xr:uid="{63103540-4483-4088-9DF6-081F173454A2}"/>
    <cellStyle name="Input 2 7 2 2 8 3 3" xfId="45510" xr:uid="{63393CB9-9301-4D0D-9195-757D8B205E1E}"/>
    <cellStyle name="Input 2 7 2 2 8 4" xfId="23262" xr:uid="{7FF428AC-A57A-4A7F-89BD-3A91B2C556C8}"/>
    <cellStyle name="Input 2 7 2 2 8 4 2" xfId="49072" xr:uid="{B1DE8FE8-F95A-4A15-9219-474258340ED8}"/>
    <cellStyle name="Input 2 7 2 2 8 5" xfId="47384" xr:uid="{A7D87844-44D7-47B6-A215-F24464DE4039}"/>
    <cellStyle name="Input 2 7 2 2 9" xfId="6807" xr:uid="{00000000-0005-0000-0000-000055050000}"/>
    <cellStyle name="Input 2 7 2 2 9 2" xfId="18744" xr:uid="{03B741EA-5946-4E97-BA3C-485C5C45882D}"/>
    <cellStyle name="Input 2 7 2 2 9 2 2" xfId="41134" xr:uid="{F5A3A2DF-0855-4D5B-AA9C-7B55390DA11E}"/>
    <cellStyle name="Input 2 7 2 2 9 2 3" xfId="25917" xr:uid="{C09DE1FF-CA8A-4C7E-AC2A-C6DEA256AED1}"/>
    <cellStyle name="Input 2 7 2 2 9 3" xfId="23168" xr:uid="{176CEE14-1594-43FE-B231-03DCF8BB6E14}"/>
    <cellStyle name="Input 2 7 2 2 9 3 2" xfId="52666" xr:uid="{73404D38-CDF8-4BFD-B116-399A40855AF7}"/>
    <cellStyle name="Input 2 7 2 2 9 4" xfId="52559" xr:uid="{C453E837-46E3-4DC9-974E-5C474ED347E2}"/>
    <cellStyle name="Input 2 7 2 3" xfId="2733" xr:uid="{00000000-0005-0000-0000-000054050000}"/>
    <cellStyle name="Input 2 7 2 3 2" xfId="9642" xr:uid="{50C96864-ED7F-48C2-BA56-35F94462E570}"/>
    <cellStyle name="Input 2 7 2 3 2 2" xfId="32190" xr:uid="{AD0EB224-092A-4F8B-A5A2-0953B2AF4BF5}"/>
    <cellStyle name="Input 2 7 2 3 2 3" xfId="44540" xr:uid="{FED82E38-7F35-4F0A-BE9B-B90C4633C9A7}"/>
    <cellStyle name="Input 2 7 2 3 3" xfId="15160" xr:uid="{F512137E-762B-46A9-99E1-F406AFAF2DB3}"/>
    <cellStyle name="Input 2 7 2 3 3 2" xfId="37600" xr:uid="{4C892DA8-3CCB-4FCC-9546-3A8F38BF9746}"/>
    <cellStyle name="Input 2 7 2 3 3 3" xfId="30088" xr:uid="{98FAFAF5-E75D-4816-9571-A3A3DDFF132C}"/>
    <cellStyle name="Input 2 7 2 3 4" xfId="7938" xr:uid="{5909E9D7-5659-4959-985B-7C17CC523028}"/>
    <cellStyle name="Input 2 7 2 3 4 2" xfId="45089" xr:uid="{119B4FB0-7FC4-4653-AF3C-290477A54A1E}"/>
    <cellStyle name="Input 2 7 2 3 5" xfId="48783" xr:uid="{32028F0D-B478-422F-86F3-F14F36FAD212}"/>
    <cellStyle name="Input 2 7 2 4" xfId="4524" xr:uid="{00000000-0005-0000-0000-000054050000}"/>
    <cellStyle name="Input 2 7 2 4 2" xfId="11426" xr:uid="{305CED04-FB37-4989-B67E-69638FEB8EAE}"/>
    <cellStyle name="Input 2 7 2 4 2 2" xfId="33912" xr:uid="{1F679AE1-D051-4D86-BEB6-15E8B5D93435}"/>
    <cellStyle name="Input 2 7 2 4 2 3" xfId="43925" xr:uid="{36B05C0B-1EBE-41E1-BEC7-6CC2C271A9B5}"/>
    <cellStyle name="Input 2 7 2 4 3" xfId="16461" xr:uid="{B1581E21-3EE1-488A-AD74-7AE101D09144}"/>
    <cellStyle name="Input 2 7 2 4 3 2" xfId="38851" xr:uid="{7EE3E32D-D329-44DB-A589-24E2A9AED2FC}"/>
    <cellStyle name="Input 2 7 2 4 3 3" xfId="32851" xr:uid="{0DDF886D-E7F3-4027-80E0-BBDA330499F3}"/>
    <cellStyle name="Input 2 7 2 4 4" xfId="14805" xr:uid="{4A8A87E9-1825-460E-982B-DCC643EC741E}"/>
    <cellStyle name="Input 2 7 2 4 4 2" xfId="47629" xr:uid="{148B4586-9FF9-43FF-BAF5-DD7952846CCA}"/>
    <cellStyle name="Input 2 7 2 4 5" xfId="50655" xr:uid="{CE2E6FBC-3B75-49E0-AE77-6A9662F6FD90}"/>
    <cellStyle name="Input 2 7 2 5" xfId="5076" xr:uid="{00000000-0005-0000-0000-000054050000}"/>
    <cellStyle name="Input 2 7 2 5 2" xfId="11969" xr:uid="{A2BC0BB5-D6F5-430D-9FEF-29F3138B7201}"/>
    <cellStyle name="Input 2 7 2 5 2 2" xfId="34455" xr:uid="{9E19D9C3-B001-454C-901D-CBEA12B5F41F}"/>
    <cellStyle name="Input 2 7 2 5 2 3" xfId="44930" xr:uid="{36334DA5-32D3-4C0E-8A84-0D88AF8A49C9}"/>
    <cellStyle name="Input 2 7 2 5 3" xfId="17013" xr:uid="{9FAB13BE-B22A-4F51-93E1-D49BAD175D64}"/>
    <cellStyle name="Input 2 7 2 5 3 2" xfId="39403" xr:uid="{8E8BF989-5D10-4C7C-A4BE-8FCC12719222}"/>
    <cellStyle name="Input 2 7 2 5 3 3" xfId="31955" xr:uid="{688E774A-7FA9-4103-9F13-38D46F04B76A}"/>
    <cellStyle name="Input 2 7 2 5 4" xfId="21437" xr:uid="{6B9AE484-ACC4-4564-942C-42C636384CC7}"/>
    <cellStyle name="Input 2 7 2 5 4 2" xfId="42904" xr:uid="{A4874949-D00C-4C02-8C4F-20EE95B6EEA6}"/>
    <cellStyle name="Input 2 7 2 5 5" xfId="49710" xr:uid="{624021D2-BF48-4FA2-9D95-402D485BE405}"/>
    <cellStyle name="Input 2 7 2 6" xfId="5262" xr:uid="{00000000-0005-0000-0000-000054050000}"/>
    <cellStyle name="Input 2 7 2 6 2" xfId="12154" xr:uid="{E593C911-840A-403F-87DA-BDAB3747B733}"/>
    <cellStyle name="Input 2 7 2 6 2 2" xfId="34639" xr:uid="{CFFDFACB-C933-4931-819B-BF3200E7532E}"/>
    <cellStyle name="Input 2 7 2 6 2 3" xfId="37828" xr:uid="{52E489C3-9C89-44C7-A7E7-D38DA7387961}"/>
    <cellStyle name="Input 2 7 2 6 3" xfId="17199" xr:uid="{4C080FFA-0ADC-41FE-AE0E-AA33F471A993}"/>
    <cellStyle name="Input 2 7 2 6 3 2" xfId="39589" xr:uid="{32F55249-DC1F-4265-BB5E-DFEA74A6089E}"/>
    <cellStyle name="Input 2 7 2 6 3 3" xfId="37463" xr:uid="{FBA2E2CB-3166-4AE7-A4E6-6B5FEF90C0D0}"/>
    <cellStyle name="Input 2 7 2 6 4" xfId="21623" xr:uid="{CB4A27A5-5BEA-4E9E-8301-6A67F18140FC}"/>
    <cellStyle name="Input 2 7 2 6 4 2" xfId="52064" xr:uid="{8C2BBC31-12CE-4AA0-9949-0BF3197EB8AD}"/>
    <cellStyle name="Input 2 7 2 6 5" xfId="52068" xr:uid="{DC52F077-356E-4C75-B3AF-E773B49790F8}"/>
    <cellStyle name="Input 2 7 2 7" xfId="6033" xr:uid="{00000000-0005-0000-0000-000054050000}"/>
    <cellStyle name="Input 2 7 2 7 2" xfId="12912" xr:uid="{7036A16B-CCD4-4D1C-898E-D9DD35007C0D}"/>
    <cellStyle name="Input 2 7 2 7 2 2" xfId="35396" xr:uid="{BD19D385-2BCA-42C5-92B5-A782231C14AA}"/>
    <cellStyle name="Input 2 7 2 7 2 3" xfId="54083" xr:uid="{A795BF77-E2F8-4B74-A37D-2AFA3E67B575}"/>
    <cellStyle name="Input 2 7 2 7 3" xfId="17970" xr:uid="{9C3C004F-5ABF-4912-BB0A-77A40AF30BAA}"/>
    <cellStyle name="Input 2 7 2 7 3 2" xfId="40360" xr:uid="{CA3B59C4-771E-4216-A25A-FBCB5F7E58D8}"/>
    <cellStyle name="Input 2 7 2 7 3 3" xfId="30589" xr:uid="{ABAC40EB-BD48-4621-8C4C-303D25733101}"/>
    <cellStyle name="Input 2 7 2 7 4" xfId="22394" xr:uid="{6460FB26-FCAE-4A78-804A-13F9C3E2226D}"/>
    <cellStyle name="Input 2 7 2 7 4 2" xfId="27218" xr:uid="{ED78A771-CED8-4AA7-83F5-BFFD755602F5}"/>
    <cellStyle name="Input 2 7 2 7 5" xfId="28016" xr:uid="{A0813677-CE80-4E6A-8DE5-482E58FD07E2}"/>
    <cellStyle name="Input 2 7 2 8" xfId="7399" xr:uid="{E5FAB5C9-948E-4A7F-BAF8-BBDA46FF9E3C}"/>
    <cellStyle name="Input 2 7 2 8 2" xfId="30083" xr:uid="{EBF81AA8-213A-4F0D-93C1-DB362BA86798}"/>
    <cellStyle name="Input 2 7 2 8 3" xfId="25729" xr:uid="{6599D324-DF89-4CB4-B9DD-EE7355743B43}"/>
    <cellStyle name="Input 2 7 2 9" xfId="15690" xr:uid="{54F686B9-CB7C-468E-AD5F-8B471CCAFD2E}"/>
    <cellStyle name="Input 2 7 2 9 2" xfId="38104" xr:uid="{C74AC91A-043D-4303-A981-0EF8018E7F93}"/>
    <cellStyle name="Input 2 7 2 9 3" xfId="45272" xr:uid="{350900B3-DC7C-4034-ADA8-325BB874A6D4}"/>
    <cellStyle name="Input 2 7 3" xfId="831" xr:uid="{00000000-0005-0000-0000-000057050000}"/>
    <cellStyle name="Input 2 7 3 10" xfId="21202" xr:uid="{6DA739F3-AFF5-4DA1-9781-308C6A0635E3}"/>
    <cellStyle name="Input 2 7 3 10 2" xfId="51486" xr:uid="{06C46AFD-44F0-4E9B-AF2F-F937BAF3A6B1}"/>
    <cellStyle name="Input 2 7 3 11" xfId="52276" xr:uid="{E97DD998-CD1C-40EF-82F9-9D2A54D0BA1A}"/>
    <cellStyle name="Input 2 7 3 2" xfId="1817" xr:uid="{00000000-0005-0000-0000-000058050000}"/>
    <cellStyle name="Input 2 7 3 2 10" xfId="14501" xr:uid="{66AFE9EF-B639-4A4E-B0B9-8E392FAF8453}"/>
    <cellStyle name="Input 2 7 3 2 10 2" xfId="36962" xr:uid="{222F7ABD-B603-409F-A783-17B952E42EC4}"/>
    <cellStyle name="Input 2 7 3 2 10 3" xfId="52280" xr:uid="{B5554AB8-43A0-449A-86BC-6F377D4F45A5}"/>
    <cellStyle name="Input 2 7 3 2 11" xfId="16072" xr:uid="{483624A7-F24B-4B1F-89C6-941A84EE2D08}"/>
    <cellStyle name="Input 2 7 3 2 11 2" xfId="38472" xr:uid="{3A927D39-6426-467A-9E50-72958341D699}"/>
    <cellStyle name="Input 2 7 3 2 11 3" xfId="28985" xr:uid="{EBB42002-521B-49FD-B4DA-D3A90F374C1B}"/>
    <cellStyle name="Input 2 7 3 2 12" xfId="15484" xr:uid="{2002A312-466D-4C30-9980-237478BBF0BD}"/>
    <cellStyle name="Input 2 7 3 2 12 2" xfId="50234" xr:uid="{8DCC2A6E-CBFD-40C9-8D06-8A5BD5929EB0}"/>
    <cellStyle name="Input 2 7 3 2 13" xfId="46666" xr:uid="{CA89A117-810D-4A8D-8930-9E307D8027C6}"/>
    <cellStyle name="Input 2 7 3 2 2" xfId="3915" xr:uid="{00000000-0005-0000-0000-000057050000}"/>
    <cellStyle name="Input 2 7 3 2 2 2" xfId="10819" xr:uid="{8C2CC9FC-2625-416B-B7C2-6E2162C7007D}"/>
    <cellStyle name="Input 2 7 3 2 2 2 2" xfId="33305" xr:uid="{31BCF7AA-AC67-4A94-9A42-B59AB6944911}"/>
    <cellStyle name="Input 2 7 3 2 2 2 3" xfId="31891" xr:uid="{FA921F4B-8027-422C-856C-2D82248946A2}"/>
    <cellStyle name="Input 2 7 3 2 2 3" xfId="15957" xr:uid="{924C1D25-1843-4090-82E0-DD2270A5DBDB}"/>
    <cellStyle name="Input 2 7 3 2 2 3 2" xfId="38360" xr:uid="{28955395-0B0A-41FC-B0A8-3355B2208CA8}"/>
    <cellStyle name="Input 2 7 3 2 2 3 3" xfId="46847" xr:uid="{D0EF70DC-E3DA-4407-B996-AA7B27D2E06D}"/>
    <cellStyle name="Input 2 7 3 2 2 4" xfId="7246" xr:uid="{F2B3CBFD-69DD-41B4-AE5E-E52242FE8081}"/>
    <cellStyle name="Input 2 7 3 2 2 4 2" xfId="45453" xr:uid="{CF4D5B53-D860-406D-B7D5-BDD6E64C127A}"/>
    <cellStyle name="Input 2 7 3 2 2 5" xfId="53194" xr:uid="{BC00FDFE-C10C-4ACD-A13A-718E30D92397}"/>
    <cellStyle name="Input 2 7 3 2 3" xfId="5310" xr:uid="{00000000-0005-0000-0000-000057050000}"/>
    <cellStyle name="Input 2 7 3 2 3 2" xfId="12202" xr:uid="{117D4898-5ACA-42B3-8551-B5AB9E4EA7D8}"/>
    <cellStyle name="Input 2 7 3 2 3 2 2" xfId="34687" xr:uid="{7F9DE97F-1D05-44FB-830B-BF32A9711743}"/>
    <cellStyle name="Input 2 7 3 2 3 2 3" xfId="28521" xr:uid="{431108A5-7132-4EDC-9634-9F0B1069C3FE}"/>
    <cellStyle name="Input 2 7 3 2 3 3" xfId="17247" xr:uid="{45D5A1CA-E987-4B0F-8288-703EF3DD72DD}"/>
    <cellStyle name="Input 2 7 3 2 3 3 2" xfId="39637" xr:uid="{47949DEA-7240-4279-8066-8168EF913BE4}"/>
    <cellStyle name="Input 2 7 3 2 3 3 3" xfId="24350" xr:uid="{F54683F7-09CF-4E16-A386-737BB2DF3711}"/>
    <cellStyle name="Input 2 7 3 2 3 4" xfId="21671" xr:uid="{CEDFA12A-8552-4DC2-8C7A-EB69EB82B1D9}"/>
    <cellStyle name="Input 2 7 3 2 3 4 2" xfId="47745" xr:uid="{5A1B5221-8D94-4EEE-BABA-0F06A4008D0F}"/>
    <cellStyle name="Input 2 7 3 2 3 5" xfId="47874" xr:uid="{DD2D2268-0A45-46A7-9E16-F40B084B2D9A}"/>
    <cellStyle name="Input 2 7 3 2 4" xfId="5720" xr:uid="{00000000-0005-0000-0000-000057050000}"/>
    <cellStyle name="Input 2 7 3 2 4 2" xfId="12604" xr:uid="{573BCFD3-E8CB-447B-9ECB-4EE6DE87AA46}"/>
    <cellStyle name="Input 2 7 3 2 4 2 2" xfId="35089" xr:uid="{5048E467-87A7-47EE-A641-934742A16DDC}"/>
    <cellStyle name="Input 2 7 3 2 4 2 3" xfId="31917" xr:uid="{C3D6D18C-1829-44DB-B2A7-5EE7C9114931}"/>
    <cellStyle name="Input 2 7 3 2 4 3" xfId="17657" xr:uid="{2C64DDC1-78BC-4E38-B5D0-A492B1E8A99E}"/>
    <cellStyle name="Input 2 7 3 2 4 3 2" xfId="40047" xr:uid="{0DCDD337-2335-4928-BB43-1639AFD550FA}"/>
    <cellStyle name="Input 2 7 3 2 4 3 3" xfId="27808" xr:uid="{4F6A3B23-F2B9-4D83-A6C4-C9CC58D2B7AA}"/>
    <cellStyle name="Input 2 7 3 2 4 4" xfId="22081" xr:uid="{37617A1F-C946-4119-ADF9-6376045492D0}"/>
    <cellStyle name="Input 2 7 3 2 4 4 2" xfId="46853" xr:uid="{C3904934-B08D-4935-916B-1FBC98927E04}"/>
    <cellStyle name="Input 2 7 3 2 4 5" xfId="46062" xr:uid="{87A568F7-1743-4B17-89F6-2B6153551F94}"/>
    <cellStyle name="Input 2 7 3 2 5" xfId="6074" xr:uid="{00000000-0005-0000-0000-000057050000}"/>
    <cellStyle name="Input 2 7 3 2 5 2" xfId="12952" xr:uid="{DF80D75F-745C-430C-AD48-59236CF68761}"/>
    <cellStyle name="Input 2 7 3 2 5 2 2" xfId="35436" xr:uid="{F1F6F3B7-222A-4D33-A9D9-F68683C32E39}"/>
    <cellStyle name="Input 2 7 3 2 5 2 3" xfId="50317" xr:uid="{CEFCB692-01FC-4BE5-9F75-EEF6BB47A435}"/>
    <cellStyle name="Input 2 7 3 2 5 3" xfId="18011" xr:uid="{926A8E35-2064-4A34-9BEF-0183073F0E16}"/>
    <cellStyle name="Input 2 7 3 2 5 3 2" xfId="40401" xr:uid="{1C4EE98F-D1E8-48E6-8F6D-E88B58FB5E87}"/>
    <cellStyle name="Input 2 7 3 2 5 3 3" xfId="42315" xr:uid="{BFC173ED-8641-4CED-B636-D333099C1D5D}"/>
    <cellStyle name="Input 2 7 3 2 5 4" xfId="22435" xr:uid="{A0562642-B0B8-42FB-925A-D79032812673}"/>
    <cellStyle name="Input 2 7 3 2 5 4 2" xfId="46389" xr:uid="{779C6EA6-BB48-4848-A121-9C725868D149}"/>
    <cellStyle name="Input 2 7 3 2 5 5" xfId="50073" xr:uid="{FD6428AB-38F1-4E4F-AF9F-CFA016A79237}"/>
    <cellStyle name="Input 2 7 3 2 6" xfId="6449" xr:uid="{00000000-0005-0000-0000-000057050000}"/>
    <cellStyle name="Input 2 7 3 2 6 2" xfId="13319" xr:uid="{8846DE05-C261-44FB-8337-51B1C42FB496}"/>
    <cellStyle name="Input 2 7 3 2 6 2 2" xfId="35803" xr:uid="{316106D1-FCCF-4188-B0F5-790E1B1EC1FF}"/>
    <cellStyle name="Input 2 7 3 2 6 2 3" xfId="46228" xr:uid="{AD057A35-A351-4982-BBD6-B449D6DEEECB}"/>
    <cellStyle name="Input 2 7 3 2 6 3" xfId="18386" xr:uid="{A0413DC4-89A4-431F-80A9-5F9F1CBE3932}"/>
    <cellStyle name="Input 2 7 3 2 6 3 2" xfId="40776" xr:uid="{21C1F089-DEAA-4F30-A5CA-791BCCEB1889}"/>
    <cellStyle name="Input 2 7 3 2 6 3 3" xfId="32099" xr:uid="{1E89980A-1B3E-43B9-80D0-6B6A9C49FFCD}"/>
    <cellStyle name="Input 2 7 3 2 6 4" xfId="22810" xr:uid="{B883EDA2-1F1D-4DB2-88D9-B25ED8D1E7A2}"/>
    <cellStyle name="Input 2 7 3 2 6 4 2" xfId="52533" xr:uid="{4304DB5D-6FCF-4EA8-82F8-782F8C87424A}"/>
    <cellStyle name="Input 2 7 3 2 6 5" xfId="48792" xr:uid="{36375C88-2D83-42A4-8BE9-71E98E1B03FC}"/>
    <cellStyle name="Input 2 7 3 2 7" xfId="4756" xr:uid="{00000000-0005-0000-0000-000057050000}"/>
    <cellStyle name="Input 2 7 3 2 7 2" xfId="11654" xr:uid="{A9BB2DDC-1D59-40E6-BC1E-CAE70E93C139}"/>
    <cellStyle name="Input 2 7 3 2 7 2 2" xfId="34140" xr:uid="{668BE2BC-F010-44BC-B8BA-001F35EDB73F}"/>
    <cellStyle name="Input 2 7 3 2 7 2 3" xfId="28282" xr:uid="{85677845-BFA0-4235-A226-DB55797CE797}"/>
    <cellStyle name="Input 2 7 3 2 7 3" xfId="16693" xr:uid="{02860DE7-4ABA-4FB9-BB25-05D8A4FD8B2B}"/>
    <cellStyle name="Input 2 7 3 2 7 3 2" xfId="39083" xr:uid="{E4793CD9-10CB-477D-B1E9-C85038E1D739}"/>
    <cellStyle name="Input 2 7 3 2 7 3 3" xfId="24099" xr:uid="{0730C2C8-B9B7-4CBE-8613-4C03D37F3EE2}"/>
    <cellStyle name="Input 2 7 3 2 7 4" xfId="19497" xr:uid="{856DF609-55BC-4433-807D-5E646CEAF923}"/>
    <cellStyle name="Input 2 7 3 2 7 4 2" xfId="30675" xr:uid="{5D9815C9-665C-485A-9B37-F6AA61505F66}"/>
    <cellStyle name="Input 2 7 3 2 7 5" xfId="46649" xr:uid="{E10A4B2B-C647-4878-A040-3DF060EBE026}"/>
    <cellStyle name="Input 2 7 3 2 8" xfId="6949" xr:uid="{00000000-0005-0000-0000-000057050000}"/>
    <cellStyle name="Input 2 7 3 2 8 2" xfId="13786" xr:uid="{ED718AD3-941E-4AD8-A28C-713A38D29BDA}"/>
    <cellStyle name="Input 2 7 3 2 8 2 2" xfId="36270" xr:uid="{0C680169-1F4D-4CD2-8733-9A0614674232}"/>
    <cellStyle name="Input 2 7 3 2 8 2 3" xfId="49752" xr:uid="{EE4EF1C2-9960-45A7-B5BA-556549169D11}"/>
    <cellStyle name="Input 2 7 3 2 8 3" xfId="18886" xr:uid="{5973A0F2-AEF3-4803-8E0B-1B8B09D424FC}"/>
    <cellStyle name="Input 2 7 3 2 8 3 2" xfId="41276" xr:uid="{E85FE61F-DC2A-47A8-9B36-61777C3181FF}"/>
    <cellStyle name="Input 2 7 3 2 8 3 3" xfId="24710" xr:uid="{739680E4-125F-43EE-B984-D1206513F28F}"/>
    <cellStyle name="Input 2 7 3 2 8 4" xfId="23310" xr:uid="{89E1DE4F-CAD9-4B9A-9072-F5556C5FAA62}"/>
    <cellStyle name="Input 2 7 3 2 8 4 2" xfId="50413" xr:uid="{0720E3FD-E5F2-4E61-9B8D-6C84E073BB5D}"/>
    <cellStyle name="Input 2 7 3 2 8 5" xfId="46221" xr:uid="{8E6C940B-6412-47ED-98B6-73FD50BE8970}"/>
    <cellStyle name="Input 2 7 3 2 9" xfId="5831" xr:uid="{00000000-0005-0000-0000-000057050000}"/>
    <cellStyle name="Input 2 7 3 2 9 2" xfId="17768" xr:uid="{E71B4F5D-7015-41D3-AB39-98C60CAB4269}"/>
    <cellStyle name="Input 2 7 3 2 9 2 2" xfId="40158" xr:uid="{8C2FD89B-8989-43F4-ABEB-9185304EE244}"/>
    <cellStyle name="Input 2 7 3 2 9 2 3" xfId="26344" xr:uid="{DFD89ABE-01D2-4E7C-8620-3EDA54FCB7D7}"/>
    <cellStyle name="Input 2 7 3 2 9 3" xfId="22192" xr:uid="{38F3D6C4-0689-4A40-96B2-D38592D3A376}"/>
    <cellStyle name="Input 2 7 3 2 9 3 2" xfId="44248" xr:uid="{821E4294-9220-4802-BDCA-88144B3DD769}"/>
    <cellStyle name="Input 2 7 3 2 9 4" xfId="46771" xr:uid="{674C829E-1283-4063-9D32-919591F8C3D0}"/>
    <cellStyle name="Input 2 7 3 3" xfId="2965" xr:uid="{00000000-0005-0000-0000-000056050000}"/>
    <cellStyle name="Input 2 7 3 3 2" xfId="9874" xr:uid="{96E3AEBD-57F4-484E-8FA5-C8C04475FE38}"/>
    <cellStyle name="Input 2 7 3 3 2 2" xfId="32397" xr:uid="{5AB6FAA0-128A-44E4-8BA0-C8157CFFF705}"/>
    <cellStyle name="Input 2 7 3 3 2 3" xfId="53635" xr:uid="{D6F4C03D-CDB2-4453-85F2-B1D525E989B7}"/>
    <cellStyle name="Input 2 7 3 3 3" xfId="15313" xr:uid="{A078F935-ACF5-4D62-A6A7-312CD32717DC}"/>
    <cellStyle name="Input 2 7 3 3 3 2" xfId="37745" xr:uid="{679D5E22-1C9F-4F6F-B6DD-9563C537E082}"/>
    <cellStyle name="Input 2 7 3 3 3 3" xfId="49805" xr:uid="{96DE2E71-94EA-4278-8933-2D3486B53FBC}"/>
    <cellStyle name="Input 2 7 3 3 4" xfId="19429" xr:uid="{4B973921-991C-4B3B-81FA-25FDF0436B3A}"/>
    <cellStyle name="Input 2 7 3 3 4 2" xfId="43855" xr:uid="{88D1122A-5C96-4FD5-B9F1-559CB6AC2EE2}"/>
    <cellStyle name="Input 2 7 3 3 5" xfId="30888" xr:uid="{F7C413FD-9027-49F2-9CE4-5AD2B67E339A}"/>
    <cellStyle name="Input 2 7 3 4" xfId="4675" xr:uid="{00000000-0005-0000-0000-000056050000}"/>
    <cellStyle name="Input 2 7 3 4 2" xfId="11573" xr:uid="{590A2D86-C921-49E1-88FD-FD2D2B4A7761}"/>
    <cellStyle name="Input 2 7 3 4 2 2" xfId="34059" xr:uid="{C96529C8-D151-4AAC-9F18-502A7F0FEF48}"/>
    <cellStyle name="Input 2 7 3 4 2 3" xfId="24618" xr:uid="{82715C10-A213-4F07-9035-81CD0E7F5CFA}"/>
    <cellStyle name="Input 2 7 3 4 3" xfId="16612" xr:uid="{7281329E-3935-4B5D-AC1E-F910E505A7DC}"/>
    <cellStyle name="Input 2 7 3 4 3 2" xfId="39002" xr:uid="{3D427DD4-D93C-4A7B-AD9F-E65085527A0C}"/>
    <cellStyle name="Input 2 7 3 4 3 3" xfId="29700" xr:uid="{6636A9A6-B434-4640-A4EC-ABF365667B42}"/>
    <cellStyle name="Input 2 7 3 4 4" xfId="19420" xr:uid="{332B294E-E09E-4CB9-BA2D-BDFE9648B0BF}"/>
    <cellStyle name="Input 2 7 3 4 4 2" xfId="29054" xr:uid="{816BB8C8-FFC4-4F4E-B964-6A82D6F01125}"/>
    <cellStyle name="Input 2 7 3 4 5" xfId="28994" xr:uid="{A6444D28-3D05-4BA0-8FA4-E33A79C9EEEF}"/>
    <cellStyle name="Input 2 7 3 5" xfId="4659" xr:uid="{00000000-0005-0000-0000-000056050000}"/>
    <cellStyle name="Input 2 7 3 5 2" xfId="11557" xr:uid="{B5509181-01B9-4313-92CC-86093E6DB26A}"/>
    <cellStyle name="Input 2 7 3 5 2 2" xfId="34043" xr:uid="{24832AC7-41FD-45F4-A9F2-A0F100EE1A15}"/>
    <cellStyle name="Input 2 7 3 5 2 3" xfId="30543" xr:uid="{D35C6882-5791-4A88-BBDB-3F984AA9EE7B}"/>
    <cellStyle name="Input 2 7 3 5 3" xfId="16596" xr:uid="{DC2253E4-777B-4DB7-A2AB-F52FA0623A4A}"/>
    <cellStyle name="Input 2 7 3 5 3 2" xfId="38986" xr:uid="{43874F90-9D2C-4B32-82D1-2FDE8C8D2F3E}"/>
    <cellStyle name="Input 2 7 3 5 3 3" xfId="28670" xr:uid="{52D4A143-8E25-4241-AF72-092554A3588D}"/>
    <cellStyle name="Input 2 7 3 5 4" xfId="20234" xr:uid="{2E638D7B-DB65-41FB-A2AC-327C53D47B97}"/>
    <cellStyle name="Input 2 7 3 5 4 2" xfId="24189" xr:uid="{AB4AD3F3-6EE3-48FA-B78B-4C6EFEAA8170}"/>
    <cellStyle name="Input 2 7 3 5 5" xfId="47721" xr:uid="{21560A7E-5439-4656-8A8A-1D0926B09DFD}"/>
    <cellStyle name="Input 2 7 3 6" xfId="5698" xr:uid="{00000000-0005-0000-0000-000056050000}"/>
    <cellStyle name="Input 2 7 3 6 2" xfId="12582" xr:uid="{8655B85E-2A1D-41A0-AEF6-E134860CB782}"/>
    <cellStyle name="Input 2 7 3 6 2 2" xfId="35067" xr:uid="{56958460-31B3-4F2F-B0EA-FFFBFE80CBE7}"/>
    <cellStyle name="Input 2 7 3 6 2 3" xfId="45373" xr:uid="{E69592A7-EACC-498C-93ED-4B92FDD1486A}"/>
    <cellStyle name="Input 2 7 3 6 3" xfId="17635" xr:uid="{FF56A7C6-6720-469B-80D0-0B07B9ACDEB4}"/>
    <cellStyle name="Input 2 7 3 6 3 2" xfId="40025" xr:uid="{97199ED9-060E-465E-9D6A-FD6E649A0822}"/>
    <cellStyle name="Input 2 7 3 6 3 3" xfId="41936" xr:uid="{504F6F5C-BF82-4501-99EC-25B737AF65D2}"/>
    <cellStyle name="Input 2 7 3 6 4" xfId="22059" xr:uid="{4A54C86B-8D8A-4E6D-AFD7-1D017979AC30}"/>
    <cellStyle name="Input 2 7 3 6 4 2" xfId="46068" xr:uid="{2E1E26FB-85D9-4E64-B978-3A7C39A32E04}"/>
    <cellStyle name="Input 2 7 3 6 5" xfId="30585" xr:uid="{07DAC4AD-A38B-49C0-A26F-8E5EA551E1F2}"/>
    <cellStyle name="Input 2 7 3 7" xfId="4654" xr:uid="{00000000-0005-0000-0000-000056050000}"/>
    <cellStyle name="Input 2 7 3 7 2" xfId="11554" xr:uid="{54615935-0EE4-42BB-86DC-B76A2A8CE6A6}"/>
    <cellStyle name="Input 2 7 3 7 2 2" xfId="34040" xr:uid="{6B4E9A8A-740B-41AF-BED9-F6D29E3876AF}"/>
    <cellStyle name="Input 2 7 3 7 2 3" xfId="44489" xr:uid="{FDA81355-B7A0-48F2-B6BF-AE1A1E06A885}"/>
    <cellStyle name="Input 2 7 3 7 3" xfId="16591" xr:uid="{06C4D107-9CD3-4784-9B7C-21146CCC9EEA}"/>
    <cellStyle name="Input 2 7 3 7 3 2" xfId="38981" xr:uid="{EB5C0133-98F1-43CF-9DE1-9E2FD42B2D4E}"/>
    <cellStyle name="Input 2 7 3 7 3 3" xfId="29426" xr:uid="{38F3223E-0A32-443D-A8D3-4D6CBCFB10C3}"/>
    <cellStyle name="Input 2 7 3 7 4" xfId="16139" xr:uid="{2134EF1B-CC87-4C1B-A6A3-E5E7762B36E8}"/>
    <cellStyle name="Input 2 7 3 7 4 2" xfId="29257" xr:uid="{FF945E56-FD82-4647-8CFA-F142CD003BEE}"/>
    <cellStyle name="Input 2 7 3 7 5" xfId="51212" xr:uid="{9DF1DEC5-6EDD-48C6-AF71-229351FDB012}"/>
    <cellStyle name="Input 2 7 3 8" xfId="8115" xr:uid="{C113F973-1376-4229-A40C-9B1F16167A1C}"/>
    <cellStyle name="Input 2 7 3 8 2" xfId="30728" xr:uid="{F08DDE89-D55F-4D30-AB37-9760A55CF847}"/>
    <cellStyle name="Input 2 7 3 8 3" xfId="53896" xr:uid="{8396DB0D-7396-4C06-AAF2-B8DA0F0462EB}"/>
    <cellStyle name="Input 2 7 3 9" xfId="8298" xr:uid="{B1E05969-490C-4A90-B598-7CCB71627E1B}"/>
    <cellStyle name="Input 2 7 3 9 2" xfId="30898" xr:uid="{86F3F75C-2FD0-4E65-8CCE-48A07C098B13}"/>
    <cellStyle name="Input 2 7 3 9 3" xfId="29493" xr:uid="{85D3F447-E6D2-429B-A3B6-DF549A4438B7}"/>
    <cellStyle name="Input 2 7 4" xfId="1017" xr:uid="{00000000-0005-0000-0000-000059050000}"/>
    <cellStyle name="Input 2 7 4 10" xfId="20167" xr:uid="{D4CDD7EF-CEE9-4CF7-9E71-1F68F7313AB8}"/>
    <cellStyle name="Input 2 7 4 10 2" xfId="29897" xr:uid="{1D5FBC16-A13F-4447-9029-3F937AD61409}"/>
    <cellStyle name="Input 2 7 4 11" xfId="54018" xr:uid="{900848C8-F1D5-4460-A974-192115CF9D51}"/>
    <cellStyle name="Input 2 7 4 2" xfId="1907" xr:uid="{00000000-0005-0000-0000-00005A050000}"/>
    <cellStyle name="Input 2 7 4 2 10" xfId="14577" xr:uid="{85EE188C-78AA-44A9-ADB5-47A134214CCC}"/>
    <cellStyle name="Input 2 7 4 2 10 2" xfId="37038" xr:uid="{960F2405-B824-47E8-B9D3-035837ECE0B3}"/>
    <cellStyle name="Input 2 7 4 2 10 3" xfId="48153" xr:uid="{52288924-DAB3-4864-A1D5-9505CBD80197}"/>
    <cellStyle name="Input 2 7 4 2 11" xfId="20026" xr:uid="{31FA3848-7D25-408E-8089-C00E7EA47D24}"/>
    <cellStyle name="Input 2 7 4 2 11 2" xfId="42350" xr:uid="{E1455734-C40C-459E-8E72-D1FB9C9BFC2D}"/>
    <cellStyle name="Input 2 7 4 2 11 3" xfId="44650" xr:uid="{ECD8E37E-FCF8-4D7E-8B55-1B101D8EB142}"/>
    <cellStyle name="Input 2 7 4 2 12" xfId="7936" xr:uid="{59445025-87BE-4DF3-85D8-5D5ABA61A5DE}"/>
    <cellStyle name="Input 2 7 4 2 12 2" xfId="50213" xr:uid="{BAFF3658-7292-42E1-A1E6-D80648DE4647}"/>
    <cellStyle name="Input 2 7 4 2 13" xfId="51251" xr:uid="{2DABE139-FBBB-4594-8927-6CC6E58E7CBD}"/>
    <cellStyle name="Input 2 7 4 2 2" xfId="4005" xr:uid="{00000000-0005-0000-0000-000059050000}"/>
    <cellStyle name="Input 2 7 4 2 2 2" xfId="10909" xr:uid="{5E5D6AB0-C2D4-4137-BB9E-B865C0EE6E71}"/>
    <cellStyle name="Input 2 7 4 2 2 2 2" xfId="33395" xr:uid="{5458FED0-DCDC-475F-9FD8-983CB61C5D75}"/>
    <cellStyle name="Input 2 7 4 2 2 2 3" xfId="47327" xr:uid="{16482D7D-87AB-4F95-9DA3-F4F3B0F406ED}"/>
    <cellStyle name="Input 2 7 4 2 2 3" xfId="16029" xr:uid="{7FAE3D3A-8267-4B29-A660-99A7BA77A0FF}"/>
    <cellStyle name="Input 2 7 4 2 2 3 2" xfId="38430" xr:uid="{09313CAC-9AF4-4D61-A637-ACD1E7520E7E}"/>
    <cellStyle name="Input 2 7 4 2 2 3 3" xfId="27370" xr:uid="{779FA035-A643-4245-AAF6-BD4F8381E9FE}"/>
    <cellStyle name="Input 2 7 4 2 2 4" xfId="19578" xr:uid="{F6B70598-6405-44FA-9979-7DBF6B45A4B0}"/>
    <cellStyle name="Input 2 7 4 2 2 4 2" xfId="28988" xr:uid="{E8F6CD2F-67DB-455F-951D-C8E3B322D952}"/>
    <cellStyle name="Input 2 7 4 2 2 5" xfId="46331" xr:uid="{E7BA6100-7716-47AD-B67A-35F629441F81}"/>
    <cellStyle name="Input 2 7 4 2 3" xfId="5379" xr:uid="{00000000-0005-0000-0000-000059050000}"/>
    <cellStyle name="Input 2 7 4 2 3 2" xfId="12270" xr:uid="{29659628-E69B-47A3-8318-AA46D5C9847A}"/>
    <cellStyle name="Input 2 7 4 2 3 2 2" xfId="34755" xr:uid="{19C47F72-0E53-4B0B-A6A2-40B2B18CFC76}"/>
    <cellStyle name="Input 2 7 4 2 3 2 3" xfId="27883" xr:uid="{13C0D448-94E0-435E-9D31-36C4F711745B}"/>
    <cellStyle name="Input 2 7 4 2 3 3" xfId="17316" xr:uid="{D848B2BD-047B-4BD8-BFBF-CB05EF4C9A87}"/>
    <cellStyle name="Input 2 7 4 2 3 3 2" xfId="39706" xr:uid="{752F58E8-9E1B-4971-9E92-DCEA3AC521AE}"/>
    <cellStyle name="Input 2 7 4 2 3 3 3" xfId="43937" xr:uid="{132E1631-3F9F-49D1-AEF7-BA2A7E65B545}"/>
    <cellStyle name="Input 2 7 4 2 3 4" xfId="21740" xr:uid="{F0F5270C-8269-4115-B721-439A5C62A85B}"/>
    <cellStyle name="Input 2 7 4 2 3 4 2" xfId="25906" xr:uid="{DBB18CBA-99E3-450A-9A31-412911D17209}"/>
    <cellStyle name="Input 2 7 4 2 3 5" xfId="47595" xr:uid="{A01780B1-8E28-490C-8D6E-BBF7EE400DFB}"/>
    <cellStyle name="Input 2 7 4 2 4" xfId="5793" xr:uid="{00000000-0005-0000-0000-000059050000}"/>
    <cellStyle name="Input 2 7 4 2 4 2" xfId="12676" xr:uid="{F7A7A53A-036B-4234-B598-9FF34A3A8847}"/>
    <cellStyle name="Input 2 7 4 2 4 2 2" xfId="35161" xr:uid="{9BD62EAD-A202-440C-9E06-86C06014D169}"/>
    <cellStyle name="Input 2 7 4 2 4 2 3" xfId="30120" xr:uid="{6000CDA8-5D45-4AA6-88DD-4D300EDBC3D3}"/>
    <cellStyle name="Input 2 7 4 2 4 3" xfId="17730" xr:uid="{18D9DC69-8EE7-4FD9-95FA-6A606FCAE666}"/>
    <cellStyle name="Input 2 7 4 2 4 3 2" xfId="40120" xr:uid="{2CDF96F6-9820-465A-B4AD-80E1B2E3BA3F}"/>
    <cellStyle name="Input 2 7 4 2 4 3 3" xfId="43975" xr:uid="{C166E8DF-D5AA-4CC5-8D55-3D1D37D3BA13}"/>
    <cellStyle name="Input 2 7 4 2 4 4" xfId="22154" xr:uid="{8EAC0F46-DD2A-47FC-BCE6-7772C24F1046}"/>
    <cellStyle name="Input 2 7 4 2 4 4 2" xfId="51885" xr:uid="{D682940E-33A6-46B5-94CF-B87774C883A0}"/>
    <cellStyle name="Input 2 7 4 2 4 5" xfId="44067" xr:uid="{7C68CD70-CCB3-4FE3-9B16-0F90B28720D1}"/>
    <cellStyle name="Input 2 7 4 2 5" xfId="6138" xr:uid="{00000000-0005-0000-0000-000059050000}"/>
    <cellStyle name="Input 2 7 4 2 5 2" xfId="13015" xr:uid="{63388F7A-DDFB-4547-9F4A-050385CE6EE3}"/>
    <cellStyle name="Input 2 7 4 2 5 2 2" xfId="35499" xr:uid="{5666FAFE-D7B3-4086-9177-3F0A412C0EBC}"/>
    <cellStyle name="Input 2 7 4 2 5 2 3" xfId="48516" xr:uid="{83840A4D-0893-4E7B-8222-6B0114930DF7}"/>
    <cellStyle name="Input 2 7 4 2 5 3" xfId="18075" xr:uid="{58E1459B-2B80-4160-AD84-D4EE69856E64}"/>
    <cellStyle name="Input 2 7 4 2 5 3 2" xfId="40465" xr:uid="{1816577A-5F19-4347-AD32-F874C35068F5}"/>
    <cellStyle name="Input 2 7 4 2 5 3 3" xfId="42646" xr:uid="{4443D777-70F9-4C29-B309-080FF9845898}"/>
    <cellStyle name="Input 2 7 4 2 5 4" xfId="22499" xr:uid="{D0161FFB-69C9-4119-AF9D-9779768CFFD1}"/>
    <cellStyle name="Input 2 7 4 2 5 4 2" xfId="29852" xr:uid="{0DD6547D-ADD3-462D-A04B-318FCC3455B0}"/>
    <cellStyle name="Input 2 7 4 2 5 5" xfId="23892" xr:uid="{0279E181-EAB1-443F-A63C-21ADBD8BF4C2}"/>
    <cellStyle name="Input 2 7 4 2 6" xfId="6511" xr:uid="{00000000-0005-0000-0000-000059050000}"/>
    <cellStyle name="Input 2 7 4 2 6 2" xfId="13380" xr:uid="{97752256-E055-47A9-9105-8EB6D5A62E50}"/>
    <cellStyle name="Input 2 7 4 2 6 2 2" xfId="35864" xr:uid="{B79AEFB5-3D4F-4DD9-A3D3-27F5F14EB453}"/>
    <cellStyle name="Input 2 7 4 2 6 2 3" xfId="51575" xr:uid="{8DB72BA8-E7F6-49BF-882C-AFED217A7344}"/>
    <cellStyle name="Input 2 7 4 2 6 3" xfId="18448" xr:uid="{2C728F53-EEDA-4FE6-A96E-105531101AC7}"/>
    <cellStyle name="Input 2 7 4 2 6 3 2" xfId="40838" xr:uid="{30BD1ACC-7D78-4D68-8BE9-BA8697009ED9}"/>
    <cellStyle name="Input 2 7 4 2 6 3 3" xfId="29011" xr:uid="{E3D62732-AC0A-497C-A312-78E7FA45FCD9}"/>
    <cellStyle name="Input 2 7 4 2 6 4" xfId="22872" xr:uid="{F806EC94-BEE2-428A-8F91-F290AB931025}"/>
    <cellStyle name="Input 2 7 4 2 6 4 2" xfId="43910" xr:uid="{E9D3909D-7B26-4F6E-BB3A-9EAB7880C5BD}"/>
    <cellStyle name="Input 2 7 4 2 6 5" xfId="49849" xr:uid="{06E28FF1-7879-467C-A35C-92EBDBD5E40B}"/>
    <cellStyle name="Input 2 7 4 2 7" xfId="5561" xr:uid="{00000000-0005-0000-0000-000059050000}"/>
    <cellStyle name="Input 2 7 4 2 7 2" xfId="12448" xr:uid="{BAE607AC-18D8-46DA-A169-E9D1E6D0DA1D}"/>
    <cellStyle name="Input 2 7 4 2 7 2 2" xfId="34933" xr:uid="{F36E46E9-CCFD-455B-884A-3461603D7DC1}"/>
    <cellStyle name="Input 2 7 4 2 7 2 3" xfId="32610" xr:uid="{6D46B2D2-6FC6-4801-B104-02BDDC76A7DA}"/>
    <cellStyle name="Input 2 7 4 2 7 3" xfId="17498" xr:uid="{3B1FC4F6-4439-4306-A8A6-1363AF3E11A0}"/>
    <cellStyle name="Input 2 7 4 2 7 3 2" xfId="39888" xr:uid="{BF84B26B-C575-4377-8629-BD5348BB0A53}"/>
    <cellStyle name="Input 2 7 4 2 7 3 3" xfId="43586" xr:uid="{0F51A433-BDB7-436B-BB07-F84D6F8CB13C}"/>
    <cellStyle name="Input 2 7 4 2 7 4" xfId="21922" xr:uid="{AA0C2F97-9A9E-4E80-9CE5-CC00C6E2E9A0}"/>
    <cellStyle name="Input 2 7 4 2 7 4 2" xfId="51908" xr:uid="{CDE2ED37-01EE-452B-AE3A-233414D882E1}"/>
    <cellStyle name="Input 2 7 4 2 7 5" xfId="51369" xr:uid="{E16AF7F0-6ADF-4FE2-9E6A-B6FF6BF673D1}"/>
    <cellStyle name="Input 2 7 4 2 8" xfId="6995" xr:uid="{00000000-0005-0000-0000-000059050000}"/>
    <cellStyle name="Input 2 7 4 2 8 2" xfId="13832" xr:uid="{4FD40C99-90EE-4891-9325-F5BD78E62A48}"/>
    <cellStyle name="Input 2 7 4 2 8 2 2" xfId="36316" xr:uid="{539ED2C5-99B8-4D90-985D-E09042CB30FA}"/>
    <cellStyle name="Input 2 7 4 2 8 2 3" xfId="52131" xr:uid="{4F8C4E9B-2E55-4781-B47B-F8F0FEFDFD44}"/>
    <cellStyle name="Input 2 7 4 2 8 3" xfId="18932" xr:uid="{C45283AD-E869-4BC2-82AA-FE6F56167BDA}"/>
    <cellStyle name="Input 2 7 4 2 8 3 2" xfId="41322" xr:uid="{6B253E7E-369E-4452-A5C7-0A167A922E48}"/>
    <cellStyle name="Input 2 7 4 2 8 3 3" xfId="28925" xr:uid="{591B8D9B-0383-4355-8B22-A592B348F02A}"/>
    <cellStyle name="Input 2 7 4 2 8 4" xfId="23356" xr:uid="{91FA948D-8ADD-4E35-8047-9F0124145023}"/>
    <cellStyle name="Input 2 7 4 2 8 4 2" xfId="53996" xr:uid="{155D6CFA-5EF2-4087-8720-0D92FEF03352}"/>
    <cellStyle name="Input 2 7 4 2 8 5" xfId="47767" xr:uid="{9F79119F-BE03-4A10-ABD2-917AC2AA7F8D}"/>
    <cellStyle name="Input 2 7 4 2 9" xfId="3472" xr:uid="{00000000-0005-0000-0000-000059050000}"/>
    <cellStyle name="Input 2 7 4 2 9 2" xfId="15650" xr:uid="{A35FD508-766D-422F-87FE-5DC0CA190FF5}"/>
    <cellStyle name="Input 2 7 4 2 9 2 2" xfId="38066" xr:uid="{29888F71-5963-4494-B87E-506BB70BBECC}"/>
    <cellStyle name="Input 2 7 4 2 9 2 3" xfId="48903" xr:uid="{89199A80-E539-49F5-A9A0-8FC930C49EC4}"/>
    <cellStyle name="Input 2 7 4 2 9 3" xfId="20481" xr:uid="{D50FB1D2-6AC1-4666-BA95-75940C84905E}"/>
    <cellStyle name="Input 2 7 4 2 9 3 2" xfId="43207" xr:uid="{A747C3B3-C552-423D-9749-762AA949427B}"/>
    <cellStyle name="Input 2 7 4 2 9 4" xfId="52338" xr:uid="{C719E7F0-435B-4164-A4FA-A5B1C64E914B}"/>
    <cellStyle name="Input 2 7 4 3" xfId="3144" xr:uid="{00000000-0005-0000-0000-000058050000}"/>
    <cellStyle name="Input 2 7 4 3 2" xfId="10053" xr:uid="{5F3C865A-66A5-4F94-B614-8C18753E6D51}"/>
    <cellStyle name="Input 2 7 4 3 2 2" xfId="32560" xr:uid="{EB06F90E-C5F5-47E1-A025-67344D1411F9}"/>
    <cellStyle name="Input 2 7 4 3 2 3" xfId="46792" xr:uid="{D02BE26D-96C4-450B-957E-9D8DAF1C0EF7}"/>
    <cellStyle name="Input 2 7 4 3 3" xfId="15431" xr:uid="{5BDD800B-6266-45C9-96FC-336EDE633F5F}"/>
    <cellStyle name="Input 2 7 4 3 3 2" xfId="37857" xr:uid="{0A0804A6-ECD1-4777-9A46-6C97C5C5C4B1}"/>
    <cellStyle name="Input 2 7 4 3 3 3" xfId="28486" xr:uid="{6668E252-0E0C-4E70-A476-1B7EF8E754EE}"/>
    <cellStyle name="Input 2 7 4 3 4" xfId="16080" xr:uid="{69A6DAFB-EBA0-40DB-9C1C-4B7BFEB1179D}"/>
    <cellStyle name="Input 2 7 4 3 4 2" xfId="44244" xr:uid="{E2DD9954-BDB3-440A-9258-25D98B54B71C}"/>
    <cellStyle name="Input 2 7 4 3 5" xfId="47797" xr:uid="{535C39DE-267F-4949-B19D-732ABCA68939}"/>
    <cellStyle name="Input 2 7 4 4" xfId="4792" xr:uid="{00000000-0005-0000-0000-000058050000}"/>
    <cellStyle name="Input 2 7 4 4 2" xfId="11689" xr:uid="{1196DE7D-4941-49A4-9D2B-68626DC10B5F}"/>
    <cellStyle name="Input 2 7 4 4 2 2" xfId="34175" xr:uid="{B5CA34EA-BC9F-4D2E-83DC-5287C590008B}"/>
    <cellStyle name="Input 2 7 4 4 2 3" xfId="45670" xr:uid="{85B0EA9F-1EC7-4480-8A8D-4D99906574BA}"/>
    <cellStyle name="Input 2 7 4 4 3" xfId="16729" xr:uid="{B1461A1D-8AE4-476A-A35A-A17BAA652016}"/>
    <cellStyle name="Input 2 7 4 4 3 2" xfId="39119" xr:uid="{2EEF90F1-160F-420A-A95E-8261D7F79988}"/>
    <cellStyle name="Input 2 7 4 4 3 3" xfId="37781" xr:uid="{86514148-DD59-4A45-A0D3-701AFEE51E39}"/>
    <cellStyle name="Input 2 7 4 4 4" xfId="19623" xr:uid="{931C5A4E-8F71-4777-98F6-4C875CCE987B}"/>
    <cellStyle name="Input 2 7 4 4 4 2" xfId="42851" xr:uid="{D02673A7-CC3E-4420-9306-4E9BE4D80EA5}"/>
    <cellStyle name="Input 2 7 4 4 5" xfId="48893" xr:uid="{6F091BCE-842B-470B-A043-84E7CFA6AE6F}"/>
    <cellStyle name="Input 2 7 4 5" xfId="5123" xr:uid="{00000000-0005-0000-0000-000058050000}"/>
    <cellStyle name="Input 2 7 4 5 2" xfId="12016" xr:uid="{210580B0-58D0-44D2-97C4-CF60ADC81D29}"/>
    <cellStyle name="Input 2 7 4 5 2 2" xfId="34502" xr:uid="{1528ECB5-2860-44B9-A045-FAAA6F455017}"/>
    <cellStyle name="Input 2 7 4 5 2 3" xfId="45677" xr:uid="{00288188-F695-45C7-848F-E083AAC56AEA}"/>
    <cellStyle name="Input 2 7 4 5 3" xfId="17060" xr:uid="{12A98286-3E7B-4982-9618-3544727D8499}"/>
    <cellStyle name="Input 2 7 4 5 3 2" xfId="39450" xr:uid="{F78CD673-E126-40A7-9BA6-E55DF8F04818}"/>
    <cellStyle name="Input 2 7 4 5 3 3" xfId="26780" xr:uid="{B605081E-3329-4311-881A-7055E4B33557}"/>
    <cellStyle name="Input 2 7 4 5 4" xfId="21484" xr:uid="{A61D7000-8581-45DE-BF9B-DF89DFA65D50}"/>
    <cellStyle name="Input 2 7 4 5 4 2" xfId="38652" xr:uid="{B6925EA9-2C9B-4146-9578-D6326847ED48}"/>
    <cellStyle name="Input 2 7 4 5 5" xfId="51749" xr:uid="{B1F63671-D197-4D22-921D-84310658AB11}"/>
    <cellStyle name="Input 2 7 4 6" xfId="5169" xr:uid="{00000000-0005-0000-0000-000058050000}"/>
    <cellStyle name="Input 2 7 4 6 2" xfId="12062" xr:uid="{9532C301-2DF4-48AB-9EF0-4FBB44B151A9}"/>
    <cellStyle name="Input 2 7 4 6 2 2" xfId="34548" xr:uid="{E9E3B4CE-66A3-4C5F-B8DA-236FB167DF1A}"/>
    <cellStyle name="Input 2 7 4 6 2 3" xfId="44324" xr:uid="{D2BD8816-34FB-48F0-9CCA-51A806D349E3}"/>
    <cellStyle name="Input 2 7 4 6 3" xfId="17106" xr:uid="{63439E28-3CF5-434A-AE13-CF2D7E9217FE}"/>
    <cellStyle name="Input 2 7 4 6 3 2" xfId="39496" xr:uid="{2E1E1266-49BE-4374-8E3D-C06C0766CB29}"/>
    <cellStyle name="Input 2 7 4 6 3 3" xfId="28193" xr:uid="{277EDC5B-E75A-428A-9D82-4286E6E202FD}"/>
    <cellStyle name="Input 2 7 4 6 4" xfId="21530" xr:uid="{5E7048F9-346B-4E9E-B8C6-3F9A03A10087}"/>
    <cellStyle name="Input 2 7 4 6 4 2" xfId="46872" xr:uid="{79BC8EA0-565C-4CCD-A431-7D2BE83D4B0B}"/>
    <cellStyle name="Input 2 7 4 6 5" xfId="41934" xr:uid="{ABFE04E0-CEB2-428B-80B0-3150A0AEF1DD}"/>
    <cellStyle name="Input 2 7 4 7" xfId="4472" xr:uid="{00000000-0005-0000-0000-000058050000}"/>
    <cellStyle name="Input 2 7 4 7 2" xfId="11374" xr:uid="{8F7F070B-0128-4840-8992-AE2C843F2140}"/>
    <cellStyle name="Input 2 7 4 7 2 2" xfId="33860" xr:uid="{6BC67568-58DE-4F58-92D9-73A4A5713319}"/>
    <cellStyle name="Input 2 7 4 7 2 3" xfId="44109" xr:uid="{B38E0EDF-494A-49ED-9F18-481D49780B54}"/>
    <cellStyle name="Input 2 7 4 7 3" xfId="16409" xr:uid="{29351D81-EE8D-44A9-AC81-EB592879D125}"/>
    <cellStyle name="Input 2 7 4 7 3 2" xfId="38799" xr:uid="{9CB1FACC-9A59-4907-B5BE-4B5E97530DBF}"/>
    <cellStyle name="Input 2 7 4 7 3 3" xfId="45822" xr:uid="{8279FF53-C81D-432B-A74D-D71A11DABCBC}"/>
    <cellStyle name="Input 2 7 4 7 4" xfId="19315" xr:uid="{8961035B-7D19-4F05-ADD1-5EB8081D52E5}"/>
    <cellStyle name="Input 2 7 4 7 4 2" xfId="30722" xr:uid="{402B59EF-9303-4267-8EBB-2D3CF85C45CB}"/>
    <cellStyle name="Input 2 7 4 7 5" xfId="49051" xr:uid="{6AA8618F-E7EF-4464-8822-95CC249684F4}"/>
    <cellStyle name="Input 2 7 4 8" xfId="13635" xr:uid="{4AD3B624-1D5C-45F4-9CCF-F9E7C5F71C62}"/>
    <cellStyle name="Input 2 7 4 8 2" xfId="36119" xr:uid="{5CB84641-B559-480E-BA66-08AA00CF9E22}"/>
    <cellStyle name="Input 2 7 4 8 3" xfId="53437" xr:uid="{3079CC7C-44CE-442D-9571-175929869F50}"/>
    <cellStyle name="Input 2 7 4 9" xfId="19401" xr:uid="{C76009B5-2761-449F-90AE-B33CBDD2FE03}"/>
    <cellStyle name="Input 2 7 4 9 2" xfId="41773" xr:uid="{E529BD8B-8557-4D7C-A1A6-D77F789124AE}"/>
    <cellStyle name="Input 2 7 4 9 3" xfId="30175" xr:uid="{18452A52-76B3-4C7A-A7F7-856CC082C425}"/>
    <cellStyle name="Input 2 7 5" xfId="1201" xr:uid="{00000000-0005-0000-0000-00005B050000}"/>
    <cellStyle name="Input 2 7 5 10" xfId="20103" xr:uid="{35F97C17-DEEA-45C2-BE4C-7BD5B281F5DA}"/>
    <cellStyle name="Input 2 7 5 10 2" xfId="30986" xr:uid="{53EF1EE2-40B5-4DB0-87CE-3C33EDE6129A}"/>
    <cellStyle name="Input 2 7 5 11" xfId="29825" xr:uid="{D79F1381-3529-45DC-AA2A-89315B8CAFFD}"/>
    <cellStyle name="Input 2 7 5 2" xfId="2001" xr:uid="{00000000-0005-0000-0000-00005C050000}"/>
    <cellStyle name="Input 2 7 5 2 10" xfId="14649" xr:uid="{61092F75-B540-4CEE-BC04-E4BB123E48C4}"/>
    <cellStyle name="Input 2 7 5 2 10 2" xfId="37109" xr:uid="{3C3D1964-174A-4DFE-8100-E195A2CC1E45}"/>
    <cellStyle name="Input 2 7 5 2 10 3" xfId="43844" xr:uid="{423D859E-8569-4771-9142-C67BC0DFF10F}"/>
    <cellStyle name="Input 2 7 5 2 11" xfId="19209" xr:uid="{D9F1CD3E-197B-4AED-8A60-38422CDCB661}"/>
    <cellStyle name="Input 2 7 5 2 11 2" xfId="41597" xr:uid="{45ACE7A5-445E-471E-BBA0-B17B5CBF66EE}"/>
    <cellStyle name="Input 2 7 5 2 11 3" xfId="43850" xr:uid="{2741F261-F240-4242-9ED8-F06629D310E7}"/>
    <cellStyle name="Input 2 7 5 2 12" xfId="21002" xr:uid="{6CD8D433-DDF7-4320-B2EC-5F42C3BD49F7}"/>
    <cellStyle name="Input 2 7 5 2 12 2" xfId="45112" xr:uid="{57753903-DC73-4AC3-9A8A-FBA042A2F8C4}"/>
    <cellStyle name="Input 2 7 5 2 13" xfId="52820" xr:uid="{2688D4C1-1D61-42C2-A3B3-C540C9173E38}"/>
    <cellStyle name="Input 2 7 5 2 2" xfId="4097" xr:uid="{00000000-0005-0000-0000-00005B050000}"/>
    <cellStyle name="Input 2 7 5 2 2 2" xfId="11001" xr:uid="{7F37A789-A7E4-4025-A535-583D3B284738}"/>
    <cellStyle name="Input 2 7 5 2 2 2 2" xfId="33487" xr:uid="{00DD92AB-71F3-488C-9A18-663AEC5DEEBF}"/>
    <cellStyle name="Input 2 7 5 2 2 2 3" xfId="52901" xr:uid="{2DFE5225-BE75-4965-973A-2D4D32E840A1}"/>
    <cellStyle name="Input 2 7 5 2 2 3" xfId="16101" xr:uid="{E84154CE-6E9B-4D15-8892-A3A5CC1F6C01}"/>
    <cellStyle name="Input 2 7 5 2 2 3 2" xfId="38501" xr:uid="{CAD2EB6B-8BD3-4B3F-8295-443A3890EDE0}"/>
    <cellStyle name="Input 2 7 5 2 2 3 3" xfId="30731" xr:uid="{028ADF42-82B5-4C5A-AC22-B670C7F6C6B5}"/>
    <cellStyle name="Input 2 7 5 2 2 4" xfId="19631" xr:uid="{7CC0E5FE-FBB1-4B0F-8374-3AD6D4038F7A}"/>
    <cellStyle name="Input 2 7 5 2 2 4 2" xfId="37926" xr:uid="{5F8FBACE-25D3-4F27-B676-468C59006E6C}"/>
    <cellStyle name="Input 2 7 5 2 2 5" xfId="24291" xr:uid="{DB017781-79A0-4AEB-B3A6-C55C5533F67E}"/>
    <cellStyle name="Input 2 7 5 2 3" xfId="5442" xr:uid="{00000000-0005-0000-0000-00005B050000}"/>
    <cellStyle name="Input 2 7 5 2 3 2" xfId="12332" xr:uid="{13BA703E-FE48-431E-8EA8-7C3B779260DD}"/>
    <cellStyle name="Input 2 7 5 2 3 2 2" xfId="34817" xr:uid="{AC8DD1FD-98A8-4567-935C-0CC18D64495D}"/>
    <cellStyle name="Input 2 7 5 2 3 2 3" xfId="31966" xr:uid="{B112D6FB-3C31-45FC-9D56-C6AB37A003F3}"/>
    <cellStyle name="Input 2 7 5 2 3 3" xfId="17379" xr:uid="{8C0E3711-FDCC-4923-80E7-3ECF3F8A92FC}"/>
    <cellStyle name="Input 2 7 5 2 3 3 2" xfId="39769" xr:uid="{996A4F66-C441-479F-AF28-844B60D867AB}"/>
    <cellStyle name="Input 2 7 5 2 3 3 3" xfId="23823" xr:uid="{72137095-6F12-412B-9D5E-2BAEEC1478AC}"/>
    <cellStyle name="Input 2 7 5 2 3 4" xfId="21803" xr:uid="{3233CE65-957C-45E7-842D-A22C05D9AEBD}"/>
    <cellStyle name="Input 2 7 5 2 3 4 2" xfId="29945" xr:uid="{3CAE1263-577C-4F40-87D6-96E81E0E3CC8}"/>
    <cellStyle name="Input 2 7 5 2 3 5" xfId="23880" xr:uid="{DF7F3D39-79AC-45DA-A89D-63A62DD56660}"/>
    <cellStyle name="Input 2 7 5 2 4" xfId="5865" xr:uid="{00000000-0005-0000-0000-00005B050000}"/>
    <cellStyle name="Input 2 7 5 2 4 2" xfId="12747" xr:uid="{CC3EE295-3252-47DF-B8E6-B4AA704D92A7}"/>
    <cellStyle name="Input 2 7 5 2 4 2 2" xfId="35231" xr:uid="{F6B78ECA-D428-4A12-BF35-94AB113F29CA}"/>
    <cellStyle name="Input 2 7 5 2 4 2 3" xfId="30002" xr:uid="{AB81E9BE-3FB3-4F27-B56E-FCA28CEB7426}"/>
    <cellStyle name="Input 2 7 5 2 4 3" xfId="17802" xr:uid="{47162C51-D2D8-4C43-83E4-13335C8A5681}"/>
    <cellStyle name="Input 2 7 5 2 4 3 2" xfId="40192" xr:uid="{4D55A904-B1E1-4142-B895-A1AFFD449425}"/>
    <cellStyle name="Input 2 7 5 2 4 3 3" xfId="45078" xr:uid="{4C2AC3CB-751B-4E83-B6E0-8489289D99FB}"/>
    <cellStyle name="Input 2 7 5 2 4 4" xfId="22226" xr:uid="{BA7DDCB0-EB77-4D3B-AD02-FCCA29FC46D0}"/>
    <cellStyle name="Input 2 7 5 2 4 4 2" xfId="47226" xr:uid="{119980AC-B5FD-4B8B-874E-B9AD2686D00A}"/>
    <cellStyle name="Input 2 7 5 2 4 5" xfId="46109" xr:uid="{7C8DFCD6-A376-4259-B1D9-B08F2B746316}"/>
    <cellStyle name="Input 2 7 5 2 5" xfId="6203" xr:uid="{00000000-0005-0000-0000-00005B050000}"/>
    <cellStyle name="Input 2 7 5 2 5 2" xfId="13078" xr:uid="{35DFC3B0-1C96-4976-88FB-78EAAE251CF9}"/>
    <cellStyle name="Input 2 7 5 2 5 2 2" xfId="35562" xr:uid="{3C31C8F6-413B-4A83-88BB-F21B1B287C12}"/>
    <cellStyle name="Input 2 7 5 2 5 2 3" xfId="49800" xr:uid="{752D92D3-7819-440F-AA18-4BAE14D856EE}"/>
    <cellStyle name="Input 2 7 5 2 5 3" xfId="18140" xr:uid="{8AC8D150-72E7-48B4-8475-5731A29B6835}"/>
    <cellStyle name="Input 2 7 5 2 5 3 2" xfId="40530" xr:uid="{E119B610-C93E-4125-84F4-9AAD415FDD37}"/>
    <cellStyle name="Input 2 7 5 2 5 3 3" xfId="43972" xr:uid="{7E453766-6A4D-4448-A5F7-562F029AFD50}"/>
    <cellStyle name="Input 2 7 5 2 5 4" xfId="22564" xr:uid="{8ABE5182-8CDA-437E-9F97-C16A3E53178D}"/>
    <cellStyle name="Input 2 7 5 2 5 4 2" xfId="49570" xr:uid="{2DA84EF5-55D4-4DAF-AC92-DB6EB6865A77}"/>
    <cellStyle name="Input 2 7 5 2 5 5" xfId="24397" xr:uid="{5F348AA3-CC61-4F4B-8461-3870B4744F1A}"/>
    <cellStyle name="Input 2 7 5 2 6" xfId="6571" xr:uid="{00000000-0005-0000-0000-00005B050000}"/>
    <cellStyle name="Input 2 7 5 2 6 2" xfId="13437" xr:uid="{19CBF197-657E-44FD-8793-D678BF351845}"/>
    <cellStyle name="Input 2 7 5 2 6 2 2" xfId="35921" xr:uid="{84FC7B62-8293-4C97-8D88-A4BD32394F60}"/>
    <cellStyle name="Input 2 7 5 2 6 2 3" xfId="46039" xr:uid="{6BFF7805-8C82-4A6E-9357-40FE18A8AA42}"/>
    <cellStyle name="Input 2 7 5 2 6 3" xfId="18508" xr:uid="{06AE306E-1DAB-472E-AA84-B003EF8312A2}"/>
    <cellStyle name="Input 2 7 5 2 6 3 2" xfId="40898" xr:uid="{FC4C753F-6AAF-4807-8551-0BF0243B58E3}"/>
    <cellStyle name="Input 2 7 5 2 6 3 3" xfId="42322" xr:uid="{708D98BB-B4A0-43D9-8315-CBB481171706}"/>
    <cellStyle name="Input 2 7 5 2 6 4" xfId="22932" xr:uid="{7780E1F7-985F-4126-ACDF-D65A55977671}"/>
    <cellStyle name="Input 2 7 5 2 6 4 2" xfId="51765" xr:uid="{86BC5B3E-154D-4006-AA7D-F4D4E2A717FF}"/>
    <cellStyle name="Input 2 7 5 2 6 5" xfId="53337" xr:uid="{9FD2AA12-E84A-45C1-AA34-7A26260CD412}"/>
    <cellStyle name="Input 2 7 5 2 7" xfId="4891" xr:uid="{00000000-0005-0000-0000-00005B050000}"/>
    <cellStyle name="Input 2 7 5 2 7 2" xfId="11786" xr:uid="{D682CA4B-8D3A-4F3C-9E21-913A3A8343DA}"/>
    <cellStyle name="Input 2 7 5 2 7 2 2" xfId="34272" xr:uid="{672F2151-C976-4FEC-9CC2-4413B2EE84AE}"/>
    <cellStyle name="Input 2 7 5 2 7 2 3" xfId="29725" xr:uid="{852F53A8-E6C7-417D-B69A-4987D844B183}"/>
    <cellStyle name="Input 2 7 5 2 7 3" xfId="16828" xr:uid="{3193B48D-CAFA-46BC-B022-EE02B7CE5ED6}"/>
    <cellStyle name="Input 2 7 5 2 7 3 2" xfId="39218" xr:uid="{D2EB5885-CFA3-4CD2-977A-81EFB2D2D77D}"/>
    <cellStyle name="Input 2 7 5 2 7 3 3" xfId="44380" xr:uid="{0895924D-52BD-4B64-8C23-0BE836C5936C}"/>
    <cellStyle name="Input 2 7 5 2 7 4" xfId="15395" xr:uid="{563392CA-F7F6-4DEB-9736-86BFC3DA93B9}"/>
    <cellStyle name="Input 2 7 5 2 7 4 2" xfId="47036" xr:uid="{2426E583-A945-4FD0-9CB8-0B32FD31E667}"/>
    <cellStyle name="Input 2 7 5 2 7 5" xfId="29341" xr:uid="{90F5E420-DBF2-4238-ADE9-9EFB27BABB90}"/>
    <cellStyle name="Input 2 7 5 2 8" xfId="7041" xr:uid="{00000000-0005-0000-0000-00005B050000}"/>
    <cellStyle name="Input 2 7 5 2 8 2" xfId="13877" xr:uid="{941D3BF7-76D2-48B1-8374-C6FFCE33F585}"/>
    <cellStyle name="Input 2 7 5 2 8 2 2" xfId="36361" xr:uid="{005EB6AD-4205-4D67-8F2D-37E7B4CB4FF8}"/>
    <cellStyle name="Input 2 7 5 2 8 2 3" xfId="52991" xr:uid="{7A3DEAAB-E7B1-4A0A-A4D4-28D370E36DD7}"/>
    <cellStyle name="Input 2 7 5 2 8 3" xfId="18978" xr:uid="{59F1328C-F290-498D-B3CE-1AD86812E8E9}"/>
    <cellStyle name="Input 2 7 5 2 8 3 2" xfId="41368" xr:uid="{E22F2CB8-20AC-4284-BD2B-50312CC73605}"/>
    <cellStyle name="Input 2 7 5 2 8 3 3" xfId="29130" xr:uid="{EBA6B5A8-0211-46B6-B8D8-50C6E5511CEE}"/>
    <cellStyle name="Input 2 7 5 2 8 4" xfId="23402" xr:uid="{568E1002-F40C-4246-A23D-21E8CEFC46DA}"/>
    <cellStyle name="Input 2 7 5 2 8 4 2" xfId="46550" xr:uid="{85C26189-2A08-40D5-A4DF-06EB3B05663E}"/>
    <cellStyle name="Input 2 7 5 2 8 5" xfId="44274" xr:uid="{D72DCF92-E28C-4FFA-927E-7533B6613238}"/>
    <cellStyle name="Input 2 7 5 2 9" xfId="7156" xr:uid="{00000000-0005-0000-0000-00005B050000}"/>
    <cellStyle name="Input 2 7 5 2 9 2" xfId="19093" xr:uid="{9DEF01F7-4F39-4BEA-825A-964F48ABF8DE}"/>
    <cellStyle name="Input 2 7 5 2 9 2 2" xfId="41483" xr:uid="{24A0FD55-8E1F-49AD-87AC-765058192ACC}"/>
    <cellStyle name="Input 2 7 5 2 9 2 3" xfId="28362" xr:uid="{2714B93C-8ECE-4977-8A62-B32523B126E2}"/>
    <cellStyle name="Input 2 7 5 2 9 3" xfId="23517" xr:uid="{F6415C73-740F-4D90-8A8F-919CE0402CC7}"/>
    <cellStyle name="Input 2 7 5 2 9 3 2" xfId="28146" xr:uid="{E44DC25A-BBD8-45D1-983B-04E1A12BAC2E}"/>
    <cellStyle name="Input 2 7 5 2 9 4" xfId="46556" xr:uid="{40FA38BF-4EFE-4661-8A7E-1239ACF2C502}"/>
    <cellStyle name="Input 2 7 5 3" xfId="3316" xr:uid="{00000000-0005-0000-0000-00005A050000}"/>
    <cellStyle name="Input 2 7 5 3 2" xfId="10224" xr:uid="{0541964B-4D20-4D32-9439-67EDC54090C6}"/>
    <cellStyle name="Input 2 7 5 3 2 2" xfId="32718" xr:uid="{8F37EA61-0886-4D24-AF5E-C3C6F2CD6BB2}"/>
    <cellStyle name="Input 2 7 5 3 2 3" xfId="24616" xr:uid="{CC8081A8-7048-43DC-82C5-0E6CAFE4B3EF}"/>
    <cellStyle name="Input 2 7 5 3 3" xfId="15542" xr:uid="{1CF73724-09B4-4C89-A812-D343D9B177DF}"/>
    <cellStyle name="Input 2 7 5 3 3 2" xfId="37961" xr:uid="{8D2F7A89-56E1-4CAE-99B1-08481946710E}"/>
    <cellStyle name="Input 2 7 5 3 3 3" xfId="53109" xr:uid="{CE5C6A40-2513-454B-8637-6DC6FAAA5D18}"/>
    <cellStyle name="Input 2 7 5 3 4" xfId="21197" xr:uid="{E405993E-0B6F-4308-AF9E-913C650EEF87}"/>
    <cellStyle name="Input 2 7 5 3 4 2" xfId="42707" xr:uid="{E32CF93F-4EC4-4D9F-81E2-49DD40555A90}"/>
    <cellStyle name="Input 2 7 5 3 5" xfId="51455" xr:uid="{E1A0F365-0C8E-4D04-B8E9-FBD7350CC1C9}"/>
    <cellStyle name="Input 2 7 5 4" xfId="4902" xr:uid="{00000000-0005-0000-0000-00005A050000}"/>
    <cellStyle name="Input 2 7 5 4 2" xfId="11797" xr:uid="{A5852EDA-BBF7-4F53-BADD-734A0981C34D}"/>
    <cellStyle name="Input 2 7 5 4 2 2" xfId="34283" xr:uid="{E598BF31-08EE-4D28-A55C-A3B4E4D75CE3}"/>
    <cellStyle name="Input 2 7 5 4 2 3" xfId="30172" xr:uid="{7FC9B14B-728B-43DC-88AD-FFC5AD2E130E}"/>
    <cellStyle name="Input 2 7 5 4 3" xfId="16839" xr:uid="{938AC676-8277-4213-A865-874EC31D6E4E}"/>
    <cellStyle name="Input 2 7 5 4 3 2" xfId="39229" xr:uid="{C750D704-2722-48C7-AEA3-421CCD409430}"/>
    <cellStyle name="Input 2 7 5 4 3 3" xfId="43973" xr:uid="{C5EB70B3-A26D-4B4B-B52C-4A5E3DBFA507}"/>
    <cellStyle name="Input 2 7 5 4 4" xfId="20408" xr:uid="{58C59D8C-C88C-4893-8A80-B0EAB8C02A7D}"/>
    <cellStyle name="Input 2 7 5 4 4 2" xfId="50288" xr:uid="{8B3B57C0-B40B-4343-B1D9-435D11AC86C4}"/>
    <cellStyle name="Input 2 7 5 4 5" xfId="52359" xr:uid="{8E3E6F6A-9C53-472B-84D3-F1BFEE736DC9}"/>
    <cellStyle name="Input 2 7 5 5" xfId="5978" xr:uid="{00000000-0005-0000-0000-00005A050000}"/>
    <cellStyle name="Input 2 7 5 5 2" xfId="12859" xr:uid="{9B590F71-34AE-4F6A-9FF9-81272FD27845}"/>
    <cellStyle name="Input 2 7 5 5 2 2" xfId="35343" xr:uid="{C71E33D5-4349-4C9A-8DFF-35E020894152}"/>
    <cellStyle name="Input 2 7 5 5 2 3" xfId="30287" xr:uid="{EDE16C49-E47B-41BF-A7B4-D15A66556A4B}"/>
    <cellStyle name="Input 2 7 5 5 3" xfId="17915" xr:uid="{E3E12251-974E-4919-944D-58D2ECC66DE2}"/>
    <cellStyle name="Input 2 7 5 5 3 2" xfId="40305" xr:uid="{E28A6CC0-AADF-45ED-8E23-83ED3332D26D}"/>
    <cellStyle name="Input 2 7 5 5 3 3" xfId="36601" xr:uid="{93C16E0F-00D1-42E8-BDA3-CE71B0EFB594}"/>
    <cellStyle name="Input 2 7 5 5 4" xfId="22339" xr:uid="{B95F3270-B22C-4004-A83C-DF0A3EA5C2DA}"/>
    <cellStyle name="Input 2 7 5 5 4 2" xfId="51005" xr:uid="{7AD3FF0A-DD4B-4947-B1B6-3E11CEFF0329}"/>
    <cellStyle name="Input 2 7 5 5 5" xfId="48687" xr:uid="{BBF83788-A06B-483E-8484-1D8821EB7743}"/>
    <cellStyle name="Input 2 7 5 6" xfId="4724" xr:uid="{00000000-0005-0000-0000-00005A050000}"/>
    <cellStyle name="Input 2 7 5 6 2" xfId="11622" xr:uid="{D320341C-1925-4213-B9D3-F541351B9D5F}"/>
    <cellStyle name="Input 2 7 5 6 2 2" xfId="34108" xr:uid="{CE1678F7-8DC0-448D-9528-71749C79D243}"/>
    <cellStyle name="Input 2 7 5 6 2 3" xfId="25386" xr:uid="{0BE1F9F0-A83E-46D1-ADA3-27CFF6E2EEA7}"/>
    <cellStyle name="Input 2 7 5 6 3" xfId="16661" xr:uid="{8CBF8256-91B9-44D1-9C57-A2EC7CD0DDD2}"/>
    <cellStyle name="Input 2 7 5 6 3 2" xfId="39051" xr:uid="{197ED18A-3002-4F59-B03C-57B42CB39235}"/>
    <cellStyle name="Input 2 7 5 6 3 3" xfId="23754" xr:uid="{790E38CE-F615-4535-8D18-1C83282E5EDA}"/>
    <cellStyle name="Input 2 7 5 6 4" xfId="15266" xr:uid="{56F2F78A-F11A-46F7-AA93-1891ED1B7C18}"/>
    <cellStyle name="Input 2 7 5 6 4 2" xfId="51667" xr:uid="{404B0724-60F9-4A3C-BC9F-8B5B44FB9A6C}"/>
    <cellStyle name="Input 2 7 5 6 5" xfId="54091" xr:uid="{DD16EA08-457E-44EC-99D0-73E81983E2B0}"/>
    <cellStyle name="Input 2 7 5 7" xfId="6771" xr:uid="{00000000-0005-0000-0000-00005A050000}"/>
    <cellStyle name="Input 2 7 5 7 2" xfId="13622" xr:uid="{11C3C0F8-17C8-4684-B423-9CD6C6E35681}"/>
    <cellStyle name="Input 2 7 5 7 2 2" xfId="36106" xr:uid="{27C589AD-BF63-4F03-B578-ECB573994865}"/>
    <cellStyle name="Input 2 7 5 7 2 3" xfId="30350" xr:uid="{12049567-E6DD-4BB1-AE18-F6384CC1CD7D}"/>
    <cellStyle name="Input 2 7 5 7 3" xfId="18708" xr:uid="{D5CA0A5D-B198-4503-A535-35B2CEDE338F}"/>
    <cellStyle name="Input 2 7 5 7 3 2" xfId="41098" xr:uid="{1D3DB084-6E03-4D12-BEF6-25C57CAA4EC6}"/>
    <cellStyle name="Input 2 7 5 7 3 3" xfId="24192" xr:uid="{DB396D01-089C-4EF8-90ED-F58408BD3156}"/>
    <cellStyle name="Input 2 7 5 7 4" xfId="23132" xr:uid="{51AFE1E0-4535-41DA-BDED-52974DA36D69}"/>
    <cellStyle name="Input 2 7 5 7 4 2" xfId="46721" xr:uid="{34487839-531F-4CA5-9256-ED77DCA5F5C8}"/>
    <cellStyle name="Input 2 7 5 7 5" xfId="52740" xr:uid="{0BEC1604-3DB7-41BF-A489-BEC03C4F9E10}"/>
    <cellStyle name="Input 2 7 5 8" xfId="14077" xr:uid="{2DC5ABCF-E27E-4C67-AB23-1C94F6CE2164}"/>
    <cellStyle name="Input 2 7 5 8 2" xfId="36555" xr:uid="{E406CA49-FB35-4226-B4BE-911FD0D0181A}"/>
    <cellStyle name="Input 2 7 5 8 3" xfId="48794" xr:uid="{5E556DB6-420A-45B8-A37B-A19239CB0D6F}"/>
    <cellStyle name="Input 2 7 5 9" xfId="21009" xr:uid="{32F76E9C-40CB-4F38-9EFD-A1EEB0A4E143}"/>
    <cellStyle name="Input 2 7 5 9 2" xfId="43260" xr:uid="{6CEA8F4D-9DA4-440E-AACA-0B08391177C9}"/>
    <cellStyle name="Input 2 7 5 9 3" xfId="44154" xr:uid="{FF8CDB1D-BBC0-4C9D-AF5A-F22B57B8546B}"/>
    <cellStyle name="Input 2 7 6" xfId="1363" xr:uid="{00000000-0005-0000-0000-00005D050000}"/>
    <cellStyle name="Input 2 7 6 10" xfId="15280" xr:uid="{C99ECDCC-5D73-411E-9051-85B01A882FB6}"/>
    <cellStyle name="Input 2 7 6 10 2" xfId="26548" xr:uid="{6A1EA4FE-22C2-45BF-AD2F-904A10218C84}"/>
    <cellStyle name="Input 2 7 6 11" xfId="52639" xr:uid="{94E1E3AA-49BA-4B75-B3A4-98311050D7B4}"/>
    <cellStyle name="Input 2 7 6 2" xfId="2092" xr:uid="{00000000-0005-0000-0000-00005E050000}"/>
    <cellStyle name="Input 2 7 6 2 10" xfId="14722" xr:uid="{043E6308-6748-451E-B30A-0E5AA3D891E5}"/>
    <cellStyle name="Input 2 7 6 2 10 2" xfId="37180" xr:uid="{9CBA2176-BF99-4728-BEE1-8ED4FA7C7929}"/>
    <cellStyle name="Input 2 7 6 2 10 3" xfId="49549" xr:uid="{2C21A1ED-E664-4F38-B94D-F595A2C90BB0}"/>
    <cellStyle name="Input 2 7 6 2 11" xfId="20847" xr:uid="{B44382B4-BAD1-4223-8E92-668C20A2D9D8}"/>
    <cellStyle name="Input 2 7 6 2 11 2" xfId="43112" xr:uid="{461649E4-8F51-4C7D-A954-0D5789FA3FC7}"/>
    <cellStyle name="Input 2 7 6 2 11 3" xfId="44746" xr:uid="{EAD84220-90EC-4936-8909-19401F183E66}"/>
    <cellStyle name="Input 2 7 6 2 12" xfId="20104" xr:uid="{3899F653-1003-4931-B8A9-308A4E78D5AE}"/>
    <cellStyle name="Input 2 7 6 2 12 2" xfId="42537" xr:uid="{5DD310AE-DF4B-4F61-8535-A7C184C52ABA}"/>
    <cellStyle name="Input 2 7 6 2 13" xfId="28025" xr:uid="{E9AE3A42-5165-4272-B4FD-2EDC73571AAA}"/>
    <cellStyle name="Input 2 7 6 2 2" xfId="4187" xr:uid="{00000000-0005-0000-0000-00005D050000}"/>
    <cellStyle name="Input 2 7 6 2 2 2" xfId="11091" xr:uid="{7BF5D338-9C84-4BCE-A220-8BF5314D4A95}"/>
    <cellStyle name="Input 2 7 6 2 2 2 2" xfId="33577" xr:uid="{B2D8834B-4A18-4350-81C6-72F255D10849}"/>
    <cellStyle name="Input 2 7 6 2 2 2 3" xfId="53934" xr:uid="{D88B5391-1B62-4227-8BB8-AB84D758F24D}"/>
    <cellStyle name="Input 2 7 6 2 2 3" xfId="16180" xr:uid="{C6954CBA-219C-4089-A897-BA1A101B4CC1}"/>
    <cellStyle name="Input 2 7 6 2 2 3 2" xfId="38579" xr:uid="{09376377-C31E-449A-948C-FA3D6DF51F06}"/>
    <cellStyle name="Input 2 7 6 2 2 3 3" xfId="32629" xr:uid="{E8050BC3-13F9-47E7-BDBB-4C87BF5CE536}"/>
    <cellStyle name="Input 2 7 6 2 2 4" xfId="7384" xr:uid="{FE5E4740-F63B-483B-B9DA-7E6D81FB33A5}"/>
    <cellStyle name="Input 2 7 6 2 2 4 2" xfId="46910" xr:uid="{5CB941DA-D51A-4147-83D4-F7A2757C46EB}"/>
    <cellStyle name="Input 2 7 6 2 2 5" xfId="28928" xr:uid="{80A9F8F5-3972-4A43-93AF-394E41049CA0}"/>
    <cellStyle name="Input 2 7 6 2 3" xfId="5513" xr:uid="{00000000-0005-0000-0000-00005D050000}"/>
    <cellStyle name="Input 2 7 6 2 3 2" xfId="12402" xr:uid="{4D523FF5-6013-4476-BE24-DB1735BD5B0B}"/>
    <cellStyle name="Input 2 7 6 2 3 2 2" xfId="34887" xr:uid="{D84CFB89-A053-48AC-85E3-2DA0E4EB9C9B}"/>
    <cellStyle name="Input 2 7 6 2 3 2 3" xfId="45209" xr:uid="{3F25BD15-0256-46D8-A9D6-656EC42F7E0D}"/>
    <cellStyle name="Input 2 7 6 2 3 3" xfId="17450" xr:uid="{EA1BACC5-2C28-45DE-8E1E-1085CA68CF34}"/>
    <cellStyle name="Input 2 7 6 2 3 3 2" xfId="39840" xr:uid="{ABB643C1-4157-441D-A140-CEBB4F36B4F9}"/>
    <cellStyle name="Input 2 7 6 2 3 3 3" xfId="26315" xr:uid="{A18886BD-3188-48CE-964D-E2140C6944CA}"/>
    <cellStyle name="Input 2 7 6 2 3 4" xfId="21874" xr:uid="{6185C083-87B1-408A-A7C6-BAC13CA46614}"/>
    <cellStyle name="Input 2 7 6 2 3 4 2" xfId="53662" xr:uid="{F83F2A84-62B3-414A-B61F-D7F27CCE57C5}"/>
    <cellStyle name="Input 2 7 6 2 3 5" xfId="48841" xr:uid="{8CF8186F-B034-4A06-A280-BF62DAADE7D4}"/>
    <cellStyle name="Input 2 7 6 2 4" xfId="5933" xr:uid="{00000000-0005-0000-0000-00005D050000}"/>
    <cellStyle name="Input 2 7 6 2 4 2" xfId="12814" xr:uid="{5B9B9671-7C97-4520-8F5F-CC6AC178CB6C}"/>
    <cellStyle name="Input 2 7 6 2 4 2 2" xfId="35298" xr:uid="{1A71D9AB-EAFD-429D-8301-65C10001A5FE}"/>
    <cellStyle name="Input 2 7 6 2 4 2 3" xfId="41887" xr:uid="{8B1B18C9-D7A2-4903-9E31-439978EA72AD}"/>
    <cellStyle name="Input 2 7 6 2 4 3" xfId="17870" xr:uid="{2B3822CC-2AFE-4066-B830-2E7F05DCFFA2}"/>
    <cellStyle name="Input 2 7 6 2 4 3 2" xfId="40260" xr:uid="{CC9AFD22-BD39-4339-B30B-6D4ACDD2BBF1}"/>
    <cellStyle name="Input 2 7 6 2 4 3 3" xfId="29435" xr:uid="{F77F3C03-C93C-403E-9BBE-A42EEB168239}"/>
    <cellStyle name="Input 2 7 6 2 4 4" xfId="22294" xr:uid="{03C63D93-8D97-4A66-BDB8-FC55EE8C015C}"/>
    <cellStyle name="Input 2 7 6 2 4 4 2" xfId="27665" xr:uid="{94381347-8978-44E3-B3CC-B6B95B1ED058}"/>
    <cellStyle name="Input 2 7 6 2 4 5" xfId="48751" xr:uid="{0FFAA4B9-5301-43AF-94B4-234511F2A501}"/>
    <cellStyle name="Input 2 7 6 2 5" xfId="6273" xr:uid="{00000000-0005-0000-0000-00005D050000}"/>
    <cellStyle name="Input 2 7 6 2 5 2" xfId="13145" xr:uid="{AA7E9221-30D0-4097-91AD-81932F2A4E0F}"/>
    <cellStyle name="Input 2 7 6 2 5 2 2" xfId="35629" xr:uid="{E5C6CC83-7C58-4B10-845D-CCCB01A8C4E3}"/>
    <cellStyle name="Input 2 7 6 2 5 2 3" xfId="44603" xr:uid="{17D6B257-C5F6-4A1B-832E-5ABB10A7C6D0}"/>
    <cellStyle name="Input 2 7 6 2 5 3" xfId="18210" xr:uid="{5718C9F3-9C2E-4F59-B42F-E05DF339E0E2}"/>
    <cellStyle name="Input 2 7 6 2 5 3 2" xfId="40600" xr:uid="{C49557F2-67A4-4261-AAB4-2BEFFC880579}"/>
    <cellStyle name="Input 2 7 6 2 5 3 3" xfId="29785" xr:uid="{9EEFF118-68AB-453B-A9E1-51A54D5270F4}"/>
    <cellStyle name="Input 2 7 6 2 5 4" xfId="22634" xr:uid="{26FF753D-7DA1-4BF1-AE0C-D31D3414FF3E}"/>
    <cellStyle name="Input 2 7 6 2 5 4 2" xfId="51038" xr:uid="{7C795B11-F0E5-4EFE-86D6-2C42556E9A59}"/>
    <cellStyle name="Input 2 7 6 2 5 5" xfId="45483" xr:uid="{95B3F79B-209C-404F-A3C2-62D1922AAD16}"/>
    <cellStyle name="Input 2 7 6 2 6" xfId="6630" xr:uid="{00000000-0005-0000-0000-00005D050000}"/>
    <cellStyle name="Input 2 7 6 2 6 2" xfId="13496" xr:uid="{711DA3A4-B8F2-4369-B27D-94ABE1AC0A3F}"/>
    <cellStyle name="Input 2 7 6 2 6 2 2" xfId="35980" xr:uid="{5A71DC64-DB7A-43F3-8DB5-9A01456CDA09}"/>
    <cellStyle name="Input 2 7 6 2 6 2 3" xfId="48544" xr:uid="{F8F1C482-EFCE-4627-86C4-8082EDA220D1}"/>
    <cellStyle name="Input 2 7 6 2 6 3" xfId="18567" xr:uid="{DAC91334-77CF-452C-9A2D-0CEB927FC8DC}"/>
    <cellStyle name="Input 2 7 6 2 6 3 2" xfId="40957" xr:uid="{46875739-42D6-4699-893B-7F4AFDC47BD4}"/>
    <cellStyle name="Input 2 7 6 2 6 3 3" xfId="29097" xr:uid="{8C8F6E1F-9B8A-483A-A14E-2D8D7D65BDD8}"/>
    <cellStyle name="Input 2 7 6 2 6 4" xfId="22991" xr:uid="{2C10575A-0996-4B98-A530-476C2E1C251B}"/>
    <cellStyle name="Input 2 7 6 2 6 4 2" xfId="24224" xr:uid="{4A3FFDF3-5AC5-446C-84AB-02BDA2B4A4A9}"/>
    <cellStyle name="Input 2 7 6 2 6 5" xfId="52056" xr:uid="{96203C28-524F-4ECB-AE36-EFD6D4AC549A}"/>
    <cellStyle name="Input 2 7 6 2 7" xfId="4707" xr:uid="{00000000-0005-0000-0000-00005D050000}"/>
    <cellStyle name="Input 2 7 6 2 7 2" xfId="11605" xr:uid="{7580BEA4-74DE-4E2E-BF32-BE02B337A8EE}"/>
    <cellStyle name="Input 2 7 6 2 7 2 2" xfId="34091" xr:uid="{952C1591-8E4E-4ED0-8DA6-79844D58622C}"/>
    <cellStyle name="Input 2 7 6 2 7 2 3" xfId="24558" xr:uid="{9C8DCED0-9BEC-4FFA-BF9E-4D79489D050B}"/>
    <cellStyle name="Input 2 7 6 2 7 3" xfId="16644" xr:uid="{DCA6DA9E-08E6-43D3-AAF5-A2EFEDDBE8A9}"/>
    <cellStyle name="Input 2 7 6 2 7 3 2" xfId="39034" xr:uid="{5C439E54-278E-4691-921D-8904A4A8B1A3}"/>
    <cellStyle name="Input 2 7 6 2 7 3 3" xfId="29224" xr:uid="{F4C207B0-0CFD-4644-8C60-34866FBC807F}"/>
    <cellStyle name="Input 2 7 6 2 7 4" xfId="14041" xr:uid="{E4789C2E-1234-4060-833F-8C047F2C5D43}"/>
    <cellStyle name="Input 2 7 6 2 7 4 2" xfId="49793" xr:uid="{470E3069-C8D4-4715-A72C-F7F96B51C376}"/>
    <cellStyle name="Input 2 7 6 2 7 5" xfId="42781" xr:uid="{B1E6F0ED-67FE-48DC-875A-0A2C5A2E3E62}"/>
    <cellStyle name="Input 2 7 6 2 8" xfId="7085" xr:uid="{00000000-0005-0000-0000-00005D050000}"/>
    <cellStyle name="Input 2 7 6 2 8 2" xfId="13921" xr:uid="{772C46D4-2FB6-4768-85B0-929198B93738}"/>
    <cellStyle name="Input 2 7 6 2 8 2 2" xfId="36405" xr:uid="{8438C5CF-679C-476E-A156-BB2300582350}"/>
    <cellStyle name="Input 2 7 6 2 8 2 3" xfId="24185" xr:uid="{672B8556-8FB7-4070-AAD6-3ECE3142200C}"/>
    <cellStyle name="Input 2 7 6 2 8 3" xfId="19022" xr:uid="{E7D5235B-0D8F-4915-A77B-4338BBDAD5DF}"/>
    <cellStyle name="Input 2 7 6 2 8 3 2" xfId="41412" xr:uid="{C757F1BB-C336-4842-9FFF-C731593B0960}"/>
    <cellStyle name="Input 2 7 6 2 8 3 3" xfId="23850" xr:uid="{33AD2C89-0F56-4951-9CB9-45C6439DD45E}"/>
    <cellStyle name="Input 2 7 6 2 8 4" xfId="23446" xr:uid="{5802C26C-63D6-4FE1-ADE5-98C0246A529B}"/>
    <cellStyle name="Input 2 7 6 2 8 4 2" xfId="28322" xr:uid="{059AA5B7-C712-42A0-8621-6A9A67DBFD8B}"/>
    <cellStyle name="Input 2 7 6 2 8 5" xfId="52705" xr:uid="{432F1643-A71C-4856-937A-8DF10D80EDA9}"/>
    <cellStyle name="Input 2 7 6 2 9" xfId="7200" xr:uid="{00000000-0005-0000-0000-00005D050000}"/>
    <cellStyle name="Input 2 7 6 2 9 2" xfId="19137" xr:uid="{86573441-14BB-4A6C-95EB-13338A92546F}"/>
    <cellStyle name="Input 2 7 6 2 9 2 2" xfId="41527" xr:uid="{0ADC10B4-F236-4577-BE38-1BC53A75BC96}"/>
    <cellStyle name="Input 2 7 6 2 9 2 3" xfId="25226" xr:uid="{82B5F50E-ACD4-4F9F-A88B-F056C019D08D}"/>
    <cellStyle name="Input 2 7 6 2 9 3" xfId="23561" xr:uid="{ED476082-1493-43DD-A1ED-CDC03AC253A6}"/>
    <cellStyle name="Input 2 7 6 2 9 3 2" xfId="51544" xr:uid="{48CFFA1A-5A87-4B1B-9023-5B242D156734}"/>
    <cellStyle name="Input 2 7 6 2 9 4" xfId="45264" xr:uid="{F3817353-D8E7-4A89-BC06-F284D68D2745}"/>
    <cellStyle name="Input 2 7 6 3" xfId="3468" xr:uid="{00000000-0005-0000-0000-00005C050000}"/>
    <cellStyle name="Input 2 7 6 3 2" xfId="10376" xr:uid="{03E06DA7-8556-446F-AAA9-5C2875508DAF}"/>
    <cellStyle name="Input 2 7 6 3 2 2" xfId="32863" xr:uid="{5D1F6AEF-143E-4E47-A5AF-BDDF108A659B}"/>
    <cellStyle name="Input 2 7 6 3 2 3" xfId="29487" xr:uid="{C7F4E1F3-6B5E-4490-95CE-AE756D4B61A7}"/>
    <cellStyle name="Input 2 7 6 3 3" xfId="15646" xr:uid="{B1CE60ED-12EC-45C0-978C-4B8B345FD9DF}"/>
    <cellStyle name="Input 2 7 6 3 3 2" xfId="38062" xr:uid="{E9C2E337-D94A-47E6-9853-64E8FDE27D1D}"/>
    <cellStyle name="Input 2 7 6 3 3 3" xfId="52815" xr:uid="{620096E9-6700-4C5C-A86D-F5A97D5905A0}"/>
    <cellStyle name="Input 2 7 6 3 4" xfId="14053" xr:uid="{78B53149-8056-475A-AC1F-BCDAE1EF725B}"/>
    <cellStyle name="Input 2 7 6 3 4 2" xfId="50257" xr:uid="{AE4EA49C-5739-40B4-9448-AC84462EAF5C}"/>
    <cellStyle name="Input 2 7 6 3 5" xfId="48559" xr:uid="{827D137A-E84F-4BEB-A3EA-07BE55360A3E}"/>
    <cellStyle name="Input 2 7 6 4" xfId="5001" xr:uid="{00000000-0005-0000-0000-00005C050000}"/>
    <cellStyle name="Input 2 7 6 4 2" xfId="11895" xr:uid="{90276912-57A0-437C-8133-2CB0DF5B3400}"/>
    <cellStyle name="Input 2 7 6 4 2 2" xfId="34381" xr:uid="{68B2F29D-3E51-4738-B7F2-1E04BA30E040}"/>
    <cellStyle name="Input 2 7 6 4 2 3" xfId="28174" xr:uid="{267B5B8E-F9C2-4DA9-B329-38F9D799BE11}"/>
    <cellStyle name="Input 2 7 6 4 3" xfId="16938" xr:uid="{3F59E681-1E54-4CB8-BA8D-CBF96BB78ADB}"/>
    <cellStyle name="Input 2 7 6 4 3 2" xfId="39328" xr:uid="{6F19CDDD-4FD5-42F1-B93B-61FA3A604796}"/>
    <cellStyle name="Input 2 7 6 4 3 3" xfId="44977" xr:uid="{049F5FFE-B7A9-4309-877A-86CF3AEB3CA2}"/>
    <cellStyle name="Input 2 7 6 4 4" xfId="21362" xr:uid="{6EEDDDB3-2D26-48E8-B385-B9535D2A0BA7}"/>
    <cellStyle name="Input 2 7 6 4 4 2" xfId="48950" xr:uid="{A7BA4169-9CB5-45BB-A775-273DC0848964}"/>
    <cellStyle name="Input 2 7 6 4 5" xfId="46208" xr:uid="{E7002115-C441-4155-B7C2-01CC4454F475}"/>
    <cellStyle name="Input 2 7 6 5" xfId="5838" xr:uid="{00000000-0005-0000-0000-00005C050000}"/>
    <cellStyle name="Input 2 7 6 5 2" xfId="12721" xr:uid="{F5F7163D-014F-415E-866E-F55293796C6E}"/>
    <cellStyle name="Input 2 7 6 5 2 2" xfId="35205" xr:uid="{E20F4023-C329-4CF5-8C01-A70A8C678288}"/>
    <cellStyle name="Input 2 7 6 5 2 3" xfId="24290" xr:uid="{02AA8D64-1094-4ABA-B4E4-F47481B7A8D5}"/>
    <cellStyle name="Input 2 7 6 5 3" xfId="17775" xr:uid="{608D885E-D510-4CA7-9B25-480C065199EE}"/>
    <cellStyle name="Input 2 7 6 5 3 2" xfId="40165" xr:uid="{CCD4B389-EEBE-4044-869F-FA29C9FCD2DD}"/>
    <cellStyle name="Input 2 7 6 5 3 3" xfId="44871" xr:uid="{01C64378-9B8F-4321-A4C8-299BD2A79F7A}"/>
    <cellStyle name="Input 2 7 6 5 4" xfId="22199" xr:uid="{12D13353-9349-4970-BE0A-A6D75272A580}"/>
    <cellStyle name="Input 2 7 6 5 4 2" xfId="44334" xr:uid="{E8109FDB-1AE3-4EF6-A480-9B8A8019C2DE}"/>
    <cellStyle name="Input 2 7 6 5 5" xfId="52044" xr:uid="{3D169A70-CB76-4AA2-BE64-45EFE245450A}"/>
    <cellStyle name="Input 2 7 6 6" xfId="4838" xr:uid="{00000000-0005-0000-0000-00005C050000}"/>
    <cellStyle name="Input 2 7 6 6 2" xfId="11735" xr:uid="{D795C44A-F151-41CB-97C2-05E910374321}"/>
    <cellStyle name="Input 2 7 6 6 2 2" xfId="34221" xr:uid="{26ECCFB8-B0C7-4729-B922-323422301C26}"/>
    <cellStyle name="Input 2 7 6 6 2 3" xfId="29773" xr:uid="{01C89E3F-7E29-4CE3-B63A-3E36532BCBB6}"/>
    <cellStyle name="Input 2 7 6 6 3" xfId="16775" xr:uid="{C8D0ECE4-7019-4F4C-81B3-1CC0B00B3F7B}"/>
    <cellStyle name="Input 2 7 6 6 3 2" xfId="39165" xr:uid="{5D754999-678B-42B4-A94C-BFB4AF8D580F}"/>
    <cellStyle name="Input 2 7 6 6 3 3" xfId="25068" xr:uid="{BD071DDF-690D-432F-BFE9-C9A8CB6C5EBB}"/>
    <cellStyle name="Input 2 7 6 6 4" xfId="19183" xr:uid="{722DC040-4987-4DDA-B304-47C35FF3E8E5}"/>
    <cellStyle name="Input 2 7 6 6 4 2" xfId="37372" xr:uid="{AAF3494C-9442-40DC-9631-AD296807BF63}"/>
    <cellStyle name="Input 2 7 6 6 5" xfId="43765" xr:uid="{61785C4F-5CED-4160-A4A6-23923BCCCA2F}"/>
    <cellStyle name="Input 2 7 6 7" xfId="2274" xr:uid="{00000000-0005-0000-0000-00005C050000}"/>
    <cellStyle name="Input 2 7 6 7 2" xfId="9185" xr:uid="{A86FE2C4-F804-45EB-A013-2E7291B6ABFA}"/>
    <cellStyle name="Input 2 7 6 7 2 2" xfId="31760" xr:uid="{05181F0F-6C66-4FA8-92F1-80AB7F8C5136}"/>
    <cellStyle name="Input 2 7 6 7 2 3" xfId="48223" xr:uid="{554BDB06-3C78-44B2-A886-EF628702A2B9}"/>
    <cellStyle name="Input 2 7 6 7 3" xfId="14843" xr:uid="{E46BAD02-66EB-483A-81EC-08D9681428D2}"/>
    <cellStyle name="Input 2 7 6 7 3 2" xfId="37297" xr:uid="{016ED322-C81A-4F72-8EEA-0CCC9D594AAD}"/>
    <cellStyle name="Input 2 7 6 7 3 3" xfId="51522" xr:uid="{DE427400-FDC3-4B44-B57D-E12C5244A91E}"/>
    <cellStyle name="Input 2 7 6 7 4" xfId="20553" xr:uid="{1F9C5280-A3C8-428E-9362-464E9FCD84CD}"/>
    <cellStyle name="Input 2 7 6 7 4 2" xfId="51961" xr:uid="{05091E51-7BCC-41E1-A97D-8EA84226D52F}"/>
    <cellStyle name="Input 2 7 6 7 5" xfId="27628" xr:uid="{60244388-DFF7-4B18-AD13-0E8DC3EF8FFE}"/>
    <cellStyle name="Input 2 7 6 8" xfId="14182" xr:uid="{67B62B9D-49C8-4FF3-8B0D-27FD80C2B415}"/>
    <cellStyle name="Input 2 7 6 8 2" xfId="36657" xr:uid="{2AC1ECAA-18D6-442E-8AE2-8550147BCAE6}"/>
    <cellStyle name="Input 2 7 6 8 3" xfId="49120" xr:uid="{332192E2-E4BC-4F36-8158-CA52D505BAC3}"/>
    <cellStyle name="Input 2 7 6 9" xfId="7279" xr:uid="{D9D02DD9-DD83-449B-9FE1-9CD1E47567EF}"/>
    <cellStyle name="Input 2 7 6 9 2" xfId="29967" xr:uid="{B50E55B2-B412-4D94-82A4-B82097456564}"/>
    <cellStyle name="Input 2 7 6 9 3" xfId="47185" xr:uid="{98FC3B15-7D3A-4823-A67A-3D7BA32BDB80}"/>
    <cellStyle name="Input 2 7 7" xfId="1635" xr:uid="{00000000-0005-0000-0000-00005F050000}"/>
    <cellStyle name="Input 2 7 7 10" xfId="14349" xr:uid="{E5ECB658-F1A8-44F6-8516-58846AA203DB}"/>
    <cellStyle name="Input 2 7 7 10 2" xfId="36817" xr:uid="{F4CA4C8F-23AD-49F2-9D90-B35F28C516AB}"/>
    <cellStyle name="Input 2 7 7 10 3" xfId="46942" xr:uid="{07D58222-C0FB-48D6-B94F-511213A69520}"/>
    <cellStyle name="Input 2 7 7 11" xfId="19238" xr:uid="{5A3EA572-5FC1-40F5-A8AB-541184447BBE}"/>
    <cellStyle name="Input 2 7 7 11 2" xfId="41623" xr:uid="{4DA1433F-4896-4E0D-9702-0A9A26CA031E}"/>
    <cellStyle name="Input 2 7 7 11 3" xfId="30683" xr:uid="{13F0E7C8-6335-45B6-A2CD-5CA14683F3CF}"/>
    <cellStyle name="Input 2 7 7 12" xfId="14703" xr:uid="{465396D5-8941-4D07-ADF7-A47B3E7EB164}"/>
    <cellStyle name="Input 2 7 7 12 2" xfId="46933" xr:uid="{050041B0-80D7-4A04-9BD8-1A13F5072EC4}"/>
    <cellStyle name="Input 2 7 7 13" xfId="30941" xr:uid="{6A7D26D9-4E4D-43BB-A8D6-D44181582461}"/>
    <cellStyle name="Input 2 7 7 2" xfId="3735" xr:uid="{00000000-0005-0000-0000-00005E050000}"/>
    <cellStyle name="Input 2 7 7 2 2" xfId="10639" xr:uid="{2187A350-E8AC-4DE5-ABFD-084C77A17D8B}"/>
    <cellStyle name="Input 2 7 7 2 2 2" xfId="33125" xr:uid="{6EDC70C6-1021-4EE0-AF42-A73DE334CEC8}"/>
    <cellStyle name="Input 2 7 7 2 2 3" xfId="43452" xr:uid="{DCB9F929-6202-4C95-BD97-775E6CD3F751}"/>
    <cellStyle name="Input 2 7 7 2 3" xfId="15816" xr:uid="{80B71D00-5A8F-4BBA-822D-B7B56E4D5E1B}"/>
    <cellStyle name="Input 2 7 7 2 3 2" xfId="38224" xr:uid="{3479CB80-CD64-4F44-A0FF-9BE71D396C6F}"/>
    <cellStyle name="Input 2 7 7 2 3 3" xfId="28578" xr:uid="{1D279C51-456B-4EDE-AD7D-5FADD434B3C5}"/>
    <cellStyle name="Input 2 7 7 2 4" xfId="19772" xr:uid="{FB51D466-6728-4FAD-95C0-80DDF40ABB85}"/>
    <cellStyle name="Input 2 7 7 2 4 2" xfId="43408" xr:uid="{F95CD3FF-F37E-4E99-833B-5796DD38BFB7}"/>
    <cellStyle name="Input 2 7 7 2 5" xfId="30100" xr:uid="{4C2F9864-9A5B-432A-8A85-FF1DE64F1130}"/>
    <cellStyle name="Input 2 7 7 3" xfId="5168" xr:uid="{00000000-0005-0000-0000-00005E050000}"/>
    <cellStyle name="Input 2 7 7 3 2" xfId="12061" xr:uid="{644AF836-9C4D-401E-B244-A70B5E772C3D}"/>
    <cellStyle name="Input 2 7 7 3 2 2" xfId="34547" xr:uid="{C665D1AB-3997-40CC-9402-35CD260FBB66}"/>
    <cellStyle name="Input 2 7 7 3 2 3" xfId="42643" xr:uid="{8847DC3F-9BE7-4081-949B-6D9B48993D91}"/>
    <cellStyle name="Input 2 7 7 3 3" xfId="17105" xr:uid="{E3F44DAC-DBCF-4A17-B630-879A7C61A5D3}"/>
    <cellStyle name="Input 2 7 7 3 3 2" xfId="39495" xr:uid="{734DEAED-006B-46EF-ADDC-D004D8F846BF}"/>
    <cellStyle name="Input 2 7 7 3 3 3" xfId="44348" xr:uid="{F4B754BF-6BF9-4F49-9E7C-651C54EF3209}"/>
    <cellStyle name="Input 2 7 7 3 4" xfId="21529" xr:uid="{5DA15285-E550-4142-B4C6-4C7AD7490195}"/>
    <cellStyle name="Input 2 7 7 3 4 2" xfId="50239" xr:uid="{FD18256A-84ED-48CC-90A0-B67FE5A68DE8}"/>
    <cellStyle name="Input 2 7 7 3 5" xfId="46672" xr:uid="{6A9B8987-8E28-4FE5-B4F2-EF2762339317}"/>
    <cellStyle name="Input 2 7 7 4" xfId="4963" xr:uid="{00000000-0005-0000-0000-00005E050000}"/>
    <cellStyle name="Input 2 7 7 4 2" xfId="11858" xr:uid="{CB1A8E31-13BE-44BA-9868-5C0B87D1A378}"/>
    <cellStyle name="Input 2 7 7 4 2 2" xfId="34344" xr:uid="{51F027F3-A58A-46DA-9F3D-BC52B33F7C51}"/>
    <cellStyle name="Input 2 7 7 4 2 3" xfId="36613" xr:uid="{E5F96F71-BB2D-4E89-9581-29E2812CA231}"/>
    <cellStyle name="Input 2 7 7 4 3" xfId="16900" xr:uid="{52120D02-3AA2-45FD-A797-F115B67BD13F}"/>
    <cellStyle name="Input 2 7 7 4 3 2" xfId="39290" xr:uid="{6BB210B5-B8E0-419D-8D91-F9D3B0C54FCC}"/>
    <cellStyle name="Input 2 7 7 4 3 3" xfId="26700" xr:uid="{F5767286-D164-40E3-B735-685A94643D00}"/>
    <cellStyle name="Input 2 7 7 4 4" xfId="21324" xr:uid="{95AFDBB2-4567-4EA9-9FF1-8EE1F68735B4}"/>
    <cellStyle name="Input 2 7 7 4 4 2" xfId="44432" xr:uid="{6D3DC5F4-8FA9-46C3-A42F-72236A1612B7}"/>
    <cellStyle name="Input 2 7 7 4 5" xfId="29015" xr:uid="{7C2F182D-95A9-4AF0-BEF9-39DB5BECF309}"/>
    <cellStyle name="Input 2 7 7 5" xfId="5595" xr:uid="{00000000-0005-0000-0000-00005E050000}"/>
    <cellStyle name="Input 2 7 7 5 2" xfId="12480" xr:uid="{5E85F4C5-0820-49D3-9A58-8941271124AA}"/>
    <cellStyle name="Input 2 7 7 5 2 2" xfId="34965" xr:uid="{0E50A01C-9F1B-4EA8-80F1-BCBD1271F403}"/>
    <cellStyle name="Input 2 7 7 5 2 3" xfId="24299" xr:uid="{8749A65B-DA3D-4DE8-B086-7C00E4539FC0}"/>
    <cellStyle name="Input 2 7 7 5 3" xfId="17532" xr:uid="{DD911E9F-00FD-429A-9C3A-3CD15A6377CC}"/>
    <cellStyle name="Input 2 7 7 5 3 2" xfId="39922" xr:uid="{B9E30AD8-511F-42AC-BA3D-F4DCAADE74A4}"/>
    <cellStyle name="Input 2 7 7 5 3 3" xfId="43667" xr:uid="{5DD43A07-A7E2-4927-9507-808EB5B7E4D2}"/>
    <cellStyle name="Input 2 7 7 5 4" xfId="21956" xr:uid="{E9E5DB78-8F5E-49A4-B078-A7554C05BE52}"/>
    <cellStyle name="Input 2 7 7 5 4 2" xfId="43853" xr:uid="{886C9462-E237-4224-812F-3802EC0B72E6}"/>
    <cellStyle name="Input 2 7 7 5 5" xfId="47681" xr:uid="{197E6C96-79E6-4E2F-82A2-E584152F1EC0}"/>
    <cellStyle name="Input 2 7 7 6" xfId="4938" xr:uid="{00000000-0005-0000-0000-00005E050000}"/>
    <cellStyle name="Input 2 7 7 6 2" xfId="11833" xr:uid="{ECA6FBCA-B482-40FB-A738-CB8DE366A98E}"/>
    <cellStyle name="Input 2 7 7 6 2 2" xfId="34319" xr:uid="{2CBE3701-0FBF-42CC-9B0B-8A70B2A58DB7}"/>
    <cellStyle name="Input 2 7 7 6 2 3" xfId="45660" xr:uid="{A4FAD41B-CA84-40BA-A9D2-30B4F891E0D4}"/>
    <cellStyle name="Input 2 7 7 6 3" xfId="16875" xr:uid="{8CDEBA40-327C-4A46-9384-77156E64D8E7}"/>
    <cellStyle name="Input 2 7 7 6 3 2" xfId="39265" xr:uid="{160364FF-6718-472E-AFF3-514A5045D84D}"/>
    <cellStyle name="Input 2 7 7 6 3 3" xfId="42385" xr:uid="{6030A66F-AFCB-44C7-B413-2535BBD56291}"/>
    <cellStyle name="Input 2 7 7 6 4" xfId="21299" xr:uid="{54780792-B78C-4E0D-9ED6-6E9E293A6704}"/>
    <cellStyle name="Input 2 7 7 6 4 2" xfId="29530" xr:uid="{6C56CC3A-7B35-46D1-940D-FA90779BF880}"/>
    <cellStyle name="Input 2 7 7 6 5" xfId="42811" xr:uid="{FEB3DC79-A348-47E4-8612-E7950830BE51}"/>
    <cellStyle name="Input 2 7 7 7" xfId="5363" xr:uid="{00000000-0005-0000-0000-00005E050000}"/>
    <cellStyle name="Input 2 7 7 7 2" xfId="12255" xr:uid="{61328495-B37C-4A04-B676-8D3453D98436}"/>
    <cellStyle name="Input 2 7 7 7 2 2" xfId="34740" xr:uid="{55ECC2D0-44B5-4C8D-888C-AD1F705E0737}"/>
    <cellStyle name="Input 2 7 7 7 2 3" xfId="30123" xr:uid="{DFE08226-4390-4D1C-B6A0-DA8B49F38701}"/>
    <cellStyle name="Input 2 7 7 7 3" xfId="17300" xr:uid="{FBBCBBE5-F209-4E65-A916-FB0793BAB213}"/>
    <cellStyle name="Input 2 7 7 7 3 2" xfId="39690" xr:uid="{14A326DF-EB8B-4EA5-B623-9208B14989D7}"/>
    <cellStyle name="Input 2 7 7 7 3 3" xfId="43802" xr:uid="{9CF613A3-4306-4FB7-A476-43FF289A9670}"/>
    <cellStyle name="Input 2 7 7 7 4" xfId="21724" xr:uid="{E01259EA-1453-473A-A3F3-6106C7CE7AD2}"/>
    <cellStyle name="Input 2 7 7 7 4 2" xfId="47902" xr:uid="{FF78C325-C4E9-467D-A191-A76FFF98F2B4}"/>
    <cellStyle name="Input 2 7 7 7 5" xfId="46730" xr:uid="{73DF8BA0-B58F-4213-B60F-002549F1066F}"/>
    <cellStyle name="Input 2 7 7 8" xfId="6728" xr:uid="{00000000-0005-0000-0000-00005E050000}"/>
    <cellStyle name="Input 2 7 7 8 2" xfId="13587" xr:uid="{48409CB3-A552-4723-987E-ECF35D627B8B}"/>
    <cellStyle name="Input 2 7 7 8 2 2" xfId="36071" xr:uid="{0DFD763F-4F94-4C4E-8141-6B94BD573A03}"/>
    <cellStyle name="Input 2 7 7 8 2 3" xfId="41861" xr:uid="{CA1CF1E5-81F2-4EFE-BFBB-386C1971727D}"/>
    <cellStyle name="Input 2 7 7 8 3" xfId="18665" xr:uid="{7EF48C31-3A16-4C5B-BCB9-BFDA208D2A4A}"/>
    <cellStyle name="Input 2 7 7 8 3 2" xfId="41055" xr:uid="{AB402AF7-3796-4DB7-9653-28DBC9B40F1F}"/>
    <cellStyle name="Input 2 7 7 8 3 3" xfId="32357" xr:uid="{C374319C-3194-485C-8222-A79F800F71F5}"/>
    <cellStyle name="Input 2 7 7 8 4" xfId="23089" xr:uid="{1F2C17CC-0760-4B21-9CE5-D9619151E18D}"/>
    <cellStyle name="Input 2 7 7 8 4 2" xfId="51492" xr:uid="{F45B62C5-D5B5-46BD-8F02-7A85CBDC7783}"/>
    <cellStyle name="Input 2 7 7 8 5" xfId="50218" xr:uid="{53A6DE41-A0D0-4B7D-9F75-78BCEE7211F3}"/>
    <cellStyle name="Input 2 7 7 9" xfId="6018" xr:uid="{00000000-0005-0000-0000-00005E050000}"/>
    <cellStyle name="Input 2 7 7 9 2" xfId="17955" xr:uid="{92B31548-6949-45A6-B2F8-78D46E8AA082}"/>
    <cellStyle name="Input 2 7 7 9 2 2" xfId="40345" xr:uid="{71BE7C09-8EF5-4D6E-A85A-144215F757D1}"/>
    <cellStyle name="Input 2 7 7 9 2 3" xfId="44105" xr:uid="{595E64D0-B709-4CD2-8D44-8170C83B392D}"/>
    <cellStyle name="Input 2 7 7 9 3" xfId="22379" xr:uid="{EAD5614A-1CDF-4ECF-B48D-B7E72B34E488}"/>
    <cellStyle name="Input 2 7 7 9 3 2" xfId="53248" xr:uid="{06688683-DF12-45C2-98FC-08E68D8B73A2}"/>
    <cellStyle name="Input 2 7 7 9 4" xfId="43843" xr:uid="{B7D6E52B-C8E1-417E-864B-2A858FA6810C}"/>
    <cellStyle name="Input 2 7 8" xfId="2586" xr:uid="{00000000-0005-0000-0000-000053050000}"/>
    <cellStyle name="Input 2 7 8 2" xfId="9495" xr:uid="{384DFEC4-A035-4EF9-89CD-9669C09A582D}"/>
    <cellStyle name="Input 2 7 8 2 2" xfId="32047" xr:uid="{325153F2-9552-48D7-88A3-08FDCF6611EA}"/>
    <cellStyle name="Input 2 7 8 2 3" xfId="47436" xr:uid="{9FC6F04C-5439-4926-9B31-BF1950EDB226}"/>
    <cellStyle name="Input 2 7 8 3" xfId="15064" xr:uid="{AA864786-5923-487A-9AEA-DFFFC7803023}"/>
    <cellStyle name="Input 2 7 8 3 2" xfId="37509" xr:uid="{63375CCF-608C-4859-AE27-77842AA774A2}"/>
    <cellStyle name="Input 2 7 8 3 3" xfId="49134" xr:uid="{93F65F4D-4CD2-42C3-B4B9-5752D9D0A79D}"/>
    <cellStyle name="Input 2 7 8 4" xfId="20262" xr:uid="{8D68C828-EC5D-4B61-A4C5-4611B491CE58}"/>
    <cellStyle name="Input 2 7 8 4 2" xfId="43349" xr:uid="{269279C5-1149-4739-A0C9-6D86775B2D24}"/>
    <cellStyle name="Input 2 7 8 5" xfId="49300" xr:uid="{34CEE54B-586B-4A4C-995F-0AB5A6FEB0AC}"/>
    <cellStyle name="Input 2 7 9" xfId="4413" xr:uid="{00000000-0005-0000-0000-000053050000}"/>
    <cellStyle name="Input 2 7 9 2" xfId="11315" xr:uid="{2B30E9DE-C7DC-40A0-BE16-4FE834A0992E}"/>
    <cellStyle name="Input 2 7 9 2 2" xfId="33801" xr:uid="{3FE42644-2FCF-4C22-B097-DA88CBDA242F}"/>
    <cellStyle name="Input 2 7 9 2 3" xfId="29599" xr:uid="{657C4C4C-D5BD-42C3-8550-9573498037C1}"/>
    <cellStyle name="Input 2 7 9 3" xfId="16350" xr:uid="{2C218C3C-31CB-4A1A-8952-285A9F9B4ED2}"/>
    <cellStyle name="Input 2 7 9 3 2" xfId="38740" xr:uid="{A752C6D6-8B70-4E5A-8620-E9E2652F220B}"/>
    <cellStyle name="Input 2 7 9 3 3" xfId="29059" xr:uid="{3CFF91D6-D3D6-4E9F-B265-E2FBFB38D83D}"/>
    <cellStyle name="Input 2 7 9 4" xfId="15207" xr:uid="{AE6D2FE3-1AF3-4377-B2E1-FEE3824C3ED9}"/>
    <cellStyle name="Input 2 7 9 4 2" xfId="46030" xr:uid="{F6FF5F49-AB61-4E28-BD54-F6D712DB5CD2}"/>
    <cellStyle name="Input 2 7 9 5" xfId="50939" xr:uid="{849EF545-C9BD-4B91-A986-F18A821C8B81}"/>
    <cellStyle name="Input 2 8" xfId="448" xr:uid="{00000000-0005-0000-0000-000060050000}"/>
    <cellStyle name="Input 2 8 10" xfId="4837" xr:uid="{00000000-0005-0000-0000-00005F050000}"/>
    <cellStyle name="Input 2 8 10 2" xfId="11734" xr:uid="{88038645-72A3-4718-8BBC-38608EA9CEDC}"/>
    <cellStyle name="Input 2 8 10 2 2" xfId="34220" xr:uid="{40EB46AD-64E0-451F-9E1C-8C09C58D2888}"/>
    <cellStyle name="Input 2 8 10 2 3" xfId="28148" xr:uid="{E0C0AA42-9AE3-4065-9F0E-8E57B1063850}"/>
    <cellStyle name="Input 2 8 10 3" xfId="16774" xr:uid="{BD937096-C9D2-47EC-A128-B1445B4C1DDB}"/>
    <cellStyle name="Input 2 8 10 3 2" xfId="39164" xr:uid="{E6DC354E-4979-4D46-9807-78F28FD2C313}"/>
    <cellStyle name="Input 2 8 10 3 3" xfId="27688" xr:uid="{9677769A-B98A-4999-A63F-D9B0816471D1}"/>
    <cellStyle name="Input 2 8 10 4" xfId="20218" xr:uid="{5C472CE7-9DB6-4CA8-AEFD-A62BCD850081}"/>
    <cellStyle name="Input 2 8 10 4 2" xfId="37575" xr:uid="{701577B7-D424-4470-981D-19F73EC91E2D}"/>
    <cellStyle name="Input 2 8 10 5" xfId="48135" xr:uid="{BEEB1334-CB68-41E5-9D7A-9E56FBD1D2E7}"/>
    <cellStyle name="Input 2 8 11" xfId="6366" xr:uid="{00000000-0005-0000-0000-00005F050000}"/>
    <cellStyle name="Input 2 8 11 2" xfId="13238" xr:uid="{012918DE-C998-4D2F-940E-6B07DBC71884}"/>
    <cellStyle name="Input 2 8 11 2 2" xfId="35722" xr:uid="{F0DDD0FE-1470-4D40-A6E4-EAFAE0B0459A}"/>
    <cellStyle name="Input 2 8 11 2 3" xfId="52036" xr:uid="{7631925F-2BCE-4795-986F-B494A0B76F56}"/>
    <cellStyle name="Input 2 8 11 3" xfId="18303" xr:uid="{200D306C-37FF-44D7-88EF-7E993FAEA3DC}"/>
    <cellStyle name="Input 2 8 11 3 2" xfId="40693" xr:uid="{259B6B6A-ABF2-4573-A298-06AABB7D8547}"/>
    <cellStyle name="Input 2 8 11 3 3" xfId="30166" xr:uid="{D927072A-03D5-4F2A-AC55-7194A6C9835C}"/>
    <cellStyle name="Input 2 8 11 4" xfId="22727" xr:uid="{405420AA-7294-4493-AF5B-19A9CD793BC0}"/>
    <cellStyle name="Input 2 8 11 4 2" xfId="49035" xr:uid="{21564D99-7215-4EA8-9C24-5BCC9EC1ED53}"/>
    <cellStyle name="Input 2 8 11 5" xfId="49237" xr:uid="{54A31281-9E9C-4E93-A9D7-224438CCC6F0}"/>
    <cellStyle name="Input 2 8 12" xfId="5276" xr:uid="{00000000-0005-0000-0000-00005F050000}"/>
    <cellStyle name="Input 2 8 12 2" xfId="12168" xr:uid="{2425E0AF-549E-4BCA-9E95-4A955F4524AA}"/>
    <cellStyle name="Input 2 8 12 2 2" xfId="34653" xr:uid="{40620632-4319-4F67-A64A-2184C48E997E}"/>
    <cellStyle name="Input 2 8 12 2 3" xfId="45594" xr:uid="{166B6193-EF96-4A60-A588-70B253C25533}"/>
    <cellStyle name="Input 2 8 12 3" xfId="17213" xr:uid="{53C7A6AE-0A31-4517-830C-60D32AA414A6}"/>
    <cellStyle name="Input 2 8 12 3 2" xfId="39603" xr:uid="{A9AAE216-D437-470B-AB66-584351B883DC}"/>
    <cellStyle name="Input 2 8 12 3 3" xfId="44655" xr:uid="{93CE20E1-C6FD-4AF9-B3C3-724512D39E82}"/>
    <cellStyle name="Input 2 8 12 4" xfId="21637" xr:uid="{252347C2-7620-4855-AF19-876A4364BC8C}"/>
    <cellStyle name="Input 2 8 12 4 2" xfId="24644" xr:uid="{FF17484A-68B6-4BA9-BA2A-CD2F1BAC92DE}"/>
    <cellStyle name="Input 2 8 12 5" xfId="48810" xr:uid="{1E43D973-2A03-4B48-BAF6-69CF68CB4B3E}"/>
    <cellStyle name="Input 2 8 13" xfId="13705" xr:uid="{E65A266B-B394-4D4B-8EF5-5129090C30D4}"/>
    <cellStyle name="Input 2 8 13 2" xfId="36189" xr:uid="{8724597D-D297-4D97-A23E-2D8F1C887D6B}"/>
    <cellStyle name="Input 2 8 13 3" xfId="36936" xr:uid="{FDEB4AD7-089A-46C9-BA0C-F724F8DC267E}"/>
    <cellStyle name="Input 2 8 14" xfId="14868" xr:uid="{FA7453ED-686F-4451-B88A-6E1E85916C3E}"/>
    <cellStyle name="Input 2 8 14 2" xfId="37322" xr:uid="{83B8882F-EE6D-4143-93E1-B9ADCF055DB6}"/>
    <cellStyle name="Input 2 8 14 3" xfId="47531" xr:uid="{A3E06C6A-A040-48F1-8446-EAF00BC5C130}"/>
    <cellStyle name="Input 2 8 15" xfId="14473" xr:uid="{09315474-1FAE-463C-A538-AC101B86C751}"/>
    <cellStyle name="Input 2 8 15 2" xfId="48812" xr:uid="{2B4B92ED-60E6-416D-BB21-689B4DF23129}"/>
    <cellStyle name="Input 2 8 16" xfId="53778" xr:uid="{0CCF0A5A-FF2B-4CB1-A3DA-54A0DF585CD7}"/>
    <cellStyle name="Input 2 8 2" xfId="601" xr:uid="{00000000-0005-0000-0000-000061050000}"/>
    <cellStyle name="Input 2 8 2 10" xfId="15680" xr:uid="{E925C543-14E3-4FFD-BA45-52EACF813B94}"/>
    <cellStyle name="Input 2 8 2 10 2" xfId="51257" xr:uid="{A76E8240-7109-4CE2-A422-19C671C83F67}"/>
    <cellStyle name="Input 2 8 2 11" xfId="48131" xr:uid="{2688114B-3432-45A4-8A04-8133633E0D9A}"/>
    <cellStyle name="Input 2 8 2 2" xfId="1735" xr:uid="{00000000-0005-0000-0000-000062050000}"/>
    <cellStyle name="Input 2 8 2 2 10" xfId="14436" xr:uid="{E390110A-16B4-4849-994C-06C624EC27D0}"/>
    <cellStyle name="Input 2 8 2 2 10 2" xfId="36902" xr:uid="{34CF4206-2076-4863-B3DD-EF77305B0B53}"/>
    <cellStyle name="Input 2 8 2 2 10 3" xfId="29336" xr:uid="{B0B5627E-3076-4A1F-80CE-1FA9F7F3ED5B}"/>
    <cellStyle name="Input 2 8 2 2 11" xfId="15285" xr:uid="{2F398716-B4FF-4918-ACAE-998BA51A4F8E}"/>
    <cellStyle name="Input 2 8 2 2 11 2" xfId="37718" xr:uid="{3EDA02A4-8ED2-4E85-B97C-4AE718F21AD1}"/>
    <cellStyle name="Input 2 8 2 2 11 3" xfId="52170" xr:uid="{068268F8-A48E-46D2-BD59-F03D1B4EBD05}"/>
    <cellStyle name="Input 2 8 2 2 12" xfId="21163" xr:uid="{FAFF77C8-DD27-45E3-BCCC-C6E6FBDB21F7}"/>
    <cellStyle name="Input 2 8 2 2 12 2" xfId="49463" xr:uid="{E768A64E-2572-4A3D-84E7-82297E90B429}"/>
    <cellStyle name="Input 2 8 2 2 13" xfId="53745" xr:uid="{BC686DE6-F003-44FE-8AE8-1F83D8C359F5}"/>
    <cellStyle name="Input 2 8 2 2 2" xfId="3833" xr:uid="{00000000-0005-0000-0000-000061050000}"/>
    <cellStyle name="Input 2 8 2 2 2 2" xfId="10737" xr:uid="{8928820A-B54E-4ECE-9A5F-A8627A290E2F}"/>
    <cellStyle name="Input 2 8 2 2 2 2 2" xfId="33223" xr:uid="{AB74C81B-1778-4F35-B66A-6C050B3A888A}"/>
    <cellStyle name="Input 2 8 2 2 2 2 3" xfId="25612" xr:uid="{4B1960D9-0AE0-4F03-9409-7589EB97141A}"/>
    <cellStyle name="Input 2 8 2 2 2 3" xfId="15893" xr:uid="{B7A59B45-6169-4B83-9235-B75DC5C88081}"/>
    <cellStyle name="Input 2 8 2 2 2 3 2" xfId="38299" xr:uid="{57C75163-DA55-4CED-BEB2-4F4F5CABBD01}"/>
    <cellStyle name="Input 2 8 2 2 2 3 3" xfId="50500" xr:uid="{33FCE46F-32C6-4F93-BB39-50F7B60B3BE0}"/>
    <cellStyle name="Input 2 8 2 2 2 4" xfId="19976" xr:uid="{803619DB-B605-4062-8C6E-DC94E39DF2F8}"/>
    <cellStyle name="Input 2 8 2 2 2 4 2" xfId="44522" xr:uid="{4F72A89E-9024-41EE-AC55-1EB6E1695609}"/>
    <cellStyle name="Input 2 8 2 2 2 5" xfId="45347" xr:uid="{6C988909-649C-4D8C-963B-8A76747ACCAB}"/>
    <cellStyle name="Input 2 8 2 2 3" xfId="5249" xr:uid="{00000000-0005-0000-0000-000061050000}"/>
    <cellStyle name="Input 2 8 2 2 3 2" xfId="12141" xr:uid="{C3D878C5-716C-4C3E-B788-E57203EAAED9}"/>
    <cellStyle name="Input 2 8 2 2 3 2 2" xfId="34626" xr:uid="{F3CAE7A7-E139-43ED-9AE7-5A8A2AB3816F}"/>
    <cellStyle name="Input 2 8 2 2 3 2 3" xfId="42159" xr:uid="{9539493E-1240-4275-A7B5-E6A17C532D7B}"/>
    <cellStyle name="Input 2 8 2 2 3 3" xfId="17186" xr:uid="{6CF77756-C763-4009-9203-D9C88A6928CB}"/>
    <cellStyle name="Input 2 8 2 2 3 3 2" xfId="39576" xr:uid="{47F8F411-36B3-416D-A8F9-753915153BBB}"/>
    <cellStyle name="Input 2 8 2 2 3 3 3" xfId="27352" xr:uid="{8B3CC81D-9532-4A8B-9D90-3E80E3AFB9A7}"/>
    <cellStyle name="Input 2 8 2 2 3 4" xfId="21610" xr:uid="{B4D60BCC-CE6B-423A-8D46-B382109FC09C}"/>
    <cellStyle name="Input 2 8 2 2 3 4 2" xfId="38539" xr:uid="{23D98100-C118-438C-8CFD-4269DF7B75D5}"/>
    <cellStyle name="Input 2 8 2 2 3 5" xfId="50483" xr:uid="{486CD2D0-D954-428F-9DE5-A380C00AEB09}"/>
    <cellStyle name="Input 2 8 2 2 4" xfId="5661" xr:uid="{00000000-0005-0000-0000-000061050000}"/>
    <cellStyle name="Input 2 8 2 2 4 2" xfId="12545" xr:uid="{35D7B5AF-0A6B-4E9C-8C7F-172FE33F165B}"/>
    <cellStyle name="Input 2 8 2 2 4 2 2" xfId="35030" xr:uid="{02EE4898-C62C-4BFB-A097-E9DA266010BE}"/>
    <cellStyle name="Input 2 8 2 2 4 2 3" xfId="30744" xr:uid="{6BD7EB1F-4EDC-49DD-9A6B-0F6F011CD571}"/>
    <cellStyle name="Input 2 8 2 2 4 3" xfId="17598" xr:uid="{88CDEB7D-6317-4216-B607-EB624528761A}"/>
    <cellStyle name="Input 2 8 2 2 4 3 2" xfId="39988" xr:uid="{CA247693-C066-43A9-ACB9-32EE4DD23C0B}"/>
    <cellStyle name="Input 2 8 2 2 4 3 3" xfId="45369" xr:uid="{DC56ABFC-979F-4725-B15A-CB9FB91F58C2}"/>
    <cellStyle name="Input 2 8 2 2 4 4" xfId="22022" xr:uid="{793AC314-D654-450D-B274-1B5465DD4A11}"/>
    <cellStyle name="Input 2 8 2 2 4 4 2" xfId="50834" xr:uid="{13252D3F-3DFE-4F53-9954-6BE25CE1136C}"/>
    <cellStyle name="Input 2 8 2 2 4 5" xfId="51702" xr:uid="{89350864-F10C-4E7E-9545-0A13751003A5}"/>
    <cellStyle name="Input 2 8 2 2 5" xfId="4594" xr:uid="{00000000-0005-0000-0000-000061050000}"/>
    <cellStyle name="Input 2 8 2 2 5 2" xfId="11495" xr:uid="{0905A745-D6DF-43C1-90A5-33CDC480FFC6}"/>
    <cellStyle name="Input 2 8 2 2 5 2 2" xfId="33981" xr:uid="{FA348DF2-E3B3-4531-85FC-23081774B2EF}"/>
    <cellStyle name="Input 2 8 2 2 5 2 3" xfId="41805" xr:uid="{D7301CAE-6D32-4689-B616-5B07F2A7ED1F}"/>
    <cellStyle name="Input 2 8 2 2 5 3" xfId="16531" xr:uid="{C1371E80-E0E7-4AAE-8A57-FF454777A18A}"/>
    <cellStyle name="Input 2 8 2 2 5 3 2" xfId="38921" xr:uid="{6B156E18-F8BF-4665-A28D-D5863C630252}"/>
    <cellStyle name="Input 2 8 2 2 5 3 3" xfId="45021" xr:uid="{E187983B-23EC-4C99-9E34-6AEF05947182}"/>
    <cellStyle name="Input 2 8 2 2 5 4" xfId="14632" xr:uid="{24661FAA-50B5-47F0-8384-8450F449043D}"/>
    <cellStyle name="Input 2 8 2 2 5 4 2" xfId="47295" xr:uid="{0615ACC8-C977-4390-B0FC-5CC832BECD2C}"/>
    <cellStyle name="Input 2 8 2 2 5 5" xfId="47452" xr:uid="{38A4F72C-4F2A-4EDC-AAE7-6A57F73AB5DB}"/>
    <cellStyle name="Input 2 8 2 2 6" xfId="6400" xr:uid="{00000000-0005-0000-0000-000061050000}"/>
    <cellStyle name="Input 2 8 2 2 6 2" xfId="13272" xr:uid="{75E3D995-CDD0-4613-AECA-AF3A1F760D73}"/>
    <cellStyle name="Input 2 8 2 2 6 2 2" xfId="35756" xr:uid="{52C06900-249A-494B-ABB9-511C5E913FFE}"/>
    <cellStyle name="Input 2 8 2 2 6 2 3" xfId="30303" xr:uid="{A0B0250A-9C62-4F52-B3C8-9683EDEBE096}"/>
    <cellStyle name="Input 2 8 2 2 6 3" xfId="18337" xr:uid="{D40960EB-4ED4-4ADE-A9C6-A453FBAABE3B}"/>
    <cellStyle name="Input 2 8 2 2 6 3 2" xfId="40727" xr:uid="{DE752FF5-2DF8-4BFE-863A-D43D169A4406}"/>
    <cellStyle name="Input 2 8 2 2 6 3 3" xfId="43961" xr:uid="{4A902285-56BA-4532-BA1B-E2CBDCA87355}"/>
    <cellStyle name="Input 2 8 2 2 6 4" xfId="22761" xr:uid="{D409A5EF-5B03-4718-8800-31B7A4627026}"/>
    <cellStyle name="Input 2 8 2 2 6 4 2" xfId="52376" xr:uid="{DF4D5E3C-DE95-4229-81A8-0DD76006F8A4}"/>
    <cellStyle name="Input 2 8 2 2 6 5" xfId="46713" xr:uid="{E2AF71B1-062C-4DB7-84C7-6D689C346835}"/>
    <cellStyle name="Input 2 8 2 2 7" xfId="5199" xr:uid="{00000000-0005-0000-0000-000061050000}"/>
    <cellStyle name="Input 2 8 2 2 7 2" xfId="12092" xr:uid="{9A5DA031-6603-4C9C-967F-19FF249DBA3D}"/>
    <cellStyle name="Input 2 8 2 2 7 2 2" xfId="34578" xr:uid="{1A5B192C-C646-4F7E-9903-9E2131E520A2}"/>
    <cellStyle name="Input 2 8 2 2 7 2 3" xfId="32350" xr:uid="{2EB72623-EEBD-47C9-A713-1FC6646290CB}"/>
    <cellStyle name="Input 2 8 2 2 7 3" xfId="17136" xr:uid="{485F6D24-D224-4915-B5DA-2D8A40B93900}"/>
    <cellStyle name="Input 2 8 2 2 7 3 2" xfId="39526" xr:uid="{112C7970-4574-4859-AB81-7B4D7D274599}"/>
    <cellStyle name="Input 2 8 2 2 7 3 3" xfId="45836" xr:uid="{CF76AFD1-A6C1-4050-97AB-C51562E424E2}"/>
    <cellStyle name="Input 2 8 2 2 7 4" xfId="21560" xr:uid="{1F906BF3-4182-468B-8E83-1E17B65A58E9}"/>
    <cellStyle name="Input 2 8 2 2 7 4 2" xfId="52416" xr:uid="{5ECA145B-47EE-41C0-B52F-10E9CEA3F778}"/>
    <cellStyle name="Input 2 8 2 2 7 5" xfId="52079" xr:uid="{95970723-FFD5-4074-AA37-2B9FFDB2FF4E}"/>
    <cellStyle name="Input 2 8 2 2 8" xfId="6917" xr:uid="{00000000-0005-0000-0000-000061050000}"/>
    <cellStyle name="Input 2 8 2 2 8 2" xfId="13755" xr:uid="{BFB602FE-405E-4939-832A-73F1DBDB9718}"/>
    <cellStyle name="Input 2 8 2 2 8 2 2" xfId="36239" xr:uid="{3A94EE95-84E3-4938-84FF-D88AF3427BC7}"/>
    <cellStyle name="Input 2 8 2 2 8 2 3" xfId="47066" xr:uid="{6D68D544-C1E4-46BB-BA42-7B33FB81C5FC}"/>
    <cellStyle name="Input 2 8 2 2 8 3" xfId="18854" xr:uid="{4C363DF3-BE2F-4A65-AAA9-F6DCF7C0408C}"/>
    <cellStyle name="Input 2 8 2 2 8 3 2" xfId="41244" xr:uid="{F33047D4-CABF-4699-B2DE-3C0CDB5B0198}"/>
    <cellStyle name="Input 2 8 2 2 8 3 3" xfId="27572" xr:uid="{5F42E0B6-9353-4CF2-AAA9-235A6281EB12}"/>
    <cellStyle name="Input 2 8 2 2 8 4" xfId="23278" xr:uid="{571CAB79-CBDF-48FA-80AA-6FDADD00E737}"/>
    <cellStyle name="Input 2 8 2 2 8 4 2" xfId="48818" xr:uid="{0698AD40-6710-4CCA-906D-04FC109BF0BC}"/>
    <cellStyle name="Input 2 8 2 2 8 5" xfId="26551" xr:uid="{4B45D440-D66D-4F5F-91B8-203A7A60EAC6}"/>
    <cellStyle name="Input 2 8 2 2 9" xfId="6432" xr:uid="{00000000-0005-0000-0000-000061050000}"/>
    <cellStyle name="Input 2 8 2 2 9 2" xfId="18369" xr:uid="{48674A11-55D7-41BE-885D-ACD588523C77}"/>
    <cellStyle name="Input 2 8 2 2 9 2 2" xfId="40759" xr:uid="{84A0639F-CD31-4078-8333-36A3C0990EEC}"/>
    <cellStyle name="Input 2 8 2 2 9 2 3" xfId="26449" xr:uid="{F339AE1A-8BE7-487A-A1CA-0A46C06D390E}"/>
    <cellStyle name="Input 2 8 2 2 9 3" xfId="22793" xr:uid="{9624E219-D5BD-4ACA-B73D-13221795FCE0}"/>
    <cellStyle name="Input 2 8 2 2 9 3 2" xfId="48944" xr:uid="{BEEEB2D8-8BD4-4AAC-8F13-009F5391712A}"/>
    <cellStyle name="Input 2 8 2 2 9 4" xfId="53541" xr:uid="{5EF7E207-ECDB-4527-8A4F-3F5BB120BF48}"/>
    <cellStyle name="Input 2 8 2 3" xfId="2747" xr:uid="{00000000-0005-0000-0000-000060050000}"/>
    <cellStyle name="Input 2 8 2 3 2" xfId="9656" xr:uid="{A9FBD9D4-DA3D-4A9E-96B9-8EF588F771B2}"/>
    <cellStyle name="Input 2 8 2 3 2 2" xfId="32204" xr:uid="{6A81D7B0-7F26-4CCF-AE2E-3D7094E8F04F}"/>
    <cellStyle name="Input 2 8 2 3 2 3" xfId="47239" xr:uid="{5D7CBDB5-54D4-4DC5-8761-7D850C6126C2}"/>
    <cellStyle name="Input 2 8 2 3 3" xfId="15174" xr:uid="{CD6B3533-EC9F-43A2-9930-7F214B712786}"/>
    <cellStyle name="Input 2 8 2 3 3 2" xfId="37614" xr:uid="{268942E3-74D1-4096-83D1-031B13CA654F}"/>
    <cellStyle name="Input 2 8 2 3 3 3" xfId="50193" xr:uid="{9AB92A9A-B707-49F1-A537-6091DC44728F}"/>
    <cellStyle name="Input 2 8 2 3 4" xfId="20378" xr:uid="{169FA343-E23D-4F69-86FE-2136392C67E8}"/>
    <cellStyle name="Input 2 8 2 3 4 2" xfId="46489" xr:uid="{2FA340BA-77C8-4501-BAC4-1D940396DE98}"/>
    <cellStyle name="Input 2 8 2 3 5" xfId="49663" xr:uid="{E566F41A-4CA4-49D8-B72F-90AF81A0667B}"/>
    <cellStyle name="Input 2 8 2 4" xfId="4540" xr:uid="{00000000-0005-0000-0000-000060050000}"/>
    <cellStyle name="Input 2 8 2 4 2" xfId="11442" xr:uid="{D1754EA6-1A93-4A06-9FE4-D54E380303E5}"/>
    <cellStyle name="Input 2 8 2 4 2 2" xfId="33928" xr:uid="{7738B462-E9A2-4ADD-80FE-475B909D2F08}"/>
    <cellStyle name="Input 2 8 2 4 2 3" xfId="23959" xr:uid="{40213035-7982-41FC-841E-DAD8A8BF9CFF}"/>
    <cellStyle name="Input 2 8 2 4 3" xfId="16477" xr:uid="{53286925-47FA-4B11-81E3-364ADF9369D9}"/>
    <cellStyle name="Input 2 8 2 4 3 2" xfId="38867" xr:uid="{1DCE6DBC-DB2A-4B01-9E85-612FADFB4065}"/>
    <cellStyle name="Input 2 8 2 4 3 3" xfId="30521" xr:uid="{954CC145-2D03-4832-8A9F-EE988017B8D3}"/>
    <cellStyle name="Input 2 8 2 4 4" xfId="19635" xr:uid="{3D0FEA81-DB8C-4AD3-B729-AD5FE2E4498A}"/>
    <cellStyle name="Input 2 8 2 4 4 2" xfId="25908" xr:uid="{0E1A6357-848F-41BE-B760-A1C4861CBD33}"/>
    <cellStyle name="Input 2 8 2 4 5" xfId="46519" xr:uid="{A366709E-D9BF-4823-8529-1E385C3FF546}"/>
    <cellStyle name="Input 2 8 2 5" xfId="5214" xr:uid="{00000000-0005-0000-0000-000060050000}"/>
    <cellStyle name="Input 2 8 2 5 2" xfId="12107" xr:uid="{FAD0DBB2-E182-47CE-A1AD-1B0C01EEB258}"/>
    <cellStyle name="Input 2 8 2 5 2 2" xfId="34592" xr:uid="{968F12F5-E233-4C18-B49B-A01E61E916BE}"/>
    <cellStyle name="Input 2 8 2 5 2 3" xfId="27377" xr:uid="{A4105395-92B7-4065-914A-1B39BDAEEEF0}"/>
    <cellStyle name="Input 2 8 2 5 3" xfId="17151" xr:uid="{61C6FCA0-7B30-4868-BFEA-3135D6EEED10}"/>
    <cellStyle name="Input 2 8 2 5 3 2" xfId="39541" xr:uid="{B97924E2-FAC1-48EA-9DF3-BE24F223CE67}"/>
    <cellStyle name="Input 2 8 2 5 3 3" xfId="23942" xr:uid="{D1A2BAF0-7E17-40AD-823D-DE19C0E97DAA}"/>
    <cellStyle name="Input 2 8 2 5 4" xfId="21575" xr:uid="{0EFBFB4F-E0DB-4030-AB09-F3552EFA68F1}"/>
    <cellStyle name="Input 2 8 2 5 4 2" xfId="49216" xr:uid="{1E3C2067-2085-412F-83AE-D8C8D0C3DDBA}"/>
    <cellStyle name="Input 2 8 2 5 5" xfId="47766" xr:uid="{6614E182-65B8-4107-B94D-F565B7B4C96E}"/>
    <cellStyle name="Input 2 8 2 6" xfId="6354" xr:uid="{00000000-0005-0000-0000-000060050000}"/>
    <cellStyle name="Input 2 8 2 6 2" xfId="13226" xr:uid="{C4F12328-BEB1-4AEB-B507-BAD1D756AF8E}"/>
    <cellStyle name="Input 2 8 2 6 2 2" xfId="35710" xr:uid="{23DA8E57-D53F-4F14-B04F-55CB11DC500D}"/>
    <cellStyle name="Input 2 8 2 6 2 3" xfId="53273" xr:uid="{B20C403C-CFF6-43B2-878E-53F7065F9DB1}"/>
    <cellStyle name="Input 2 8 2 6 3" xfId="18291" xr:uid="{8912215C-F0DF-4F02-8D62-64C19E91A689}"/>
    <cellStyle name="Input 2 8 2 6 3 2" xfId="40681" xr:uid="{604F73A5-3F25-4C42-935E-B190E6398FC7}"/>
    <cellStyle name="Input 2 8 2 6 3 3" xfId="32144" xr:uid="{DF2D8F9D-A2BB-4D05-88E1-5B427B0DCF72}"/>
    <cellStyle name="Input 2 8 2 6 4" xfId="22715" xr:uid="{CE5B4018-0016-4631-9D46-6973D5DFE7EE}"/>
    <cellStyle name="Input 2 8 2 6 4 2" xfId="25668" xr:uid="{FA63A6F0-AB77-45D6-B237-3BFCCAA05D9A}"/>
    <cellStyle name="Input 2 8 2 6 5" xfId="47897" xr:uid="{61ACBA0C-65C5-4875-B3E9-99997A55A8E4}"/>
    <cellStyle name="Input 2 8 2 7" xfId="6659" xr:uid="{00000000-0005-0000-0000-000060050000}"/>
    <cellStyle name="Input 2 8 2 7 2" xfId="13525" xr:uid="{CC8D12AF-5D28-4C01-AED5-C4B1B9BDAADA}"/>
    <cellStyle name="Input 2 8 2 7 2 2" xfId="36009" xr:uid="{B5E831CF-3526-4C91-8D24-C5645E934339}"/>
    <cellStyle name="Input 2 8 2 7 2 3" xfId="46327" xr:uid="{F7803AB9-26A6-4BE6-99BD-DA05C3D22297}"/>
    <cellStyle name="Input 2 8 2 7 3" xfId="18596" xr:uid="{8FA480D0-62C2-45C5-A643-A45F2E8278B8}"/>
    <cellStyle name="Input 2 8 2 7 3 2" xfId="40986" xr:uid="{AE51613F-5BCA-4376-B45F-C03741C341C5}"/>
    <cellStyle name="Input 2 8 2 7 3 3" xfId="24323" xr:uid="{714EA469-24F9-4691-915E-B5D65C27666C}"/>
    <cellStyle name="Input 2 8 2 7 4" xfId="23020" xr:uid="{47EA16DA-9FF1-42B5-AD25-A527E429F139}"/>
    <cellStyle name="Input 2 8 2 7 4 2" xfId="46822" xr:uid="{9AE9DB48-6CFB-4832-8F7B-478346FAB8C3}"/>
    <cellStyle name="Input 2 8 2 7 5" xfId="48061" xr:uid="{FFE441ED-92B3-4A72-A48E-127B12FD22E7}"/>
    <cellStyle name="Input 2 8 2 8" xfId="8085" xr:uid="{2F43BC5D-3A79-490B-8197-8BCE5C5C56EA}"/>
    <cellStyle name="Input 2 8 2 8 2" xfId="30700" xr:uid="{3ADE6E77-FB8C-4845-961D-2350B98F161A}"/>
    <cellStyle name="Input 2 8 2 8 3" xfId="49788" xr:uid="{1906BE59-91E2-4AA1-AE60-308382591DC3}"/>
    <cellStyle name="Input 2 8 2 9" xfId="21156" xr:uid="{2DB6374C-0C36-4D35-9EF6-F5523C21A72F}"/>
    <cellStyle name="Input 2 8 2 9 2" xfId="43399" xr:uid="{4E18AD00-84A7-43CB-8120-2C6ADA1F4B84}"/>
    <cellStyle name="Input 2 8 2 9 3" xfId="51164" xr:uid="{F08F917C-B027-4FC7-B336-134E25DF47C2}"/>
    <cellStyle name="Input 2 8 3" xfId="848" xr:uid="{00000000-0005-0000-0000-000063050000}"/>
    <cellStyle name="Input 2 8 3 10" xfId="20910" xr:uid="{F0270ED7-8882-4F3D-BBA9-FA07C395701E}"/>
    <cellStyle name="Input 2 8 3 10 2" xfId="27634" xr:uid="{84E29EE4-5D0C-45B5-A21A-C39EC5F28648}"/>
    <cellStyle name="Input 2 8 3 11" xfId="46115" xr:uid="{DFB15AC6-D5FD-4517-8D29-5294C2BDC175}"/>
    <cellStyle name="Input 2 8 3 2" xfId="1833" xr:uid="{00000000-0005-0000-0000-000064050000}"/>
    <cellStyle name="Input 2 8 3 2 10" xfId="14517" xr:uid="{D69F73C6-EA93-44C0-AB52-14E656024D2B}"/>
    <cellStyle name="Input 2 8 3 2 10 2" xfId="36978" xr:uid="{E8A8C288-8A03-4BBE-9A85-E99C5C60A85C}"/>
    <cellStyle name="Input 2 8 3 2 10 3" xfId="50661" xr:uid="{D26AD9D7-608C-494B-BB75-2FD5BA86DF64}"/>
    <cellStyle name="Input 2 8 3 2 11" xfId="20869" xr:uid="{A72C771B-76CD-46BE-B202-56D349F916C9}"/>
    <cellStyle name="Input 2 8 3 2 11 2" xfId="43134" xr:uid="{9FC7FD46-64E8-42FE-9A52-A7D9DE8F6944}"/>
    <cellStyle name="Input 2 8 3 2 11 3" xfId="46806" xr:uid="{180D6922-AD39-4170-96E4-67A3E3F38B99}"/>
    <cellStyle name="Input 2 8 3 2 12" xfId="19615" xr:uid="{79D9CCBD-43D2-44DD-8738-B55B8CCC9B77}"/>
    <cellStyle name="Input 2 8 3 2 12 2" xfId="28872" xr:uid="{254BA7C7-F811-4BF0-88C2-F871A0B32576}"/>
    <cellStyle name="Input 2 8 3 2 13" xfId="37000" xr:uid="{A597F88D-1312-4005-901C-556B5BD60EB3}"/>
    <cellStyle name="Input 2 8 3 2 2" xfId="3931" xr:uid="{00000000-0005-0000-0000-000063050000}"/>
    <cellStyle name="Input 2 8 3 2 2 2" xfId="10835" xr:uid="{E6D73CA9-A0B0-475A-BF75-7B186703AF3C}"/>
    <cellStyle name="Input 2 8 3 2 2 2 2" xfId="33321" xr:uid="{E3ADB289-D3D9-4872-902F-6BDCAFC9982C}"/>
    <cellStyle name="Input 2 8 3 2 2 2 3" xfId="41787" xr:uid="{F8E3B84F-3893-4F51-96FB-3AD05CF5D392}"/>
    <cellStyle name="Input 2 8 3 2 2 3" xfId="15973" xr:uid="{706ACE4E-D0A9-4203-9934-CBA11611B60D}"/>
    <cellStyle name="Input 2 8 3 2 2 3 2" xfId="38376" xr:uid="{3E69EC27-B890-4114-A26D-068FEF8F45AC}"/>
    <cellStyle name="Input 2 8 3 2 2 3 3" xfId="52303" xr:uid="{760E417C-548B-424D-8A90-43092B3190ED}"/>
    <cellStyle name="Input 2 8 3 2 2 4" xfId="19757" xr:uid="{CFDD77ED-306B-4977-A569-7949FDCD019E}"/>
    <cellStyle name="Input 2 8 3 2 2 4 2" xfId="44773" xr:uid="{CCBA55DA-018E-42C1-AA84-45620867B604}"/>
    <cellStyle name="Input 2 8 3 2 2 5" xfId="32681" xr:uid="{2D26CABB-2E9B-4444-9842-BE12C65B5691}"/>
    <cellStyle name="Input 2 8 3 2 3" xfId="5326" xr:uid="{00000000-0005-0000-0000-000063050000}"/>
    <cellStyle name="Input 2 8 3 2 3 2" xfId="12218" xr:uid="{1F03A9A8-66FA-4501-AFB2-331BC573E2CB}"/>
    <cellStyle name="Input 2 8 3 2 3 2 2" xfId="34703" xr:uid="{7933A203-2CB3-49CD-8320-9E72216F30A3}"/>
    <cellStyle name="Input 2 8 3 2 3 2 3" xfId="27285" xr:uid="{176086B3-BD90-4288-9CC4-52298F0B6F89}"/>
    <cellStyle name="Input 2 8 3 2 3 3" xfId="17263" xr:uid="{7ABD9EB6-29A4-44D9-BF16-6F44C4B9FDC7}"/>
    <cellStyle name="Input 2 8 3 2 3 3 2" xfId="39653" xr:uid="{4E755553-5DCD-4F76-A3C6-B699FC4231E3}"/>
    <cellStyle name="Input 2 8 3 2 3 3 3" xfId="45031" xr:uid="{1F2A0A9D-9B03-4812-B6F5-66D3E474ED62}"/>
    <cellStyle name="Input 2 8 3 2 3 4" xfId="21687" xr:uid="{27676A4D-2603-4A27-92B5-E0E981D2AEA1}"/>
    <cellStyle name="Input 2 8 3 2 3 4 2" xfId="42243" xr:uid="{B8FF5399-B5AE-4FAF-8604-0E0FE92F2ABB}"/>
    <cellStyle name="Input 2 8 3 2 3 5" xfId="50197" xr:uid="{FED8E866-B618-4CA3-8D1E-5694B825743E}"/>
    <cellStyle name="Input 2 8 3 2 4" xfId="5736" xr:uid="{00000000-0005-0000-0000-000063050000}"/>
    <cellStyle name="Input 2 8 3 2 4 2" xfId="12620" xr:uid="{09373757-09CE-4A0A-AD60-DBAF1B40985A}"/>
    <cellStyle name="Input 2 8 3 2 4 2 2" xfId="35105" xr:uid="{666495BF-230A-4A2A-873C-9ACFEE831C1D}"/>
    <cellStyle name="Input 2 8 3 2 4 2 3" xfId="32356" xr:uid="{18B737F7-4AF5-4F68-A57D-40D57787864E}"/>
    <cellStyle name="Input 2 8 3 2 4 3" xfId="17673" xr:uid="{45AA5EFD-C674-4BDF-8DD4-801AED877B12}"/>
    <cellStyle name="Input 2 8 3 2 4 3 2" xfId="40063" xr:uid="{BD2C5C3E-88EF-4933-908D-29CE07B9AC97}"/>
    <cellStyle name="Input 2 8 3 2 4 3 3" xfId="30146" xr:uid="{B4887081-F139-456E-9581-CF40F24C4AE0}"/>
    <cellStyle name="Input 2 8 3 2 4 4" xfId="22097" xr:uid="{D2799BCB-2DCD-4D53-9663-6EE44BBE528F}"/>
    <cellStyle name="Input 2 8 3 2 4 4 2" xfId="28695" xr:uid="{E3CD4FAC-B9F6-4714-923C-27CF1B44BE81}"/>
    <cellStyle name="Input 2 8 3 2 4 5" xfId="53943" xr:uid="{90D3198C-0B02-44F4-A8BB-516F6607DB5B}"/>
    <cellStyle name="Input 2 8 3 2 5" xfId="6090" xr:uid="{00000000-0005-0000-0000-000063050000}"/>
    <cellStyle name="Input 2 8 3 2 5 2" xfId="12968" xr:uid="{54A2225E-9240-4E3C-AADD-39CCC2FEDF3A}"/>
    <cellStyle name="Input 2 8 3 2 5 2 2" xfId="35452" xr:uid="{FBF498E4-BFDB-4443-A3C6-09C619303832}"/>
    <cellStyle name="Input 2 8 3 2 5 2 3" xfId="48695" xr:uid="{46B4971C-3833-493C-A94E-D529BF8BC35D}"/>
    <cellStyle name="Input 2 8 3 2 5 3" xfId="18027" xr:uid="{44A7E9E6-4935-47D9-933F-1B1CED9F4C1F}"/>
    <cellStyle name="Input 2 8 3 2 5 3 2" xfId="40417" xr:uid="{F618A698-5E41-4481-84D0-6C720DE138C3}"/>
    <cellStyle name="Input 2 8 3 2 5 3 3" xfId="27582" xr:uid="{8CC78286-B985-4D4D-B27C-7E125CDE8DF7}"/>
    <cellStyle name="Input 2 8 3 2 5 4" xfId="22451" xr:uid="{B7F1B23A-5A43-44FF-A0EA-0F07DBEE0323}"/>
    <cellStyle name="Input 2 8 3 2 5 4 2" xfId="24638" xr:uid="{667DF0EC-FDBB-4D88-8A70-3986440C2AE5}"/>
    <cellStyle name="Input 2 8 3 2 5 5" xfId="24325" xr:uid="{35749FD3-845C-4092-B574-955E02C94D31}"/>
    <cellStyle name="Input 2 8 3 2 6" xfId="6465" xr:uid="{00000000-0005-0000-0000-000063050000}"/>
    <cellStyle name="Input 2 8 3 2 6 2" xfId="13335" xr:uid="{FA49F51D-CBD5-4BBC-8B9F-B637D8AD553D}"/>
    <cellStyle name="Input 2 8 3 2 6 2 2" xfId="35819" xr:uid="{56470563-7C1B-488E-AD43-57CB3E86ACBA}"/>
    <cellStyle name="Input 2 8 3 2 6 2 3" xfId="44485" xr:uid="{26CED346-4CAF-4A07-9C95-4A431E080B5A}"/>
    <cellStyle name="Input 2 8 3 2 6 3" xfId="18402" xr:uid="{A7D10341-11FD-4AE5-A22B-86F665B1287A}"/>
    <cellStyle name="Input 2 8 3 2 6 3 2" xfId="40792" xr:uid="{97CDE930-FCA2-41B0-B02E-20752319A9D7}"/>
    <cellStyle name="Input 2 8 3 2 6 3 3" xfId="25240" xr:uid="{12A22510-3E21-4576-8B01-1311F113EC6F}"/>
    <cellStyle name="Input 2 8 3 2 6 4" xfId="22826" xr:uid="{6583C7C7-9854-4ED6-97B7-F4C38309A079}"/>
    <cellStyle name="Input 2 8 3 2 6 4 2" xfId="51120" xr:uid="{08B5A754-90D0-4A58-AB95-8FD8C6F4AFC2}"/>
    <cellStyle name="Input 2 8 3 2 6 5" xfId="44310" xr:uid="{8D63E624-1180-44C5-89CE-E3D0EBE3624E}"/>
    <cellStyle name="Input 2 8 3 2 7" xfId="6329" xr:uid="{00000000-0005-0000-0000-000063050000}"/>
    <cellStyle name="Input 2 8 3 2 7 2" xfId="13201" xr:uid="{1E04C6F0-77B8-4B50-B35D-31095E03E89D}"/>
    <cellStyle name="Input 2 8 3 2 7 2 2" xfId="35685" xr:uid="{A2D70B73-4E87-4189-8D40-941247D2344E}"/>
    <cellStyle name="Input 2 8 3 2 7 2 3" xfId="46364" xr:uid="{78FAB712-7A26-4E37-B47B-BF3F9ACE3DF1}"/>
    <cellStyle name="Input 2 8 3 2 7 3" xfId="18266" xr:uid="{541D7DAF-26F1-4BC2-B2D6-C6AACF589A8E}"/>
    <cellStyle name="Input 2 8 3 2 7 3 2" xfId="40656" xr:uid="{7C96C2A9-FBD1-43AD-BF49-0C029AB1699C}"/>
    <cellStyle name="Input 2 8 3 2 7 3 3" xfId="28085" xr:uid="{38AC3968-3F07-45C9-8029-D48400C9991D}"/>
    <cellStyle name="Input 2 8 3 2 7 4" xfId="22690" xr:uid="{2AAFC781-9126-4DC4-9E59-6C768E06F76B}"/>
    <cellStyle name="Input 2 8 3 2 7 4 2" xfId="49955" xr:uid="{4127A33C-19E8-4D3F-8105-A3F0E7764717}"/>
    <cellStyle name="Input 2 8 3 2 7 5" xfId="53045" xr:uid="{5A83A880-CF17-4BE4-AF76-3245FFC48D68}"/>
    <cellStyle name="Input 2 8 3 2 8" xfId="6965" xr:uid="{00000000-0005-0000-0000-000063050000}"/>
    <cellStyle name="Input 2 8 3 2 8 2" xfId="13802" xr:uid="{EBE972F4-C6A8-4725-BD6B-81AB15000EC8}"/>
    <cellStyle name="Input 2 8 3 2 8 2 2" xfId="36286" xr:uid="{EA64FE62-0A78-4667-B188-63A25F5A1525}"/>
    <cellStyle name="Input 2 8 3 2 8 2 3" xfId="47588" xr:uid="{9516A4FC-96CC-4C5F-9AED-94F7E1A968D4}"/>
    <cellStyle name="Input 2 8 3 2 8 3" xfId="18902" xr:uid="{FF091BA6-94E4-4834-88A8-AB51BE2DCADD}"/>
    <cellStyle name="Input 2 8 3 2 8 3 2" xfId="41292" xr:uid="{4C1B205C-5E52-4BF1-9ADA-691D8CED5D1A}"/>
    <cellStyle name="Input 2 8 3 2 8 3 3" xfId="32387" xr:uid="{1F78BB67-03B7-4C0A-BAD8-5E8A04A06EDE}"/>
    <cellStyle name="Input 2 8 3 2 8 4" xfId="23326" xr:uid="{2365787A-819B-4880-A7D3-5906F41421F5}"/>
    <cellStyle name="Input 2 8 3 2 8 4 2" xfId="52409" xr:uid="{A1A63622-CA7B-4854-A6F0-B3FA45E62392}"/>
    <cellStyle name="Input 2 8 3 2 8 5" xfId="25786" xr:uid="{4231165F-D208-4278-8089-1E6F56C35189}"/>
    <cellStyle name="Input 2 8 3 2 9" xfId="7117" xr:uid="{00000000-0005-0000-0000-000063050000}"/>
    <cellStyle name="Input 2 8 3 2 9 2" xfId="19054" xr:uid="{74249FEB-FE0C-4155-B0CA-ED16E546E6DF}"/>
    <cellStyle name="Input 2 8 3 2 9 2 2" xfId="41444" xr:uid="{785C9FFB-58FD-4665-9A20-723E8FCDB0CA}"/>
    <cellStyle name="Input 2 8 3 2 9 2 3" xfId="26296" xr:uid="{0D0C2722-39F6-4B00-94AE-8ED20D6999C7}"/>
    <cellStyle name="Input 2 8 3 2 9 3" xfId="23478" xr:uid="{FF0A1C7F-5A4C-429B-876A-00355E81D179}"/>
    <cellStyle name="Input 2 8 3 2 9 3 2" xfId="52762" xr:uid="{7BACA7AC-6457-4F85-A6A7-34EBA422FBBE}"/>
    <cellStyle name="Input 2 8 3 2 9 4" xfId="47269" xr:uid="{63591652-1790-4E2D-85DD-7A8F416BC07F}"/>
    <cellStyle name="Input 2 8 3 3" xfId="2980" xr:uid="{00000000-0005-0000-0000-000062050000}"/>
    <cellStyle name="Input 2 8 3 3 2" xfId="9889" xr:uid="{7BF80610-00D4-48C0-A2E3-1F443C2228C1}"/>
    <cellStyle name="Input 2 8 3 3 2 2" xfId="32412" xr:uid="{7F8A90C6-3397-4D7C-A0CD-4985FD0B1151}"/>
    <cellStyle name="Input 2 8 3 3 2 3" xfId="36795" xr:uid="{2233139E-405E-43FE-9A4A-B7B92643BD59}"/>
    <cellStyle name="Input 2 8 3 3 3" xfId="15327" xr:uid="{52DCC33B-481A-430E-81ED-449700BEFCD3}"/>
    <cellStyle name="Input 2 8 3 3 3 2" xfId="37759" xr:uid="{4B470062-5D04-4DBF-B118-62092B7E6CCA}"/>
    <cellStyle name="Input 2 8 3 3 3 3" xfId="50859" xr:uid="{CD901AA2-7E75-4C91-B4CF-1496B5682392}"/>
    <cellStyle name="Input 2 8 3 3 4" xfId="19731" xr:uid="{E107BF10-F7A5-4FFE-9DA8-34C8E1EF44CB}"/>
    <cellStyle name="Input 2 8 3 3 4 2" xfId="26956" xr:uid="{36FCEF15-028D-4AE2-9EE9-87BA72CA888B}"/>
    <cellStyle name="Input 2 8 3 3 5" xfId="27846" xr:uid="{B8129472-C6C3-4806-81AC-604D3D672250}"/>
    <cellStyle name="Input 2 8 3 4" xfId="4692" xr:uid="{00000000-0005-0000-0000-000062050000}"/>
    <cellStyle name="Input 2 8 3 4 2" xfId="11590" xr:uid="{C04CF5B2-F82D-419D-B5CB-F438AAD50E26}"/>
    <cellStyle name="Input 2 8 3 4 2 2" xfId="34076" xr:uid="{5E461B96-269C-4E3C-9109-0E576A9AB7A1}"/>
    <cellStyle name="Input 2 8 3 4 2 3" xfId="25690" xr:uid="{0B505D5F-99CA-4C7F-81AD-7F81A88E01F1}"/>
    <cellStyle name="Input 2 8 3 4 3" xfId="16629" xr:uid="{3AADE248-2665-4FE4-A20B-339B211C5D61}"/>
    <cellStyle name="Input 2 8 3 4 3 2" xfId="39019" xr:uid="{230157B2-9B8C-41D9-8865-87DC30D83CCB}"/>
    <cellStyle name="Input 2 8 3 4 3 3" xfId="24754" xr:uid="{7E26EF91-79D0-4CB9-BA9E-831312510D0B}"/>
    <cellStyle name="Input 2 8 3 4 4" xfId="19585" xr:uid="{4876E5FC-25FE-4E68-973C-C4508868AB8B}"/>
    <cellStyle name="Input 2 8 3 4 4 2" xfId="28758" xr:uid="{F9C24D0D-A03A-44B2-864A-0D687F5156D1}"/>
    <cellStyle name="Input 2 8 3 4 5" xfId="51662" xr:uid="{78B58A59-FBEF-472B-836C-C766BC50B397}"/>
    <cellStyle name="Input 2 8 3 5" xfId="5208" xr:uid="{00000000-0005-0000-0000-000062050000}"/>
    <cellStyle name="Input 2 8 3 5 2" xfId="12101" xr:uid="{2212DEB6-A786-4748-B82F-6CC9FF832B59}"/>
    <cellStyle name="Input 2 8 3 5 2 2" xfId="34586" xr:uid="{47B85B0E-A5A9-4FCC-A139-0FAC97AC8024}"/>
    <cellStyle name="Input 2 8 3 5 2 3" xfId="29384" xr:uid="{9E91A7DA-3FC7-4D0F-A2A9-3DD1C026EC94}"/>
    <cellStyle name="Input 2 8 3 5 3" xfId="17145" xr:uid="{237312F7-1748-41F7-B67B-DBF32C7E8EFF}"/>
    <cellStyle name="Input 2 8 3 5 3 2" xfId="39535" xr:uid="{A1C22C6F-E2B5-4ECB-B4B9-91FFAD9B5422}"/>
    <cellStyle name="Input 2 8 3 5 3 3" xfId="44439" xr:uid="{BDC06765-3AE6-43A0-852A-2BF1B06F9F58}"/>
    <cellStyle name="Input 2 8 3 5 4" xfId="21569" xr:uid="{77AC70A8-C86F-4497-BB3C-340EFEBF2F53}"/>
    <cellStyle name="Input 2 8 3 5 4 2" xfId="50550" xr:uid="{B9841A26-A0FB-4E9F-ACAB-9426992F2CDB}"/>
    <cellStyle name="Input 2 8 3 5 5" xfId="52053" xr:uid="{4C9AF21D-2C59-4C49-812D-5F718BB387A3}"/>
    <cellStyle name="Input 2 8 3 6" xfId="4382" xr:uid="{00000000-0005-0000-0000-000062050000}"/>
    <cellStyle name="Input 2 8 3 6 2" xfId="11284" xr:uid="{53CBAD74-FB6E-494B-9607-4C0E27986053}"/>
    <cellStyle name="Input 2 8 3 6 2 2" xfId="33770" xr:uid="{DA54029D-45F0-4066-96BA-7315C128B51A}"/>
    <cellStyle name="Input 2 8 3 6 2 3" xfId="30799" xr:uid="{96E19511-B40C-4490-8075-84829D5BEA52}"/>
    <cellStyle name="Input 2 8 3 6 3" xfId="16319" xr:uid="{5B88D805-8232-4E05-8BD9-4B87DEB81707}"/>
    <cellStyle name="Input 2 8 3 6 3 2" xfId="38709" xr:uid="{E23A1B8C-F696-4061-90BB-6960C9F0E41A}"/>
    <cellStyle name="Input 2 8 3 6 3 3" xfId="28315" xr:uid="{00445A48-65BB-48FF-9CE2-FC2CED32918F}"/>
    <cellStyle name="Input 2 8 3 6 4" xfId="14960" xr:uid="{5D140E98-4903-4BBB-9BA8-846BD8A1B4C6}"/>
    <cellStyle name="Input 2 8 3 6 4 2" xfId="38253" xr:uid="{6548B820-4B53-46D9-8AC3-EA10F9D69516}"/>
    <cellStyle name="Input 2 8 3 6 5" xfId="27456" xr:uid="{7EC536A4-31CA-424D-BE09-ED80F8DF5183}"/>
    <cellStyle name="Input 2 8 3 7" xfId="6737" xr:uid="{00000000-0005-0000-0000-000062050000}"/>
    <cellStyle name="Input 2 8 3 7 2" xfId="13596" xr:uid="{9D6FECEF-C9E0-45F4-B772-71D5AE659914}"/>
    <cellStyle name="Input 2 8 3 7 2 2" xfId="36080" xr:uid="{8E064FAC-0889-4CF0-A947-3FD4C5A9A24F}"/>
    <cellStyle name="Input 2 8 3 7 2 3" xfId="48590" xr:uid="{09176887-0C81-41D0-BD68-2A4ACF3D23D5}"/>
    <cellStyle name="Input 2 8 3 7 3" xfId="18674" xr:uid="{82449C61-5593-4449-B335-797E525512F2}"/>
    <cellStyle name="Input 2 8 3 7 3 2" xfId="41064" xr:uid="{5A3CE550-279C-4DBC-8BED-357C4E9F97D5}"/>
    <cellStyle name="Input 2 8 3 7 3 3" xfId="31682" xr:uid="{E22EC7F3-5F9B-4F37-8CF8-8E700D8181C7}"/>
    <cellStyle name="Input 2 8 3 7 4" xfId="23098" xr:uid="{3930CF0A-1732-4A02-8B93-C2AC79140E70}"/>
    <cellStyle name="Input 2 8 3 7 4 2" xfId="53153" xr:uid="{5563B752-6F6D-4EB3-B147-D504E1344B75}"/>
    <cellStyle name="Input 2 8 3 7 5" xfId="52107" xr:uid="{5EE5301E-3F1D-4F5C-A670-3D4B67650C3F}"/>
    <cellStyle name="Input 2 8 3 8" xfId="7351" xr:uid="{E6AB173B-E498-4086-93E7-26A561507B96}"/>
    <cellStyle name="Input 2 8 3 8 2" xfId="30037" xr:uid="{B4B30DE8-5DD7-45F8-9817-326632714760}"/>
    <cellStyle name="Input 2 8 3 8 3" xfId="47140" xr:uid="{85339046-1E39-40EC-8913-5BDA238AAB8A}"/>
    <cellStyle name="Input 2 8 3 9" xfId="19426" xr:uid="{FE2CB573-AC52-4AC2-A30C-DC91AD7F8841}"/>
    <cellStyle name="Input 2 8 3 9 2" xfId="41795" xr:uid="{D53AFB28-42D0-4E49-BB43-3BC12D832E2C}"/>
    <cellStyle name="Input 2 8 3 9 3" xfId="24715" xr:uid="{F3EFE2A0-6678-46A2-9AE3-C04B52BFFE2D}"/>
    <cellStyle name="Input 2 8 4" xfId="1035" xr:uid="{00000000-0005-0000-0000-000065050000}"/>
    <cellStyle name="Input 2 8 4 10" xfId="20810" xr:uid="{60829DEE-D8E8-411E-9280-CA470DCDAB07}"/>
    <cellStyle name="Input 2 8 4 10 2" xfId="46317" xr:uid="{D8B756CB-5BB8-47B4-8C77-C4AF16792546}"/>
    <cellStyle name="Input 2 8 4 11" xfId="47158" xr:uid="{9F888BF9-30A9-43ED-9B13-552C299ED25F}"/>
    <cellStyle name="Input 2 8 4 2" xfId="1925" xr:uid="{00000000-0005-0000-0000-000066050000}"/>
    <cellStyle name="Input 2 8 4 2 10" xfId="14595" xr:uid="{AA343082-8F09-4711-8759-C1342B3E545D}"/>
    <cellStyle name="Input 2 8 4 2 10 2" xfId="37056" xr:uid="{6C88C3B5-F457-4A93-86F2-7C4C4DF8957C}"/>
    <cellStyle name="Input 2 8 4 2 10 3" xfId="28017" xr:uid="{AF48C21D-9219-4996-A829-EB1B1B9ED12E}"/>
    <cellStyle name="Input 2 8 4 2 11" xfId="20673" xr:uid="{8F13A898-68FD-4792-B1FC-6E6718BF96FC}"/>
    <cellStyle name="Input 2 8 4 2 11 2" xfId="42947" xr:uid="{520C39D7-BD65-4EC7-B69E-9DC56B7D2E56}"/>
    <cellStyle name="Input 2 8 4 2 11 3" xfId="46668" xr:uid="{4E147E99-766A-4456-A644-F4A266656895}"/>
    <cellStyle name="Input 2 8 4 2 12" xfId="14281" xr:uid="{1C100977-05B6-46FC-AC48-1D9ED651C6F6}"/>
    <cellStyle name="Input 2 8 4 2 12 2" xfId="50824" xr:uid="{CF01E619-A5D9-4C56-AD5D-7CF2BDBB697A}"/>
    <cellStyle name="Input 2 8 4 2 13" xfId="32376" xr:uid="{EBD1FCF5-C55F-4F5F-9C3A-7FFDF7DAA93A}"/>
    <cellStyle name="Input 2 8 4 2 2" xfId="4022" xr:uid="{00000000-0005-0000-0000-000065050000}"/>
    <cellStyle name="Input 2 8 4 2 2 2" xfId="10926" xr:uid="{3A659A48-391E-4539-89DB-FA42C4050D74}"/>
    <cellStyle name="Input 2 8 4 2 2 2 2" xfId="33412" xr:uid="{63C850FD-01B1-4D9D-8D52-68ED2503A7CA}"/>
    <cellStyle name="Input 2 8 4 2 2 2 3" xfId="54029" xr:uid="{5C0E12EF-9F3F-4B66-8BA0-BFA6CA4426EF}"/>
    <cellStyle name="Input 2 8 4 2 2 3" xfId="16046" xr:uid="{F4E50287-3594-478F-A42A-E9DFDA12B283}"/>
    <cellStyle name="Input 2 8 4 2 2 3 2" xfId="38447" xr:uid="{3FC0B7C6-29E1-4FC1-8C70-1996036D20D2}"/>
    <cellStyle name="Input 2 8 4 2 2 3 3" xfId="47845" xr:uid="{CC189429-F452-41B8-83A9-8EF4849E2E9D}"/>
    <cellStyle name="Input 2 8 4 2 2 4" xfId="7590" xr:uid="{A9B49792-AAD0-4573-8CEB-E767AE0117A8}"/>
    <cellStyle name="Input 2 8 4 2 2 4 2" xfId="51398" xr:uid="{7485DCCA-1EC0-41AD-8CFB-6A42A8876FD5}"/>
    <cellStyle name="Input 2 8 4 2 2 5" xfId="41860" xr:uid="{B361DF0C-7D22-4DEC-B44C-F3E11BE98DDF}"/>
    <cellStyle name="Input 2 8 4 2 3" xfId="5397" xr:uid="{00000000-0005-0000-0000-000065050000}"/>
    <cellStyle name="Input 2 8 4 2 3 2" xfId="12288" xr:uid="{87514670-46A9-42A0-99C2-658BC3E8527A}"/>
    <cellStyle name="Input 2 8 4 2 3 2 2" xfId="34773" xr:uid="{490D419F-5F49-40A5-9D02-CAA6234E0B4A}"/>
    <cellStyle name="Input 2 8 4 2 3 2 3" xfId="45821" xr:uid="{E021A378-549A-44EB-ABF7-0C84889D7BC2}"/>
    <cellStyle name="Input 2 8 4 2 3 3" xfId="17334" xr:uid="{157F3FC5-350B-48FD-B13E-2F6F162E7673}"/>
    <cellStyle name="Input 2 8 4 2 3 3 2" xfId="39724" xr:uid="{8A471F99-4120-4140-8279-FC5718B74997}"/>
    <cellStyle name="Input 2 8 4 2 3 3 3" xfId="24665" xr:uid="{3A0D9EB6-1505-456B-93B4-BFB21385D821}"/>
    <cellStyle name="Input 2 8 4 2 3 4" xfId="21758" xr:uid="{4A0B5D57-B555-4ACB-B90D-48062A0D025A}"/>
    <cellStyle name="Input 2 8 4 2 3 4 2" xfId="47441" xr:uid="{4D164DCD-1E5F-4693-9CD6-230D1C153EB5}"/>
    <cellStyle name="Input 2 8 4 2 3 5" xfId="51331" xr:uid="{6D599EE7-7982-498E-AD82-29991EB14F82}"/>
    <cellStyle name="Input 2 8 4 2 4" xfId="5810" xr:uid="{00000000-0005-0000-0000-000065050000}"/>
    <cellStyle name="Input 2 8 4 2 4 2" xfId="12693" xr:uid="{852D1632-8AA0-4C91-80AC-155F946FA8F9}"/>
    <cellStyle name="Input 2 8 4 2 4 2 2" xfId="35178" xr:uid="{1ADF15A2-741D-47AB-94DD-6AA9DFC8BF6B}"/>
    <cellStyle name="Input 2 8 4 2 4 2 3" xfId="24998" xr:uid="{7894B7BD-A35B-46D4-B89A-5AE042E8F4E2}"/>
    <cellStyle name="Input 2 8 4 2 4 3" xfId="17747" xr:uid="{D43A8549-CEDC-4D12-81F4-DF99AC05C7B6}"/>
    <cellStyle name="Input 2 8 4 2 4 3 2" xfId="40137" xr:uid="{8F6A7E03-C61F-4119-A9AE-8B14825D68D7}"/>
    <cellStyle name="Input 2 8 4 2 4 3 3" xfId="28370" xr:uid="{2818485F-0DB2-47D0-BBDD-8B0DF2E7D6BA}"/>
    <cellStyle name="Input 2 8 4 2 4 4" xfId="22171" xr:uid="{35E2B08D-8148-4772-901D-F9DA0F572564}"/>
    <cellStyle name="Input 2 8 4 2 4 4 2" xfId="47383" xr:uid="{7932AD3B-5497-48B2-822F-C915E1FCFF2E}"/>
    <cellStyle name="Input 2 8 4 2 4 5" xfId="50999" xr:uid="{1DB08CE5-8A9D-44C7-88DE-14207B70AD3E}"/>
    <cellStyle name="Input 2 8 4 2 5" xfId="6154" xr:uid="{00000000-0005-0000-0000-000065050000}"/>
    <cellStyle name="Input 2 8 4 2 5 2" xfId="13031" xr:uid="{B5F39065-87E4-4F5A-BCD4-3A385FFE019B}"/>
    <cellStyle name="Input 2 8 4 2 5 2 2" xfId="35515" xr:uid="{B352270D-4732-411F-B05F-C47ECBFD4AB3}"/>
    <cellStyle name="Input 2 8 4 2 5 2 3" xfId="49839" xr:uid="{FAD22780-F2F3-4F18-82B6-4FFF35A0F6C8}"/>
    <cellStyle name="Input 2 8 4 2 5 3" xfId="18091" xr:uid="{B783C513-576F-46D0-A052-736271197746}"/>
    <cellStyle name="Input 2 8 4 2 5 3 2" xfId="40481" xr:uid="{88A57D99-2178-4D43-BA1B-38D9AE7E094D}"/>
    <cellStyle name="Input 2 8 4 2 5 3 3" xfId="38408" xr:uid="{A9D0AF4F-822B-41F8-B643-68CCB7979FFF}"/>
    <cellStyle name="Input 2 8 4 2 5 4" xfId="22515" xr:uid="{1475B73E-A14A-4529-8ABD-E2D3AD2E217F}"/>
    <cellStyle name="Input 2 8 4 2 5 4 2" xfId="54007" xr:uid="{E8FBD2D0-A9BB-4A51-BB7F-8C909FAAFE46}"/>
    <cellStyle name="Input 2 8 4 2 5 5" xfId="51442" xr:uid="{21B2FE37-2368-4A1C-A3E2-EF061EAEFF1B}"/>
    <cellStyle name="Input 2 8 4 2 6" xfId="6527" xr:uid="{00000000-0005-0000-0000-000065050000}"/>
    <cellStyle name="Input 2 8 4 2 6 2" xfId="13396" xr:uid="{A5EBFF21-2303-41BD-984B-C1B04999E760}"/>
    <cellStyle name="Input 2 8 4 2 6 2 2" xfId="35880" xr:uid="{58797441-8D8F-4ED7-8370-9991E281D79C}"/>
    <cellStyle name="Input 2 8 4 2 6 2 3" xfId="50700" xr:uid="{527078C9-9734-45F6-8A89-6F7A3E2E76EA}"/>
    <cellStyle name="Input 2 8 4 2 6 3" xfId="18464" xr:uid="{7E722BB7-D0DA-4FB3-98C0-DE2A6F5AB937}"/>
    <cellStyle name="Input 2 8 4 2 6 3 2" xfId="40854" xr:uid="{6918BCE7-E0D0-404B-BC2D-2B84FF0B2AEE}"/>
    <cellStyle name="Input 2 8 4 2 6 3 3" xfId="31016" xr:uid="{F76EE385-DFF7-4B31-8118-9B2EBA69E4A0}"/>
    <cellStyle name="Input 2 8 4 2 6 4" xfId="22888" xr:uid="{08374933-8228-477F-BF7B-E4B6A3CF5C3E}"/>
    <cellStyle name="Input 2 8 4 2 6 4 2" xfId="48970" xr:uid="{F3E249D9-608C-400A-B875-1F1C7EA84947}"/>
    <cellStyle name="Input 2 8 4 2 6 5" xfId="26096" xr:uid="{5D9C87EC-E98B-413F-AAF2-390A4115A717}"/>
    <cellStyle name="Input 2 8 4 2 7" xfId="6424" xr:uid="{00000000-0005-0000-0000-000065050000}"/>
    <cellStyle name="Input 2 8 4 2 7 2" xfId="13296" xr:uid="{B9BCC465-15A4-4254-B7B0-ADDC5E258A89}"/>
    <cellStyle name="Input 2 8 4 2 7 2 2" xfId="35780" xr:uid="{F7306087-A6C3-4E42-8182-CF0C0AD702E5}"/>
    <cellStyle name="Input 2 8 4 2 7 2 3" xfId="27904" xr:uid="{3C303944-1B57-4548-9A81-C3BC6C6DA686}"/>
    <cellStyle name="Input 2 8 4 2 7 3" xfId="18361" xr:uid="{2B9A353B-04ED-4BFF-96C3-9C1740F1F38B}"/>
    <cellStyle name="Input 2 8 4 2 7 3 2" xfId="40751" xr:uid="{05596EDF-BF9D-423B-8795-1F19F8A69602}"/>
    <cellStyle name="Input 2 8 4 2 7 3 3" xfId="24187" xr:uid="{61B8588A-297D-4507-AC0D-B8B40D5DF72C}"/>
    <cellStyle name="Input 2 8 4 2 7 4" xfId="22785" xr:uid="{25E2B2D6-C9E3-42FF-924A-7BC904B7EAF8}"/>
    <cellStyle name="Input 2 8 4 2 7 4 2" xfId="49551" xr:uid="{28AC7608-9EEA-46E8-A8EA-9948C6CB9E77}"/>
    <cellStyle name="Input 2 8 4 2 7 5" xfId="44151" xr:uid="{7EB5FD7F-9DE0-40AE-91CC-DB9820F1BFD1}"/>
    <cellStyle name="Input 2 8 4 2 8" xfId="7011" xr:uid="{00000000-0005-0000-0000-000065050000}"/>
    <cellStyle name="Input 2 8 4 2 8 2" xfId="13848" xr:uid="{AF6B7686-48D0-426B-A9C1-4CDF594E2BA9}"/>
    <cellStyle name="Input 2 8 4 2 8 2 2" xfId="36332" xr:uid="{CC3D38A1-138C-4AA0-B3EB-28273AE00538}"/>
    <cellStyle name="Input 2 8 4 2 8 2 3" xfId="26370" xr:uid="{97C633C0-5489-403C-B3C4-41D1F9D3B905}"/>
    <cellStyle name="Input 2 8 4 2 8 3" xfId="18948" xr:uid="{A3B383D4-CEC8-4F56-8B9D-154BA28EF0D1}"/>
    <cellStyle name="Input 2 8 4 2 8 3 2" xfId="41338" xr:uid="{D8BB5434-28D1-46E8-9491-8E1660E93B1A}"/>
    <cellStyle name="Input 2 8 4 2 8 3 3" xfId="44707" xr:uid="{0C2C6666-F598-46D9-9603-0C283A68ACBC}"/>
    <cellStyle name="Input 2 8 4 2 8 4" xfId="23372" xr:uid="{BEB9116A-6B87-45A6-B3B7-6B703012C4A8}"/>
    <cellStyle name="Input 2 8 4 2 8 4 2" xfId="53184" xr:uid="{EAE5F641-22CB-4C77-ACB3-4A29D629BA47}"/>
    <cellStyle name="Input 2 8 4 2 8 5" xfId="42660" xr:uid="{6B3960F9-76F3-4625-B96F-A8A51B3E9BAB}"/>
    <cellStyle name="Input 2 8 4 2 9" xfId="5763" xr:uid="{00000000-0005-0000-0000-000065050000}"/>
    <cellStyle name="Input 2 8 4 2 9 2" xfId="17700" xr:uid="{39DD2A79-F3B0-4D5B-9BED-58904FB3251C}"/>
    <cellStyle name="Input 2 8 4 2 9 2 2" xfId="40090" xr:uid="{B497AE08-AF9A-46BD-A7E6-6C6AAE82BB43}"/>
    <cellStyle name="Input 2 8 4 2 9 2 3" xfId="27584" xr:uid="{65FB07AD-7DA7-4CC7-83DF-9F1A4742D8E0}"/>
    <cellStyle name="Input 2 8 4 2 9 3" xfId="22124" xr:uid="{7E6B9A21-CFE6-40FA-8A91-474EAA0463C8}"/>
    <cellStyle name="Input 2 8 4 2 9 3 2" xfId="46692" xr:uid="{0B9C81AB-67E3-4B4C-8B38-EB1D52BA57E3}"/>
    <cellStyle name="Input 2 8 4 2 9 4" xfId="49912" xr:uid="{20B6FB22-580C-42D1-AE97-D3BA8B6D8963}"/>
    <cellStyle name="Input 2 8 4 3" xfId="3158" xr:uid="{00000000-0005-0000-0000-000064050000}"/>
    <cellStyle name="Input 2 8 4 3 2" xfId="10067" xr:uid="{87DAFC32-CA0A-4B38-A347-AD168103214B}"/>
    <cellStyle name="Input 2 8 4 3 2 2" xfId="32574" xr:uid="{7B1F8B86-108D-41C7-88C3-01609EEBC6E8}"/>
    <cellStyle name="Input 2 8 4 3 2 3" xfId="36434" xr:uid="{85AF10F3-97CF-4653-B6B2-435E74D49FBA}"/>
    <cellStyle name="Input 2 8 4 3 3" xfId="15445" xr:uid="{C1E3FCCB-ECAA-4676-B9FB-AE876307F88B}"/>
    <cellStyle name="Input 2 8 4 3 3 2" xfId="37871" xr:uid="{735FF208-1F3E-4F22-BA60-4C5A8033D139}"/>
    <cellStyle name="Input 2 8 4 3 3 3" xfId="50930" xr:uid="{62A01BC5-687C-4C6F-A4AE-98422177B886}"/>
    <cellStyle name="Input 2 8 4 3 4" xfId="21026" xr:uid="{A3A6A107-8ADD-414D-9699-CE4E5A24659E}"/>
    <cellStyle name="Input 2 8 4 3 4 2" xfId="49517" xr:uid="{2C4715E8-DCEA-4418-9171-35DD176E80CB}"/>
    <cellStyle name="Input 2 8 4 3 5" xfId="28354" xr:uid="{6E359EBB-A986-43F6-A7BE-833C397D3454}"/>
    <cellStyle name="Input 2 8 4 4" xfId="4809" xr:uid="{00000000-0005-0000-0000-000064050000}"/>
    <cellStyle name="Input 2 8 4 4 2" xfId="11706" xr:uid="{3B8C3DBE-270A-4A5A-B615-5700CAE6EA06}"/>
    <cellStyle name="Input 2 8 4 4 2 2" xfId="34192" xr:uid="{2F35A1C9-8838-409A-AA12-6C64764BAD1B}"/>
    <cellStyle name="Input 2 8 4 4 2 3" xfId="29439" xr:uid="{7B1EA794-8812-4C51-BE85-343F58AD5415}"/>
    <cellStyle name="Input 2 8 4 4 3" xfId="16746" xr:uid="{16B5DA2C-E9F5-4EBF-A694-3A957E60D0D5}"/>
    <cellStyle name="Input 2 8 4 4 3 2" xfId="39136" xr:uid="{C6ADF873-593F-44AA-842A-69E4AE0B2B61}"/>
    <cellStyle name="Input 2 8 4 4 3 3" xfId="28263" xr:uid="{72E4D504-A962-4DAB-911B-6B09C32F7CA6}"/>
    <cellStyle name="Input 2 8 4 4 4" xfId="15687" xr:uid="{563559BD-2A00-412F-A092-86A28441AF7E}"/>
    <cellStyle name="Input 2 8 4 4 4 2" xfId="45394" xr:uid="{CE5450FE-FFFB-49F9-86C7-49AE5359F5BB}"/>
    <cellStyle name="Input 2 8 4 4 5" xfId="41708" xr:uid="{9E5C2314-FF30-46FF-9D81-B219292EA1FE}"/>
    <cellStyle name="Input 2 8 4 5" xfId="4947" xr:uid="{00000000-0005-0000-0000-000064050000}"/>
    <cellStyle name="Input 2 8 4 5 2" xfId="11842" xr:uid="{449E19ED-7B09-4F01-9C1D-18D552E24015}"/>
    <cellStyle name="Input 2 8 4 5 2 2" xfId="34328" xr:uid="{E1184555-BE1F-4590-890E-BC42337228CB}"/>
    <cellStyle name="Input 2 8 4 5 2 3" xfId="36596" xr:uid="{15642599-4991-447F-9947-FF0674CB9908}"/>
    <cellStyle name="Input 2 8 4 5 3" xfId="16884" xr:uid="{AE30A393-8A56-4F70-A416-3EE0B78F89C8}"/>
    <cellStyle name="Input 2 8 4 5 3 2" xfId="39274" xr:uid="{BF6D5092-FFBC-4F90-82EF-E1C055635C47}"/>
    <cellStyle name="Input 2 8 4 5 3 3" xfId="42694" xr:uid="{D21DC90C-BFF4-4588-A1B3-A419F9390CBE}"/>
    <cellStyle name="Input 2 8 4 5 4" xfId="21308" xr:uid="{692DBAF7-C5BD-4BC0-A0C2-FACB3E3A8B9D}"/>
    <cellStyle name="Input 2 8 4 5 4 2" xfId="52159" xr:uid="{F6FECF4F-DBBF-4EAA-9FEB-E80F814F231E}"/>
    <cellStyle name="Input 2 8 4 5 5" xfId="47594" xr:uid="{76AD4704-3BC0-4F79-98C9-935885F9E4F7}"/>
    <cellStyle name="Input 2 8 4 6" xfId="5849" xr:uid="{00000000-0005-0000-0000-000064050000}"/>
    <cellStyle name="Input 2 8 4 6 2" xfId="12731" xr:uid="{BB1EFCA2-9984-4C76-831D-4437AE13213B}"/>
    <cellStyle name="Input 2 8 4 6 2 2" xfId="35215" xr:uid="{79C864D5-5DC5-4A7B-BF1A-66089AF70F31}"/>
    <cellStyle name="Input 2 8 4 6 2 3" xfId="28890" xr:uid="{16D8B7A1-C9C1-4C26-B5AA-D44424EBC1C1}"/>
    <cellStyle name="Input 2 8 4 6 3" xfId="17786" xr:uid="{16EFBFCE-CDA8-4424-92E1-DFE0BB2B044A}"/>
    <cellStyle name="Input 2 8 4 6 3 2" xfId="40176" xr:uid="{875292F3-A5F0-4B0B-8052-83CA38830AE4}"/>
    <cellStyle name="Input 2 8 4 6 3 3" xfId="44045" xr:uid="{F685AA38-3040-433C-8106-DE18E5EDFF75}"/>
    <cellStyle name="Input 2 8 4 6 4" xfId="22210" xr:uid="{E9A45D36-B850-4B3B-AFDD-D6BE80A5EBE8}"/>
    <cellStyle name="Input 2 8 4 6 4 2" xfId="49573" xr:uid="{EE7FD4DC-0B91-433C-83C1-5C4F7A432A61}"/>
    <cellStyle name="Input 2 8 4 6 5" xfId="51521" xr:uid="{CC12F4B9-6F30-4E3C-8D61-9C08254436F7}"/>
    <cellStyle name="Input 2 8 4 7" xfId="5770" xr:uid="{00000000-0005-0000-0000-000064050000}"/>
    <cellStyle name="Input 2 8 4 7 2" xfId="12653" xr:uid="{72D66FCE-543D-4C96-AAD1-9107518E9A58}"/>
    <cellStyle name="Input 2 8 4 7 2 2" xfId="35138" xr:uid="{2A7F9D26-2061-4C26-B8AE-1465C7DF7E2C}"/>
    <cellStyle name="Input 2 8 4 7 2 3" xfId="45803" xr:uid="{7AB65A39-04B2-4481-8C03-A9B3A7EF377D}"/>
    <cellStyle name="Input 2 8 4 7 3" xfId="17707" xr:uid="{65E7CBF2-E3A5-45D5-B221-4DCF0B6C422C}"/>
    <cellStyle name="Input 2 8 4 7 3 2" xfId="40097" xr:uid="{9AEC05A9-1A6F-4FB6-90A3-F11D1DAF41FC}"/>
    <cellStyle name="Input 2 8 4 7 3 3" xfId="42989" xr:uid="{3CC50C90-E6AD-4104-A919-E11F298DC916}"/>
    <cellStyle name="Input 2 8 4 7 4" xfId="22131" xr:uid="{7EAC8827-0995-489C-B689-7186F687C929}"/>
    <cellStyle name="Input 2 8 4 7 4 2" xfId="48401" xr:uid="{E90FF513-436C-4D18-BA18-079C7769DABB}"/>
    <cellStyle name="Input 2 8 4 7 5" xfId="44003" xr:uid="{B74D87AD-CB87-422B-8E00-4E86415AF53B}"/>
    <cellStyle name="Input 2 8 4 8" xfId="13630" xr:uid="{378EE751-CF4A-46B1-9094-DF378E06830E}"/>
    <cellStyle name="Input 2 8 4 8 2" xfId="36114" xr:uid="{5752F121-23AB-4799-8B9A-8D2B0E7A2EAC}"/>
    <cellStyle name="Input 2 8 4 8 3" xfId="27057" xr:uid="{714466C9-D6D4-45C7-B786-5468A37F4C42}"/>
    <cellStyle name="Input 2 8 4 9" xfId="21059" xr:uid="{E5C9158E-36FA-40BB-8A3E-694D1FC6ED37}"/>
    <cellStyle name="Input 2 8 4 9 2" xfId="43307" xr:uid="{1F98CF25-5B87-4062-8D44-FE9DD3D6DD8F}"/>
    <cellStyle name="Input 2 8 4 9 3" xfId="29804" xr:uid="{ED098313-2C0E-4800-B5A4-78A6226B1FFA}"/>
    <cellStyle name="Input 2 8 5" xfId="1219" xr:uid="{00000000-0005-0000-0000-000067050000}"/>
    <cellStyle name="Input 2 8 5 10" xfId="20771" xr:uid="{4EEA58B5-C593-4C02-BB0D-45DB239978EA}"/>
    <cellStyle name="Input 2 8 5 10 2" xfId="45711" xr:uid="{9E9B606B-B6FA-49A6-B1E5-E40EE1B134D9}"/>
    <cellStyle name="Input 2 8 5 11" xfId="48180" xr:uid="{168C7B16-9D81-48D3-A9AC-E93487A265DA}"/>
    <cellStyle name="Input 2 8 5 2" xfId="2019" xr:uid="{00000000-0005-0000-0000-000068050000}"/>
    <cellStyle name="Input 2 8 5 2 10" xfId="14667" xr:uid="{ABA45C34-21BA-47FC-AD9D-3EF5C8117CEF}"/>
    <cellStyle name="Input 2 8 5 2 10 2" xfId="37127" xr:uid="{C0E73C45-1F78-4AF1-9408-DE35F249B858}"/>
    <cellStyle name="Input 2 8 5 2 10 3" xfId="50111" xr:uid="{296A736A-A577-491A-BAF7-71BB02B49C21}"/>
    <cellStyle name="Input 2 8 5 2 11" xfId="21186" xr:uid="{F52FB411-021B-457F-AAA1-E2E82D26ED36}"/>
    <cellStyle name="Input 2 8 5 2 11 2" xfId="43426" xr:uid="{A814C930-8031-4076-BFE7-CE38DAECD078}"/>
    <cellStyle name="Input 2 8 5 2 11 3" xfId="52369" xr:uid="{89D18820-81B7-45E8-BA88-2AC9ACCEFBA5}"/>
    <cellStyle name="Input 2 8 5 2 12" xfId="20078" xr:uid="{1725E9F9-7085-4055-B84D-6D2A5E59CE0F}"/>
    <cellStyle name="Input 2 8 5 2 12 2" xfId="29727" xr:uid="{829112C2-73FB-4A88-B5E5-DB00B6D97419}"/>
    <cellStyle name="Input 2 8 5 2 13" xfId="43668" xr:uid="{5635E5A4-CB8F-4379-8768-F629C6A776FB}"/>
    <cellStyle name="Input 2 8 5 2 2" xfId="4114" xr:uid="{00000000-0005-0000-0000-000067050000}"/>
    <cellStyle name="Input 2 8 5 2 2 2" xfId="11018" xr:uid="{4F944124-35EF-43CF-8006-45D087BDE97B}"/>
    <cellStyle name="Input 2 8 5 2 2 2 2" xfId="33504" xr:uid="{5D3291C1-B9CB-4BCF-90E8-18CA1C02FE5C}"/>
    <cellStyle name="Input 2 8 5 2 2 2 3" xfId="50382" xr:uid="{C53AB741-F62E-47A6-AF41-96760819AD66}"/>
    <cellStyle name="Input 2 8 5 2 2 3" xfId="16118" xr:uid="{E1A2CE57-4983-4E27-BDDB-F7F83450E80D}"/>
    <cellStyle name="Input 2 8 5 2 2 3 2" xfId="38518" xr:uid="{F5AFFDF0-0330-4097-854E-20DB3379ED1C}"/>
    <cellStyle name="Input 2 8 5 2 2 3 3" xfId="28932" xr:uid="{537DDD10-DB5B-45A0-8C9E-B4EE0E4656C3}"/>
    <cellStyle name="Input 2 8 5 2 2 4" xfId="19458" xr:uid="{D9FE33FD-EE82-44F8-BA47-5EAEBDD06A3B}"/>
    <cellStyle name="Input 2 8 5 2 2 4 2" xfId="44196" xr:uid="{15A67CED-9A02-452F-A4D5-41152A57EA7B}"/>
    <cellStyle name="Input 2 8 5 2 2 5" xfId="29465" xr:uid="{BD6AFB6D-D8BC-4B48-B2FF-819268D46B97}"/>
    <cellStyle name="Input 2 8 5 2 3" xfId="5460" xr:uid="{00000000-0005-0000-0000-000067050000}"/>
    <cellStyle name="Input 2 8 5 2 3 2" xfId="12349" xr:uid="{6FA28B34-D979-4A74-8FAE-C8AF1BF06ADD}"/>
    <cellStyle name="Input 2 8 5 2 3 2 2" xfId="34834" xr:uid="{28571BBB-74EC-4307-89FC-C61F5A1BB4DA}"/>
    <cellStyle name="Input 2 8 5 2 3 2 3" xfId="44721" xr:uid="{04A288A7-A5C5-4F6A-AE59-65069B9B8133}"/>
    <cellStyle name="Input 2 8 5 2 3 3" xfId="17397" xr:uid="{EE9398FE-D942-4B16-896F-069467C82BAB}"/>
    <cellStyle name="Input 2 8 5 2 3 3 2" xfId="39787" xr:uid="{1CADF451-AB20-496C-8AE4-D1F39BE0716D}"/>
    <cellStyle name="Input 2 8 5 2 3 3 3" xfId="44625" xr:uid="{89E9CB38-F3F3-447C-BB40-D915487FD6D4}"/>
    <cellStyle name="Input 2 8 5 2 3 4" xfId="21821" xr:uid="{06F5823C-EC6A-44FE-84B8-6A56B3CC94A0}"/>
    <cellStyle name="Input 2 8 5 2 3 4 2" xfId="47168" xr:uid="{BCAC6144-63E6-4018-BCB7-260987FDD70C}"/>
    <cellStyle name="Input 2 8 5 2 3 5" xfId="52769" xr:uid="{0ADA6B3B-6F55-4B40-AD8C-5EDCB3316888}"/>
    <cellStyle name="Input 2 8 5 2 4" xfId="5883" xr:uid="{00000000-0005-0000-0000-000067050000}"/>
    <cellStyle name="Input 2 8 5 2 4 2" xfId="12765" xr:uid="{3DA78B70-6AB5-41D4-8294-838346C4C23E}"/>
    <cellStyle name="Input 2 8 5 2 4 2 2" xfId="35249" xr:uid="{705AF859-ACD6-413E-8CA1-DDB257368B0F}"/>
    <cellStyle name="Input 2 8 5 2 4 2 3" xfId="45135" xr:uid="{30C6FCDF-1D9B-438A-95DE-5C9C514478BB}"/>
    <cellStyle name="Input 2 8 5 2 4 3" xfId="17820" xr:uid="{886157E4-F8A1-413F-A64D-CB81C0C0D569}"/>
    <cellStyle name="Input 2 8 5 2 4 3 2" xfId="40210" xr:uid="{10FE149C-2316-4587-B58B-9C789A9B1965}"/>
    <cellStyle name="Input 2 8 5 2 4 3 3" xfId="28502" xr:uid="{CAC7C678-9320-4490-97C5-D43EE336A474}"/>
    <cellStyle name="Input 2 8 5 2 4 4" xfId="22244" xr:uid="{4EC0BCA2-5032-44EB-B0FB-76CF87B52115}"/>
    <cellStyle name="Input 2 8 5 2 4 4 2" xfId="52047" xr:uid="{B41E07C3-1B1C-438A-B913-D82AFE894BDC}"/>
    <cellStyle name="Input 2 8 5 2 4 5" xfId="48215" xr:uid="{DD02749F-14A6-4ED4-A331-F815FC1C81F8}"/>
    <cellStyle name="Input 2 8 5 2 5" xfId="6221" xr:uid="{00000000-0005-0000-0000-000067050000}"/>
    <cellStyle name="Input 2 8 5 2 5 2" xfId="13096" xr:uid="{A8E2F69B-6043-4415-AD8E-5C6AB4E7D498}"/>
    <cellStyle name="Input 2 8 5 2 5 2 2" xfId="35580" xr:uid="{FA372716-E51F-4233-B239-94D74D4D8994}"/>
    <cellStyle name="Input 2 8 5 2 5 2 3" xfId="53103" xr:uid="{40E8AA22-B17D-4049-9EED-A9A6DC771F31}"/>
    <cellStyle name="Input 2 8 5 2 5 3" xfId="18158" xr:uid="{FB7BDCF5-C49B-45AD-8A65-C77E19BFC140}"/>
    <cellStyle name="Input 2 8 5 2 5 3 2" xfId="40548" xr:uid="{6E8978BF-AAC8-4ADA-AF67-AE9400F504A4}"/>
    <cellStyle name="Input 2 8 5 2 5 3 3" xfId="30296" xr:uid="{98637138-2BB4-41F4-80DF-957C51BA5F01}"/>
    <cellStyle name="Input 2 8 5 2 5 4" xfId="22582" xr:uid="{8F76025F-6A47-4D16-B846-C104F6A7C708}"/>
    <cellStyle name="Input 2 8 5 2 5 4 2" xfId="53644" xr:uid="{6DA424ED-5BEB-4C1B-B633-1922B5B02502}"/>
    <cellStyle name="Input 2 8 5 2 5 5" xfId="53203" xr:uid="{76FB0B80-4FF5-466F-9CC1-653F991C427A}"/>
    <cellStyle name="Input 2 8 5 2 6" xfId="6587" xr:uid="{00000000-0005-0000-0000-000067050000}"/>
    <cellStyle name="Input 2 8 5 2 6 2" xfId="13453" xr:uid="{AFFF82CD-30A9-402E-9474-AC9DEB72BB36}"/>
    <cellStyle name="Input 2 8 5 2 6 2 2" xfId="35937" xr:uid="{640BC252-090A-4E9C-8377-1956E9B20963}"/>
    <cellStyle name="Input 2 8 5 2 6 2 3" xfId="37836" xr:uid="{422DDB32-B444-44CA-94A1-09E2B8B320E9}"/>
    <cellStyle name="Input 2 8 5 2 6 3" xfId="18524" xr:uid="{8F87AA14-BA8F-4B31-95D8-CC4ED2466D14}"/>
    <cellStyle name="Input 2 8 5 2 6 3 2" xfId="40914" xr:uid="{77E0A0B7-5D55-4AF9-AF9D-B35FD69F8992}"/>
    <cellStyle name="Input 2 8 5 2 6 3 3" xfId="23613" xr:uid="{BE66FCDE-6385-4ADA-8241-567A8708CFB1}"/>
    <cellStyle name="Input 2 8 5 2 6 4" xfId="22948" xr:uid="{C593C867-B86D-49F7-8CE0-08B8C70172B1}"/>
    <cellStyle name="Input 2 8 5 2 6 4 2" xfId="50025" xr:uid="{19C1D531-F6C4-46A1-9DD4-A731B4432A7D}"/>
    <cellStyle name="Input 2 8 5 2 6 5" xfId="47869" xr:uid="{7C66B3D0-7C4A-4C17-9D31-8F4BE17393FA}"/>
    <cellStyle name="Input 2 8 5 2 7" xfId="4718" xr:uid="{00000000-0005-0000-0000-000067050000}"/>
    <cellStyle name="Input 2 8 5 2 7 2" xfId="11616" xr:uid="{E5B253C4-4EB3-411D-9415-CF796036CAA1}"/>
    <cellStyle name="Input 2 8 5 2 7 2 2" xfId="34102" xr:uid="{C8F9A509-8C2B-426F-B7FF-7AC43F4BA4A9}"/>
    <cellStyle name="Input 2 8 5 2 7 2 3" xfId="32651" xr:uid="{6C2EAA95-9A39-49CB-93D1-39CC8B72880D}"/>
    <cellStyle name="Input 2 8 5 2 7 3" xfId="16655" xr:uid="{E5A5BAF9-7C2C-4C44-9A6C-12A90602BABD}"/>
    <cellStyle name="Input 2 8 5 2 7 3 2" xfId="39045" xr:uid="{5ADC4831-198B-46AD-9BC2-DC70D31B9FDD}"/>
    <cellStyle name="Input 2 8 5 2 7 3 3" xfId="28844" xr:uid="{995684A1-7CD3-46E9-B310-74196A0B3993}"/>
    <cellStyle name="Input 2 8 5 2 7 4" xfId="15412" xr:uid="{4694804A-7450-473F-B2D9-F83680F72272}"/>
    <cellStyle name="Input 2 8 5 2 7 4 2" xfId="53671" xr:uid="{6E92A3E0-F279-415A-9F32-F89647BD7FA4}"/>
    <cellStyle name="Input 2 8 5 2 7 5" xfId="29047" xr:uid="{73FE552B-EC04-4771-8169-E601358A4617}"/>
    <cellStyle name="Input 2 8 5 2 8" xfId="7057" xr:uid="{00000000-0005-0000-0000-000067050000}"/>
    <cellStyle name="Input 2 8 5 2 8 2" xfId="13893" xr:uid="{14F17975-ACB8-4A0D-9731-3E025DE8F1BF}"/>
    <cellStyle name="Input 2 8 5 2 8 2 2" xfId="36377" xr:uid="{FE0B6D49-E528-45CA-9090-864E5D879654}"/>
    <cellStyle name="Input 2 8 5 2 8 2 3" xfId="51823" xr:uid="{0EF35C8A-F206-422E-BF6D-B038DAC338B6}"/>
    <cellStyle name="Input 2 8 5 2 8 3" xfId="18994" xr:uid="{36E4C293-A4A2-40E2-9710-C98652206A5A}"/>
    <cellStyle name="Input 2 8 5 2 8 3 2" xfId="41384" xr:uid="{9DAC457B-DED5-4736-A117-2C2596FD1179}"/>
    <cellStyle name="Input 2 8 5 2 8 3 3" xfId="28550" xr:uid="{6BC2A41A-7523-400F-9C63-7E9406F6BFFA}"/>
    <cellStyle name="Input 2 8 5 2 8 4" xfId="23418" xr:uid="{BCE0B536-EF5E-4196-A61A-1F6B36A17044}"/>
    <cellStyle name="Input 2 8 5 2 8 4 2" xfId="30539" xr:uid="{F6F66699-9CBC-4E71-B5DC-DE622790B5AD}"/>
    <cellStyle name="Input 2 8 5 2 8 5" xfId="52839" xr:uid="{075039AD-87DE-437A-859C-93B088F1D3ED}"/>
    <cellStyle name="Input 2 8 5 2 9" xfId="7172" xr:uid="{00000000-0005-0000-0000-000067050000}"/>
    <cellStyle name="Input 2 8 5 2 9 2" xfId="19109" xr:uid="{BD13FA4B-D33D-41CA-BEAE-23CC81190D87}"/>
    <cellStyle name="Input 2 8 5 2 9 2 2" xfId="41499" xr:uid="{95D88D28-3EBB-46CA-A69E-EE88CC7D03C7}"/>
    <cellStyle name="Input 2 8 5 2 9 2 3" xfId="44618" xr:uid="{E3130637-7A5B-4700-B0BD-20BDE1A15A7D}"/>
    <cellStyle name="Input 2 8 5 2 9 3" xfId="23533" xr:uid="{3C3F84B2-EEFA-49B0-B486-49F5CFAAF23F}"/>
    <cellStyle name="Input 2 8 5 2 9 3 2" xfId="53632" xr:uid="{5D8275DF-5DAF-437D-9431-0952C08BC983}"/>
    <cellStyle name="Input 2 8 5 2 9 4" xfId="52687" xr:uid="{2B694957-9C41-4399-8FB3-9EC4210E0CC3}"/>
    <cellStyle name="Input 2 8 5 3" xfId="3332" xr:uid="{00000000-0005-0000-0000-000066050000}"/>
    <cellStyle name="Input 2 8 5 3 2" xfId="10240" xr:uid="{56266BE4-B8EC-444E-B775-571BB94A0D29}"/>
    <cellStyle name="Input 2 8 5 3 2 2" xfId="32734" xr:uid="{8280B652-A521-4A44-86D3-EC617CE1CCC9}"/>
    <cellStyle name="Input 2 8 5 3 2 3" xfId="52593" xr:uid="{040CD729-CCAA-4A08-8F21-780378A9C3D7}"/>
    <cellStyle name="Input 2 8 5 3 3" xfId="15558" xr:uid="{C3A56592-B138-4163-8834-A2E33271911B}"/>
    <cellStyle name="Input 2 8 5 3 3 2" xfId="37977" xr:uid="{32CD5BF0-AFFA-45F1-AE25-9A22D24EC484}"/>
    <cellStyle name="Input 2 8 5 3 3 3" xfId="52118" xr:uid="{3110E9BA-A199-4C49-8C27-28CB987B474D}"/>
    <cellStyle name="Input 2 8 5 3 4" xfId="19669" xr:uid="{68AE60EB-B257-475C-8CEE-2962B5760C0B}"/>
    <cellStyle name="Input 2 8 5 3 4 2" xfId="28537" xr:uid="{9C964680-5D3E-4469-B7B1-3E01D6EBAB91}"/>
    <cellStyle name="Input 2 8 5 3 5" xfId="50875" xr:uid="{98F54FBD-0E50-4A94-A4F7-91DC6F0638E1}"/>
    <cellStyle name="Input 2 8 5 4" xfId="4919" xr:uid="{00000000-0005-0000-0000-000066050000}"/>
    <cellStyle name="Input 2 8 5 4 2" xfId="11814" xr:uid="{90D29827-1778-4CCA-860C-05E6BED2D016}"/>
    <cellStyle name="Input 2 8 5 4 2 2" xfId="34300" xr:uid="{2903CC59-A095-46CC-BEEF-7E06080CA1FC}"/>
    <cellStyle name="Input 2 8 5 4 2 3" xfId="26031" xr:uid="{0BA11E06-46D7-40A1-B35F-50FCD203800D}"/>
    <cellStyle name="Input 2 8 5 4 3" xfId="16856" xr:uid="{62E4826A-FA15-4FBB-B9B3-60D8BEFF399A}"/>
    <cellStyle name="Input 2 8 5 4 3 2" xfId="39246" xr:uid="{81DA5806-5688-4D97-8160-920E049DF5B5}"/>
    <cellStyle name="Input 2 8 5 4 3 3" xfId="30413" xr:uid="{53793481-4349-4306-BC87-064BC73CC784}"/>
    <cellStyle name="Input 2 8 5 4 4" xfId="13556" xr:uid="{757134A2-6A4C-49A7-8A13-89C29BD6C1A3}"/>
    <cellStyle name="Input 2 8 5 4 4 2" xfId="25610" xr:uid="{F4BD5B23-5DBB-4784-BA2F-083C049CA0C7}"/>
    <cellStyle name="Input 2 8 5 4 5" xfId="32645" xr:uid="{27D98998-0D3F-4B9C-B587-E9DAE0A897FC}"/>
    <cellStyle name="Input 2 8 5 5" xfId="5998" xr:uid="{00000000-0005-0000-0000-000066050000}"/>
    <cellStyle name="Input 2 8 5 5 2" xfId="12879" xr:uid="{D2C31254-9943-4F37-8C20-C868269F8952}"/>
    <cellStyle name="Input 2 8 5 5 2 2" xfId="35363" xr:uid="{BA6E1E0B-D020-4059-8E05-377E73D52459}"/>
    <cellStyle name="Input 2 8 5 5 2 3" xfId="28749" xr:uid="{E9D75660-BE7F-401E-B459-2201558FFA1B}"/>
    <cellStyle name="Input 2 8 5 5 3" xfId="17935" xr:uid="{129876ED-8E51-423C-B2E8-2FB5DD14C997}"/>
    <cellStyle name="Input 2 8 5 5 3 2" xfId="40325" xr:uid="{DD8AABBE-48AE-46C7-8881-82B4746EB862}"/>
    <cellStyle name="Input 2 8 5 5 3 3" xfId="29664" xr:uid="{16221694-640E-4C57-8B4C-B71C131C4289}"/>
    <cellStyle name="Input 2 8 5 5 4" xfId="22359" xr:uid="{E9C0B64F-792E-4469-BC14-C3950540A571}"/>
    <cellStyle name="Input 2 8 5 5 4 2" xfId="49862" xr:uid="{8D8AE121-FC7C-4189-BAED-7CA774348B23}"/>
    <cellStyle name="Input 2 8 5 5 5" xfId="46443" xr:uid="{D9C81079-223E-448A-A52C-6F08637C897F}"/>
    <cellStyle name="Input 2 8 5 6" xfId="5919" xr:uid="{00000000-0005-0000-0000-000066050000}"/>
    <cellStyle name="Input 2 8 5 6 2" xfId="12800" xr:uid="{2D638065-65D6-4488-A843-4DFD6C36DC7F}"/>
    <cellStyle name="Input 2 8 5 6 2 2" xfId="35284" xr:uid="{AD58D9F8-EF64-4F7A-9D1C-1F7C61A77786}"/>
    <cellStyle name="Input 2 8 5 6 2 3" xfId="50933" xr:uid="{C3299593-F05B-4693-8CAC-3AA58010EB71}"/>
    <cellStyle name="Input 2 8 5 6 3" xfId="17856" xr:uid="{7A146139-3FA5-4F5B-AB79-A0EC70333E76}"/>
    <cellStyle name="Input 2 8 5 6 3 2" xfId="40246" xr:uid="{B16C27D0-C0C3-4F0B-BF87-778BE31AE104}"/>
    <cellStyle name="Input 2 8 5 6 3 3" xfId="28293" xr:uid="{1A20F8E7-85A6-4377-BCC1-0BCF3EAA4896}"/>
    <cellStyle name="Input 2 8 5 6 4" xfId="22280" xr:uid="{0763A83E-9580-4F90-B85E-3A65F8DE07DD}"/>
    <cellStyle name="Input 2 8 5 6 4 2" xfId="51041" xr:uid="{A0BB244A-B57E-40C3-88E2-6FC40C16D936}"/>
    <cellStyle name="Input 2 8 5 6 5" xfId="47991" xr:uid="{0B4D26F3-CD34-4FC0-8996-D6A281E9FC6B}"/>
    <cellStyle name="Input 2 8 5 7" xfId="6770" xr:uid="{00000000-0005-0000-0000-000066050000}"/>
    <cellStyle name="Input 2 8 5 7 2" xfId="13621" xr:uid="{72A43BF1-59F2-460F-A449-69CBD622EF62}"/>
    <cellStyle name="Input 2 8 5 7 2 2" xfId="36105" xr:uid="{7CBD2D16-718C-4CCF-ABAF-540C78426404}"/>
    <cellStyle name="Input 2 8 5 7 2 3" xfId="51177" xr:uid="{71D08F79-68FC-4D98-8EC4-B05B43D16F26}"/>
    <cellStyle name="Input 2 8 5 7 3" xfId="18707" xr:uid="{D141E7EB-FAA3-440C-8A06-751C4F20D5FF}"/>
    <cellStyle name="Input 2 8 5 7 3 2" xfId="41097" xr:uid="{97D197A8-AB47-4821-B541-9D71C34D228A}"/>
    <cellStyle name="Input 2 8 5 7 3 3" xfId="28501" xr:uid="{3DEF116D-17D7-4EBE-A5BC-A508B4F4092C}"/>
    <cellStyle name="Input 2 8 5 7 4" xfId="23131" xr:uid="{6368412A-4F97-4B99-87F7-F5808522AF04}"/>
    <cellStyle name="Input 2 8 5 7 4 2" xfId="50077" xr:uid="{73A65D7C-0B9B-4B5B-A5D2-495AF6EA19B5}"/>
    <cellStyle name="Input 2 8 5 7 5" xfId="26835" xr:uid="{C1073F7C-35EB-4717-B7E8-DC6A0E908253}"/>
    <cellStyle name="Input 2 8 5 8" xfId="14094" xr:uid="{41B3F86F-B59F-4416-A2C5-6ED87F0D0BCC}"/>
    <cellStyle name="Input 2 8 5 8 2" xfId="36572" xr:uid="{1387C617-4CBC-485E-8C42-E8D2A93F1BB2}"/>
    <cellStyle name="Input 2 8 5 8 3" xfId="38264" xr:uid="{AE31053C-D0B5-4CFA-A65D-ECED63ADAB6D}"/>
    <cellStyle name="Input 2 8 5 9" xfId="20416" xr:uid="{2F4464A8-1251-417C-A1BF-54CBF224C2DE}"/>
    <cellStyle name="Input 2 8 5 9 2" xfId="42710" xr:uid="{C4699533-616F-42A3-9BDB-916CC45B673A}"/>
    <cellStyle name="Input 2 8 5 9 3" xfId="49128" xr:uid="{2F8DF1F7-95C3-4127-87CB-DE81572CFC87}"/>
    <cellStyle name="Input 2 8 6" xfId="1381" xr:uid="{00000000-0005-0000-0000-000069050000}"/>
    <cellStyle name="Input 2 8 6 10" xfId="12099" xr:uid="{8EE74B88-2336-4CD4-BB2E-CDC8876CE5F2}"/>
    <cellStyle name="Input 2 8 6 10 2" xfId="44449" xr:uid="{15781F15-8BEB-4E8E-97C2-74F3AC857050}"/>
    <cellStyle name="Input 2 8 6 11" xfId="30435" xr:uid="{8774D3FE-D995-4D0B-8759-7C5D8B0AB7CB}"/>
    <cellStyle name="Input 2 8 6 2" xfId="2110" xr:uid="{00000000-0005-0000-0000-00006A050000}"/>
    <cellStyle name="Input 2 8 6 2 10" xfId="14739" xr:uid="{8A971974-35C2-4ACE-8FCE-855C5F931158}"/>
    <cellStyle name="Input 2 8 6 2 10 2" xfId="37197" xr:uid="{F9B2681F-548D-4E8C-A09C-78B81053FEFB}"/>
    <cellStyle name="Input 2 8 6 2 10 3" xfId="43846" xr:uid="{C94DABA5-E111-4F2B-98AB-0D6954BA185D}"/>
    <cellStyle name="Input 2 8 6 2 11" xfId="7949" xr:uid="{A93E4CA1-367D-4299-81DF-9FADE94D3DBD}"/>
    <cellStyle name="Input 2 8 6 2 11 2" xfId="30573" xr:uid="{6F7B4603-892C-4B55-94A3-681216477722}"/>
    <cellStyle name="Input 2 8 6 2 11 3" xfId="47922" xr:uid="{9F1DD2B2-B2AC-4ACA-8009-68DB3D0CC54A}"/>
    <cellStyle name="Input 2 8 6 2 12" xfId="20477" xr:uid="{CDCDCD81-9A16-443A-B2D8-D21F7D14FD7B}"/>
    <cellStyle name="Input 2 8 6 2 12 2" xfId="43614" xr:uid="{F4F8222D-63ED-4BA8-9C78-9036ED2C9874}"/>
    <cellStyle name="Input 2 8 6 2 13" xfId="47278" xr:uid="{800C8038-6058-4A60-B65C-AB4C4C576EEA}"/>
    <cellStyle name="Input 2 8 6 2 2" xfId="4203" xr:uid="{00000000-0005-0000-0000-000069050000}"/>
    <cellStyle name="Input 2 8 6 2 2 2" xfId="11107" xr:uid="{95344BE0-75DC-4485-A577-501AD2FA9926}"/>
    <cellStyle name="Input 2 8 6 2 2 2 2" xfId="33593" xr:uid="{A0E97AB2-F438-4C22-9A01-5D0658881923}"/>
    <cellStyle name="Input 2 8 6 2 2 2 3" xfId="53089" xr:uid="{D857143A-3786-4F34-8F1A-92F468476163}"/>
    <cellStyle name="Input 2 8 6 2 2 3" xfId="16196" xr:uid="{478FA86C-1F17-4A52-82D3-85FB49CDD5ED}"/>
    <cellStyle name="Input 2 8 6 2 2 3 2" xfId="38595" xr:uid="{6C7CFF3D-D26C-4733-A293-4BD548D0357B}"/>
    <cellStyle name="Input 2 8 6 2 2 3 3" xfId="26460" xr:uid="{AE2BD8CA-6FF9-4489-B6DC-5EACEE033181}"/>
    <cellStyle name="Input 2 8 6 2 2 4" xfId="21184" xr:uid="{CD5DE1D4-A3B3-4C9E-A1BB-7451181ECD89}"/>
    <cellStyle name="Input 2 8 6 2 2 4 2" xfId="45640" xr:uid="{76679D28-1BBC-44CE-A350-2C56C09E6ABD}"/>
    <cellStyle name="Input 2 8 6 2 2 5" xfId="45933" xr:uid="{91B38A4E-56A7-4B81-A0FD-43E58D8A152C}"/>
    <cellStyle name="Input 2 8 6 2 3" xfId="5529" xr:uid="{00000000-0005-0000-0000-000069050000}"/>
    <cellStyle name="Input 2 8 6 2 3 2" xfId="12418" xr:uid="{A5F2FD4D-7ABD-481A-AAB4-BBA1FA6C44A9}"/>
    <cellStyle name="Input 2 8 6 2 3 2 2" xfId="34903" xr:uid="{05E7054D-BE3A-4DDA-8FFC-6052E39A35FB}"/>
    <cellStyle name="Input 2 8 6 2 3 2 3" xfId="42743" xr:uid="{433778CA-2097-4060-B572-4637BD277A4B}"/>
    <cellStyle name="Input 2 8 6 2 3 3" xfId="17466" xr:uid="{C74F0FC7-95CE-47E7-8EE1-CECCDF04DDB0}"/>
    <cellStyle name="Input 2 8 6 2 3 3 2" xfId="39856" xr:uid="{BE684F5C-1F66-45BF-A366-032DC8359CFF}"/>
    <cellStyle name="Input 2 8 6 2 3 3 3" xfId="38105" xr:uid="{CCDF68EB-986B-40C6-9017-D532D5599ADA}"/>
    <cellStyle name="Input 2 8 6 2 3 4" xfId="21890" xr:uid="{CF632D9F-6410-4831-AB44-75FE966E6421}"/>
    <cellStyle name="Input 2 8 6 2 3 4 2" xfId="48367" xr:uid="{24DDFFE6-2E26-43C9-BE3B-325AB6BBD688}"/>
    <cellStyle name="Input 2 8 6 2 3 5" xfId="41808" xr:uid="{662681D8-CC2C-4E84-93CD-1F076C214905}"/>
    <cellStyle name="Input 2 8 6 2 4" xfId="5951" xr:uid="{00000000-0005-0000-0000-000069050000}"/>
    <cellStyle name="Input 2 8 6 2 4 2" xfId="12832" xr:uid="{59326CA9-4D71-4DD3-8002-F9F4E9AF0A8B}"/>
    <cellStyle name="Input 2 8 6 2 4 2 2" xfId="35316" xr:uid="{025AF11B-7D94-40FD-9865-4CCE83155E68}"/>
    <cellStyle name="Input 2 8 6 2 4 2 3" xfId="47882" xr:uid="{CDF83657-B5C3-400F-BC4B-387E2AECFE4D}"/>
    <cellStyle name="Input 2 8 6 2 4 3" xfId="17888" xr:uid="{9BAAD097-DE41-4838-A278-37781D85697C}"/>
    <cellStyle name="Input 2 8 6 2 4 3 2" xfId="40278" xr:uid="{265A1228-5C34-492C-8ABF-E46C1C70B49A}"/>
    <cellStyle name="Input 2 8 6 2 4 3 3" xfId="24240" xr:uid="{47D1DCBC-7AC4-4FE7-B1F4-532C55C20AB1}"/>
    <cellStyle name="Input 2 8 6 2 4 4" xfId="22312" xr:uid="{69F17609-D3FE-44B3-B988-7A980692D20D}"/>
    <cellStyle name="Input 2 8 6 2 4 4 2" xfId="29474" xr:uid="{8D09C793-FE1B-4667-AB3B-181C7F3F4BDC}"/>
    <cellStyle name="Input 2 8 6 2 4 5" xfId="26618" xr:uid="{80C4A56E-569C-4740-B5AF-EBA90545E7A6}"/>
    <cellStyle name="Input 2 8 6 2 5" xfId="6291" xr:uid="{00000000-0005-0000-0000-000069050000}"/>
    <cellStyle name="Input 2 8 6 2 5 2" xfId="13163" xr:uid="{71D280C3-D03F-4D64-B2C9-E989BD517895}"/>
    <cellStyle name="Input 2 8 6 2 5 2 2" xfId="35647" xr:uid="{BB022190-3031-4730-BAC5-21C713F66500}"/>
    <cellStyle name="Input 2 8 6 2 5 2 3" xfId="46555" xr:uid="{F4F51EDD-4E10-40B8-AE80-B8505B108ED3}"/>
    <cellStyle name="Input 2 8 6 2 5 3" xfId="18228" xr:uid="{8632FE3C-231F-42C4-8FA9-84E37DA47DF0}"/>
    <cellStyle name="Input 2 8 6 2 5 3 2" xfId="40618" xr:uid="{0490F425-3FB0-4765-856D-B113DA95A5F7}"/>
    <cellStyle name="Input 2 8 6 2 5 3 3" xfId="28979" xr:uid="{D5810A41-EE17-4BF0-9FCC-2872CA0C3AA3}"/>
    <cellStyle name="Input 2 8 6 2 5 4" xfId="22652" xr:uid="{17F982A7-92C2-4D10-ABCD-68DA9A9A958B}"/>
    <cellStyle name="Input 2 8 6 2 5 4 2" xfId="45042" xr:uid="{100E31B2-9309-4094-B6BD-CA254371DFA1}"/>
    <cellStyle name="Input 2 8 6 2 5 5" xfId="49985" xr:uid="{3279784F-D87D-4E93-8577-46A097DBFB62}"/>
    <cellStyle name="Input 2 8 6 2 6" xfId="6646" xr:uid="{00000000-0005-0000-0000-000069050000}"/>
    <cellStyle name="Input 2 8 6 2 6 2" xfId="13512" xr:uid="{F2811A67-ABC4-4D49-9DB6-2704EE4A555D}"/>
    <cellStyle name="Input 2 8 6 2 6 2 2" xfId="35996" xr:uid="{66C39B00-2E4D-43B1-9254-C8EA680F2FB9}"/>
    <cellStyle name="Input 2 8 6 2 6 2 3" xfId="49949" xr:uid="{8CE50A79-7818-42C3-BB88-027BFF24ECF2}"/>
    <cellStyle name="Input 2 8 6 2 6 3" xfId="18583" xr:uid="{E6631FFC-A078-48AF-9F92-6065B550C53E}"/>
    <cellStyle name="Input 2 8 6 2 6 3 2" xfId="40973" xr:uid="{4469B362-9ED9-4422-A128-8E8C64B19C56}"/>
    <cellStyle name="Input 2 8 6 2 6 3 3" xfId="28526" xr:uid="{CCC91986-6BDF-4E35-9290-A21CCF6E3E6E}"/>
    <cellStyle name="Input 2 8 6 2 6 4" xfId="23007" xr:uid="{D34F9A68-2218-4D28-B1FF-ECC41D9A8FDC}"/>
    <cellStyle name="Input 2 8 6 2 6 4 2" xfId="50753" xr:uid="{38E8820E-AFB8-41F7-8447-63ECB9E69048}"/>
    <cellStyle name="Input 2 8 6 2 6 5" xfId="46325" xr:uid="{670E01D2-8739-4511-BACC-2F231A9E5E30}"/>
    <cellStyle name="Input 2 8 6 2 7" xfId="4716" xr:uid="{00000000-0005-0000-0000-000069050000}"/>
    <cellStyle name="Input 2 8 6 2 7 2" xfId="11614" xr:uid="{8683268C-D51A-4A0A-9D44-C82E3B7172D5}"/>
    <cellStyle name="Input 2 8 6 2 7 2 2" xfId="34100" xr:uid="{EB80FAC4-705F-4A15-8395-6AB741E5B076}"/>
    <cellStyle name="Input 2 8 6 2 7 2 3" xfId="44599" xr:uid="{93AE657F-746A-442F-9FFA-F55914B346DC}"/>
    <cellStyle name="Input 2 8 6 2 7 3" xfId="16653" xr:uid="{7BDD4F92-E870-495B-9606-CC896F88BE9E}"/>
    <cellStyle name="Input 2 8 6 2 7 3 2" xfId="39043" xr:uid="{513BC76E-A3F1-4310-81BE-6F6058DBAA79}"/>
    <cellStyle name="Input 2 8 6 2 7 3 3" xfId="32785" xr:uid="{EDFC1B03-1BEA-4BDC-9B7F-6F88C735C2CB}"/>
    <cellStyle name="Input 2 8 6 2 7 4" xfId="20532" xr:uid="{81552115-0B7B-449A-AB48-25A732EFC7BC}"/>
    <cellStyle name="Input 2 8 6 2 7 4 2" xfId="29246" xr:uid="{4B527375-BDC8-4466-9BF9-92D15D7C624E}"/>
    <cellStyle name="Input 2 8 6 2 7 5" xfId="49645" xr:uid="{7D3EFB25-6050-457F-8B32-A3FD94C6EBB3}"/>
    <cellStyle name="Input 2 8 6 2 8" xfId="7101" xr:uid="{00000000-0005-0000-0000-000069050000}"/>
    <cellStyle name="Input 2 8 6 2 8 2" xfId="13937" xr:uid="{FDCD657E-7CC6-42D2-A7A5-2FE695A3ED58}"/>
    <cellStyle name="Input 2 8 6 2 8 2 2" xfId="36421" xr:uid="{E6A39CB5-4F9C-4DF6-852E-6B6A95CF287C}"/>
    <cellStyle name="Input 2 8 6 2 8 2 3" xfId="45359" xr:uid="{0F761A59-BBBF-4D8E-882D-198DF3893152}"/>
    <cellStyle name="Input 2 8 6 2 8 3" xfId="19038" xr:uid="{BFA79613-FBDF-4E7D-92BA-64AA943739D7}"/>
    <cellStyle name="Input 2 8 6 2 8 3 2" xfId="41428" xr:uid="{5ECC16CC-2B63-48C8-85CF-B0D9EC84A838}"/>
    <cellStyle name="Input 2 8 6 2 8 3 3" xfId="24753" xr:uid="{ABC5BA17-2D80-493E-91B3-A7B90E511B2B}"/>
    <cellStyle name="Input 2 8 6 2 8 4" xfId="23462" xr:uid="{6EDC28E3-27F2-42BC-9D5A-1F1AB0F572C4}"/>
    <cellStyle name="Input 2 8 6 2 8 4 2" xfId="29621" xr:uid="{C3ABF432-561E-42B3-95FB-8632E2180ED8}"/>
    <cellStyle name="Input 2 8 6 2 8 5" xfId="24264" xr:uid="{E1358357-A50B-4C1C-8ED0-C5567B953F6B}"/>
    <cellStyle name="Input 2 8 6 2 9" xfId="7216" xr:uid="{00000000-0005-0000-0000-000069050000}"/>
    <cellStyle name="Input 2 8 6 2 9 2" xfId="19153" xr:uid="{055C0AF4-67F1-48B7-A479-4D137D37DA5A}"/>
    <cellStyle name="Input 2 8 6 2 9 2 2" xfId="41543" xr:uid="{B1290DB9-B0C7-4433-B349-E7B53E67CA86}"/>
    <cellStyle name="Input 2 8 6 2 9 2 3" xfId="44131" xr:uid="{AA69E994-C20F-45A6-A13D-9089DF6B1055}"/>
    <cellStyle name="Input 2 8 6 2 9 3" xfId="23577" xr:uid="{A5818532-34C3-4C98-83EC-9E02B87EC008}"/>
    <cellStyle name="Input 2 8 6 2 9 3 2" xfId="45437" xr:uid="{1D2C197E-55BD-4D52-8EA0-C231D9294158}"/>
    <cellStyle name="Input 2 8 6 2 9 4" xfId="52729" xr:uid="{88529364-1731-4AEB-A6F3-87505729B27C}"/>
    <cellStyle name="Input 2 8 6 3" xfId="3485" xr:uid="{00000000-0005-0000-0000-000068050000}"/>
    <cellStyle name="Input 2 8 6 3 2" xfId="10392" xr:uid="{B1476D4C-20AD-46BF-AFFA-D6EE0BCB8423}"/>
    <cellStyle name="Input 2 8 6 3 2 2" xfId="32879" xr:uid="{B7F97CAB-98AC-43B5-A97A-CC31B1CE4A32}"/>
    <cellStyle name="Input 2 8 6 3 2 3" xfId="28321" xr:uid="{11374F32-0DEE-48BB-A04B-C6A5C9B2D78D}"/>
    <cellStyle name="Input 2 8 6 3 3" xfId="15663" xr:uid="{09D39D41-2D2B-4054-A7D0-70F5CF8CF42F}"/>
    <cellStyle name="Input 2 8 6 3 3 2" xfId="38079" xr:uid="{D434623E-3CFC-4ED1-AFBB-EDFECF1A6A2C}"/>
    <cellStyle name="Input 2 8 6 3 3 3" xfId="49273" xr:uid="{51577E05-A5EE-49F6-B651-C6C25B54C5F2}"/>
    <cellStyle name="Input 2 8 6 3 4" xfId="19234" xr:uid="{6049931A-68B6-4648-B524-2AAA2A0D6321}"/>
    <cellStyle name="Input 2 8 6 3 4 2" xfId="37557" xr:uid="{5FB3C009-9A78-40D3-BD32-C43149EC33B0}"/>
    <cellStyle name="Input 2 8 6 3 5" xfId="26483" xr:uid="{96387C4D-7169-4100-A177-F61322E87327}"/>
    <cellStyle name="Input 2 8 6 4" xfId="5018" xr:uid="{00000000-0005-0000-0000-000068050000}"/>
    <cellStyle name="Input 2 8 6 4 2" xfId="11912" xr:uid="{8D8A8019-AB46-4FD3-9697-E44A737B8CF8}"/>
    <cellStyle name="Input 2 8 6 4 2 2" xfId="34398" xr:uid="{EE71E279-5A68-450E-8492-38C5A2D3E425}"/>
    <cellStyle name="Input 2 8 6 4 2 3" xfId="24353" xr:uid="{53BD90F9-DA1E-4095-A0F1-3ADA50631B5A}"/>
    <cellStyle name="Input 2 8 6 4 3" xfId="16955" xr:uid="{8DA38CAD-8926-4658-869F-56BDC9E841FE}"/>
    <cellStyle name="Input 2 8 6 4 3 2" xfId="39345" xr:uid="{6D0E589F-7897-4057-A0F1-05E7240F75FE}"/>
    <cellStyle name="Input 2 8 6 4 3 3" xfId="43969" xr:uid="{3248B555-D11B-404B-BA53-4A5C95FF9BB3}"/>
    <cellStyle name="Input 2 8 6 4 4" xfId="21379" xr:uid="{FE76F3B4-627D-4E2C-9702-0E390FCFC07A}"/>
    <cellStyle name="Input 2 8 6 4 4 2" xfId="53247" xr:uid="{5A5558A7-024E-4D45-80DC-31219BE624EB}"/>
    <cellStyle name="Input 2 8 6 4 5" xfId="53266" xr:uid="{1A2BD470-8319-4468-A8FF-FD8BFE4B6CF2}"/>
    <cellStyle name="Input 2 8 6 5" xfId="5835" xr:uid="{00000000-0005-0000-0000-000068050000}"/>
    <cellStyle name="Input 2 8 6 5 2" xfId="12718" xr:uid="{E623E4B1-C91E-4EE1-88CF-7223F59FEDD9}"/>
    <cellStyle name="Input 2 8 6 5 2 2" xfId="35202" xr:uid="{A589242D-689D-4643-877B-00488BA90123}"/>
    <cellStyle name="Input 2 8 6 5 2 3" xfId="43923" xr:uid="{46E10110-8D91-4A34-B1E6-1C035A625D84}"/>
    <cellStyle name="Input 2 8 6 5 3" xfId="17772" xr:uid="{C0C55F3A-544B-46F4-99F1-4D6822348862}"/>
    <cellStyle name="Input 2 8 6 5 3 2" xfId="40162" xr:uid="{5CE1FB4A-AA2B-4951-B716-DB56CA598C57}"/>
    <cellStyle name="Input 2 8 6 5 3 3" xfId="24415" xr:uid="{6E5D907C-97C7-4C0E-AD51-A172FE84F29E}"/>
    <cellStyle name="Input 2 8 6 5 4" xfId="22196" xr:uid="{2D5E50E9-C239-4188-A79D-98D385937DCE}"/>
    <cellStyle name="Input 2 8 6 5 4 2" xfId="32225" xr:uid="{3AE500CA-AE86-4C2B-9F7D-062E4A1DEE8F}"/>
    <cellStyle name="Input 2 8 6 5 5" xfId="49856" xr:uid="{B9F5D059-6B4C-44F9-97DE-4302D3FA0653}"/>
    <cellStyle name="Input 2 8 6 6" xfId="2304" xr:uid="{00000000-0005-0000-0000-000068050000}"/>
    <cellStyle name="Input 2 8 6 6 2" xfId="9214" xr:uid="{CB6A5D07-2923-483B-B192-0328BFD2F7D4}"/>
    <cellStyle name="Input 2 8 6 6 2 2" xfId="31789" xr:uid="{D23BC387-E572-437C-B165-841BB227805B}"/>
    <cellStyle name="Input 2 8 6 6 2 3" xfId="53777" xr:uid="{80EB5CB4-0BC3-4DDE-A8B5-87D00DA7B97A}"/>
    <cellStyle name="Input 2 8 6 6 3" xfId="14870" xr:uid="{25281ABB-3D03-4A4F-8D5B-B45E87F5A796}"/>
    <cellStyle name="Input 2 8 6 6 3 2" xfId="37324" xr:uid="{3D968399-DF33-43A1-B963-15DDDEFEA38B}"/>
    <cellStyle name="Input 2 8 6 6 3 3" xfId="53570" xr:uid="{298C218F-0021-49DB-A1A7-D1A2F95F55AF}"/>
    <cellStyle name="Input 2 8 6 6 4" xfId="20582" xr:uid="{E5573626-2A79-4AA4-91F0-A1E9A807BAEB}"/>
    <cellStyle name="Input 2 8 6 6 4 2" xfId="44684" xr:uid="{1C3C62F6-219D-4129-88F4-CAB26108F085}"/>
    <cellStyle name="Input 2 8 6 6 5" xfId="54097" xr:uid="{7E1C7293-3FBB-4D48-B647-9DCDE33979E0}"/>
    <cellStyle name="Input 2 8 6 7" xfId="5484" xr:uid="{00000000-0005-0000-0000-000068050000}"/>
    <cellStyle name="Input 2 8 6 7 2" xfId="12373" xr:uid="{FA615E4C-CE63-4229-B033-75ECCDCC8D50}"/>
    <cellStyle name="Input 2 8 6 7 2 2" xfId="34858" xr:uid="{2C17B32D-2741-4949-98C4-31E67F72973F}"/>
    <cellStyle name="Input 2 8 6 7 2 3" xfId="43750" xr:uid="{C70EEEBE-FA57-4D81-9647-866BA87EFF4B}"/>
    <cellStyle name="Input 2 8 6 7 3" xfId="17421" xr:uid="{D3E4DAAD-7D54-43C2-B298-6D8093548D14}"/>
    <cellStyle name="Input 2 8 6 7 3 2" xfId="39811" xr:uid="{06907BDE-2C63-48D2-899C-D150C21DE8FB}"/>
    <cellStyle name="Input 2 8 6 7 3 3" xfId="24131" xr:uid="{BEA41B1E-5F46-45EB-95B8-97344722B8F4}"/>
    <cellStyle name="Input 2 8 6 7 4" xfId="21845" xr:uid="{D273A102-996D-45EC-A1F7-7655AC9F79FD}"/>
    <cellStyle name="Input 2 8 6 7 4 2" xfId="47572" xr:uid="{68520F8A-6A10-417D-B159-D794B0C4C2E4}"/>
    <cellStyle name="Input 2 8 6 7 5" xfId="44671" xr:uid="{F3F02256-F062-4777-B758-FA7AE6C2A3C0}"/>
    <cellStyle name="Input 2 8 6 8" xfId="14200" xr:uid="{759EB029-19F6-43C1-9934-0F2D70BCDBBE}"/>
    <cellStyle name="Input 2 8 6 8 2" xfId="36675" xr:uid="{A318CCA6-3C6F-48D5-B205-CFB1C43E7C66}"/>
    <cellStyle name="Input 2 8 6 8 3" xfId="50102" xr:uid="{DB616C6A-39C5-4871-BF9B-AA326535E8AB}"/>
    <cellStyle name="Input 2 8 6 9" xfId="21023" xr:uid="{1BDBBD31-9E7D-4178-8BED-34FF8D836DB4}"/>
    <cellStyle name="Input 2 8 6 9 2" xfId="43273" xr:uid="{B2C6CE18-9E74-4610-B8E0-2BA17D6AD250}"/>
    <cellStyle name="Input 2 8 6 9 3" xfId="29180" xr:uid="{86D4999A-9572-42C9-A724-B8D682EC1116}"/>
    <cellStyle name="Input 2 8 7" xfId="1653" xr:uid="{00000000-0005-0000-0000-00006B050000}"/>
    <cellStyle name="Input 2 8 7 10" xfId="14367" xr:uid="{9B43D527-5702-4D47-9D4F-3ED7BEDD7F4E}"/>
    <cellStyle name="Input 2 8 7 10 2" xfId="36835" xr:uid="{F7035426-757E-4F3B-8976-B63B6C94A538}"/>
    <cellStyle name="Input 2 8 7 10 3" xfId="49066" xr:uid="{1E27D576-B7B2-4741-AE64-40026D01DDEA}"/>
    <cellStyle name="Input 2 8 7 11" xfId="21090" xr:uid="{B3E40659-73FD-402D-A994-CDD0B8AC3619}"/>
    <cellStyle name="Input 2 8 7 11 2" xfId="43337" xr:uid="{9F2BDCF4-FA62-428F-912B-11172271DCA1}"/>
    <cellStyle name="Input 2 8 7 11 3" xfId="46307" xr:uid="{0BC32A06-3275-46CA-84AB-EE600E91DF33}"/>
    <cellStyle name="Input 2 8 7 12" xfId="15255" xr:uid="{4630FA5A-50F6-4DC6-BE7E-C9B3C2275ACA}"/>
    <cellStyle name="Input 2 8 7 12 2" xfId="47093" xr:uid="{B7B353A1-96AD-49CF-A488-D7C033F69997}"/>
    <cellStyle name="Input 2 8 7 13" xfId="49391" xr:uid="{DDF63B41-C138-4F8F-9A07-DF9D31ADB7D3}"/>
    <cellStyle name="Input 2 8 7 2" xfId="3751" xr:uid="{00000000-0005-0000-0000-00006A050000}"/>
    <cellStyle name="Input 2 8 7 2 2" xfId="10655" xr:uid="{D7401330-B9EC-406C-84BB-02D2CF19AE9E}"/>
    <cellStyle name="Input 2 8 7 2 2 2" xfId="33141" xr:uid="{610341EF-E37C-46EA-9D43-B23402760EAE}"/>
    <cellStyle name="Input 2 8 7 2 2 3" xfId="53770" xr:uid="{BFC5F173-B04E-4782-B272-293BEDE3AEF1}"/>
    <cellStyle name="Input 2 8 7 2 3" xfId="15832" xr:uid="{DEDE26F9-8857-4774-B513-6CA2554075BF}"/>
    <cellStyle name="Input 2 8 7 2 3 2" xfId="38240" xr:uid="{B62BCBB2-47D8-4841-ACC8-EF5FC8F0EEDA}"/>
    <cellStyle name="Input 2 8 7 2 3 3" xfId="44480" xr:uid="{34C8F647-F3B9-4E31-9D81-6B45B4229C91}"/>
    <cellStyle name="Input 2 8 7 2 4" xfId="20156" xr:uid="{4406880E-0DC6-4558-9B4D-CE545C58A691}"/>
    <cellStyle name="Input 2 8 7 2 4 2" xfId="23978" xr:uid="{F0CE2695-4F10-4EFA-A377-B7123DF3A37C}"/>
    <cellStyle name="Input 2 8 7 2 5" xfId="45271" xr:uid="{C259C0C3-C044-4BE7-8E6C-024D917AFBA3}"/>
    <cellStyle name="Input 2 8 7 3" xfId="5186" xr:uid="{00000000-0005-0000-0000-00006A050000}"/>
    <cellStyle name="Input 2 8 7 3 2" xfId="12079" xr:uid="{B201A0FB-7E87-4C0D-8707-660043BBFE53}"/>
    <cellStyle name="Input 2 8 7 3 2 2" xfId="34565" xr:uid="{90F477BD-BC85-49E7-BF98-80D551163BAA}"/>
    <cellStyle name="Input 2 8 7 3 2 3" xfId="23876" xr:uid="{535508D3-9CA0-4F7E-8420-D5E1C4F032E7}"/>
    <cellStyle name="Input 2 8 7 3 3" xfId="17123" xr:uid="{F909130A-64DE-4724-A940-A36467383125}"/>
    <cellStyle name="Input 2 8 7 3 3 2" xfId="39513" xr:uid="{088393FC-E84B-4D85-8798-367DCC1E9433}"/>
    <cellStyle name="Input 2 8 7 3 3 3" xfId="28005" xr:uid="{BA700E88-78E4-4FED-A1F8-D4485D2D8EAA}"/>
    <cellStyle name="Input 2 8 7 3 4" xfId="21547" xr:uid="{0C9A9BD1-D1FE-4224-A4E3-79BF0B8B8178}"/>
    <cellStyle name="Input 2 8 7 3 4 2" xfId="30398" xr:uid="{362180DF-216A-4227-A692-A4CB3EC5DCDB}"/>
    <cellStyle name="Input 2 8 7 3 5" xfId="47843" xr:uid="{AD16CB04-640F-4734-959E-EFD5EF1DA885}"/>
    <cellStyle name="Input 2 8 7 4" xfId="4459" xr:uid="{00000000-0005-0000-0000-00006A050000}"/>
    <cellStyle name="Input 2 8 7 4 2" xfId="11361" xr:uid="{BA1E646D-C5E5-4388-9E5F-0FD35A7ED02F}"/>
    <cellStyle name="Input 2 8 7 4 2 2" xfId="33847" xr:uid="{4282CE21-068F-4F6D-995C-8ED2DD12BF6C}"/>
    <cellStyle name="Input 2 8 7 4 2 3" xfId="44858" xr:uid="{400088C3-9135-4E64-9C16-99BF94E71CFB}"/>
    <cellStyle name="Input 2 8 7 4 3" xfId="16396" xr:uid="{506EF92B-97B8-44E5-9AF6-F291A5F7A31C}"/>
    <cellStyle name="Input 2 8 7 4 3 2" xfId="38786" xr:uid="{6048A64C-90AB-4AA6-A612-E3B7CF58D950}"/>
    <cellStyle name="Input 2 8 7 4 3 3" xfId="45026" xr:uid="{F7FDCA79-D923-4F5F-86C0-35F53ACDA58B}"/>
    <cellStyle name="Input 2 8 7 4 4" xfId="20943" xr:uid="{8541562D-A3CB-4EBB-92A6-C6242E281EDA}"/>
    <cellStyle name="Input 2 8 7 4 4 2" xfId="49877" xr:uid="{002D76B1-9BA3-4013-ABFF-1AB8E480E8C2}"/>
    <cellStyle name="Input 2 8 7 4 5" xfId="29566" xr:uid="{0E222BA3-AC65-4910-B381-83241CB806AA}"/>
    <cellStyle name="Input 2 8 7 5" xfId="2343" xr:uid="{00000000-0005-0000-0000-00006A050000}"/>
    <cellStyle name="Input 2 8 7 5 2" xfId="9252" xr:uid="{D0F65369-96F9-4BFA-AC60-E0DCD1D8F490}"/>
    <cellStyle name="Input 2 8 7 5 2 2" xfId="31827" xr:uid="{FA275096-80D2-4D62-A100-C6524AFBC06C}"/>
    <cellStyle name="Input 2 8 7 5 2 3" xfId="45988" xr:uid="{B8A8AC58-B9D3-43FF-B7FE-363766476C0C}"/>
    <cellStyle name="Input 2 8 7 5 3" xfId="14901" xr:uid="{B43A1E3F-C4F0-42AC-BE7B-D02AB2445661}"/>
    <cellStyle name="Input 2 8 7 5 3 2" xfId="37355" xr:uid="{D03A510B-CDEB-4394-9EC8-AE5FEB29322E}"/>
    <cellStyle name="Input 2 8 7 5 3 3" xfId="47294" xr:uid="{58595EF2-9E5B-47D6-B2CE-EEE88444A958}"/>
    <cellStyle name="Input 2 8 7 5 4" xfId="20925" xr:uid="{91CCD6B1-7B58-4E1D-9A6C-2D96D8C98CA9}"/>
    <cellStyle name="Input 2 8 7 5 4 2" xfId="32236" xr:uid="{E4163117-BB8D-4548-8FC6-92BA891B33FB}"/>
    <cellStyle name="Input 2 8 7 5 5" xfId="48269" xr:uid="{54FB7B69-6D20-4353-8B12-37B22A365226}"/>
    <cellStyle name="Input 2 8 7 6" xfId="5295" xr:uid="{00000000-0005-0000-0000-00006A050000}"/>
    <cellStyle name="Input 2 8 7 6 2" xfId="12187" xr:uid="{A60419D7-F344-4CB1-A8E0-4756B2956459}"/>
    <cellStyle name="Input 2 8 7 6 2 2" xfId="34672" xr:uid="{08F7B804-0C69-4C36-81E6-65F887BE3A27}"/>
    <cellStyle name="Input 2 8 7 6 2 3" xfId="29526" xr:uid="{F3166AA1-D3EC-4E04-8B91-7BAFCA8559F2}"/>
    <cellStyle name="Input 2 8 7 6 3" xfId="17232" xr:uid="{8C714C7F-764D-43E6-A591-8ED909F7886F}"/>
    <cellStyle name="Input 2 8 7 6 3 2" xfId="39622" xr:uid="{814B670E-2106-41E0-BBDE-D0C3A9470876}"/>
    <cellStyle name="Input 2 8 7 6 3 3" xfId="27210" xr:uid="{723EC2E1-4E8B-439E-83B2-6219F16645CF}"/>
    <cellStyle name="Input 2 8 7 6 4" xfId="21656" xr:uid="{729BE6D1-5736-4D3C-886A-E68A96F14D5D}"/>
    <cellStyle name="Input 2 8 7 6 4 2" xfId="23652" xr:uid="{A71581E8-361B-4D00-BD91-164BD4166AAB}"/>
    <cellStyle name="Input 2 8 7 6 5" xfId="51660" xr:uid="{82265C0F-5477-406D-91B8-56BB926A55A4}"/>
    <cellStyle name="Input 2 8 7 7" xfId="4841" xr:uid="{00000000-0005-0000-0000-00006A050000}"/>
    <cellStyle name="Input 2 8 7 7 2" xfId="11737" xr:uid="{7550CBF2-F83E-43CD-AD78-9E30AA24C498}"/>
    <cellStyle name="Input 2 8 7 7 2 2" xfId="34223" xr:uid="{29EDD373-0AF0-462C-A477-75AB1D334C96}"/>
    <cellStyle name="Input 2 8 7 7 2 3" xfId="45871" xr:uid="{7D3B674C-5613-4179-A87A-2EBCD40952DC}"/>
    <cellStyle name="Input 2 8 7 7 3" xfId="16778" xr:uid="{4D4E4C89-1578-4457-BE86-FC5A5EC529DE}"/>
    <cellStyle name="Input 2 8 7 7 3 2" xfId="39168" xr:uid="{E8870A50-29A1-4FD2-8F18-E5B989AAC2E9}"/>
    <cellStyle name="Input 2 8 7 7 3 3" xfId="44331" xr:uid="{C31D3D68-FC9B-43A1-BE6F-91B879F2198A}"/>
    <cellStyle name="Input 2 8 7 7 4" xfId="8134" xr:uid="{9FEFB69A-43A1-4ECB-BA4B-73D60F200FCB}"/>
    <cellStyle name="Input 2 8 7 7 4 2" xfId="44172" xr:uid="{56033FCA-7743-4E2C-96DD-9B7C393CAC9E}"/>
    <cellStyle name="Input 2 8 7 7 5" xfId="48895" xr:uid="{B23460AC-2EBD-48C5-B619-E542B1BF1ABD}"/>
    <cellStyle name="Input 2 8 7 8" xfId="6719" xr:uid="{00000000-0005-0000-0000-00006A050000}"/>
    <cellStyle name="Input 2 8 7 8 2" xfId="13581" xr:uid="{3AF8E3E1-D085-476C-B6ED-2A6BD3E3ED82}"/>
    <cellStyle name="Input 2 8 7 8 2 2" xfId="36065" xr:uid="{98E88E7B-CA60-41ED-A427-8B34381B84E1}"/>
    <cellStyle name="Input 2 8 7 8 2 3" xfId="50345" xr:uid="{4DB6570C-6FD3-43A7-90DE-8B7AF9F4ADA9}"/>
    <cellStyle name="Input 2 8 7 8 3" xfId="18656" xr:uid="{4B70D5EA-F616-42DD-8EEF-27F6799F3BBA}"/>
    <cellStyle name="Input 2 8 7 8 3 2" xfId="41046" xr:uid="{A0E9725A-B61A-40D8-A436-9554CBB1E29B}"/>
    <cellStyle name="Input 2 8 7 8 3 3" xfId="43644" xr:uid="{BA540BBC-530D-449B-923D-0F8AA3FE9DE0}"/>
    <cellStyle name="Input 2 8 7 8 4" xfId="23080" xr:uid="{72A7BE95-3BFD-4FC9-97FC-1A17BDA217FC}"/>
    <cellStyle name="Input 2 8 7 8 4 2" xfId="27529" xr:uid="{48BE07F8-C57A-4FDE-AC78-0BEFB6624EAF}"/>
    <cellStyle name="Input 2 8 7 8 5" xfId="45976" xr:uid="{ECCD12F7-EEFF-40B8-BD39-185F9522CC5F}"/>
    <cellStyle name="Input 2 8 7 9" xfId="5220" xr:uid="{00000000-0005-0000-0000-00006A050000}"/>
    <cellStyle name="Input 2 8 7 9 2" xfId="17157" xr:uid="{D737BB1E-AC2F-4641-AD13-A63A54BA601F}"/>
    <cellStyle name="Input 2 8 7 9 2 2" xfId="39547" xr:uid="{68DCEBDE-29DB-4F29-AEC7-253076C549AA}"/>
    <cellStyle name="Input 2 8 7 9 2 3" xfId="26039" xr:uid="{88CB816C-6D78-454E-8C4A-02A787F3D30B}"/>
    <cellStyle name="Input 2 8 7 9 3" xfId="21581" xr:uid="{AAC284E4-C3CA-411E-B2F3-0AE1CD92C57A}"/>
    <cellStyle name="Input 2 8 7 9 3 2" xfId="47304" xr:uid="{2D160FC3-F90B-46EA-83E8-678F1EBE1428}"/>
    <cellStyle name="Input 2 8 7 9 4" xfId="49577" xr:uid="{F3362EDC-BBAC-4148-8AB3-5DBCE9F96FFF}"/>
    <cellStyle name="Input 2 8 8" xfId="2601" xr:uid="{00000000-0005-0000-0000-00005F050000}"/>
    <cellStyle name="Input 2 8 8 2" xfId="9510" xr:uid="{3B9D5B59-61C6-4743-9DE5-7FE29B40DCFB}"/>
    <cellStyle name="Input 2 8 8 2 2" xfId="32062" xr:uid="{5BE66B43-F6CB-4130-B992-E680498A7C11}"/>
    <cellStyle name="Input 2 8 8 2 3" xfId="49196" xr:uid="{48439E34-90F9-455C-A292-58FD45FFF7A1}"/>
    <cellStyle name="Input 2 8 8 3" xfId="15079" xr:uid="{378B87A5-C9D0-4291-B716-725759686C3F}"/>
    <cellStyle name="Input 2 8 8 3 2" xfId="37524" xr:uid="{B18F67F1-D4B0-47C8-BAA5-4E1B7699410B}"/>
    <cellStyle name="Input 2 8 8 3 3" xfId="49226" xr:uid="{F2DC1E64-73A9-4A0C-993F-82B00193F860}"/>
    <cellStyle name="Input 2 8 8 4" xfId="19411" xr:uid="{6B7DC6E6-3A45-4B18-9113-0F4C77F3887F}"/>
    <cellStyle name="Input 2 8 8 4 2" xfId="34481" xr:uid="{1B3022EB-FFB8-492D-BC57-7292EFB56E73}"/>
    <cellStyle name="Input 2 8 8 5" xfId="47368" xr:uid="{1D61BE3A-3792-4463-88A0-4FB50E44047B}"/>
    <cellStyle name="Input 2 8 9" xfId="4431" xr:uid="{00000000-0005-0000-0000-00005F050000}"/>
    <cellStyle name="Input 2 8 9 2" xfId="11333" xr:uid="{20B607C6-B7B1-4A70-99FA-158164AD3E08}"/>
    <cellStyle name="Input 2 8 9 2 2" xfId="33819" xr:uid="{D57FF2EF-5A78-4EAD-92A1-F34F0D562AA5}"/>
    <cellStyle name="Input 2 8 9 2 3" xfId="44116" xr:uid="{E9A9D76A-16BC-4B56-A1C0-CEED8D9AB6F4}"/>
    <cellStyle name="Input 2 8 9 3" xfId="16368" xr:uid="{11845A8B-A035-4852-95FC-2EC4DB3034A2}"/>
    <cellStyle name="Input 2 8 9 3 2" xfId="38758" xr:uid="{758F0737-720E-400F-9F2F-CF27D0EEFE5B}"/>
    <cellStyle name="Input 2 8 9 3 3" xfId="32305" xr:uid="{8FAC09DF-F723-40E9-AE53-E6775F491922}"/>
    <cellStyle name="Input 2 8 9 4" xfId="19674" xr:uid="{197912AF-A693-43CC-A0A0-4289550257CE}"/>
    <cellStyle name="Input 2 8 9 4 2" xfId="25320" xr:uid="{3629E100-33E0-4A5F-A87A-94F658DFF9B9}"/>
    <cellStyle name="Input 2 8 9 5" xfId="51763" xr:uid="{AB0A7444-AFC0-4432-AA3D-E39F92A0C0E3}"/>
    <cellStyle name="Input 2 9" xfId="427" xr:uid="{00000000-0005-0000-0000-00006C050000}"/>
    <cellStyle name="Input 2 9 10" xfId="5975" xr:uid="{00000000-0005-0000-0000-00006B050000}"/>
    <cellStyle name="Input 2 9 10 2" xfId="12856" xr:uid="{C3A670B9-ACB0-4F9D-9972-AD33034D78DF}"/>
    <cellStyle name="Input 2 9 10 2 2" xfId="35340" xr:uid="{B2CCD4D7-F0A6-4A17-BC8F-1C342038B231}"/>
    <cellStyle name="Input 2 9 10 2 3" xfId="54036" xr:uid="{97753023-4629-4660-953E-2E3F1536AE17}"/>
    <cellStyle name="Input 2 9 10 3" xfId="17912" xr:uid="{88799996-041B-4D08-8B69-A8FA5FC70570}"/>
    <cellStyle name="Input 2 9 10 3 2" xfId="40302" xr:uid="{5B6E258E-8B9C-427E-851B-A64E791E01A8}"/>
    <cellStyle name="Input 2 9 10 3 3" xfId="44702" xr:uid="{9992FC50-CB3D-46C3-8F75-89E5DBEF40B8}"/>
    <cellStyle name="Input 2 9 10 4" xfId="22336" xr:uid="{EAB7EDB3-42E3-4530-AB8E-B43E135AE4C5}"/>
    <cellStyle name="Input 2 9 10 4 2" xfId="48334" xr:uid="{F46A485E-678C-47A6-8527-C3D31F40C106}"/>
    <cellStyle name="Input 2 9 10 5" xfId="46986" xr:uid="{7B6A2EE7-EAFF-4962-AC11-6B85797B9324}"/>
    <cellStyle name="Input 2 9 11" xfId="4608" xr:uid="{00000000-0005-0000-0000-00006B050000}"/>
    <cellStyle name="Input 2 9 11 2" xfId="11509" xr:uid="{D3E49E0C-AD37-4C22-AFAA-F1D5E909C520}"/>
    <cellStyle name="Input 2 9 11 2 2" xfId="33995" xr:uid="{9BDC982E-342F-417A-973B-3427D1D3EDD2}"/>
    <cellStyle name="Input 2 9 11 2 3" xfId="23746" xr:uid="{F48CA067-A68D-41ED-BCBE-E7DA4DE1DA97}"/>
    <cellStyle name="Input 2 9 11 3" xfId="16545" xr:uid="{9D2E92FD-4065-4539-98C5-C060FC4B100C}"/>
    <cellStyle name="Input 2 9 11 3 2" xfId="38935" xr:uid="{FBCE4494-93D7-4C9F-B704-5A3958369C6D}"/>
    <cellStyle name="Input 2 9 11 3 3" xfId="45867" xr:uid="{72946F3E-D116-47BB-92DC-028049941D38}"/>
    <cellStyle name="Input 2 9 11 4" xfId="20400" xr:uid="{F5F61ADB-2446-41D7-8F34-67EE207BBC35}"/>
    <cellStyle name="Input 2 9 11 4 2" xfId="50765" xr:uid="{0622DD42-A226-4B76-AB42-78CBDD94C3E0}"/>
    <cellStyle name="Input 2 9 11 5" xfId="49610" xr:uid="{4FFA132A-2D3C-4D86-8B29-19CEAE260087}"/>
    <cellStyle name="Input 2 9 12" xfId="5044" xr:uid="{00000000-0005-0000-0000-00006B050000}"/>
    <cellStyle name="Input 2 9 12 2" xfId="11938" xr:uid="{7FD86EB5-D591-4DFE-A396-41B0C7329FBE}"/>
    <cellStyle name="Input 2 9 12 2 2" xfId="34424" xr:uid="{F0B37F0E-2733-461E-AAF7-1635E357C3BD}"/>
    <cellStyle name="Input 2 9 12 2 3" xfId="29942" xr:uid="{A8239763-009F-407A-A6B0-A2C00DDD5ED2}"/>
    <cellStyle name="Input 2 9 12 3" xfId="16981" xr:uid="{E3764DCE-0194-40EE-975A-41E687AC7862}"/>
    <cellStyle name="Input 2 9 12 3 2" xfId="39371" xr:uid="{284C675B-038D-4CD0-B327-84BF088D8D17}"/>
    <cellStyle name="Input 2 9 12 3 3" xfId="23928" xr:uid="{DC73B453-46BB-460B-8826-E1C2F8EFFD66}"/>
    <cellStyle name="Input 2 9 12 4" xfId="21405" xr:uid="{DBB786EC-BA73-4DE2-AE30-17DDED82EAA5}"/>
    <cellStyle name="Input 2 9 12 4 2" xfId="45260" xr:uid="{4359CB3A-6B6D-4288-8379-9A3A3018348D}"/>
    <cellStyle name="Input 2 9 12 5" xfId="48814" xr:uid="{5AB86E16-2569-46C6-8F7E-BE6CC5EB749F}"/>
    <cellStyle name="Input 2 9 13" xfId="13626" xr:uid="{26F991B4-1767-44E0-AD38-A2B603D4C597}"/>
    <cellStyle name="Input 2 9 13 2" xfId="36110" xr:uid="{73E5B0D4-272B-41DB-8147-C053D18D4CB4}"/>
    <cellStyle name="Input 2 9 13 3" xfId="30940" xr:uid="{7CBB0DDC-82D2-4A98-B2F7-512CDDACAF08}"/>
    <cellStyle name="Input 2 9 14" xfId="19671" xr:uid="{9A3FABD9-B772-4AB0-AB2B-EB742950B181}"/>
    <cellStyle name="Input 2 9 14 2" xfId="42019" xr:uid="{2FED6628-AD5C-4910-92F7-14494A0C1C6C}"/>
    <cellStyle name="Input 2 9 14 3" xfId="24268" xr:uid="{DE95BB7D-E3B9-4521-81DD-423307CB6E29}"/>
    <cellStyle name="Input 2 9 15" xfId="15410" xr:uid="{16FDEF16-4C86-4A0B-8B3C-ADE5BF79E04D}"/>
    <cellStyle name="Input 2 9 15 2" xfId="47677" xr:uid="{797D1788-5724-4493-88D2-68F31D36D411}"/>
    <cellStyle name="Input 2 9 16" xfId="45022" xr:uid="{D6F002C9-8F0A-4AF7-906E-FE4635B60825}"/>
    <cellStyle name="Input 2 9 2" xfId="582" xr:uid="{00000000-0005-0000-0000-00006D050000}"/>
    <cellStyle name="Input 2 9 2 10" xfId="20936" xr:uid="{4D9B9F12-6C99-41A9-8465-1452D96F8391}"/>
    <cellStyle name="Input 2 9 2 10 2" xfId="46717" xr:uid="{E78FB7B8-6BEA-49EF-8041-686D76B30C8F}"/>
    <cellStyle name="Input 2 9 2 11" xfId="51954" xr:uid="{66035469-95A9-4EBE-93D5-B63AEECC6223}"/>
    <cellStyle name="Input 2 9 2 2" xfId="1716" xr:uid="{00000000-0005-0000-0000-00006E050000}"/>
    <cellStyle name="Input 2 9 2 2 10" xfId="14417" xr:uid="{E3CC5A59-40FF-4AFD-82A7-624CA3488DF2}"/>
    <cellStyle name="Input 2 9 2 2 10 2" xfId="36883" xr:uid="{E453A985-263C-46FD-88EE-F497E8BAA8F6}"/>
    <cellStyle name="Input 2 9 2 2 10 3" xfId="28102" xr:uid="{64344C43-663F-456B-972F-C615F616A73F}"/>
    <cellStyle name="Input 2 9 2 2 11" xfId="20538" xr:uid="{C05B59F1-0F67-4D12-8DEA-F01A5FE67A95}"/>
    <cellStyle name="Input 2 9 2 2 11 2" xfId="42824" xr:uid="{9E1978DD-6183-41AB-8B42-96B2BD143D9B}"/>
    <cellStyle name="Input 2 9 2 2 11 3" xfId="52319" xr:uid="{DA07C25B-5FDF-441B-BE38-7DCB68975BC7}"/>
    <cellStyle name="Input 2 9 2 2 12" xfId="20258" xr:uid="{FE2E6C76-71D8-4DAA-84FB-2CB91A0830AF}"/>
    <cellStyle name="Input 2 9 2 2 12 2" xfId="24284" xr:uid="{E6811399-8E1D-45AA-A7ED-D210E62B3DEF}"/>
    <cellStyle name="Input 2 9 2 2 13" xfId="50596" xr:uid="{CF26C1D5-D22B-42B6-8762-9EC0BDC7B05C}"/>
    <cellStyle name="Input 2 9 2 2 2" xfId="3814" xr:uid="{00000000-0005-0000-0000-00006D050000}"/>
    <cellStyle name="Input 2 9 2 2 2 2" xfId="10718" xr:uid="{7D0093EC-77F5-425D-B945-D481C25B9A7B}"/>
    <cellStyle name="Input 2 9 2 2 2 2 2" xfId="33204" xr:uid="{AC720A55-90F2-4EB1-BB9A-0E86F8B887A0}"/>
    <cellStyle name="Input 2 9 2 2 2 2 3" xfId="53035" xr:uid="{B43B4373-8B19-45E9-8451-3D92F6A6F225}"/>
    <cellStyle name="Input 2 9 2 2 2 3" xfId="15874" xr:uid="{9C6CD393-A173-4167-AC83-E5FBFE156F51}"/>
    <cellStyle name="Input 2 9 2 2 2 3 2" xfId="38280" xr:uid="{5E6E4C25-2247-40F8-A0BF-814671CACEC7}"/>
    <cellStyle name="Input 2 9 2 2 2 3 3" xfId="48720" xr:uid="{60B6BC1C-1BBA-4117-9C3E-DEB5522D01C8}"/>
    <cellStyle name="Input 2 9 2 2 2 4" xfId="15765" xr:uid="{C22EF464-145D-49F4-84AA-8F9A302EB1B7}"/>
    <cellStyle name="Input 2 9 2 2 2 4 2" xfId="24149" xr:uid="{96ACB1C8-6B18-4AF3-801F-FEC3F3694D9B}"/>
    <cellStyle name="Input 2 9 2 2 2 5" xfId="53193" xr:uid="{F0A22F1D-3D8B-426A-9B06-20E8CC406723}"/>
    <cellStyle name="Input 2 9 2 2 3" xfId="5230" xr:uid="{00000000-0005-0000-0000-00006D050000}"/>
    <cellStyle name="Input 2 9 2 2 3 2" xfId="12122" xr:uid="{A7AB7CCA-4AD5-4C77-9A2F-29D1E935D8B0}"/>
    <cellStyle name="Input 2 9 2 2 3 2 2" xfId="34607" xr:uid="{7D7FFA94-043D-4446-A5AD-166E42648976}"/>
    <cellStyle name="Input 2 9 2 2 3 2 3" xfId="44839" xr:uid="{2D1838DC-76F2-4B6E-96E4-EEF1E03EE1C0}"/>
    <cellStyle name="Input 2 9 2 2 3 3" xfId="17167" xr:uid="{2194E30A-9EBC-47B0-B24E-FC53ED37DC5B}"/>
    <cellStyle name="Input 2 9 2 2 3 3 2" xfId="39557" xr:uid="{CE3FEAD9-0EC7-4160-B68C-0726B8A98C51}"/>
    <cellStyle name="Input 2 9 2 2 3 3 3" xfId="25860" xr:uid="{0DD9730D-DD6E-4ABF-B73E-06947C2EB708}"/>
    <cellStyle name="Input 2 9 2 2 3 4" xfId="21591" xr:uid="{2550ADF2-4510-4D90-A7F4-64643E920F07}"/>
    <cellStyle name="Input 2 9 2 2 3 4 2" xfId="52834" xr:uid="{FAE7A65D-108E-4714-91B2-CABA72118882}"/>
    <cellStyle name="Input 2 9 2 2 3 5" xfId="50973" xr:uid="{E68A181C-6097-45A3-B2EC-73F74ECA80AA}"/>
    <cellStyle name="Input 2 9 2 2 4" xfId="5642" xr:uid="{00000000-0005-0000-0000-00006D050000}"/>
    <cellStyle name="Input 2 9 2 2 4 2" xfId="12526" xr:uid="{8E8E13A5-AF89-4882-9AFA-FDC2049061E9}"/>
    <cellStyle name="Input 2 9 2 2 4 2 2" xfId="35011" xr:uid="{0FCDEA86-D149-4A0D-8808-27B6CC4CA67A}"/>
    <cellStyle name="Input 2 9 2 2 4 2 3" xfId="26558" xr:uid="{842F760B-03E1-4729-997D-762AA282FB90}"/>
    <cellStyle name="Input 2 9 2 2 4 3" xfId="17579" xr:uid="{E8B369AC-874F-4B85-A88C-D7B922B1E803}"/>
    <cellStyle name="Input 2 9 2 2 4 3 2" xfId="39969" xr:uid="{D3806386-F9B4-4A56-8DB5-4802457E19E6}"/>
    <cellStyle name="Input 2 9 2 2 4 3 3" xfId="45338" xr:uid="{8F8FEF2F-9286-404E-AE9D-2EE001104BF6}"/>
    <cellStyle name="Input 2 9 2 2 4 4" xfId="22003" xr:uid="{C3AFF036-7178-42C5-A721-FC4CF715A55C}"/>
    <cellStyle name="Input 2 9 2 2 4 4 2" xfId="43193" xr:uid="{FF3E2BF1-7A9B-4167-B6C4-443239DD4213}"/>
    <cellStyle name="Input 2 9 2 2 4 5" xfId="50282" xr:uid="{2A388622-2A17-4816-B829-24B914BFAF3F}"/>
    <cellStyle name="Input 2 9 2 2 5" xfId="4655" xr:uid="{00000000-0005-0000-0000-00006D050000}"/>
    <cellStyle name="Input 2 9 2 2 5 2" xfId="11555" xr:uid="{F5CA2413-7DE4-48DA-AC66-992FF6B9732B}"/>
    <cellStyle name="Input 2 9 2 2 5 2 2" xfId="34041" xr:uid="{064C5739-84C6-4580-9DB5-2EDB6BFA8CB1}"/>
    <cellStyle name="Input 2 9 2 2 5 2 3" xfId="27828" xr:uid="{E9E4180F-01FF-4073-A7F1-6488D649CB5F}"/>
    <cellStyle name="Input 2 9 2 2 5 3" xfId="16592" xr:uid="{CAB1820F-DDB9-432B-87C0-A247BE692425}"/>
    <cellStyle name="Input 2 9 2 2 5 3 2" xfId="38982" xr:uid="{3FEE77C4-89DE-4C51-874B-13E99F8FCD73}"/>
    <cellStyle name="Input 2 9 2 2 5 3 3" xfId="24155" xr:uid="{607D1623-8986-43B7-B5A7-236F61F92662}"/>
    <cellStyle name="Input 2 9 2 2 5 4" xfId="14545" xr:uid="{6B5826DF-A1F2-4B82-9B04-3B56A4662728}"/>
    <cellStyle name="Input 2 9 2 2 5 4 2" xfId="53636" xr:uid="{2F5884DB-CF63-46D0-94D1-E39EE911C6AC}"/>
    <cellStyle name="Input 2 9 2 2 5 5" xfId="30320" xr:uid="{F0E3DD14-5EDB-4CFA-9129-298551259637}"/>
    <cellStyle name="Input 2 9 2 2 6" xfId="6381" xr:uid="{00000000-0005-0000-0000-00006D050000}"/>
    <cellStyle name="Input 2 9 2 2 6 2" xfId="13253" xr:uid="{93D79A0B-DD6A-47B8-8700-99B7D270300D}"/>
    <cellStyle name="Input 2 9 2 2 6 2 2" xfId="35737" xr:uid="{2316183C-EA75-4C18-B537-C971E66F97D5}"/>
    <cellStyle name="Input 2 9 2 2 6 2 3" xfId="37419" xr:uid="{E54FB2D5-800D-4881-9BBA-7BEB4E415E27}"/>
    <cellStyle name="Input 2 9 2 2 6 3" xfId="18318" xr:uid="{38C1F511-808B-42B6-BC93-5B43F8EFBC74}"/>
    <cellStyle name="Input 2 9 2 2 6 3 2" xfId="40708" xr:uid="{7AFA55C4-925D-468D-B040-B1255269386B}"/>
    <cellStyle name="Input 2 9 2 2 6 3 3" xfId="28797" xr:uid="{891138EC-D541-4510-BB69-1FB321251422}"/>
    <cellStyle name="Input 2 9 2 2 6 4" xfId="22742" xr:uid="{1FC201DC-6FB7-4DC6-9674-7542E9D8C399}"/>
    <cellStyle name="Input 2 9 2 2 6 4 2" xfId="46422" xr:uid="{FDAC057C-B3DE-430A-9C2B-B1478494FA67}"/>
    <cellStyle name="Input 2 9 2 2 6 5" xfId="49113" xr:uid="{89011B4E-52C0-4F4F-8550-1983839BBC3F}"/>
    <cellStyle name="Input 2 9 2 2 7" xfId="5700" xr:uid="{00000000-0005-0000-0000-00006D050000}"/>
    <cellStyle name="Input 2 9 2 2 7 2" xfId="12584" xr:uid="{5B46A684-ED3D-401A-AF45-17A91F8B61A6}"/>
    <cellStyle name="Input 2 9 2 2 7 2 2" xfId="35069" xr:uid="{9CF8048E-3BD7-49B8-B9EC-1648E4ADCDC5}"/>
    <cellStyle name="Input 2 9 2 2 7 2 3" xfId="25214" xr:uid="{CCAEC9FA-1E4F-463D-9B38-AE6909A52048}"/>
    <cellStyle name="Input 2 9 2 2 7 3" xfId="17637" xr:uid="{B9649D5F-9445-40DE-AF52-1D2B32A5F1F4}"/>
    <cellStyle name="Input 2 9 2 2 7 3 2" xfId="40027" xr:uid="{C1AC9E52-8844-44C1-8E78-F70B92F8F8C0}"/>
    <cellStyle name="Input 2 9 2 2 7 3 3" xfId="32139" xr:uid="{F6713435-3D8F-421B-B76E-EA92B9CE7097}"/>
    <cellStyle name="Input 2 9 2 2 7 4" xfId="22061" xr:uid="{6D1F3467-35F6-40C7-94A5-1116BC93B1F1}"/>
    <cellStyle name="Input 2 9 2 2 7 4 2" xfId="51789" xr:uid="{9E3700CE-A1F9-40FB-9D14-59821E7CC476}"/>
    <cellStyle name="Input 2 9 2 2 7 5" xfId="51796" xr:uid="{99DBF024-1F23-45AC-BCF7-C1C8787B9B93}"/>
    <cellStyle name="Input 2 9 2 2 8" xfId="6898" xr:uid="{00000000-0005-0000-0000-00006D050000}"/>
    <cellStyle name="Input 2 9 2 2 8 2" xfId="13736" xr:uid="{9C9942A0-F2CF-403E-9328-4BB0BF9EB9B9}"/>
    <cellStyle name="Input 2 9 2 2 8 2 2" xfId="36220" xr:uid="{5A7AAA19-125E-41CC-93CA-6BD01F6F0CEA}"/>
    <cellStyle name="Input 2 9 2 2 8 2 3" xfId="29600" xr:uid="{DAEDBF38-C7E8-44AD-83AC-40DA3F826B76}"/>
    <cellStyle name="Input 2 9 2 2 8 3" xfId="18835" xr:uid="{ACE60D6F-1CA6-43B5-9D4C-27F4718CE224}"/>
    <cellStyle name="Input 2 9 2 2 8 3 2" xfId="41225" xr:uid="{FE9A777F-A72F-42AD-B29D-F85E46D8EE7B}"/>
    <cellStyle name="Input 2 9 2 2 8 3 3" xfId="27622" xr:uid="{F5CAA504-823F-4CF5-A0D9-7C245ECE0816}"/>
    <cellStyle name="Input 2 9 2 2 8 4" xfId="23259" xr:uid="{37B3F261-C68B-4E36-9454-6A8055838B4A}"/>
    <cellStyle name="Input 2 9 2 2 8 4 2" xfId="50091" xr:uid="{F4155EA6-A919-436F-B772-B97EA8ABD15D}"/>
    <cellStyle name="Input 2 9 2 2 8 5" xfId="53689" xr:uid="{ABEE9E07-1EFF-482E-886C-6ECEAA95995E}"/>
    <cellStyle name="Input 2 9 2 2 9" xfId="6843" xr:uid="{00000000-0005-0000-0000-00006D050000}"/>
    <cellStyle name="Input 2 9 2 2 9 2" xfId="18780" xr:uid="{9457B111-3635-453E-BE79-82331655C810}"/>
    <cellStyle name="Input 2 9 2 2 9 2 2" xfId="41170" xr:uid="{36BB91D9-BFF2-442D-8CF4-8A8E4E63C51F}"/>
    <cellStyle name="Input 2 9 2 2 9 2 3" xfId="24338" xr:uid="{829C0E20-0E5D-4B36-A709-99BFCC29BD1C}"/>
    <cellStyle name="Input 2 9 2 2 9 3" xfId="23204" xr:uid="{7DB0D839-4186-4530-835E-E59DC6598822}"/>
    <cellStyle name="Input 2 9 2 2 9 3 2" xfId="49231" xr:uid="{450B8D28-B781-49F2-8552-CF9F8D4072AF}"/>
    <cellStyle name="Input 2 9 2 2 9 4" xfId="50047" xr:uid="{948BB31B-DE2C-4149-A8CE-A84EE8F71583}"/>
    <cellStyle name="Input 2 9 2 3" xfId="2730" xr:uid="{00000000-0005-0000-0000-00006C050000}"/>
    <cellStyle name="Input 2 9 2 3 2" xfId="9639" xr:uid="{E3CF7988-D880-4567-8360-FACEE605A11A}"/>
    <cellStyle name="Input 2 9 2 3 2 2" xfId="32187" xr:uid="{1DD7C65F-B881-4E55-8547-7D2F9249BBC0}"/>
    <cellStyle name="Input 2 9 2 3 2 3" xfId="52707" xr:uid="{283E683F-52FE-4B0D-AC00-68A5C9EE24D6}"/>
    <cellStyle name="Input 2 9 2 3 3" xfId="15157" xr:uid="{F6721BA5-6145-4E7E-9509-CE7801E73783}"/>
    <cellStyle name="Input 2 9 2 3 3 2" xfId="37597" xr:uid="{BDD704D3-D3D8-4C4F-9EC3-DC3C498C65AA}"/>
    <cellStyle name="Input 2 9 2 3 3 3" xfId="53948" xr:uid="{C2F5346E-074C-4283-99FA-A71C56F7C9E2}"/>
    <cellStyle name="Input 2 9 2 3 4" xfId="15033" xr:uid="{EF35A986-AC3E-419F-91B4-F643B8224388}"/>
    <cellStyle name="Input 2 9 2 3 4 2" xfId="48780" xr:uid="{7D7183C6-C0FC-4BB5-91D4-869F020C68B3}"/>
    <cellStyle name="Input 2 9 2 3 5" xfId="44585" xr:uid="{52DED738-2F17-4E4D-BB16-0CD659E00B12}"/>
    <cellStyle name="Input 2 9 2 4" xfId="4521" xr:uid="{00000000-0005-0000-0000-00006C050000}"/>
    <cellStyle name="Input 2 9 2 4 2" xfId="11423" xr:uid="{E19943F3-B00A-47A0-AD2F-08BF4CF89CEF}"/>
    <cellStyle name="Input 2 9 2 4 2 2" xfId="33909" xr:uid="{6631529D-4290-4E8F-AC87-71896EA2C2E9}"/>
    <cellStyle name="Input 2 9 2 4 2 3" xfId="43990" xr:uid="{1A73319C-A734-4208-BAD8-B3BE5A989D56}"/>
    <cellStyle name="Input 2 9 2 4 3" xfId="16458" xr:uid="{98BBFE15-F29C-4489-BC0E-B4C40ABFE3F2}"/>
    <cellStyle name="Input 2 9 2 4 3 2" xfId="38848" xr:uid="{3793CF20-330B-4195-B542-4FD3851D2F6E}"/>
    <cellStyle name="Input 2 9 2 4 3 3" xfId="42092" xr:uid="{CC58E4EF-A188-4F2B-9E31-B0570C0815AE}"/>
    <cellStyle name="Input 2 9 2 4 4" xfId="20193" xr:uid="{58082B95-EF10-4A0D-A48E-65A2C14166CE}"/>
    <cellStyle name="Input 2 9 2 4 4 2" xfId="26543" xr:uid="{6DE3FA3C-1283-491F-87C7-B289010F3A0B}"/>
    <cellStyle name="Input 2 9 2 4 5" xfId="31895" xr:uid="{EC6AC28E-1A0F-4CF6-83BB-E59C65C4AEA3}"/>
    <cellStyle name="Input 2 9 2 5" xfId="5150" xr:uid="{00000000-0005-0000-0000-00006C050000}"/>
    <cellStyle name="Input 2 9 2 5 2" xfId="12043" xr:uid="{E10978AC-90E9-4BFA-A4E3-28949611B023}"/>
    <cellStyle name="Input 2 9 2 5 2 2" xfId="34529" xr:uid="{CBBB12F2-E61B-40F1-B157-1E01C488B442}"/>
    <cellStyle name="Input 2 9 2 5 2 3" xfId="27627" xr:uid="{DB45F7CE-253F-4032-A6BA-60E8035A8B0C}"/>
    <cellStyle name="Input 2 9 2 5 3" xfId="17087" xr:uid="{B1839E48-840D-48BC-9BB5-2DF2E3189736}"/>
    <cellStyle name="Input 2 9 2 5 3 2" xfId="39477" xr:uid="{A89DC205-2E0F-4CE7-9AF9-A2DFDC0FF433}"/>
    <cellStyle name="Input 2 9 2 5 3 3" xfId="44908" xr:uid="{6D6AE066-B1DF-419F-89FA-B933AF8D6DF2}"/>
    <cellStyle name="Input 2 9 2 5 4" xfId="21511" xr:uid="{EB5B9EAA-D5F5-48E8-B165-C273AA6D11E3}"/>
    <cellStyle name="Input 2 9 2 5 4 2" xfId="29917" xr:uid="{A797719F-CD5C-4515-8404-162D04BE137C}"/>
    <cellStyle name="Input 2 9 2 5 5" xfId="43707" xr:uid="{15F929F0-BA47-416E-865E-322AEA7ADDCA}"/>
    <cellStyle name="Input 2 9 2 6" xfId="6047" xr:uid="{00000000-0005-0000-0000-00006C050000}"/>
    <cellStyle name="Input 2 9 2 6 2" xfId="12926" xr:uid="{A3F6BA84-BA9D-4DA0-A007-23AFF82B710C}"/>
    <cellStyle name="Input 2 9 2 6 2 2" xfId="35410" xr:uid="{EB87D884-85BB-402F-AE12-B62E250C2796}"/>
    <cellStyle name="Input 2 9 2 6 2 3" xfId="45340" xr:uid="{AE04DB25-CE73-4572-908B-65DB7CEB0C74}"/>
    <cellStyle name="Input 2 9 2 6 3" xfId="17984" xr:uid="{0D9689F7-F35D-4BD6-9397-5C3BED185385}"/>
    <cellStyle name="Input 2 9 2 6 3 2" xfId="40374" xr:uid="{9595C751-3204-421C-A406-0D895F219E96}"/>
    <cellStyle name="Input 2 9 2 6 3 3" xfId="29859" xr:uid="{70402817-92E5-4A89-A00B-082A2EB3ED85}"/>
    <cellStyle name="Input 2 9 2 6 4" xfId="22408" xr:uid="{E775CC0B-8B84-426B-AD9E-E57276D52EE6}"/>
    <cellStyle name="Input 2 9 2 6 4 2" xfId="49329" xr:uid="{4EB1F7A9-52C2-4975-A461-09965C272D27}"/>
    <cellStyle name="Input 2 9 2 6 5" xfId="46939" xr:uid="{98167D9E-0652-4FF0-9126-C0B44ECBDDD7}"/>
    <cellStyle name="Input 2 9 2 7" xfId="6415" xr:uid="{00000000-0005-0000-0000-00006C050000}"/>
    <cellStyle name="Input 2 9 2 7 2" xfId="13287" xr:uid="{052EBAB0-8393-40A3-AE3F-1CADAF4733F1}"/>
    <cellStyle name="Input 2 9 2 7 2 2" xfId="35771" xr:uid="{7A33A3A3-3585-4613-A4F1-D481D9C3E040}"/>
    <cellStyle name="Input 2 9 2 7 2 3" xfId="46938" xr:uid="{AA202B29-4EE7-440B-B7CD-4E0F5CAEE1FF}"/>
    <cellStyle name="Input 2 9 2 7 3" xfId="18352" xr:uid="{93AD2BD7-BB97-44A9-B26D-3ABF699D8B9A}"/>
    <cellStyle name="Input 2 9 2 7 3 2" xfId="40742" xr:uid="{A684B457-7C24-4EB5-998C-942A2D15DC78}"/>
    <cellStyle name="Input 2 9 2 7 3 3" xfId="27581" xr:uid="{9B28B36C-058B-48B1-8B6F-61C19DBCD9CA}"/>
    <cellStyle name="Input 2 9 2 7 4" xfId="22776" xr:uid="{73F24837-41FE-42FD-BE83-71CB00D2F7BE}"/>
    <cellStyle name="Input 2 9 2 7 4 2" xfId="52689" xr:uid="{26999E0C-56E4-45F9-A62F-24C94DB6A269}"/>
    <cellStyle name="Input 2 9 2 7 5" xfId="51698" xr:uid="{FFFF96FA-115E-40AF-9921-7B9A203ED5C0}"/>
    <cellStyle name="Input 2 9 2 8" xfId="7879" xr:uid="{AD7CCD8F-1F48-44FD-85A6-CF6AF365BDFC}"/>
    <cellStyle name="Input 2 9 2 8 2" xfId="30509" xr:uid="{FD24AEB7-0FF2-408D-87CC-21B3EFDC48A9}"/>
    <cellStyle name="Input 2 9 2 8 3" xfId="48151" xr:uid="{99B00E84-3F70-417C-95D2-2DE2DE10029B}"/>
    <cellStyle name="Input 2 9 2 9" xfId="15509" xr:uid="{00F4CFE7-A00F-4442-9D91-89127716BFC2}"/>
    <cellStyle name="Input 2 9 2 9 2" xfId="37930" xr:uid="{93FE8AD3-D1F3-4725-9619-6BDC03045E99}"/>
    <cellStyle name="Input 2 9 2 9 3" xfId="47229" xr:uid="{DFA07962-EE00-4618-AF54-D24294761A58}"/>
    <cellStyle name="Input 2 9 3" xfId="828" xr:uid="{00000000-0005-0000-0000-00006F050000}"/>
    <cellStyle name="Input 2 9 3 10" xfId="14148" xr:uid="{3248F99B-4234-4010-BE9B-A16D83960109}"/>
    <cellStyle name="Input 2 9 3 10 2" xfId="48525" xr:uid="{F77B7139-7C13-48B7-AF16-CF696C42AD41}"/>
    <cellStyle name="Input 2 9 3 11" xfId="49870" xr:uid="{D45762EE-0E12-4138-A11B-C30F65DE96A8}"/>
    <cellStyle name="Input 2 9 3 2" xfId="1814" xr:uid="{00000000-0005-0000-0000-000070050000}"/>
    <cellStyle name="Input 2 9 3 2 10" xfId="14498" xr:uid="{FDFD4485-685B-4781-8767-1AD5DDFD5776}"/>
    <cellStyle name="Input 2 9 3 2 10 2" xfId="36959" xr:uid="{30AF4DE5-A73C-4D43-871F-48BBA9282901}"/>
    <cellStyle name="Input 2 9 3 2 10 3" xfId="49390" xr:uid="{E15D2296-4CEB-4569-873F-CDD32E447331}"/>
    <cellStyle name="Input 2 9 3 2 11" xfId="20332" xr:uid="{47DF0741-E139-4605-BB62-9F8A13E86C85}"/>
    <cellStyle name="Input 2 9 3 2 11 2" xfId="42630" xr:uid="{950740E3-327F-4E71-AB58-0626662C929A}"/>
    <cellStyle name="Input 2 9 3 2 11 3" xfId="54034" xr:uid="{0A9FE9F0-EC3A-4DA0-9EFB-69C78836BD93}"/>
    <cellStyle name="Input 2 9 3 2 12" xfId="8760" xr:uid="{F43A7228-34D7-49A2-AD50-D036E87C4433}"/>
    <cellStyle name="Input 2 9 3 2 12 2" xfId="48158" xr:uid="{77F04A90-F677-43B0-9876-8B7A94D67F4F}"/>
    <cellStyle name="Input 2 9 3 2 13" xfId="52946" xr:uid="{6D7FBA9D-457A-4100-AE54-AAE7C40C9E61}"/>
    <cellStyle name="Input 2 9 3 2 2" xfId="3912" xr:uid="{00000000-0005-0000-0000-00006F050000}"/>
    <cellStyle name="Input 2 9 3 2 2 2" xfId="10816" xr:uid="{18F9B40D-9B23-4260-BEC5-A6A60731C85B}"/>
    <cellStyle name="Input 2 9 3 2 2 2 2" xfId="33302" xr:uid="{F49D0767-0983-4A50-87F2-16EBD542AA2D}"/>
    <cellStyle name="Input 2 9 3 2 2 2 3" xfId="54066" xr:uid="{159E65F7-9922-405C-87C8-E83D84EF27EE}"/>
    <cellStyle name="Input 2 9 3 2 2 3" xfId="15954" xr:uid="{3AF6E1E1-29CD-4F8A-B559-4A821EEB028D}"/>
    <cellStyle name="Input 2 9 3 2 2 3 2" xfId="38357" xr:uid="{B91B3E8A-EF17-40E4-8921-2A61FF8F5307}"/>
    <cellStyle name="Input 2 9 3 2 2 3 3" xfId="25919" xr:uid="{3AB6A748-1FC2-41AA-9281-5C4CAD2ED5F8}"/>
    <cellStyle name="Input 2 9 3 2 2 4" xfId="20208" xr:uid="{5AF0CD52-72F1-44CF-B4C8-19E7C5C5A6A0}"/>
    <cellStyle name="Input 2 9 3 2 2 4 2" xfId="32343" xr:uid="{F3BE6B1F-2C36-4E78-A1D8-FF48CA68B414}"/>
    <cellStyle name="Input 2 9 3 2 2 5" xfId="51027" xr:uid="{1463C876-3F83-439B-8267-A216538D8B23}"/>
    <cellStyle name="Input 2 9 3 2 3" xfId="5307" xr:uid="{00000000-0005-0000-0000-00006F050000}"/>
    <cellStyle name="Input 2 9 3 2 3 2" xfId="12199" xr:uid="{3EC0C42F-A8E7-42B3-B0DC-7E550DE32F5B}"/>
    <cellStyle name="Input 2 9 3 2 3 2 2" xfId="34684" xr:uid="{272CC0D8-1BC6-4655-9F95-525F510015D5}"/>
    <cellStyle name="Input 2 9 3 2 3 2 3" xfId="30780" xr:uid="{A39A482A-B686-4409-9FE2-C0D2EFBFEDE4}"/>
    <cellStyle name="Input 2 9 3 2 3 3" xfId="17244" xr:uid="{4AC00616-6421-4B69-AE44-5F3B07A2FAC0}"/>
    <cellStyle name="Input 2 9 3 2 3 3 2" xfId="39634" xr:uid="{EE105B7E-3473-4327-813E-00F4AEB984D0}"/>
    <cellStyle name="Input 2 9 3 2 3 3 3" xfId="43352" xr:uid="{2CE9B060-5D4F-4FBD-B61F-61C8F7E7C45F}"/>
    <cellStyle name="Input 2 9 3 2 3 4" xfId="21668" xr:uid="{159A58E8-1830-4C64-A20E-CD367EDD9ADE}"/>
    <cellStyle name="Input 2 9 3 2 3 4 2" xfId="50902" xr:uid="{4EDB21D5-9AF9-4905-B653-5B3BA4E73072}"/>
    <cellStyle name="Input 2 9 3 2 3 5" xfId="47628" xr:uid="{D5D63CD4-DBE3-4A32-AEDD-5264C2D3FD16}"/>
    <cellStyle name="Input 2 9 3 2 4" xfId="5717" xr:uid="{00000000-0005-0000-0000-00006F050000}"/>
    <cellStyle name="Input 2 9 3 2 4 2" xfId="12601" xr:uid="{5A38186E-F6F0-4036-8BB1-9EB6CBCAD152}"/>
    <cellStyle name="Input 2 9 3 2 4 2 2" xfId="35086" xr:uid="{EBCCA424-6EC9-48BE-AC30-D5C2DA09619B}"/>
    <cellStyle name="Input 2 9 3 2 4 2 3" xfId="32752" xr:uid="{C9A824B1-FF89-47F3-8707-55A634DCFCBF}"/>
    <cellStyle name="Input 2 9 3 2 4 3" xfId="17654" xr:uid="{32CC4685-8E03-4589-AD66-9407F5244E6F}"/>
    <cellStyle name="Input 2 9 3 2 4 3 2" xfId="40044" xr:uid="{1E09C6FF-1FEB-46FF-A4E5-D465C2DAED57}"/>
    <cellStyle name="Input 2 9 3 2 4 3 3" xfId="44642" xr:uid="{F4AA5F71-8381-4CC8-BBDD-F30AB43B1643}"/>
    <cellStyle name="Input 2 9 3 2 4 4" xfId="22078" xr:uid="{347000FF-94E0-4103-BEED-ED74FDE016F7}"/>
    <cellStyle name="Input 2 9 3 2 4 4 2" xfId="47888" xr:uid="{DD494968-5D25-459A-BE5A-32FB50D16310}"/>
    <cellStyle name="Input 2 9 3 2 4 5" xfId="48206" xr:uid="{BB7B56B2-9648-4B0F-93E4-8CCBB07A2C8C}"/>
    <cellStyle name="Input 2 9 3 2 5" xfId="6071" xr:uid="{00000000-0005-0000-0000-00006F050000}"/>
    <cellStyle name="Input 2 9 3 2 5 2" xfId="12949" xr:uid="{B50D949E-1C5D-409C-A0CB-80A0B880AECB}"/>
    <cellStyle name="Input 2 9 3 2 5 2 2" xfId="35433" xr:uid="{EB3F262D-8026-40D2-9AB4-B29AE9B71EAE}"/>
    <cellStyle name="Input 2 9 3 2 5 2 3" xfId="51928" xr:uid="{E6DC3EC4-153B-47B0-BFB2-9B88D0B8BF00}"/>
    <cellStyle name="Input 2 9 3 2 5 3" xfId="18008" xr:uid="{7BCB047F-6E5F-47D7-84D5-1A047EACCA47}"/>
    <cellStyle name="Input 2 9 3 2 5 3 2" xfId="40398" xr:uid="{FD2492F2-7A11-49EB-90B4-0F1555410A73}"/>
    <cellStyle name="Input 2 9 3 2 5 3 3" xfId="30788" xr:uid="{F02E85D9-B20C-4860-9BB0-02AC2F32885C}"/>
    <cellStyle name="Input 2 9 3 2 5 4" xfId="22432" xr:uid="{EFCCCF79-EB7B-4D25-BCC6-F7001F80D770}"/>
    <cellStyle name="Input 2 9 3 2 5 4 2" xfId="47884" xr:uid="{CD58BD8C-E54A-4CB3-8F89-CC9DCF17FD51}"/>
    <cellStyle name="Input 2 9 3 2 5 5" xfId="44860" xr:uid="{B4662CE4-06ED-408D-81A5-9687FADC4CC3}"/>
    <cellStyle name="Input 2 9 3 2 6" xfId="6446" xr:uid="{00000000-0005-0000-0000-00006F050000}"/>
    <cellStyle name="Input 2 9 3 2 6 2" xfId="13316" xr:uid="{E786153D-E518-47AB-A7FD-E2F504555EF7}"/>
    <cellStyle name="Input 2 9 3 2 6 2 2" xfId="35800" xr:uid="{DAED97B2-9C66-45EE-8804-CCC7511AF98E}"/>
    <cellStyle name="Input 2 9 3 2 6 2 3" xfId="23686" xr:uid="{D372BE5E-D387-4602-9D4E-877B1229AC59}"/>
    <cellStyle name="Input 2 9 3 2 6 3" xfId="18383" xr:uid="{13A375DC-DCB3-4350-8958-9E39E969C1A7}"/>
    <cellStyle name="Input 2 9 3 2 6 3 2" xfId="40773" xr:uid="{BF3118E1-2B82-4982-8557-16F9F178A496}"/>
    <cellStyle name="Input 2 9 3 2 6 3 3" xfId="27923" xr:uid="{E0EDD9DD-8174-4434-A3B1-F2929689FD5D}"/>
    <cellStyle name="Input 2 9 3 2 6 4" xfId="22807" xr:uid="{AA2005FD-8F2E-4924-9BA7-F74DD44EAC40}"/>
    <cellStyle name="Input 2 9 3 2 6 4 2" xfId="50505" xr:uid="{CF8A6F81-CBD6-45F3-8C7C-20D09F6278D8}"/>
    <cellStyle name="Input 2 9 3 2 6 5" xfId="23852" xr:uid="{978F5DF5-2403-4E44-8EF0-12C5C14EE260}"/>
    <cellStyle name="Input 2 9 3 2 7" xfId="6796" xr:uid="{00000000-0005-0000-0000-00006F050000}"/>
    <cellStyle name="Input 2 9 3 2 7 2" xfId="13645" xr:uid="{0434CE3B-9B51-4A2B-86A1-E35FCA7309C0}"/>
    <cellStyle name="Input 2 9 3 2 7 2 2" xfId="36129" xr:uid="{41A5E60B-FD5B-4B0E-AB03-50ACFB00DCEB}"/>
    <cellStyle name="Input 2 9 3 2 7 2 3" xfId="46643" xr:uid="{C17DEB0B-611E-45E3-B28D-14ED65ECA6E2}"/>
    <cellStyle name="Input 2 9 3 2 7 3" xfId="18733" xr:uid="{C3F55D34-78C7-48CF-B10A-23C2D848B525}"/>
    <cellStyle name="Input 2 9 3 2 7 3 2" xfId="41123" xr:uid="{29D1A085-1868-4C3D-A9D0-F58BE0D4FC92}"/>
    <cellStyle name="Input 2 9 3 2 7 3 3" xfId="29460" xr:uid="{C5A35BA5-A0E7-4DF7-8CB5-0A0A7C78C5FC}"/>
    <cellStyle name="Input 2 9 3 2 7 4" xfId="23157" xr:uid="{544C10CA-5759-42B8-841C-9385ABB41318}"/>
    <cellStyle name="Input 2 9 3 2 7 4 2" xfId="48327" xr:uid="{8BAAAFDE-2763-4133-83AD-88FEB9D8B863}"/>
    <cellStyle name="Input 2 9 3 2 7 5" xfId="44899" xr:uid="{477B0021-6062-407D-84AD-8AE808CECB20}"/>
    <cellStyle name="Input 2 9 3 2 8" xfId="6946" xr:uid="{00000000-0005-0000-0000-00006F050000}"/>
    <cellStyle name="Input 2 9 3 2 8 2" xfId="13783" xr:uid="{344D0A5C-8362-4E6D-8FCD-A72B98C0C844}"/>
    <cellStyle name="Input 2 9 3 2 8 2 2" xfId="36267" xr:uid="{F9D00DCB-149A-4402-BBAA-405BD130AFA4}"/>
    <cellStyle name="Input 2 9 3 2 8 2 3" xfId="46531" xr:uid="{32286383-24C4-446B-826A-C37863BAE4B0}"/>
    <cellStyle name="Input 2 9 3 2 8 3" xfId="18883" xr:uid="{4C61622C-8869-4F3C-B3DE-0071288F8385}"/>
    <cellStyle name="Input 2 9 3 2 8 3 2" xfId="41273" xr:uid="{145A6202-97E8-4B42-BEA9-C8934754631B}"/>
    <cellStyle name="Input 2 9 3 2 8 3 3" xfId="38468" xr:uid="{8856551F-26A2-44DC-AC5A-80C38A5AA1E0}"/>
    <cellStyle name="Input 2 9 3 2 8 4" xfId="23307" xr:uid="{6BD3DB29-3FF6-443E-BEC0-0576A2C33FA3}"/>
    <cellStyle name="Input 2 9 3 2 8 4 2" xfId="47287" xr:uid="{AEC430E5-A7F4-4DF4-A318-15DDCE18FADA}"/>
    <cellStyle name="Input 2 9 3 2 8 5" xfId="51753" xr:uid="{9B502939-9CAB-4F90-96E4-9722EC959559}"/>
    <cellStyle name="Input 2 9 3 2 9" xfId="5206" xr:uid="{00000000-0005-0000-0000-00006F050000}"/>
    <cellStyle name="Input 2 9 3 2 9 2" xfId="17143" xr:uid="{8B01FF00-044B-440E-83CA-A0C1D0BA9469}"/>
    <cellStyle name="Input 2 9 3 2 9 2 2" xfId="39533" xr:uid="{A5B6099B-FDB2-4034-BE48-F8DD9B58339B}"/>
    <cellStyle name="Input 2 9 3 2 9 2 3" xfId="44011" xr:uid="{887A8210-DB61-4433-9EBC-AED2F53AFCF2}"/>
    <cellStyle name="Input 2 9 3 2 9 3" xfId="21567" xr:uid="{53128109-15A5-4BE6-A0AD-53205F7B0CD1}"/>
    <cellStyle name="Input 2 9 3 2 9 3 2" xfId="43541" xr:uid="{1DBCBC11-1B68-43D0-BC16-8CCBFECC305B}"/>
    <cellStyle name="Input 2 9 3 2 9 4" xfId="47501" xr:uid="{6DF0946C-0A83-410B-8611-ED1174903D55}"/>
    <cellStyle name="Input 2 9 3 3" xfId="2962" xr:uid="{00000000-0005-0000-0000-00006E050000}"/>
    <cellStyle name="Input 2 9 3 3 2" xfId="9871" xr:uid="{481F139A-B2AE-495B-BAF2-CB0C054441E9}"/>
    <cellStyle name="Input 2 9 3 3 2 2" xfId="32394" xr:uid="{ADD33741-F16F-4302-9DE1-CBDB2F83341D}"/>
    <cellStyle name="Input 2 9 3 3 2 3" xfId="51113" xr:uid="{8CCD4F0B-FEF5-482F-A4BC-F4B419BB6493}"/>
    <cellStyle name="Input 2 9 3 3 3" xfId="15310" xr:uid="{54D045A3-27AD-44C5-9ABE-608E993F58F7}"/>
    <cellStyle name="Input 2 9 3 3 3 2" xfId="37742" xr:uid="{1021D485-D92B-4693-B4EE-B86CED3DBAFE}"/>
    <cellStyle name="Input 2 9 3 3 3 3" xfId="46016" xr:uid="{82CD0C45-232E-4A48-99D3-2E5DFF2AB369}"/>
    <cellStyle name="Input 2 9 3 3 4" xfId="15389" xr:uid="{8C932337-7510-473C-8840-0D09E0ABDB17}"/>
    <cellStyle name="Input 2 9 3 3 4 2" xfId="52755" xr:uid="{34F00622-6989-404D-90C0-49A1D77E8134}"/>
    <cellStyle name="Input 2 9 3 3 5" xfId="32689" xr:uid="{136A0B8F-30AF-4AEC-8D41-7C004A5465DB}"/>
    <cellStyle name="Input 2 9 3 4" xfId="4672" xr:uid="{00000000-0005-0000-0000-00006E050000}"/>
    <cellStyle name="Input 2 9 3 4 2" xfId="11570" xr:uid="{096B5DA8-44F2-4146-B91B-E58C7C03BBFA}"/>
    <cellStyle name="Input 2 9 3 4 2 2" xfId="34056" xr:uid="{8614A654-90E6-46AA-B717-42AD91A2B88A}"/>
    <cellStyle name="Input 2 9 3 4 2 3" xfId="24499" xr:uid="{7587B7D6-F552-4690-B81E-1E21E10C018E}"/>
    <cellStyle name="Input 2 9 3 4 3" xfId="16609" xr:uid="{81E2AD52-ED37-40FC-BAA1-EC0F743CDE41}"/>
    <cellStyle name="Input 2 9 3 4 3 2" xfId="38999" xr:uid="{C24579A0-7CD5-47E2-BEA8-1679059D04D3}"/>
    <cellStyle name="Input 2 9 3 4 3 3" xfId="44715" xr:uid="{A2A45460-75B7-4442-ABB0-E8F2287FE7D4}"/>
    <cellStyle name="Input 2 9 3 4 4" xfId="8437" xr:uid="{A75D34F2-D989-493A-B031-4A5BD4C73CA6}"/>
    <cellStyle name="Input 2 9 3 4 4 2" xfId="29362" xr:uid="{D2BAB6E8-C83C-48EF-8F99-4EEB6BDA60DA}"/>
    <cellStyle name="Input 2 9 3 4 5" xfId="23607" xr:uid="{6A7978CD-D7E7-4732-A069-126E41933FDC}"/>
    <cellStyle name="Input 2 9 3 5" xfId="5112" xr:uid="{00000000-0005-0000-0000-00006E050000}"/>
    <cellStyle name="Input 2 9 3 5 2" xfId="12005" xr:uid="{65575008-7959-4148-8407-D91FB0E6C520}"/>
    <cellStyle name="Input 2 9 3 5 2 2" xfId="34491" xr:uid="{97D32BF9-E7F9-4F5A-9148-E5255C9221EA}"/>
    <cellStyle name="Input 2 9 3 5 2 3" xfId="41811" xr:uid="{09A6B705-9F99-4D49-821C-FC5484876680}"/>
    <cellStyle name="Input 2 9 3 5 3" xfId="17049" xr:uid="{893EE387-E90E-4826-8595-9EC94656E63E}"/>
    <cellStyle name="Input 2 9 3 5 3 2" xfId="39439" xr:uid="{01E74F4F-B009-4485-B211-3B060B2C9783}"/>
    <cellStyle name="Input 2 9 3 5 3 3" xfId="28896" xr:uid="{398AAFE2-92C5-4992-8B1A-816554A3C305}"/>
    <cellStyle name="Input 2 9 3 5 4" xfId="21473" xr:uid="{C94B2D25-04AE-4CC0-8675-ED62BDE8D701}"/>
    <cellStyle name="Input 2 9 3 5 4 2" xfId="52916" xr:uid="{FA719978-9171-4269-9D4B-BFCA03A02D45}"/>
    <cellStyle name="Input 2 9 3 5 5" xfId="27740" xr:uid="{6F47DE80-3197-4238-9A7E-E2F02DD8C6DC}"/>
    <cellStyle name="Input 2 9 3 6" xfId="2746" xr:uid="{00000000-0005-0000-0000-00006E050000}"/>
    <cellStyle name="Input 2 9 3 6 2" xfId="9655" xr:uid="{D3FD17E3-F5E5-4158-A9BC-7AE1B9FF13DE}"/>
    <cellStyle name="Input 2 9 3 6 2 2" xfId="32203" xr:uid="{D9D8F7AE-8001-423F-AC59-36F256E548D5}"/>
    <cellStyle name="Input 2 9 3 6 2 3" xfId="50618" xr:uid="{26A4A524-1A9F-41DD-A418-5D03BFA15AE1}"/>
    <cellStyle name="Input 2 9 3 6 3" xfId="15173" xr:uid="{5B827568-4CC0-4991-A2A4-0D19BACB920C}"/>
    <cellStyle name="Input 2 9 3 6 3 2" xfId="37613" xr:uid="{1E858793-35E4-427E-92FA-5A96E9289957}"/>
    <cellStyle name="Input 2 9 3 6 3 3" xfId="53117" xr:uid="{F5A4B11B-1A7E-4DB4-8425-8BD2AC2CAB8D}"/>
    <cellStyle name="Input 2 9 3 6 4" xfId="21168" xr:uid="{7EBA697B-7CA4-477B-9F69-391747456072}"/>
    <cellStyle name="Input 2 9 3 6 4 2" xfId="47360" xr:uid="{E7045334-A6C6-4C99-956A-ED2066057E12}"/>
    <cellStyle name="Input 2 9 3 6 5" xfId="48348" xr:uid="{BC2AD2FA-FAA7-4FDD-A12B-EB42E67B38B0}"/>
    <cellStyle name="Input 2 9 3 7" xfId="6773" xr:uid="{00000000-0005-0000-0000-00006E050000}"/>
    <cellStyle name="Input 2 9 3 7 2" xfId="13624" xr:uid="{C2F463B7-B8EB-4B70-AB38-2DBBB4883A83}"/>
    <cellStyle name="Input 2 9 3 7 2 2" xfId="36108" xr:uid="{62E75AC9-C337-49BA-B0CE-1F2D7DC1F2B5}"/>
    <cellStyle name="Input 2 9 3 7 2 3" xfId="51098" xr:uid="{8A8562ED-64B1-4D73-921F-71FCE718D339}"/>
    <cellStyle name="Input 2 9 3 7 3" xfId="18710" xr:uid="{71A95A27-89AD-41F8-B536-E577452E3B64}"/>
    <cellStyle name="Input 2 9 3 7 3 2" xfId="41100" xr:uid="{8CE9064D-54A7-44CA-8B40-9390ACC32CBE}"/>
    <cellStyle name="Input 2 9 3 7 3 3" xfId="23982" xr:uid="{54EC3AAA-9F48-44D0-B606-4BB19E6E815E}"/>
    <cellStyle name="Input 2 9 3 7 4" xfId="23134" xr:uid="{E14E592B-556B-444A-AEE6-DBD8C4D78D9C}"/>
    <cellStyle name="Input 2 9 3 7 4 2" xfId="48906" xr:uid="{467145A6-A126-4367-99C5-CA9B25BD4CD5}"/>
    <cellStyle name="Input 2 9 3 7 5" xfId="49817" xr:uid="{5E7B2B55-8162-4721-AD40-7BD6C85C3CE3}"/>
    <cellStyle name="Input 2 9 3 8" xfId="8956" xr:uid="{611E8CC2-3059-4370-9F2F-12AD9D4CE816}"/>
    <cellStyle name="Input 2 9 3 8 2" xfId="31535" xr:uid="{6638999B-E1D4-41ED-AAD2-3A76E8188B5B}"/>
    <cellStyle name="Input 2 9 3 8 3" xfId="49968" xr:uid="{37162C53-B51E-45AA-BFB0-C3238BABDC63}"/>
    <cellStyle name="Input 2 9 3 9" xfId="20758" xr:uid="{E4840E0D-B956-49C5-8C84-CD6BB86310B2}"/>
    <cellStyle name="Input 2 9 3 9 2" xfId="43027" xr:uid="{3D8117BE-C462-4231-AD88-CB7FED7AF2F8}"/>
    <cellStyle name="Input 2 9 3 9 3" xfId="50543" xr:uid="{AC1D0CAE-8B25-4DCD-BFEF-6B1F371EC537}"/>
    <cellStyle name="Input 2 9 4" xfId="1014" xr:uid="{00000000-0005-0000-0000-000071050000}"/>
    <cellStyle name="Input 2 9 4 10" xfId="21039" xr:uid="{A6B41D8C-5860-4E9A-AF81-7348579D27B4}"/>
    <cellStyle name="Input 2 9 4 10 2" xfId="30488" xr:uid="{3F856B61-4A19-4FBC-AC95-345679A81540}"/>
    <cellStyle name="Input 2 9 4 11" xfId="51751" xr:uid="{38DDFA0E-3812-436A-8346-A63B9E1C2CEF}"/>
    <cellStyle name="Input 2 9 4 2" xfId="1904" xr:uid="{00000000-0005-0000-0000-000072050000}"/>
    <cellStyle name="Input 2 9 4 2 10" xfId="14574" xr:uid="{19768EAE-2DA3-4974-890D-F2DAE2FBACFC}"/>
    <cellStyle name="Input 2 9 4 2 10 2" xfId="37035" xr:uid="{B73A66F5-EDFA-4DCF-A5BC-FE74B2598397}"/>
    <cellStyle name="Input 2 9 4 2 10 3" xfId="50393" xr:uid="{EB2069F1-D51C-4AA6-BF35-D54CB8652C93}"/>
    <cellStyle name="Input 2 9 4 2 11" xfId="15788" xr:uid="{C3276245-BDD2-4D68-9D8C-43316CB492C4}"/>
    <cellStyle name="Input 2 9 4 2 11 2" xfId="38197" xr:uid="{ABA4E12C-CB80-4C3C-A393-AE0E895914E9}"/>
    <cellStyle name="Input 2 9 4 2 11 3" xfId="45802" xr:uid="{70292388-BC8A-4C9A-A70E-7F5713A3BC67}"/>
    <cellStyle name="Input 2 9 4 2 12" xfId="19362" xr:uid="{4FBDA6B0-418B-407F-A50D-9606560E5610}"/>
    <cellStyle name="Input 2 9 4 2 12 2" xfId="42212" xr:uid="{58FC2FBA-86E6-4F37-92C9-77EF1B064436}"/>
    <cellStyle name="Input 2 9 4 2 13" xfId="46940" xr:uid="{9BD12986-06E1-4E0F-8D11-A43843920360}"/>
    <cellStyle name="Input 2 9 4 2 2" xfId="4002" xr:uid="{00000000-0005-0000-0000-000071050000}"/>
    <cellStyle name="Input 2 9 4 2 2 2" xfId="10906" xr:uid="{C835A9FC-CB72-47AD-A025-3E0714611F1C}"/>
    <cellStyle name="Input 2 9 4 2 2 2 2" xfId="33392" xr:uid="{A8DF8369-5507-4DEF-A72C-2FA4768700CE}"/>
    <cellStyle name="Input 2 9 4 2 2 2 3" xfId="47834" xr:uid="{9EE0556E-B1B6-473D-98B5-310A89910830}"/>
    <cellStyle name="Input 2 9 4 2 2 3" xfId="16026" xr:uid="{87309773-7E34-4E49-86B3-BCEB0F505E0E}"/>
    <cellStyle name="Input 2 9 4 2 2 3 2" xfId="38427" xr:uid="{A0579B43-E8C3-47A3-99BB-6FF46CFF52A5}"/>
    <cellStyle name="Input 2 9 4 2 2 3 3" xfId="51397" xr:uid="{B9BEAAE0-3B67-4232-B101-39DF0EEA737B}"/>
    <cellStyle name="Input 2 9 4 2 2 4" xfId="20987" xr:uid="{53130F6D-2B7E-4D26-B464-45EE8C0EADB4}"/>
    <cellStyle name="Input 2 9 4 2 2 4 2" xfId="53472" xr:uid="{E82BC085-5F56-46BD-A3A4-E779890468A7}"/>
    <cellStyle name="Input 2 9 4 2 2 5" xfId="52603" xr:uid="{CA06D4B2-04AE-4F3F-A27A-B4C4A8B3948C}"/>
    <cellStyle name="Input 2 9 4 2 3" xfId="5376" xr:uid="{00000000-0005-0000-0000-000071050000}"/>
    <cellStyle name="Input 2 9 4 2 3 2" xfId="12267" xr:uid="{FD8EAF4E-AFF2-4568-923B-9DA5AC891B00}"/>
    <cellStyle name="Input 2 9 4 2 3 2 2" xfId="34752" xr:uid="{36258DB9-786B-4CDD-B6D1-4791C5E79ED6}"/>
    <cellStyle name="Input 2 9 4 2 3 2 3" xfId="29042" xr:uid="{AB687C93-D3A3-461D-A658-1C08411B1AA6}"/>
    <cellStyle name="Input 2 9 4 2 3 3" xfId="17313" xr:uid="{1BEBF688-8EBB-484B-AAC7-C2B3F44010A9}"/>
    <cellStyle name="Input 2 9 4 2 3 3 2" xfId="39703" xr:uid="{3E076D62-6395-4808-AF44-8F3A1EC82D55}"/>
    <cellStyle name="Input 2 9 4 2 3 3 3" xfId="43565" xr:uid="{E5D718A3-7919-4482-8C6E-1053B5D49E03}"/>
    <cellStyle name="Input 2 9 4 2 3 4" xfId="21737" xr:uid="{430AF4B5-4ABD-4EB7-BC9F-C5F6D80765D6}"/>
    <cellStyle name="Input 2 9 4 2 3 4 2" xfId="52643" xr:uid="{5BADE204-3BEA-46EC-B602-9163CBC14A72}"/>
    <cellStyle name="Input 2 9 4 2 3 5" xfId="53917" xr:uid="{F677AF2C-B2B6-46FB-BD51-E42E2B8055FF}"/>
    <cellStyle name="Input 2 9 4 2 4" xfId="5790" xr:uid="{00000000-0005-0000-0000-000071050000}"/>
    <cellStyle name="Input 2 9 4 2 4 2" xfId="12673" xr:uid="{7220D220-312F-432D-82A1-8839D3A877A1}"/>
    <cellStyle name="Input 2 9 4 2 4 2 2" xfId="35158" xr:uid="{2F5790F1-A7F2-4250-A6FC-CC40312923CA}"/>
    <cellStyle name="Input 2 9 4 2 4 2 3" xfId="30907" xr:uid="{A234D603-CDCD-4875-9FFF-3B039214E693}"/>
    <cellStyle name="Input 2 9 4 2 4 3" xfId="17727" xr:uid="{D42073F4-CBBE-458A-9499-4FA86331D07A}"/>
    <cellStyle name="Input 2 9 4 2 4 3 2" xfId="40117" xr:uid="{227B3042-5F44-42D3-A941-5A51CD852B17}"/>
    <cellStyle name="Input 2 9 4 2 4 3 3" xfId="36617" xr:uid="{B2B0DD0A-CC15-4027-98F3-59FDB91EFCC1}"/>
    <cellStyle name="Input 2 9 4 2 4 4" xfId="22151" xr:uid="{78E5CC06-EDD4-4709-8B1F-1E3D7EF6B2A9}"/>
    <cellStyle name="Input 2 9 4 2 4 4 2" xfId="49642" xr:uid="{814EB323-AB30-4042-A678-5828BF75095A}"/>
    <cellStyle name="Input 2 9 4 2 4 5" xfId="49203" xr:uid="{EC472068-4EA0-4E6A-A2EF-8F690A1228A7}"/>
    <cellStyle name="Input 2 9 4 2 5" xfId="6135" xr:uid="{00000000-0005-0000-0000-000071050000}"/>
    <cellStyle name="Input 2 9 4 2 5 2" xfId="13012" xr:uid="{8B115EBE-D834-42DE-8AD1-841935BE3D48}"/>
    <cellStyle name="Input 2 9 4 2 5 2 2" xfId="35496" xr:uid="{67AC581F-5EBF-4A07-8FC7-6246585FE3F8}"/>
    <cellStyle name="Input 2 9 4 2 5 2 3" xfId="47507" xr:uid="{758DE75E-1840-48CB-A913-EAE86E8B279C}"/>
    <cellStyle name="Input 2 9 4 2 5 3" xfId="18072" xr:uid="{FD4F864B-85F5-45D0-933B-D9E37095B53A}"/>
    <cellStyle name="Input 2 9 4 2 5 3 2" xfId="40462" xr:uid="{1597BE52-36EB-466D-8739-E50A0B17EC91}"/>
    <cellStyle name="Input 2 9 4 2 5 3 3" xfId="29911" xr:uid="{760B06F4-CC78-4BB4-BF76-74241D702938}"/>
    <cellStyle name="Input 2 9 4 2 5 4" xfId="22496" xr:uid="{C8B2EA6C-B2FB-4956-965C-36B8E9B35581}"/>
    <cellStyle name="Input 2 9 4 2 5 4 2" xfId="51567" xr:uid="{74F367D0-987F-4F4C-AA48-E9F8C6C1541A}"/>
    <cellStyle name="Input 2 9 4 2 5 5" xfId="51752" xr:uid="{10E2D683-699E-4471-86BF-16DA9091B34C}"/>
    <cellStyle name="Input 2 9 4 2 6" xfId="6508" xr:uid="{00000000-0005-0000-0000-000071050000}"/>
    <cellStyle name="Input 2 9 4 2 6 2" xfId="13377" xr:uid="{448D3FA5-30EC-495E-94C6-FE8B167DA299}"/>
    <cellStyle name="Input 2 9 4 2 6 2 2" xfId="35861" xr:uid="{EC5723C6-092E-44A8-A5F2-7DF8440893FE}"/>
    <cellStyle name="Input 2 9 4 2 6 2 3" xfId="49492" xr:uid="{63AFC821-BBE3-4957-B999-A064BA726F66}"/>
    <cellStyle name="Input 2 9 4 2 6 3" xfId="18445" xr:uid="{544733ED-03EC-442C-8964-D4639F2F745A}"/>
    <cellStyle name="Input 2 9 4 2 6 3 2" xfId="40835" xr:uid="{67C3E4C5-EFDB-4C4D-9A56-4DA4D0F34418}"/>
    <cellStyle name="Input 2 9 4 2 6 3 3" xfId="45447" xr:uid="{86C0294B-AE4D-43C8-92D8-12A7D1191F6D}"/>
    <cellStyle name="Input 2 9 4 2 6 4" xfId="22869" xr:uid="{36CEC83F-AEDA-49EE-8503-9D292D54C9C7}"/>
    <cellStyle name="Input 2 9 4 2 6 4 2" xfId="53327" xr:uid="{40D91F9B-8E09-476D-B18B-7C9BB131BCC6}"/>
    <cellStyle name="Input 2 9 4 2 6 5" xfId="28355" xr:uid="{CCBE56AA-BB05-4B6B-8582-CEAE4F7F3A72}"/>
    <cellStyle name="Input 2 9 4 2 7" xfId="6611" xr:uid="{00000000-0005-0000-0000-000071050000}"/>
    <cellStyle name="Input 2 9 4 2 7 2" xfId="13477" xr:uid="{A6F95B0A-01E2-4545-9070-FFB709B4592B}"/>
    <cellStyle name="Input 2 9 4 2 7 2 2" xfId="35961" xr:uid="{D25952CD-4936-4EB5-8720-7414E5D87B36}"/>
    <cellStyle name="Input 2 9 4 2 7 2 3" xfId="41780" xr:uid="{5720B88A-3AB2-4346-BF71-83B69D435449}"/>
    <cellStyle name="Input 2 9 4 2 7 3" xfId="18548" xr:uid="{4CABDAA6-376A-4ECA-98EB-E8AC5D15C663}"/>
    <cellStyle name="Input 2 9 4 2 7 3 2" xfId="40938" xr:uid="{3C4F7AE8-629D-49A0-8C8A-A87F64823E65}"/>
    <cellStyle name="Input 2 9 4 2 7 3 3" xfId="23706" xr:uid="{A8EB7B23-0DD3-413A-B9C3-DF441FCFB530}"/>
    <cellStyle name="Input 2 9 4 2 7 4" xfId="22972" xr:uid="{942450C0-1588-4A8A-98DC-813F96DEC98A}"/>
    <cellStyle name="Input 2 9 4 2 7 4 2" xfId="52052" xr:uid="{CA9C5D37-380A-42B8-9554-6212AEDC2BDA}"/>
    <cellStyle name="Input 2 9 4 2 7 5" xfId="51889" xr:uid="{685B8D9D-25AA-4DB9-80A4-E761774B8C2D}"/>
    <cellStyle name="Input 2 9 4 2 8" xfId="6992" xr:uid="{00000000-0005-0000-0000-000071050000}"/>
    <cellStyle name="Input 2 9 4 2 8 2" xfId="13829" xr:uid="{67CB175E-DD30-40A1-B5B1-055FDBC7AE2D}"/>
    <cellStyle name="Input 2 9 4 2 8 2 2" xfId="36313" xr:uid="{E3F82F24-44B4-46BD-A72D-0792293EDF83}"/>
    <cellStyle name="Input 2 9 4 2 8 2 3" xfId="48887" xr:uid="{90FBA054-B1F6-4114-A33E-65647D968AE5}"/>
    <cellStyle name="Input 2 9 4 2 8 3" xfId="18929" xr:uid="{E1BD1DC8-851F-48A2-9C90-C3E23693F511}"/>
    <cellStyle name="Input 2 9 4 2 8 3 2" xfId="41319" xr:uid="{A487E1F9-8489-4F98-9464-AD14068D2224}"/>
    <cellStyle name="Input 2 9 4 2 8 3 3" xfId="38618" xr:uid="{D4AD9AC6-2580-4B1B-AEE3-DA4E8CFC6286}"/>
    <cellStyle name="Input 2 9 4 2 8 4" xfId="23353" xr:uid="{ECEA450D-D709-4BBA-855A-E644CF62A19F}"/>
    <cellStyle name="Input 2 9 4 2 8 4 2" xfId="54074" xr:uid="{B1FCF3FB-8124-47AC-9695-E1C5BD298CBA}"/>
    <cellStyle name="Input 2 9 4 2 8 5" xfId="49092" xr:uid="{FDDB238C-0CA0-4578-BE89-FA671888738C}"/>
    <cellStyle name="Input 2 9 4 2 9" xfId="6180" xr:uid="{00000000-0005-0000-0000-000071050000}"/>
    <cellStyle name="Input 2 9 4 2 9 2" xfId="18117" xr:uid="{DE3CE156-4DB2-4E0B-9FA0-DA72E67C1846}"/>
    <cellStyle name="Input 2 9 4 2 9 2 2" xfId="40507" xr:uid="{C77ABF8A-FB13-4A7E-9F7B-F0C9D7913512}"/>
    <cellStyle name="Input 2 9 4 2 9 2 3" xfId="24434" xr:uid="{8E8DA150-0615-4AE0-B2F8-0D7A3395C69C}"/>
    <cellStyle name="Input 2 9 4 2 9 3" xfId="22541" xr:uid="{9F28D4E9-5CC7-47DC-8CAE-F9641C338777}"/>
    <cellStyle name="Input 2 9 4 2 9 3 2" xfId="45696" xr:uid="{8738C859-6D95-4A50-B211-9D68D3C4FF0C}"/>
    <cellStyle name="Input 2 9 4 2 9 4" xfId="50701" xr:uid="{67DC1272-2775-4883-B816-3D0CDB7F0A41}"/>
    <cellStyle name="Input 2 9 4 3" xfId="3141" xr:uid="{00000000-0005-0000-0000-000070050000}"/>
    <cellStyle name="Input 2 9 4 3 2" xfId="10050" xr:uid="{94C4D78C-938C-4931-A50D-BC2FD5C7DFB9}"/>
    <cellStyle name="Input 2 9 4 3 2 2" xfId="32557" xr:uid="{C11094E6-8E63-452D-9409-B5A14F68A604}"/>
    <cellStyle name="Input 2 9 4 3 2 3" xfId="24688" xr:uid="{0DFA709E-8005-4D09-96EB-00CC3DECC3FD}"/>
    <cellStyle name="Input 2 9 4 3 3" xfId="15428" xr:uid="{E0F9126A-96B8-4648-AEB4-922909C707C6}"/>
    <cellStyle name="Input 2 9 4 3 3 2" xfId="37854" xr:uid="{E3FDAF25-4285-491E-B4B1-AD1584ECACCA}"/>
    <cellStyle name="Input 2 9 4 3 3 3" xfId="52910" xr:uid="{0A799BB1-EACF-4FBC-976F-C7B7FA3B9895}"/>
    <cellStyle name="Input 2 9 4 3 4" xfId="20457" xr:uid="{CD6FC201-36CB-4A5B-9862-585FEFA729CF}"/>
    <cellStyle name="Input 2 9 4 3 4 2" xfId="24521" xr:uid="{F8032793-24A0-4C0F-8BD3-4670F996C4FE}"/>
    <cellStyle name="Input 2 9 4 3 5" xfId="46968" xr:uid="{CB7AD16A-0471-4DF0-9FC1-CEACA015DB59}"/>
    <cellStyle name="Input 2 9 4 4" xfId="4789" xr:uid="{00000000-0005-0000-0000-000070050000}"/>
    <cellStyle name="Input 2 9 4 4 2" xfId="11686" xr:uid="{D66523C8-FD19-4F66-91DA-26F78FD91906}"/>
    <cellStyle name="Input 2 9 4 4 2 2" xfId="34172" xr:uid="{1F3AD6AA-E70E-47C0-BC27-7524086B653F}"/>
    <cellStyle name="Input 2 9 4 4 2 3" xfId="24788" xr:uid="{3CBF02F1-3DFD-4575-83D3-65A8F9DAF603}"/>
    <cellStyle name="Input 2 9 4 4 3" xfId="16726" xr:uid="{9FEF68EC-0F8B-4A48-B89F-D509E2E15A4E}"/>
    <cellStyle name="Input 2 9 4 4 3 2" xfId="39116" xr:uid="{CF7753AD-73E2-446F-BE05-F27D2C3CEE06}"/>
    <cellStyle name="Input 2 9 4 4 3 3" xfId="41801" xr:uid="{A31887C5-F21E-49E2-8F65-491B7887F7AB}"/>
    <cellStyle name="Input 2 9 4 4 4" xfId="15394" xr:uid="{C0D775A4-9EA1-4135-8FF4-E70049C9A169}"/>
    <cellStyle name="Input 2 9 4 4 4 2" xfId="50406" xr:uid="{75947520-A523-409D-B0C8-64FA85BA9F2C}"/>
    <cellStyle name="Input 2 9 4 4 5" xfId="46222" xr:uid="{F7DA1F85-7834-45A9-AA79-563DED6D290F}"/>
    <cellStyle name="Input 2 9 4 5" xfId="5203" xr:uid="{00000000-0005-0000-0000-000070050000}"/>
    <cellStyle name="Input 2 9 4 5 2" xfId="12096" xr:uid="{45AB784E-765F-4BBB-A77A-5ECE9228D3EE}"/>
    <cellStyle name="Input 2 9 4 5 2 2" xfId="34582" xr:uid="{82150873-CFB9-4359-8657-D324B2639B9A}"/>
    <cellStyle name="Input 2 9 4 5 2 3" xfId="45599" xr:uid="{6B76343B-08F8-47F2-AC20-0CA548C952E1}"/>
    <cellStyle name="Input 2 9 4 5 3" xfId="17140" xr:uid="{5BB44620-D080-4A21-8E78-1652A88431C6}"/>
    <cellStyle name="Input 2 9 4 5 3 2" xfId="39530" xr:uid="{A8DDC298-550E-4364-A4A1-C9B9D1022542}"/>
    <cellStyle name="Input 2 9 4 5 3 3" xfId="26093" xr:uid="{BCFE384E-1A6E-4281-9799-80A278A51BC2}"/>
    <cellStyle name="Input 2 9 4 5 4" xfId="21564" xr:uid="{8C5FE98E-10C8-4C80-A9D3-D01B966FA4F6}"/>
    <cellStyle name="Input 2 9 4 5 4 2" xfId="51296" xr:uid="{09713421-7F02-4DF4-9ED1-CCD5B30B2C37}"/>
    <cellStyle name="Input 2 9 4 5 5" xfId="53813" xr:uid="{D201CCB7-535B-4F0E-9D61-F743E7A198EE}"/>
    <cellStyle name="Input 2 9 4 6" xfId="4852" xr:uid="{00000000-0005-0000-0000-000070050000}"/>
    <cellStyle name="Input 2 9 4 6 2" xfId="11748" xr:uid="{9150F718-99A6-4C3C-91D0-10808A30CD27}"/>
    <cellStyle name="Input 2 9 4 6 2 2" xfId="34234" xr:uid="{64C8E1E1-C8FA-4D45-864E-8C670A48060D}"/>
    <cellStyle name="Input 2 9 4 6 2 3" xfId="27867" xr:uid="{6227C451-842B-4E06-9A9C-09E9B723362D}"/>
    <cellStyle name="Input 2 9 4 6 3" xfId="16789" xr:uid="{53D3FC4E-8B32-43A1-ADBB-AFA6995746A2}"/>
    <cellStyle name="Input 2 9 4 6 3 2" xfId="39179" xr:uid="{4EA842BE-6356-416D-A074-AB4147FC5448}"/>
    <cellStyle name="Input 2 9 4 6 3 3" xfId="25812" xr:uid="{44F7F099-90FC-4B86-9B03-860559BEF11E}"/>
    <cellStyle name="Input 2 9 4 6 4" xfId="7807" xr:uid="{0D451355-7F88-4386-A946-B9B07D2CF961}"/>
    <cellStyle name="Input 2 9 4 6 4 2" xfId="48201" xr:uid="{089A2E0B-BB04-484A-A92B-DA6809AF6086}"/>
    <cellStyle name="Input 2 9 4 6 5" xfId="27379" xr:uid="{4CFD4F30-8847-4C8F-ACF8-2DEE6D258DAB}"/>
    <cellStyle name="Input 2 9 4 7" xfId="5896" xr:uid="{00000000-0005-0000-0000-000070050000}"/>
    <cellStyle name="Input 2 9 4 7 2" xfId="12778" xr:uid="{40452333-C6C4-4B6D-8DE3-ADD54827A50F}"/>
    <cellStyle name="Input 2 9 4 7 2 2" xfId="35262" xr:uid="{4DA5705F-06DF-4D87-8938-86B93086832D}"/>
    <cellStyle name="Input 2 9 4 7 2 3" xfId="43671" xr:uid="{4813853A-9E55-460C-B965-BAC058B58BD4}"/>
    <cellStyle name="Input 2 9 4 7 3" xfId="17833" xr:uid="{6568A6D9-0781-444F-974E-BF6A2484F98A}"/>
    <cellStyle name="Input 2 9 4 7 3 2" xfId="40223" xr:uid="{9E62DB24-EE5C-459E-9CAE-E84DDAF62A6B}"/>
    <cellStyle name="Input 2 9 4 7 3 3" xfId="41858" xr:uid="{A32C2D10-7FB2-4AEA-A5C6-374D9E0E877B}"/>
    <cellStyle name="Input 2 9 4 7 4" xfId="22257" xr:uid="{2665BF5A-6415-486F-9E34-9764B9A3D7C8}"/>
    <cellStyle name="Input 2 9 4 7 4 2" xfId="49406" xr:uid="{D80616CB-88D1-4817-871C-B8D573DABB27}"/>
    <cellStyle name="Input 2 9 4 7 5" xfId="29458" xr:uid="{DF9F1BA6-A559-4A1E-A0B6-9E757F312DC1}"/>
    <cellStyle name="Input 2 9 4 8" xfId="8729" xr:uid="{AA4CD816-F108-4F03-BB98-0B12E57F6777}"/>
    <cellStyle name="Input 2 9 4 8 2" xfId="31312" xr:uid="{9257E660-A49B-42F7-B7BC-9502787D8815}"/>
    <cellStyle name="Input 2 9 4 8 3" xfId="46486" xr:uid="{B6E45ADA-C8DC-4402-BD8B-D6375FA403D2}"/>
    <cellStyle name="Input 2 9 4 9" xfId="20313" xr:uid="{7B08E857-514D-465E-844C-B91736D53484}"/>
    <cellStyle name="Input 2 9 4 9 2" xfId="42612" xr:uid="{80C056ED-50B1-4B0B-8C17-0511FF9B34B3}"/>
    <cellStyle name="Input 2 9 4 9 3" xfId="48596" xr:uid="{EF0EAC2F-6850-41F3-96D2-E876A07BBF71}"/>
    <cellStyle name="Input 2 9 5" xfId="1198" xr:uid="{00000000-0005-0000-0000-000073050000}"/>
    <cellStyle name="Input 2 9 5 10" xfId="20760" xr:uid="{9C2B895E-9D81-4767-89A5-666BDF418942}"/>
    <cellStyle name="Input 2 9 5 10 2" xfId="27829" xr:uid="{0F368FA9-B16E-4B95-B464-B65DDE25423A}"/>
    <cellStyle name="Input 2 9 5 11" xfId="48091" xr:uid="{D210326B-7C61-43C4-AAB4-400A4E435D21}"/>
    <cellStyle name="Input 2 9 5 2" xfId="1998" xr:uid="{00000000-0005-0000-0000-000074050000}"/>
    <cellStyle name="Input 2 9 5 2 10" xfId="14646" xr:uid="{19DE1EE7-BADD-48D7-8428-9D34C3B4F85C}"/>
    <cellStyle name="Input 2 9 5 2 10 2" xfId="37106" xr:uid="{F3D64BBE-575C-4E29-B75D-AF02BE6F6099}"/>
    <cellStyle name="Input 2 9 5 2 10 3" xfId="52975" xr:uid="{2BEB07A3-B7CF-46CA-BC7C-4CB577693D21}"/>
    <cellStyle name="Input 2 9 5 2 11" xfId="19553" xr:uid="{02371063-7817-4014-AFEF-B83D7B93F3D9}"/>
    <cellStyle name="Input 2 9 5 2 11 2" xfId="41912" xr:uid="{319F79AE-B685-48EE-8142-D2A5393C5A8A}"/>
    <cellStyle name="Input 2 9 5 2 11 3" xfId="36609" xr:uid="{5C137DF6-3EE0-4160-BD6E-E6156F97425F}"/>
    <cellStyle name="Input 2 9 5 2 12" xfId="15384" xr:uid="{4CFA97BC-16C4-474D-885B-2E98BFCA0559}"/>
    <cellStyle name="Input 2 9 5 2 12 2" xfId="47808" xr:uid="{BC8A9C4E-DF36-4A6D-B257-DB7BCB7E9D77}"/>
    <cellStyle name="Input 2 9 5 2 13" xfId="50866" xr:uid="{2210D28E-B7AF-40B6-87F2-5F2B5267BB84}"/>
    <cellStyle name="Input 2 9 5 2 2" xfId="4094" xr:uid="{00000000-0005-0000-0000-000073050000}"/>
    <cellStyle name="Input 2 9 5 2 2 2" xfId="10998" xr:uid="{D908D742-15DB-409F-8E1C-B8DD6FB0E233}"/>
    <cellStyle name="Input 2 9 5 2 2 2 2" xfId="33484" xr:uid="{D5962FC6-2289-4C51-89BE-B511C6E80211}"/>
    <cellStyle name="Input 2 9 5 2 2 2 3" xfId="50262" xr:uid="{E53B820C-7277-47AC-80FF-AB62E798E175}"/>
    <cellStyle name="Input 2 9 5 2 2 3" xfId="16098" xr:uid="{DA06207C-8DD1-4479-9CA4-65CA90D52DD7}"/>
    <cellStyle name="Input 2 9 5 2 2 3 2" xfId="38498" xr:uid="{1FE6BA02-EBB5-43D1-8C34-F7FBD09CE0BB}"/>
    <cellStyle name="Input 2 9 5 2 2 3 3" xfId="37222" xr:uid="{8D7B224C-9C4E-48DF-9AC8-3EB2F9FE2E9A}"/>
    <cellStyle name="Input 2 9 5 2 2 4" xfId="20773" xr:uid="{3E0461E3-FE5B-4988-B6D8-D291444D6412}"/>
    <cellStyle name="Input 2 9 5 2 2 4 2" xfId="51740" xr:uid="{A490E2F5-2C2D-4667-A067-FCD239B6871B}"/>
    <cellStyle name="Input 2 9 5 2 2 5" xfId="37417" xr:uid="{8CF138F6-4DD1-4975-87FA-896C0742297A}"/>
    <cellStyle name="Input 2 9 5 2 3" xfId="5439" xr:uid="{00000000-0005-0000-0000-000073050000}"/>
    <cellStyle name="Input 2 9 5 2 3 2" xfId="12329" xr:uid="{AD3CFB92-E68F-4133-97B6-1BD0E820C4CC}"/>
    <cellStyle name="Input 2 9 5 2 3 2 2" xfId="34814" xr:uid="{C3AA0ECD-0B2B-40EB-A1EE-C6BE9F6AD3DA}"/>
    <cellStyle name="Input 2 9 5 2 3 2 3" xfId="26554" xr:uid="{5E3D7BE3-F718-4920-A967-100115FBC242}"/>
    <cellStyle name="Input 2 9 5 2 3 3" xfId="17376" xr:uid="{96C50661-CD2B-45B5-B9F7-D677C93776DD}"/>
    <cellStyle name="Input 2 9 5 2 3 3 2" xfId="39766" xr:uid="{4DD195A9-A39C-4A75-8D83-5326E77647AD}"/>
    <cellStyle name="Input 2 9 5 2 3 3 3" xfId="36437" xr:uid="{C0B6930B-F334-4CEA-8CBA-4813ABD4A614}"/>
    <cellStyle name="Input 2 9 5 2 3 4" xfId="21800" xr:uid="{067D58D9-EEB5-4064-B446-55AE3FE54F3E}"/>
    <cellStyle name="Input 2 9 5 2 3 4 2" xfId="52415" xr:uid="{62D49EA9-4BB1-4691-82D2-32FA1C57FE41}"/>
    <cellStyle name="Input 2 9 5 2 3 5" xfId="45945" xr:uid="{B4F3F030-C835-486F-A359-B89773DA55DF}"/>
    <cellStyle name="Input 2 9 5 2 4" xfId="5862" xr:uid="{00000000-0005-0000-0000-000073050000}"/>
    <cellStyle name="Input 2 9 5 2 4 2" xfId="12744" xr:uid="{73393170-CFAC-4AFD-9FDA-C416A859B2C5}"/>
    <cellStyle name="Input 2 9 5 2 4 2 2" xfId="35228" xr:uid="{CBEF41C4-C920-47A6-A179-0D44AE55A059}"/>
    <cellStyle name="Input 2 9 5 2 4 2 3" xfId="29955" xr:uid="{C2851762-957C-49FB-BFA6-FD54B5663206}"/>
    <cellStyle name="Input 2 9 5 2 4 3" xfId="17799" xr:uid="{3A8EEC1F-EBDE-4741-BAA6-FC70D39F2DFA}"/>
    <cellStyle name="Input 2 9 5 2 4 3 2" xfId="40189" xr:uid="{5ABA0DD4-7CAD-4783-8DBB-99BFE38A6898}"/>
    <cellStyle name="Input 2 9 5 2 4 3 3" xfId="29515" xr:uid="{FE7AC3F9-26FA-4960-BD43-D6A233AC50A7}"/>
    <cellStyle name="Input 2 9 5 2 4 4" xfId="22223" xr:uid="{2E1AF563-4502-496D-AEE4-D5C820DC6548}"/>
    <cellStyle name="Input 2 9 5 2 4 4 2" xfId="26498" xr:uid="{3D287D55-052B-4134-BF0D-A816C55080E6}"/>
    <cellStyle name="Input 2 9 5 2 4 5" xfId="32239" xr:uid="{6B613BC4-6694-4C96-B129-E900F1388D36}"/>
    <cellStyle name="Input 2 9 5 2 5" xfId="6200" xr:uid="{00000000-0005-0000-0000-000073050000}"/>
    <cellStyle name="Input 2 9 5 2 5 2" xfId="13075" xr:uid="{721DCC98-C30D-40BE-88F0-CBF2BC4E2B34}"/>
    <cellStyle name="Input 2 9 5 2 5 2 2" xfId="35559" xr:uid="{7EA5DFC4-EE5A-4BD1-9551-0651454ED8E9}"/>
    <cellStyle name="Input 2 9 5 2 5 2 3" xfId="47049" xr:uid="{7FA446AD-591C-4EC5-A687-154240292876}"/>
    <cellStyle name="Input 2 9 5 2 5 3" xfId="18137" xr:uid="{90DE60DE-56EC-42EE-868F-2FFFD382EBB3}"/>
    <cellStyle name="Input 2 9 5 2 5 3 2" xfId="40527" xr:uid="{4FB4EC69-8AB3-43E1-91F2-13C5FDC82FFA}"/>
    <cellStyle name="Input 2 9 5 2 5 3 3" xfId="32544" xr:uid="{E4D3A13F-0602-46FC-B2DC-E45602A86CC0}"/>
    <cellStyle name="Input 2 9 5 2 5 4" xfId="22561" xr:uid="{F076A1E7-716A-48B3-BD7C-1FE6EDDB0B05}"/>
    <cellStyle name="Input 2 9 5 2 5 4 2" xfId="46160" xr:uid="{1F208B2F-BA30-4B1C-A8CD-731CA2B04BE4}"/>
    <cellStyle name="Input 2 9 5 2 5 5" xfId="49054" xr:uid="{B3A004E6-87B9-403D-8150-D9A986D4284D}"/>
    <cellStyle name="Input 2 9 5 2 6" xfId="6568" xr:uid="{00000000-0005-0000-0000-000073050000}"/>
    <cellStyle name="Input 2 9 5 2 6 2" xfId="13434" xr:uid="{AFD72A87-4A6C-49AD-BD65-61C2C039FB56}"/>
    <cellStyle name="Input 2 9 5 2 6 2 2" xfId="35918" xr:uid="{D6FE4095-2F16-491F-9A0A-D786C32ECF68}"/>
    <cellStyle name="Input 2 9 5 2 6 2 3" xfId="29485" xr:uid="{A330D237-00F7-4CE9-88A0-22A147180985}"/>
    <cellStyle name="Input 2 9 5 2 6 3" xfId="18505" xr:uid="{F892D770-6AB7-45A9-86FD-62C858CA0C3E}"/>
    <cellStyle name="Input 2 9 5 2 6 3 2" xfId="40895" xr:uid="{1D306A3B-D58F-463F-A3AB-8A6F6FECA866}"/>
    <cellStyle name="Input 2 9 5 2 6 3 3" xfId="31988" xr:uid="{EF5CD8B5-3A9F-4C19-B141-AF1E85052316}"/>
    <cellStyle name="Input 2 9 5 2 6 4" xfId="22929" xr:uid="{54B4BF18-3ACF-48F8-A6D4-632049FB756A}"/>
    <cellStyle name="Input 2 9 5 2 6 4 2" xfId="49529" xr:uid="{487F1A03-239F-4DD5-B200-A33216C13B9A}"/>
    <cellStyle name="Input 2 9 5 2 6 5" xfId="27123" xr:uid="{38C287D1-D5E5-47E2-B2A9-B82CFF87F1E0}"/>
    <cellStyle name="Input 2 9 5 2 7" xfId="2472" xr:uid="{00000000-0005-0000-0000-000073050000}"/>
    <cellStyle name="Input 2 9 5 2 7 2" xfId="9381" xr:uid="{7EA8B90D-14C0-4D28-AF3E-F31CC6DEA4B5}"/>
    <cellStyle name="Input 2 9 5 2 7 2 2" xfId="31944" xr:uid="{BC93BCEE-BE35-47AA-9A0D-03FDE01A609C}"/>
    <cellStyle name="Input 2 9 5 2 7 2 3" xfId="47508" xr:uid="{AEDA0E5B-E8DD-471A-A6C6-71A6A64E177E}"/>
    <cellStyle name="Input 2 9 5 2 7 3" xfId="14989" xr:uid="{5AC610CD-F9C2-46CB-800E-5A119EAFFF18}"/>
    <cellStyle name="Input 2 9 5 2 7 3 2" xfId="37440" xr:uid="{8B6CED37-F9B5-482A-8CFE-A4D37192F5FB}"/>
    <cellStyle name="Input 2 9 5 2 7 3 3" xfId="50812" xr:uid="{236C233D-F1F2-42B6-B351-AB784A1E7632}"/>
    <cellStyle name="Input 2 9 5 2 7 4" xfId="19331" xr:uid="{64E51DA5-8174-448F-93DC-6962CAFB6E92}"/>
    <cellStyle name="Input 2 9 5 2 7 4 2" xfId="24596" xr:uid="{99797B41-37D1-4F66-BB16-3BFB59FB01D0}"/>
    <cellStyle name="Input 2 9 5 2 7 5" xfId="53124" xr:uid="{0F9D00CB-01B2-45A3-8766-62F04A0CBB96}"/>
    <cellStyle name="Input 2 9 5 2 8" xfId="7038" xr:uid="{00000000-0005-0000-0000-000073050000}"/>
    <cellStyle name="Input 2 9 5 2 8 2" xfId="13874" xr:uid="{1C94B3F1-FC6B-43F4-AB30-09EF0E195F16}"/>
    <cellStyle name="Input 2 9 5 2 8 2 2" xfId="36358" xr:uid="{4A7FE0D6-3F93-48D9-A6E4-3C5B785606EC}"/>
    <cellStyle name="Input 2 9 5 2 8 2 3" xfId="49769" xr:uid="{51C86FB0-6125-41F2-A115-7A8B31840A58}"/>
    <cellStyle name="Input 2 9 5 2 8 3" xfId="18975" xr:uid="{7D62CF1B-208A-4EC1-91EE-EA4AC54E07B5}"/>
    <cellStyle name="Input 2 9 5 2 8 3 2" xfId="41365" xr:uid="{E4E37B29-14C0-446B-B39C-B127A90FAF83}"/>
    <cellStyle name="Input 2 9 5 2 8 3 3" xfId="29560" xr:uid="{D5F97160-B72A-427D-9FC1-75066712019C}"/>
    <cellStyle name="Input 2 9 5 2 8 4" xfId="23399" xr:uid="{8879FAB1-79B2-41B0-8080-0F4B13AE446D}"/>
    <cellStyle name="Input 2 9 5 2 8 4 2" xfId="25058" xr:uid="{704B5121-FB7C-4FB3-A2D1-C9C163CF5E09}"/>
    <cellStyle name="Input 2 9 5 2 8 5" xfId="48871" xr:uid="{961BD692-CDF6-43E1-9E4B-9D98B86803BE}"/>
    <cellStyle name="Input 2 9 5 2 9" xfId="7153" xr:uid="{00000000-0005-0000-0000-000073050000}"/>
    <cellStyle name="Input 2 9 5 2 9 2" xfId="19090" xr:uid="{E492B939-736A-45C4-BB20-1D9AA7008A26}"/>
    <cellStyle name="Input 2 9 5 2 9 2 2" xfId="41480" xr:uid="{FBC06FDF-B4F1-41E2-9AA3-F6B7A739E36D}"/>
    <cellStyle name="Input 2 9 5 2 9 2 3" xfId="25475" xr:uid="{3541C2DF-BE4A-42AD-B655-CFB45C476FE5}"/>
    <cellStyle name="Input 2 9 5 2 9 3" xfId="23514" xr:uid="{5A950CA3-F203-4733-80EF-F20D9BAFE832}"/>
    <cellStyle name="Input 2 9 5 2 9 3 2" xfId="53014" xr:uid="{D17C90A2-623B-4745-8CB9-2EEC1B6B6244}"/>
    <cellStyle name="Input 2 9 5 2 9 4" xfId="52827" xr:uid="{FCADB694-7679-4FE5-A58D-1A323905413C}"/>
    <cellStyle name="Input 2 9 5 3" xfId="3313" xr:uid="{00000000-0005-0000-0000-000072050000}"/>
    <cellStyle name="Input 2 9 5 3 2" xfId="10221" xr:uid="{F0FD3D22-535D-4FC6-9F72-5C7027C7C4DB}"/>
    <cellStyle name="Input 2 9 5 3 2 2" xfId="32715" xr:uid="{4BB3EB2B-888C-4728-98AE-EC330938C431}"/>
    <cellStyle name="Input 2 9 5 3 2 3" xfId="50003" xr:uid="{6695E38F-D502-4B65-867D-D724A8A93224}"/>
    <cellStyle name="Input 2 9 5 3 3" xfId="15539" xr:uid="{C4714723-27B2-4B45-9535-000459B79B70}"/>
    <cellStyle name="Input 2 9 5 3 3 2" xfId="37958" xr:uid="{73C39309-28DC-4EB2-A80E-14A20F7877B2}"/>
    <cellStyle name="Input 2 9 5 3 3 3" xfId="50429" xr:uid="{7F95CA7C-82E2-4825-A3EE-3B7FAB6CBADD}"/>
    <cellStyle name="Input 2 9 5 3 4" xfId="19704" xr:uid="{19259279-7B32-4D48-BA88-CFE2691259F8}"/>
    <cellStyle name="Input 2 9 5 3 4 2" xfId="25410" xr:uid="{75CE8210-ECDB-4350-BEF2-95035E5DAF2B}"/>
    <cellStyle name="Input 2 9 5 3 5" xfId="46019" xr:uid="{AD90964F-D928-454E-A9D8-0660E3FCA7A5}"/>
    <cellStyle name="Input 2 9 5 4" xfId="4899" xr:uid="{00000000-0005-0000-0000-000072050000}"/>
    <cellStyle name="Input 2 9 5 4 2" xfId="11794" xr:uid="{9E9B3267-3207-45D7-8F39-257218AB584F}"/>
    <cellStyle name="Input 2 9 5 4 2 2" xfId="34280" xr:uid="{67C43D14-BBEA-4A15-9B5D-96AB75FC8B15}"/>
    <cellStyle name="Input 2 9 5 4 2 3" xfId="37407" xr:uid="{C4AEA341-9410-475A-916C-4C2F304F7016}"/>
    <cellStyle name="Input 2 9 5 4 3" xfId="16836" xr:uid="{F0E36035-27FD-4383-9857-76D0FB40EFF6}"/>
    <cellStyle name="Input 2 9 5 4 3 2" xfId="39226" xr:uid="{CBF3FF61-A56A-438C-9926-C7E9AF33D461}"/>
    <cellStyle name="Input 2 9 5 4 3 3" xfId="27744" xr:uid="{439A102D-1483-42DC-B1F8-BAE7C591CBD8}"/>
    <cellStyle name="Input 2 9 5 4 4" xfId="19862" xr:uid="{C2E71E3B-D0A2-4105-BB5C-CF0E72033B99}"/>
    <cellStyle name="Input 2 9 5 4 4 2" xfId="29737" xr:uid="{BB8D506F-5F44-4570-AA60-19DA034141A2}"/>
    <cellStyle name="Input 2 9 5 4 5" xfId="49920" xr:uid="{065DA920-BCB5-48D6-A723-67A2B11DFF83}"/>
    <cellStyle name="Input 2 9 5 5" xfId="5046" xr:uid="{00000000-0005-0000-0000-000072050000}"/>
    <cellStyle name="Input 2 9 5 5 2" xfId="11940" xr:uid="{6C348FED-EF01-4BFA-A719-F2C0F771E7E9}"/>
    <cellStyle name="Input 2 9 5 5 2 2" xfId="34426" xr:uid="{972F005D-CA11-44DF-BBD6-205C2FE2E575}"/>
    <cellStyle name="Input 2 9 5 5 2 3" xfId="43703" xr:uid="{AD368908-FB2B-44E0-B24E-AD1BFBEC99E0}"/>
    <cellStyle name="Input 2 9 5 5 3" xfId="16983" xr:uid="{E5A66AEB-7999-4701-A3B3-6D81E423E2C1}"/>
    <cellStyle name="Input 2 9 5 5 3 2" xfId="39373" xr:uid="{0595AC64-E488-44F6-BE4A-A5D4406ED2A8}"/>
    <cellStyle name="Input 2 9 5 5 3 3" xfId="45326" xr:uid="{5E96F648-36E8-4DC7-AD9E-D4CF846A0234}"/>
    <cellStyle name="Input 2 9 5 5 4" xfId="21407" xr:uid="{42DB8988-010B-401F-8E94-FE89C545FD6C}"/>
    <cellStyle name="Input 2 9 5 5 4 2" xfId="50570" xr:uid="{EC4857B5-ADC2-4D35-A383-916B5D0156ED}"/>
    <cellStyle name="Input 2 9 5 5 5" xfId="46471" xr:uid="{FCEF3F58-6215-4F94-B436-ED9BDBCD95CF}"/>
    <cellStyle name="Input 2 9 5 6" xfId="4988" xr:uid="{00000000-0005-0000-0000-000072050000}"/>
    <cellStyle name="Input 2 9 5 6 2" xfId="11882" xr:uid="{06D7EDF7-2958-44AD-BAA6-823FC6D04684}"/>
    <cellStyle name="Input 2 9 5 6 2 2" xfId="34368" xr:uid="{F65285A4-3175-40FF-84B5-784AD0F6F732}"/>
    <cellStyle name="Input 2 9 5 6 2 3" xfId="29151" xr:uid="{A48C0928-F03E-4E44-8453-89EAD822CA2F}"/>
    <cellStyle name="Input 2 9 5 6 3" xfId="16925" xr:uid="{5C9F318A-852E-4577-88C1-5010C36B407B}"/>
    <cellStyle name="Input 2 9 5 6 3 2" xfId="39315" xr:uid="{E72A0220-296B-4B49-91E5-0D3A7CA8FAB4}"/>
    <cellStyle name="Input 2 9 5 6 3 3" xfId="26175" xr:uid="{47F2E105-0CB5-47C8-AC5C-39787405372D}"/>
    <cellStyle name="Input 2 9 5 6 4" xfId="21349" xr:uid="{3A7C125B-78EE-4858-AAE1-F8C9160E1A86}"/>
    <cellStyle name="Input 2 9 5 6 4 2" xfId="52951" xr:uid="{2833597C-1209-4BF5-B4E3-BDC95C7414D6}"/>
    <cellStyle name="Input 2 9 5 6 5" xfId="53005" xr:uid="{3C2D942D-E512-4517-9F6E-FCEB70660F6F}"/>
    <cellStyle name="Input 2 9 5 7" xfId="5500" xr:uid="{00000000-0005-0000-0000-000072050000}"/>
    <cellStyle name="Input 2 9 5 7 2" xfId="12389" xr:uid="{C8C1132D-46F6-4020-924A-715938757CF3}"/>
    <cellStyle name="Input 2 9 5 7 2 2" xfId="34874" xr:uid="{C117CF2E-732E-40B8-972E-D9461EF74606}"/>
    <cellStyle name="Input 2 9 5 7 2 3" xfId="25921" xr:uid="{83431688-7116-4CA3-BD5A-AABA26BD27E8}"/>
    <cellStyle name="Input 2 9 5 7 3" xfId="17437" xr:uid="{ACB88AA1-4029-4716-93C1-5838FFEE6F1A}"/>
    <cellStyle name="Input 2 9 5 7 3 2" xfId="39827" xr:uid="{1B79B9F7-7292-4019-B01F-7844E63C90C1}"/>
    <cellStyle name="Input 2 9 5 7 3 3" xfId="44173" xr:uid="{C61E701D-C55C-48F1-A7E6-781B5881ADAD}"/>
    <cellStyle name="Input 2 9 5 7 4" xfId="21861" xr:uid="{96A7A424-4A29-4D40-A545-786A2FDE2378}"/>
    <cellStyle name="Input 2 9 5 7 4 2" xfId="43377" xr:uid="{E27C8117-F0B9-4A67-BBED-1C532102CBE1}"/>
    <cellStyle name="Input 2 9 5 7 5" xfId="25490" xr:uid="{53D03088-16B2-4B42-8907-485014033D26}"/>
    <cellStyle name="Input 2 9 5 8" xfId="14074" xr:uid="{1B8B4F24-A7EE-45A9-930C-B9D4D1E9D100}"/>
    <cellStyle name="Input 2 9 5 8 2" xfId="36552" xr:uid="{9D9B2857-C617-496B-A1C1-64544F23EF97}"/>
    <cellStyle name="Input 2 9 5 8 3" xfId="42240" xr:uid="{092C77CA-9C1D-4AC8-9C4A-FCDE316E43DF}"/>
    <cellStyle name="Input 2 9 5 9" xfId="21267" xr:uid="{04BE046F-E9B3-4FEB-92E1-7286A3C3B7C1}"/>
    <cellStyle name="Input 2 9 5 9 2" xfId="43502" xr:uid="{B1FE6DCC-604B-4C18-9DFC-CDBEAFE50CE8}"/>
    <cellStyle name="Input 2 9 5 9 3" xfId="46048" xr:uid="{78CA0974-905A-4814-B71B-970DC232896B}"/>
    <cellStyle name="Input 2 9 6" xfId="1360" xr:uid="{00000000-0005-0000-0000-000075050000}"/>
    <cellStyle name="Input 2 9 6 10" xfId="16215" xr:uid="{12A01319-A70D-4F0B-AE9C-CBCEED670E49}"/>
    <cellStyle name="Input 2 9 6 10 2" xfId="43623" xr:uid="{38C7B81D-5779-432A-9D08-6C4E2608EE34}"/>
    <cellStyle name="Input 2 9 6 11" xfId="49691" xr:uid="{BC5FE6E6-BCB2-4BAB-9265-7017CB331762}"/>
    <cellStyle name="Input 2 9 6 2" xfId="2089" xr:uid="{00000000-0005-0000-0000-000076050000}"/>
    <cellStyle name="Input 2 9 6 2 10" xfId="14719" xr:uid="{80EB55BF-8BFD-4CB2-8C0A-2FAEBC8CC39A}"/>
    <cellStyle name="Input 2 9 6 2 10 2" xfId="37177" xr:uid="{F98B9B0B-C729-4BC2-A955-6DC9EC1EB7EA}"/>
    <cellStyle name="Input 2 9 6 2 10 3" xfId="49239" xr:uid="{A1CFDB7F-9B4D-4FDE-9ABA-A102E048E93E}"/>
    <cellStyle name="Input 2 9 6 2 11" xfId="21219" xr:uid="{562D9FD9-1379-4414-8DF4-AEEC64FC33C0}"/>
    <cellStyle name="Input 2 9 6 2 11 2" xfId="43458" xr:uid="{492498D5-CBE1-41CE-8A41-1FE94CD7B258}"/>
    <cellStyle name="Input 2 9 6 2 11 3" xfId="47640" xr:uid="{60CBDCF9-1799-43EC-90B0-A688DB670B8C}"/>
    <cellStyle name="Input 2 9 6 2 12" xfId="20659" xr:uid="{A42B8BBC-0AAA-4C80-87B2-128521B11C4D}"/>
    <cellStyle name="Input 2 9 6 2 12 2" xfId="47994" xr:uid="{7C71D426-0AA3-418E-9BD5-73F2CF907FBF}"/>
    <cellStyle name="Input 2 9 6 2 13" xfId="51393" xr:uid="{3FF48A95-AA69-4C51-AAAF-21D9B80250E7}"/>
    <cellStyle name="Input 2 9 6 2 2" xfId="4184" xr:uid="{00000000-0005-0000-0000-000075050000}"/>
    <cellStyle name="Input 2 9 6 2 2 2" xfId="11088" xr:uid="{5442AEE2-1606-49A7-9809-76DFD1E1DA8C}"/>
    <cellStyle name="Input 2 9 6 2 2 2 2" xfId="33574" xr:uid="{BEC9BDF0-3A7E-441E-A8E5-3F8C865E0C0B}"/>
    <cellStyle name="Input 2 9 6 2 2 2 3" xfId="53797" xr:uid="{EAD2C61F-CB15-494B-9EFA-BC7835908369}"/>
    <cellStyle name="Input 2 9 6 2 2 3" xfId="16177" xr:uid="{AFAC4215-D15C-4ED1-964C-8FE0CD93CD3F}"/>
    <cellStyle name="Input 2 9 6 2 2 3 2" xfId="38576" xr:uid="{FF63F4C7-4616-4121-B0F6-B9C253DE56A4}"/>
    <cellStyle name="Input 2 9 6 2 2 3 3" xfId="29310" xr:uid="{110C0012-9758-4DDB-81A2-CBF34476C3E0}"/>
    <cellStyle name="Input 2 9 6 2 2 4" xfId="8281" xr:uid="{DB31353E-3F7C-4FFD-AC01-CE5C1989AC1F}"/>
    <cellStyle name="Input 2 9 6 2 2 4 2" xfId="27017" xr:uid="{4CC322E0-5679-4765-A106-EA5CF1E5F0F6}"/>
    <cellStyle name="Input 2 9 6 2 2 5" xfId="51719" xr:uid="{BBBC63D0-B9BC-4748-AF81-95227E697213}"/>
    <cellStyle name="Input 2 9 6 2 3" xfId="5510" xr:uid="{00000000-0005-0000-0000-000075050000}"/>
    <cellStyle name="Input 2 9 6 2 3 2" xfId="12399" xr:uid="{06EDF4EC-40A9-4B3F-B30B-8FB5BA136F37}"/>
    <cellStyle name="Input 2 9 6 2 3 2 2" xfId="34884" xr:uid="{27F96245-4998-4D28-AB78-55030489D497}"/>
    <cellStyle name="Input 2 9 6 2 3 2 3" xfId="23897" xr:uid="{32373CBC-1B70-45A9-B920-78ACF53808DA}"/>
    <cellStyle name="Input 2 9 6 2 3 3" xfId="17447" xr:uid="{3B694781-E4AC-4C6E-B31F-93D8C8D58353}"/>
    <cellStyle name="Input 2 9 6 2 3 3 2" xfId="39837" xr:uid="{038F5A0E-2657-49ED-AAB6-EB2D64BC3F3C}"/>
    <cellStyle name="Input 2 9 6 2 3 3 3" xfId="26709" xr:uid="{F6C600C4-7066-4BB0-9DAD-8DCCC6648F42}"/>
    <cellStyle name="Input 2 9 6 2 3 4" xfId="21871" xr:uid="{0727F0B1-949D-40BC-A318-0BD445682D1D}"/>
    <cellStyle name="Input 2 9 6 2 3 4 2" xfId="49425" xr:uid="{C2C68025-947C-4C93-9BAF-14899920D18E}"/>
    <cellStyle name="Input 2 9 6 2 3 5" xfId="27512" xr:uid="{A6A1597B-7C5E-4F1A-AA48-95FD0291C583}"/>
    <cellStyle name="Input 2 9 6 2 4" xfId="5930" xr:uid="{00000000-0005-0000-0000-000075050000}"/>
    <cellStyle name="Input 2 9 6 2 4 2" xfId="12811" xr:uid="{DE4C51F1-DF46-46EF-9ED4-39DBD27DB9F3}"/>
    <cellStyle name="Input 2 9 6 2 4 2 2" xfId="35295" xr:uid="{93FBC69F-2F4E-4A00-BD8F-CF018384383F}"/>
    <cellStyle name="Input 2 9 6 2 4 2 3" xfId="48808" xr:uid="{38E631E6-DEFC-4ACD-B2DD-A469B00D92DF}"/>
    <cellStyle name="Input 2 9 6 2 4 3" xfId="17867" xr:uid="{15DF394B-8FDA-4FE9-A2FA-5428C74FB8BC}"/>
    <cellStyle name="Input 2 9 6 2 4 3 2" xfId="40257" xr:uid="{5B39196E-0BD2-4A68-B2ED-43D245D424FE}"/>
    <cellStyle name="Input 2 9 6 2 4 3 3" xfId="32291" xr:uid="{DAA1FCC8-643E-4F0D-B434-FDA101D43910}"/>
    <cellStyle name="Input 2 9 6 2 4 4" xfId="22291" xr:uid="{6EA34447-E581-4F1E-85AC-F94AFF181686}"/>
    <cellStyle name="Input 2 9 6 2 4 4 2" xfId="53359" xr:uid="{721EE81E-1F87-48BB-8A73-3AF17AC2300E}"/>
    <cellStyle name="Input 2 9 6 2 4 5" xfId="50609" xr:uid="{5ADCF2BF-0C90-48F2-887D-50AB5C1431E6}"/>
    <cellStyle name="Input 2 9 6 2 5" xfId="6270" xr:uid="{00000000-0005-0000-0000-000075050000}"/>
    <cellStyle name="Input 2 9 6 2 5 2" xfId="13142" xr:uid="{D2CF8DFB-0B11-4EEE-999E-1680798445FB}"/>
    <cellStyle name="Input 2 9 6 2 5 2 2" xfId="35626" xr:uid="{BD0F3023-733C-44BD-AB7B-10C8D5B60355}"/>
    <cellStyle name="Input 2 9 6 2 5 2 3" xfId="51540" xr:uid="{5C5EA7BB-626B-44F4-8CF1-0A5B87BF9EBC}"/>
    <cellStyle name="Input 2 9 6 2 5 3" xfId="18207" xr:uid="{38B1436C-69C4-4CE2-A798-6CC98ABD69A2}"/>
    <cellStyle name="Input 2 9 6 2 5 3 2" xfId="40597" xr:uid="{F45F8F8D-DB2E-4787-9215-D929086F283A}"/>
    <cellStyle name="Input 2 9 6 2 5 3 3" xfId="44844" xr:uid="{D77A0D45-FA58-49DF-AA91-E3D5319CFD50}"/>
    <cellStyle name="Input 2 9 6 2 5 4" xfId="22631" xr:uid="{8B457BF0-632E-4BE2-9347-BB9ABBE2A708}"/>
    <cellStyle name="Input 2 9 6 2 5 4 2" xfId="49362" xr:uid="{28A46448-76D6-423D-A4D8-E9B601195FC0}"/>
    <cellStyle name="Input 2 9 6 2 5 5" xfId="51634" xr:uid="{8150E4F6-9BA1-4767-98A8-8C6EE623C6AD}"/>
    <cellStyle name="Input 2 9 6 2 6" xfId="6627" xr:uid="{00000000-0005-0000-0000-000075050000}"/>
    <cellStyle name="Input 2 9 6 2 6 2" xfId="13493" xr:uid="{E0A3FFFE-6377-4101-B8A9-5279821CC50C}"/>
    <cellStyle name="Input 2 9 6 2 6 2 2" xfId="35977" xr:uid="{5E6333DB-ABA9-4C8E-A45E-8EFBFB9C6B41}"/>
    <cellStyle name="Input 2 9 6 2 6 2 3" xfId="46246" xr:uid="{675AE887-1D1E-4DF4-A2E8-B13370C6059F}"/>
    <cellStyle name="Input 2 9 6 2 6 3" xfId="18564" xr:uid="{B5CAF42E-CC01-429F-822C-AB10F3FA35BE}"/>
    <cellStyle name="Input 2 9 6 2 6 3 2" xfId="40954" xr:uid="{8092E8B8-ACAD-405D-9A6D-CF73F1ED976C}"/>
    <cellStyle name="Input 2 9 6 2 6 3 3" xfId="26083" xr:uid="{EAB860EF-1F38-4E30-A067-42BD800EE248}"/>
    <cellStyle name="Input 2 9 6 2 6 4" xfId="22988" xr:uid="{E5791250-D0C2-49FB-AAFA-42F71D4BC687}"/>
    <cellStyle name="Input 2 9 6 2 6 4 2" xfId="49268" xr:uid="{717EB57E-8441-4DF8-AA3C-D67B175E0050}"/>
    <cellStyle name="Input 2 9 6 2 6 5" xfId="49927" xr:uid="{1773D64A-CD4D-4DC7-B387-FEAE94D2F324}"/>
    <cellStyle name="Input 2 9 6 2 7" xfId="6332" xr:uid="{00000000-0005-0000-0000-000075050000}"/>
    <cellStyle name="Input 2 9 6 2 7 2" xfId="13204" xr:uid="{9CB9FC06-5025-4107-BB7C-FAFCB56CD1CD}"/>
    <cellStyle name="Input 2 9 6 2 7 2 2" xfId="35688" xr:uid="{91DC5A6D-D9E2-4ADD-AE60-113C6E9BE1A3}"/>
    <cellStyle name="Input 2 9 6 2 7 2 3" xfId="48854" xr:uid="{C6D53B2D-6BC0-4F50-820C-0BC08D12B1FD}"/>
    <cellStyle name="Input 2 9 6 2 7 3" xfId="18269" xr:uid="{9BC456F7-599D-4179-AB04-885AF37CD93B}"/>
    <cellStyle name="Input 2 9 6 2 7 3 2" xfId="40659" xr:uid="{A41A1D4D-AF46-45CC-991D-80621A2AE2AF}"/>
    <cellStyle name="Input 2 9 6 2 7 3 3" xfId="41953" xr:uid="{4E26B776-6935-42B6-A5A0-E844E0191637}"/>
    <cellStyle name="Input 2 9 6 2 7 4" xfId="22693" xr:uid="{D16899F6-E481-4203-A778-6B9EB276F845}"/>
    <cellStyle name="Input 2 9 6 2 7 4 2" xfId="51002" xr:uid="{31E7C756-2885-492D-9F9A-9D1F657C4D25}"/>
    <cellStyle name="Input 2 9 6 2 7 5" xfId="46759" xr:uid="{2FF42F55-F833-453B-8B22-D8A0073C238E}"/>
    <cellStyle name="Input 2 9 6 2 8" xfId="7082" xr:uid="{00000000-0005-0000-0000-000075050000}"/>
    <cellStyle name="Input 2 9 6 2 8 2" xfId="13918" xr:uid="{22D847F5-D493-43E5-8212-47A6CDBD0E80}"/>
    <cellStyle name="Input 2 9 6 2 8 2 2" xfId="36402" xr:uid="{F0B26FB3-E46B-4BD5-A997-FC63FF1AB507}"/>
    <cellStyle name="Input 2 9 6 2 8 2 3" xfId="54055" xr:uid="{D2152D1F-6856-4A4C-B9AD-22F12DB12228}"/>
    <cellStyle name="Input 2 9 6 2 8 3" xfId="19019" xr:uid="{AF46182C-B2F5-49EA-8BE8-C524E2886070}"/>
    <cellStyle name="Input 2 9 6 2 8 3 2" xfId="41409" xr:uid="{853B0159-13FC-4737-90AE-F6CFB26AB6C6}"/>
    <cellStyle name="Input 2 9 6 2 8 3 3" xfId="31000" xr:uid="{AED4A9E6-2A4B-42A3-B659-D30B1C613B44}"/>
    <cellStyle name="Input 2 9 6 2 8 4" xfId="23443" xr:uid="{971CF475-7A56-4799-AD7C-1300B7954A28}"/>
    <cellStyle name="Input 2 9 6 2 8 4 2" xfId="48378" xr:uid="{E162402F-D916-437B-9985-2E2B4A04A569}"/>
    <cellStyle name="Input 2 9 6 2 8 5" xfId="50063" xr:uid="{3E25AD73-2D1C-405C-83F6-EA91295BD9AC}"/>
    <cellStyle name="Input 2 9 6 2 9" xfId="7197" xr:uid="{00000000-0005-0000-0000-000075050000}"/>
    <cellStyle name="Input 2 9 6 2 9 2" xfId="19134" xr:uid="{41E7CA31-52E3-4240-B2ED-F36606439B63}"/>
    <cellStyle name="Input 2 9 6 2 9 2 2" xfId="41524" xr:uid="{CDA990B7-709A-45FA-B050-38C635C7D85F}"/>
    <cellStyle name="Input 2 9 6 2 9 2 3" xfId="44950" xr:uid="{9D385B1B-2D70-47C0-AF9A-31A80E940901}"/>
    <cellStyle name="Input 2 9 6 2 9 3" xfId="23558" xr:uid="{1A785758-A1DE-4B3E-B122-87AD148FBDCA}"/>
    <cellStyle name="Input 2 9 6 2 9 3 2" xfId="48930" xr:uid="{64775472-8345-405D-BC07-76CE2EB4BDCD}"/>
    <cellStyle name="Input 2 9 6 2 9 4" xfId="30644" xr:uid="{B19B3498-97A1-4FDC-827B-0840EABDC960}"/>
    <cellStyle name="Input 2 9 6 3" xfId="3465" xr:uid="{00000000-0005-0000-0000-000074050000}"/>
    <cellStyle name="Input 2 9 6 3 2" xfId="10373" xr:uid="{B97CB91D-F7C6-4388-9382-AF839E4E8B29}"/>
    <cellStyle name="Input 2 9 6 3 2 2" xfId="32860" xr:uid="{E8C4D5A2-D25E-49D1-80FE-F3E82545BC7F}"/>
    <cellStyle name="Input 2 9 6 3 2 3" xfId="53566" xr:uid="{2C6AF79C-B736-4C44-9135-AD5020A5BCF2}"/>
    <cellStyle name="Input 2 9 6 3 3" xfId="15643" xr:uid="{9CB982B4-2BFF-43C8-9B86-4870AA2A6E1B}"/>
    <cellStyle name="Input 2 9 6 3 3 2" xfId="38059" xr:uid="{05A1A01F-8FFF-41A0-9108-0ADFC10913AF}"/>
    <cellStyle name="Input 2 9 6 3 3 3" xfId="48368" xr:uid="{C666A4FD-D4D7-4738-805A-7ABEB258CEF5}"/>
    <cellStyle name="Input 2 9 6 3 4" xfId="20856" xr:uid="{AB432F3F-5BCA-4B7A-8B75-DC6BF9C695C0}"/>
    <cellStyle name="Input 2 9 6 3 4 2" xfId="47789" xr:uid="{D18B06A6-351B-4419-886B-B55907BBACC9}"/>
    <cellStyle name="Input 2 9 6 3 5" xfId="26563" xr:uid="{CDE3D88D-78B8-4DF5-A802-6DA1F75E7B1C}"/>
    <cellStyle name="Input 2 9 6 4" xfId="4998" xr:uid="{00000000-0005-0000-0000-000074050000}"/>
    <cellStyle name="Input 2 9 6 4 2" xfId="11892" xr:uid="{8B9D19C7-217A-4D30-BECC-50C6307EE1D7}"/>
    <cellStyle name="Input 2 9 6 4 2 2" xfId="34378" xr:uid="{CD40E92A-DE7E-4AB2-B1A7-034B6E4E65CA}"/>
    <cellStyle name="Input 2 9 6 4 2 3" xfId="45186" xr:uid="{6E0A2482-A943-4E7F-883A-38D639B7D6A7}"/>
    <cellStyle name="Input 2 9 6 4 3" xfId="16935" xr:uid="{80843E58-1B0E-44A8-BAB5-EE03BE74A54B}"/>
    <cellStyle name="Input 2 9 6 4 3 2" xfId="39325" xr:uid="{58E1A436-FE8B-4403-8794-AEA383517614}"/>
    <cellStyle name="Input 2 9 6 4 3 3" xfId="44588" xr:uid="{6B9E31D1-90B1-4C9A-A401-3230C3713314}"/>
    <cellStyle name="Input 2 9 6 4 4" xfId="21359" xr:uid="{89CFFA41-0B4D-4679-9C19-DD6FE8A36657}"/>
    <cellStyle name="Input 2 9 6 4 4 2" xfId="46461" xr:uid="{8B1E5566-7E26-4997-B658-D5A8BC7BF8BB}"/>
    <cellStyle name="Input 2 9 6 4 5" xfId="51959" xr:uid="{C51C092E-4136-48B7-8814-255F818DE248}"/>
    <cellStyle name="Input 2 9 6 5" xfId="4959" xr:uid="{00000000-0005-0000-0000-000074050000}"/>
    <cellStyle name="Input 2 9 6 5 2" xfId="11854" xr:uid="{A1451303-3D58-4930-892D-D22C3D499917}"/>
    <cellStyle name="Input 2 9 6 5 2 2" xfId="34340" xr:uid="{5D240D90-D837-44A7-9D04-D139581D9029}"/>
    <cellStyle name="Input 2 9 6 5 2 3" xfId="43268" xr:uid="{739D2BBB-55F8-4332-81A6-ABA9A606D84E}"/>
    <cellStyle name="Input 2 9 6 5 3" xfId="16896" xr:uid="{631B054D-84B3-4D14-B5DA-ECC660338296}"/>
    <cellStyle name="Input 2 9 6 5 3 2" xfId="39286" xr:uid="{54898D8C-47AA-4AB0-AC9B-6BB3DE3ED58A}"/>
    <cellStyle name="Input 2 9 6 5 3 3" xfId="32436" xr:uid="{F83C3FF9-1FF1-409B-846D-F5F19F3763A1}"/>
    <cellStyle name="Input 2 9 6 5 4" xfId="21320" xr:uid="{95DB4D43-6EAF-4EBC-AC81-A54829E24E0C}"/>
    <cellStyle name="Input 2 9 6 5 4 2" xfId="30383" xr:uid="{8D228251-2914-4E21-B34B-7676CADBBBB2}"/>
    <cellStyle name="Input 2 9 6 5 5" xfId="53324" xr:uid="{15388A83-BD98-45DB-88B7-79CA83A4EDF3}"/>
    <cellStyle name="Input 2 9 6 6" xfId="4847" xr:uid="{00000000-0005-0000-0000-000074050000}"/>
    <cellStyle name="Input 2 9 6 6 2" xfId="11743" xr:uid="{6BEE52AB-B703-4D5B-9724-A5FA7EA90F07}"/>
    <cellStyle name="Input 2 9 6 6 2 2" xfId="34229" xr:uid="{626536E2-F13F-44FC-B9BE-56235708860A}"/>
    <cellStyle name="Input 2 9 6 6 2 3" xfId="43543" xr:uid="{82A68E0D-E1B3-4FA0-89C7-F89764980AB2}"/>
    <cellStyle name="Input 2 9 6 6 3" xfId="16784" xr:uid="{F7E793B9-5794-4E49-8718-146331499EC8}"/>
    <cellStyle name="Input 2 9 6 6 3 2" xfId="39174" xr:uid="{DD9DCA1C-B398-4D71-821E-59D13DAB048D}"/>
    <cellStyle name="Input 2 9 6 6 3 3" xfId="32253" xr:uid="{F5281916-B505-4C7F-A091-F04B11CE5953}"/>
    <cellStyle name="Input 2 9 6 6 4" xfId="19864" xr:uid="{C127A72B-D4BB-4702-AF40-EE07F71FAA81}"/>
    <cellStyle name="Input 2 9 6 6 4 2" xfId="45178" xr:uid="{E5D53E1D-5188-4B8C-909C-5039FCFFE06E}"/>
    <cellStyle name="Input 2 9 6 6 5" xfId="32783" xr:uid="{94E7391F-DE12-4390-BA35-D5B8CA01744B}"/>
    <cellStyle name="Input 2 9 6 7" xfId="6025" xr:uid="{00000000-0005-0000-0000-000074050000}"/>
    <cellStyle name="Input 2 9 6 7 2" xfId="12905" xr:uid="{FF09F7D3-AA4E-4F9F-B1A5-716200BBD7B8}"/>
    <cellStyle name="Input 2 9 6 7 2 2" xfId="35389" xr:uid="{D04F64A2-F7A6-4E5A-B2C3-C53487DB0657}"/>
    <cellStyle name="Input 2 9 6 7 2 3" xfId="49636" xr:uid="{89065A92-A599-4595-8841-422473843881}"/>
    <cellStyle name="Input 2 9 6 7 3" xfId="17962" xr:uid="{D42D907C-5F36-4068-9BDD-297DC701728E}"/>
    <cellStyle name="Input 2 9 6 7 3 2" xfId="40352" xr:uid="{CC449002-8741-4C81-A31E-C0216190579D}"/>
    <cellStyle name="Input 2 9 6 7 3 3" xfId="24309" xr:uid="{7FA5B0A1-D13A-492F-88D8-15B37283110C}"/>
    <cellStyle name="Input 2 9 6 7 4" xfId="22386" xr:uid="{80328CD5-C737-4BB7-8386-04D27D998814}"/>
    <cellStyle name="Input 2 9 6 7 4 2" xfId="30742" xr:uid="{D6EEA9DA-B872-4440-B666-462BC220232E}"/>
    <cellStyle name="Input 2 9 6 7 5" xfId="30624" xr:uid="{581F3D76-0B9C-47E5-93B8-ED7FC1BD2B4B}"/>
    <cellStyle name="Input 2 9 6 8" xfId="14179" xr:uid="{F4F5ED28-3DC2-411E-9A21-33CC4B8F76AA}"/>
    <cellStyle name="Input 2 9 6 8 2" xfId="36654" xr:uid="{ADC4A04C-34BD-4C9E-AC12-79C14D42227D}"/>
    <cellStyle name="Input 2 9 6 8 3" xfId="49009" xr:uid="{F680F4F6-5092-4E51-A742-C3399674D53A}"/>
    <cellStyle name="Input 2 9 6 9" xfId="20613" xr:uid="{869C62D0-9108-455F-8C42-F0A572F2ACFF}"/>
    <cellStyle name="Input 2 9 6 9 2" xfId="42894" xr:uid="{96883D20-C1F2-4333-A4DF-707AEB915CAF}"/>
    <cellStyle name="Input 2 9 6 9 3" xfId="51396" xr:uid="{944BAD4B-79E2-4B6B-800E-65E6DF529D20}"/>
    <cellStyle name="Input 2 9 7" xfId="1632" xr:uid="{00000000-0005-0000-0000-000077050000}"/>
    <cellStyle name="Input 2 9 7 10" xfId="14346" xr:uid="{045322C9-7293-4849-B40B-EC81B35F3E87}"/>
    <cellStyle name="Input 2 9 7 10 2" xfId="36814" xr:uid="{30AB1552-FC35-475D-9004-62301F151858}"/>
    <cellStyle name="Input 2 9 7 10 3" xfId="42793" xr:uid="{DE53E5B8-9001-448D-B179-2CC6C1C14907}"/>
    <cellStyle name="Input 2 9 7 11" xfId="16066" xr:uid="{DCE7E467-75C9-4014-A585-ED418AEECD2D}"/>
    <cellStyle name="Input 2 9 7 11 2" xfId="38466" xr:uid="{4B5A54AE-2F99-414B-94E1-6EA6BF20F6F0}"/>
    <cellStyle name="Input 2 9 7 11 3" xfId="50294" xr:uid="{0F5825E5-B19D-4515-8328-74643DA261EF}"/>
    <cellStyle name="Input 2 9 7 12" xfId="20698" xr:uid="{F4CF0C5F-69F7-4771-8C22-7B4FA1A13B75}"/>
    <cellStyle name="Input 2 9 7 12 2" xfId="53504" xr:uid="{7490C470-AF83-4962-864A-6A83CC80765E}"/>
    <cellStyle name="Input 2 9 7 13" xfId="52156" xr:uid="{D68ECACD-73BC-43BC-8FF5-19901CB06CBF}"/>
    <cellStyle name="Input 2 9 7 2" xfId="3732" xr:uid="{00000000-0005-0000-0000-000076050000}"/>
    <cellStyle name="Input 2 9 7 2 2" xfId="10636" xr:uid="{251A14BE-F214-4BA4-821E-881B0AA7328E}"/>
    <cellStyle name="Input 2 9 7 2 2 2" xfId="33122" xr:uid="{46302C39-1576-4AE2-AC93-7EDD06315C01}"/>
    <cellStyle name="Input 2 9 7 2 2 3" xfId="52488" xr:uid="{9AA7A88B-6F07-4DF6-8864-FF3DD89DA9BB}"/>
    <cellStyle name="Input 2 9 7 2 3" xfId="15813" xr:uid="{BE6502A9-F61A-487F-91BE-98154ECBF00B}"/>
    <cellStyle name="Input 2 9 7 2 3 2" xfId="38221" xr:uid="{0CF587E3-B105-44FE-8257-2B4BB477F3D5}"/>
    <cellStyle name="Input 2 9 7 2 3 3" xfId="23687" xr:uid="{C17F8730-799B-4E54-B933-F5DBC7821339}"/>
    <cellStyle name="Input 2 9 7 2 4" xfId="20668" xr:uid="{5DDD764F-4D8C-4EAB-B3B3-DDA024C27EBF}"/>
    <cellStyle name="Input 2 9 7 2 4 2" xfId="50421" xr:uid="{424C820C-D89C-48C3-BBAF-16D46B11DA69}"/>
    <cellStyle name="Input 2 9 7 2 5" xfId="25634" xr:uid="{4ECE78A2-8EC2-44AA-82E1-877074BAD918}"/>
    <cellStyle name="Input 2 9 7 3" xfId="5165" xr:uid="{00000000-0005-0000-0000-000076050000}"/>
    <cellStyle name="Input 2 9 7 3 2" xfId="12058" xr:uid="{BB634277-8A79-4574-90CD-70339CD8067D}"/>
    <cellStyle name="Input 2 9 7 3 2 2" xfId="34544" xr:uid="{3D5C8CE9-6564-451F-9BC8-3DCDA27D86F5}"/>
    <cellStyle name="Input 2 9 7 3 2 3" xfId="27309" xr:uid="{1470B59B-F907-4405-8E25-E2095349AD76}"/>
    <cellStyle name="Input 2 9 7 3 3" xfId="17102" xr:uid="{479B8843-3DA9-4EDD-9C39-3502CEBE0B13}"/>
    <cellStyle name="Input 2 9 7 3 3 2" xfId="39492" xr:uid="{4613FC3E-C974-481D-87B8-388B614C6647}"/>
    <cellStyle name="Input 2 9 7 3 3 3" xfId="28277" xr:uid="{AF00BA6A-3B20-4279-B140-BFDDD09897BA}"/>
    <cellStyle name="Input 2 9 7 3 4" xfId="21526" xr:uid="{B2ADF7AD-8C74-41F9-89A4-E03084E877F4}"/>
    <cellStyle name="Input 2 9 7 3 4 2" xfId="47105" xr:uid="{0CFE3997-C0D2-44B1-B7C5-186591650267}"/>
    <cellStyle name="Input 2 9 7 3 5" xfId="52952" xr:uid="{26B27DAE-FD9C-4875-863F-188AFD55992F}"/>
    <cellStyle name="Input 2 9 7 4" xfId="4495" xr:uid="{00000000-0005-0000-0000-000076050000}"/>
    <cellStyle name="Input 2 9 7 4 2" xfId="11397" xr:uid="{689AB4DA-8968-4BD9-A918-CF49A96432FA}"/>
    <cellStyle name="Input 2 9 7 4 2 2" xfId="33883" xr:uid="{9B9E175D-F0BF-49E8-BAF9-30C38F13FA4B}"/>
    <cellStyle name="Input 2 9 7 4 2 3" xfId="29904" xr:uid="{D4AA6517-D6FD-4207-91BF-8F9B9395CA79}"/>
    <cellStyle name="Input 2 9 7 4 3" xfId="16432" xr:uid="{A6D20363-1061-41C0-A87D-4ACB424C96A0}"/>
    <cellStyle name="Input 2 9 7 4 3 2" xfId="38822" xr:uid="{FF8E81B3-7F6F-44F6-951D-77D0EB4D2999}"/>
    <cellStyle name="Input 2 9 7 4 3 3" xfId="31929" xr:uid="{36CAA6F8-486F-46AB-9B01-9C5A664DFC91}"/>
    <cellStyle name="Input 2 9 7 4 4" xfId="20624" xr:uid="{4F151737-59D1-4FE2-8E36-14B6A479AF05}"/>
    <cellStyle name="Input 2 9 7 4 4 2" xfId="28982" xr:uid="{B021C691-6988-4F41-931C-8EB080D03F3A}"/>
    <cellStyle name="Input 2 9 7 4 5" xfId="49316" xr:uid="{211B04E0-8CFF-456B-A6E7-9732339EEAA3}"/>
    <cellStyle name="Input 2 9 7 5" xfId="4499" xr:uid="{00000000-0005-0000-0000-000076050000}"/>
    <cellStyle name="Input 2 9 7 5 2" xfId="11401" xr:uid="{2160010D-5CE5-4242-8FE4-1BE033806C56}"/>
    <cellStyle name="Input 2 9 7 5 2 2" xfId="33887" xr:uid="{C5F6E5CE-157B-48C0-8CF1-56FF675F3B6B}"/>
    <cellStyle name="Input 2 9 7 5 2 3" xfId="25147" xr:uid="{316DC34A-FE1B-48F1-8D52-7EB14F4AF976}"/>
    <cellStyle name="Input 2 9 7 5 3" xfId="16436" xr:uid="{789CB87E-728B-4704-A55F-076636A06BF6}"/>
    <cellStyle name="Input 2 9 7 5 3 2" xfId="38826" xr:uid="{0F2411A6-0CA1-44D0-8F2C-A1E2D46D1574}"/>
    <cellStyle name="Input 2 9 7 5 3 3" xfId="25481" xr:uid="{9A0CDD70-ED65-4477-89C1-4D13F8848A29}"/>
    <cellStyle name="Input 2 9 7 5 4" xfId="15589" xr:uid="{99E4A872-9DD0-4A88-A9EE-54E6E30ECDE7}"/>
    <cellStyle name="Input 2 9 7 5 4 2" xfId="53855" xr:uid="{CB7E7D43-F609-493F-9AE3-43BCD8B81597}"/>
    <cellStyle name="Input 2 9 7 5 5" xfId="51425" xr:uid="{4FF10BC3-06D5-44FE-997F-1E868F87EB4A}"/>
    <cellStyle name="Input 2 9 7 6" xfId="5934" xr:uid="{00000000-0005-0000-0000-000076050000}"/>
    <cellStyle name="Input 2 9 7 6 2" xfId="12815" xr:uid="{F0D09560-0300-4607-8D74-B72B657B8744}"/>
    <cellStyle name="Input 2 9 7 6 2 2" xfId="35299" xr:uid="{6ACC71B1-CE30-4587-91B2-8C3D4E3AB5EA}"/>
    <cellStyle name="Input 2 9 7 6 2 3" xfId="52138" xr:uid="{6BDC1AC3-6338-4657-BB4C-928D8A09B269}"/>
    <cellStyle name="Input 2 9 7 6 3" xfId="17871" xr:uid="{32CCEB89-1EE9-4A3F-B86E-153FAE77F33D}"/>
    <cellStyle name="Input 2 9 7 6 3 2" xfId="40261" xr:uid="{653F294C-4465-43F8-943A-F8EED2950EA9}"/>
    <cellStyle name="Input 2 9 7 6 3 3" xfId="24568" xr:uid="{CFE1B30A-A0C8-4677-A64C-E906F7D483C7}"/>
    <cellStyle name="Input 2 9 7 6 4" xfId="22295" xr:uid="{27175EEA-3FE3-4B45-AA3F-A984CC9666E2}"/>
    <cellStyle name="Input 2 9 7 6 4 2" xfId="53118" xr:uid="{64CF6A26-882C-42B6-BC77-6E6FD648C126}"/>
    <cellStyle name="Input 2 9 7 6 5" xfId="51574" xr:uid="{59605870-3307-497D-A1CB-28046D9EAC56}"/>
    <cellStyle name="Input 2 9 7 7" xfId="6705" xr:uid="{00000000-0005-0000-0000-000076050000}"/>
    <cellStyle name="Input 2 9 7 7 2" xfId="13568" xr:uid="{AB24CCB1-2716-46B3-9577-D036E7F19F5A}"/>
    <cellStyle name="Input 2 9 7 7 2 2" xfId="36052" xr:uid="{0AF6007D-D786-4EEE-B9C8-1D58CB49DD96}"/>
    <cellStyle name="Input 2 9 7 7 2 3" xfId="47791" xr:uid="{B769F653-A7ED-48E6-874F-1CA92FFFA263}"/>
    <cellStyle name="Input 2 9 7 7 3" xfId="18642" xr:uid="{126A1D9F-2089-42D6-82C9-9BB94AB4A340}"/>
    <cellStyle name="Input 2 9 7 7 3 2" xfId="41032" xr:uid="{BD0F1D0C-B3C9-44F9-A72E-3D680D46E1F2}"/>
    <cellStyle name="Input 2 9 7 7 3 3" xfId="27908" xr:uid="{674B8A6E-F432-4681-90C7-013EC3AC77B2}"/>
    <cellStyle name="Input 2 9 7 7 4" xfId="23066" xr:uid="{DDB6F173-4127-4A6E-B560-6E7633C2B8FA}"/>
    <cellStyle name="Input 2 9 7 7 4 2" xfId="49399" xr:uid="{C1FEAEA8-C1F0-4AAB-95C9-32850F1259BB}"/>
    <cellStyle name="Input 2 9 7 7 5" xfId="45484" xr:uid="{8323DF4F-7C33-488C-9BE9-401B66B24D9F}"/>
    <cellStyle name="Input 2 9 7 8" xfId="6808" xr:uid="{00000000-0005-0000-0000-000076050000}"/>
    <cellStyle name="Input 2 9 7 8 2" xfId="13656" xr:uid="{33AFA939-2CB5-4755-A1D4-5FB209ABC57D}"/>
    <cellStyle name="Input 2 9 7 8 2 2" xfId="36140" xr:uid="{6827ADCA-77B0-494B-BF7A-F16AA617D026}"/>
    <cellStyle name="Input 2 9 7 8 2 3" xfId="41775" xr:uid="{B14B2D64-06E2-4A2F-99AC-B6A6DB715A9F}"/>
    <cellStyle name="Input 2 9 7 8 3" xfId="18745" xr:uid="{EAD20B47-D30F-438E-A9FD-DFE86DE7527A}"/>
    <cellStyle name="Input 2 9 7 8 3 2" xfId="41135" xr:uid="{CCC4B8B3-F00C-406A-89EA-3B443802EA73}"/>
    <cellStyle name="Input 2 9 7 8 3 3" xfId="28771" xr:uid="{C75EE3EF-3D0D-4ACC-B88A-72F4B84196AA}"/>
    <cellStyle name="Input 2 9 7 8 4" xfId="23169" xr:uid="{093C760E-10F9-4E7B-8BDD-883AD88C9EAE}"/>
    <cellStyle name="Input 2 9 7 8 4 2" xfId="49743" xr:uid="{D6F5F5AF-61AB-45DB-97D3-F9A7BC2CBAEE}"/>
    <cellStyle name="Input 2 9 7 8 5" xfId="51923" xr:uid="{DF6DE06B-FCF8-4423-860A-F36B6E40653F}"/>
    <cellStyle name="Input 2 9 7 9" xfId="6243" xr:uid="{00000000-0005-0000-0000-000076050000}"/>
    <cellStyle name="Input 2 9 7 9 2" xfId="18180" xr:uid="{AEE4DFCC-C77D-4ED6-9F0D-F917C6D773AF}"/>
    <cellStyle name="Input 2 9 7 9 2 2" xfId="40570" xr:uid="{D7CF290F-A2D4-48B2-B7BE-BE7EFE6A6046}"/>
    <cellStyle name="Input 2 9 7 9 2 3" xfId="27861" xr:uid="{5BE209E0-8038-4A17-B8F1-35DCB4BF17B0}"/>
    <cellStyle name="Input 2 9 7 9 3" xfId="22604" xr:uid="{5105401F-5F13-4E04-A9D6-569861305954}"/>
    <cellStyle name="Input 2 9 7 9 3 2" xfId="48128" xr:uid="{E8ED21E9-AE3C-4678-A4C2-D431DE8E7499}"/>
    <cellStyle name="Input 2 9 7 9 4" xfId="47600" xr:uid="{6F20476F-82DF-4A75-B251-374445C06A7D}"/>
    <cellStyle name="Input 2 9 8" xfId="2583" xr:uid="{00000000-0005-0000-0000-00006B050000}"/>
    <cellStyle name="Input 2 9 8 2" xfId="9492" xr:uid="{B8A713C6-04F2-466C-94D6-1C463838F6AE}"/>
    <cellStyle name="Input 2 9 8 2 2" xfId="32044" xr:uid="{55E48527-8E03-4FD4-8E4E-DCB8547F6E04}"/>
    <cellStyle name="Input 2 9 8 2 3" xfId="30200" xr:uid="{DEC7B29A-FCCC-42C3-87BD-35B3167C5776}"/>
    <cellStyle name="Input 2 9 8 3" xfId="15061" xr:uid="{154854CF-9D1C-4922-A30C-0812023E1AA1}"/>
    <cellStyle name="Input 2 9 8 3 2" xfId="37506" xr:uid="{08056D04-9BD2-4AE1-A44E-087C795A883A}"/>
    <cellStyle name="Input 2 9 8 3 3" xfId="46645" xr:uid="{B1A708C5-55F0-469A-870B-222889B46892}"/>
    <cellStyle name="Input 2 9 8 4" xfId="20135" xr:uid="{16F8B007-332B-47BB-908A-198B2814DAD8}"/>
    <cellStyle name="Input 2 9 8 4 2" xfId="25480" xr:uid="{910EB26A-9AAF-432F-919D-828E68CB80DC}"/>
    <cellStyle name="Input 2 9 8 5" xfId="28125" xr:uid="{87EF44C5-3A9E-4027-A29F-775B81B2A1F7}"/>
    <cellStyle name="Input 2 9 9" xfId="4410" xr:uid="{00000000-0005-0000-0000-00006B050000}"/>
    <cellStyle name="Input 2 9 9 2" xfId="11312" xr:uid="{E1E857B0-67D0-481B-B7DA-338083FE7E96}"/>
    <cellStyle name="Input 2 9 9 2 2" xfId="33798" xr:uid="{FC636F0D-4380-4A21-81C2-955249087C3D}"/>
    <cellStyle name="Input 2 9 9 2 3" xfId="42163" xr:uid="{2115E1B0-F6B2-436B-BEAD-0CE8A94570F5}"/>
    <cellStyle name="Input 2 9 9 3" xfId="16347" xr:uid="{E27C9303-56D3-4A15-A891-55DD660F0710}"/>
    <cellStyle name="Input 2 9 9 3 2" xfId="38737" xr:uid="{5BAAB0CD-0CEB-4B60-9675-378611B48258}"/>
    <cellStyle name="Input 2 9 9 3 3" xfId="44092" xr:uid="{3F2C1270-0768-4DB1-9E40-B637AC228EDD}"/>
    <cellStyle name="Input 2 9 9 4" xfId="8971" xr:uid="{547F54E4-9EE6-4C87-84B9-CC09CEA28EB4}"/>
    <cellStyle name="Input 2 9 9 4 2" xfId="53098" xr:uid="{6747FC0D-EC92-436B-A502-37521F2A3D39}"/>
    <cellStyle name="Input 2 9 9 5" xfId="26347" xr:uid="{B18714DF-7166-474C-BC0B-387F0C1CFAED}"/>
    <cellStyle name="Linked Cell 2" xfId="80" xr:uid="{00000000-0005-0000-0000-000078050000}"/>
    <cellStyle name="Neutral 2" xfId="81" xr:uid="{00000000-0005-0000-0000-000079050000}"/>
    <cellStyle name="Normal" xfId="0" builtinId="0"/>
    <cellStyle name="Normal 10" xfId="99" xr:uid="{00000000-0005-0000-0000-00007B050000}"/>
    <cellStyle name="Normal 10 10" xfId="1533" xr:uid="{00000000-0005-0000-0000-00007C050000}"/>
    <cellStyle name="Normal 10 10 2" xfId="3634" xr:uid="{00000000-0005-0000-0000-00007B050000}"/>
    <cellStyle name="Normal 10 10 2 2" xfId="10538" xr:uid="{787FF058-49E0-4EAD-AE84-B441CEF0EC15}"/>
    <cellStyle name="Normal 10 10 2 2 2" xfId="33024" xr:uid="{5ABA73DF-4F12-448A-95F7-219FD334D72A}"/>
    <cellStyle name="Normal 10 10 2 3" xfId="26845" xr:uid="{91D5EC08-314E-4A68-8487-D16C134930C6}"/>
    <cellStyle name="Normal 10 10 3" xfId="8570" xr:uid="{C50C488D-AE3F-45BA-A85F-1CE1540028F1}"/>
    <cellStyle name="Normal 10 10 3 2" xfId="31157" xr:uid="{FB98F2F3-59B3-432C-A75A-AACF56B6D8FF}"/>
    <cellStyle name="Normal 10 10 4" xfId="24955" xr:uid="{8C858CFD-E19D-4ACD-9BC6-B693F809F9FE}"/>
    <cellStyle name="Normal 10 11" xfId="2311" xr:uid="{00000000-0005-0000-0000-00007A050000}"/>
    <cellStyle name="Normal 10 11 2" xfId="9221" xr:uid="{C843B605-1DA9-4F23-9D63-F51F5C2581E3}"/>
    <cellStyle name="Normal 10 11 2 2" xfId="31796" xr:uid="{7807ED92-6548-4B55-8E10-7184B3EA648D}"/>
    <cellStyle name="Normal 10 11 3" xfId="25674" xr:uid="{D981B115-B233-4E0C-86D9-7FF34D611581}"/>
    <cellStyle name="Normal 10 12" xfId="7303" xr:uid="{BCEBB5F9-8DE4-4678-A5DD-806B47FA72FC}"/>
    <cellStyle name="Normal 10 12 2" xfId="29991" xr:uid="{F84B6C35-AD55-4093-9957-798163EB7711}"/>
    <cellStyle name="Normal 10 13" xfId="23685" xr:uid="{763CC457-B418-46D6-AA30-6140A2846F70}"/>
    <cellStyle name="Normal 10 2" xfId="306" xr:uid="{00000000-0005-0000-0000-00007D050000}"/>
    <cellStyle name="Normal 10 2 2" xfId="1589" xr:uid="{00000000-0005-0000-0000-00007E050000}"/>
    <cellStyle name="Normal 10 2 2 2" xfId="3690" xr:uid="{00000000-0005-0000-0000-00007D050000}"/>
    <cellStyle name="Normal 10 2 2 2 2" xfId="10594" xr:uid="{07D8C5D1-3FC1-4731-BDBE-3D84CEB9DEA2}"/>
    <cellStyle name="Normal 10 2 2 2 2 2" xfId="33080" xr:uid="{282BD430-B5D2-4EEE-B5A0-04EAE30C65A4}"/>
    <cellStyle name="Normal 10 2 2 2 3" xfId="26901" xr:uid="{A5700D35-32B7-4AF2-94DF-2F14D1AF370E}"/>
    <cellStyle name="Normal 10 2 2 3" xfId="8624" xr:uid="{5A38A42F-83E8-47B4-BC4B-59DC90F828A7}"/>
    <cellStyle name="Normal 10 2 2 3 2" xfId="31210" xr:uid="{F732F130-CFEA-4C7C-9A46-2B6BB7E1525B}"/>
    <cellStyle name="Normal 10 2 2 4" xfId="25010" xr:uid="{DC4C4597-E755-4639-8F88-1B4D093CB191}"/>
    <cellStyle name="Normal 10 2 3" xfId="2470" xr:uid="{00000000-0005-0000-0000-00007C050000}"/>
    <cellStyle name="Normal 10 2 3 2" xfId="9379" xr:uid="{FC06217C-6C52-4139-92ED-CF53F728E313}"/>
    <cellStyle name="Normal 10 2 3 2 2" xfId="31942" xr:uid="{8DF0C16B-DDDB-425B-835A-FDE92900A774}"/>
    <cellStyle name="Normal 10 2 3 3" xfId="25809" xr:uid="{6CD58C3E-108B-429E-8DF1-984661D63D41}"/>
    <cellStyle name="Normal 10 2 4" xfId="7471" xr:uid="{258A5289-4F9E-4263-9851-DFCA8CCA0F10}"/>
    <cellStyle name="Normal 10 2 4 2" xfId="30141" xr:uid="{503EAB51-77B6-467C-9487-7F3EB364FE77}"/>
    <cellStyle name="Normal 10 2 5" xfId="23865" xr:uid="{E0FD27DA-B3AC-4283-BA22-E6F6C65CC9A6}"/>
    <cellStyle name="Normal 10 3" xfId="471" xr:uid="{00000000-0005-0000-0000-00007F050000}"/>
    <cellStyle name="Normal 10 3 2" xfId="1674" xr:uid="{00000000-0005-0000-0000-000080050000}"/>
    <cellStyle name="Normal 10 3 2 2" xfId="3772" xr:uid="{00000000-0005-0000-0000-00007F050000}"/>
    <cellStyle name="Normal 10 3 2 2 2" xfId="10676" xr:uid="{AFF87AF2-6769-4CE8-84E8-25507DECDCE7}"/>
    <cellStyle name="Normal 10 3 2 2 2 2" xfId="33162" xr:uid="{59D206C2-6948-4099-90E5-C0966BE9D44F}"/>
    <cellStyle name="Normal 10 3 2 2 3" xfId="26979" xr:uid="{B1657258-5774-4570-A225-93D07B9D6012}"/>
    <cellStyle name="Normal 10 3 2 3" xfId="8689" xr:uid="{BA7A9058-A8A3-45D6-8C08-313A2C00EF36}"/>
    <cellStyle name="Normal 10 3 2 3 2" xfId="31274" xr:uid="{1DCB68B8-1137-4AE7-896E-FB4F2B5B0029}"/>
    <cellStyle name="Normal 10 3 2 4" xfId="25089" xr:uid="{B56FCB3E-6628-4AA0-B5B1-20D3D8B15022}"/>
    <cellStyle name="Normal 10 3 3" xfId="2623" xr:uid="{00000000-0005-0000-0000-00007E050000}"/>
    <cellStyle name="Normal 10 3 3 2" xfId="9532" xr:uid="{8C6B45C2-B0E4-4966-B1EE-41090E7C474A}"/>
    <cellStyle name="Normal 10 3 3 2 2" xfId="32083" xr:uid="{CBE7B349-6B0B-4DED-9993-1F0B07E3E97B}"/>
    <cellStyle name="Normal 10 3 3 3" xfId="25943" xr:uid="{9A321E6B-5CBF-41D2-B768-80410D60FB3E}"/>
    <cellStyle name="Normal 10 3 4" xfId="7617" xr:uid="{41766309-1AB5-4123-900A-0BCA1490524E}"/>
    <cellStyle name="Normal 10 3 4 2" xfId="30278" xr:uid="{1A8BB874-4CC7-41A6-BD7B-33E7D9FE41D0}"/>
    <cellStyle name="Normal 10 3 5" xfId="24005" xr:uid="{B28AA3E5-0D9A-4BE5-A805-895A3A01672A}"/>
    <cellStyle name="Normal 10 4" xfId="695" xr:uid="{00000000-0005-0000-0000-000081050000}"/>
    <cellStyle name="Normal 10 4 2" xfId="1771" xr:uid="{00000000-0005-0000-0000-000082050000}"/>
    <cellStyle name="Normal 10 4 2 2" xfId="3869" xr:uid="{00000000-0005-0000-0000-000081050000}"/>
    <cellStyle name="Normal 10 4 2 2 2" xfId="10773" xr:uid="{29DE1CF8-1211-4160-9D7F-8295F6CE36DD}"/>
    <cellStyle name="Normal 10 4 2 2 2 2" xfId="33259" xr:uid="{99EB5875-275E-4FA2-8B75-8F30869EF404}"/>
    <cellStyle name="Normal 10 4 2 2 3" xfId="27068" xr:uid="{B310C5A8-1928-49C0-BA1D-2F4711752D43}"/>
    <cellStyle name="Normal 10 4 2 3" xfId="8771" xr:uid="{FBF5D1D8-E2DF-4DE6-BA02-D840A10F272A}"/>
    <cellStyle name="Normal 10 4 2 3 2" xfId="31354" xr:uid="{7C1DCA2A-325E-4711-9F77-73078FFACEF1}"/>
    <cellStyle name="Normal 10 4 2 4" xfId="25177" xr:uid="{FC192048-E218-45B1-B852-3BDD2D96E860}"/>
    <cellStyle name="Normal 10 4 3" xfId="2837" xr:uid="{00000000-0005-0000-0000-000080050000}"/>
    <cellStyle name="Normal 10 4 3 2" xfId="9746" xr:uid="{0AAD177F-0FFF-456D-AD7E-819937A671BD}"/>
    <cellStyle name="Normal 10 4 3 2 2" xfId="32283" xr:uid="{317B8114-0549-48CA-8624-3874ED304EE7}"/>
    <cellStyle name="Normal 10 4 3 3" xfId="26132" xr:uid="{4187EA45-7A38-457E-85C7-0260E8B7ED13}"/>
    <cellStyle name="Normal 10 4 4" xfId="7819" xr:uid="{FE862A42-B8F7-4A58-B83B-AD32118BFE35}"/>
    <cellStyle name="Normal 10 4 4 2" xfId="30453" xr:uid="{DBC11ABF-13F4-4B48-8506-CA70D80DD161}"/>
    <cellStyle name="Normal 10 4 5" xfId="24206" xr:uid="{FDF21D03-3F82-4204-9A3E-0FAF983B94A7}"/>
    <cellStyle name="Normal 10 5" xfId="887" xr:uid="{00000000-0005-0000-0000-000083050000}"/>
    <cellStyle name="Normal 10 5 2" xfId="1860" xr:uid="{00000000-0005-0000-0000-000084050000}"/>
    <cellStyle name="Normal 10 5 2 2" xfId="3958" xr:uid="{00000000-0005-0000-0000-000083050000}"/>
    <cellStyle name="Normal 10 5 2 2 2" xfId="10862" xr:uid="{B5C0DC1F-DAFF-4AD9-8A39-E67644067D60}"/>
    <cellStyle name="Normal 10 5 2 2 2 2" xfId="33348" xr:uid="{67D2AF72-865C-4CD3-AB9F-B18FBE86A4DB}"/>
    <cellStyle name="Normal 10 5 2 2 3" xfId="27149" xr:uid="{C3CA2858-4C12-4CCF-A4FE-9A3052E493D2}"/>
    <cellStyle name="Normal 10 5 2 3" xfId="8843" xr:uid="{92787663-E89C-4135-B985-66B52EF7B723}"/>
    <cellStyle name="Normal 10 5 2 3 2" xfId="31424" xr:uid="{B2A2D87B-7D1E-4B21-B223-AC9208F3C356}"/>
    <cellStyle name="Normal 10 5 2 4" xfId="25256" xr:uid="{170A0CF2-38F8-4025-8F4D-DE7458D61D8B}"/>
    <cellStyle name="Normal 10 5 3" xfId="3017" xr:uid="{00000000-0005-0000-0000-000082050000}"/>
    <cellStyle name="Normal 10 5 3 2" xfId="9926" xr:uid="{5809EA27-156E-4AB6-98C2-86B7B4E37586}"/>
    <cellStyle name="Normal 10 5 3 2 2" xfId="32446" xr:uid="{9ADCE1A4-DFBA-4B3E-B510-B7FDF2585CCF}"/>
    <cellStyle name="Normal 10 5 3 3" xfId="26284" xr:uid="{36904383-B3A5-40C8-AB0B-CDED6E63404C}"/>
    <cellStyle name="Normal 10 5 4" xfId="7990" xr:uid="{2C45083B-60B1-4206-9E6E-D7E259C51DC4}"/>
    <cellStyle name="Normal 10 5 4 2" xfId="30612" xr:uid="{36AAB5B5-D339-4F27-8F03-840BC26AF452}"/>
    <cellStyle name="Normal 10 5 5" xfId="24371" xr:uid="{4ACA996F-F63A-4E0A-A7A4-8ACC602305D8}"/>
    <cellStyle name="Normal 10 6" xfId="1069" xr:uid="{00000000-0005-0000-0000-000085050000}"/>
    <cellStyle name="Normal 10 6 2" xfId="1955" xr:uid="{00000000-0005-0000-0000-000086050000}"/>
    <cellStyle name="Normal 10 6 2 2" xfId="4051" xr:uid="{00000000-0005-0000-0000-000085050000}"/>
    <cellStyle name="Normal 10 6 2 2 2" xfId="10955" xr:uid="{D0A3F674-5BEE-46C1-98D9-878E8AC4B468}"/>
    <cellStyle name="Normal 10 6 2 2 2 2" xfId="33441" xr:uid="{498D5EDD-A95D-471F-B598-DF8C0EFF5D5A}"/>
    <cellStyle name="Normal 10 6 2 2 3" xfId="27236" xr:uid="{4855E2FC-06A3-41AE-AB8D-7B4292A4C0F4}"/>
    <cellStyle name="Normal 10 6 2 3" xfId="8913" xr:uid="{BD8933C7-6261-4D3F-9630-4E475E1B318D}"/>
    <cellStyle name="Normal 10 6 2 3 2" xfId="31492" xr:uid="{902A882A-5D10-4BDA-A5FC-405D1FC167E2}"/>
    <cellStyle name="Normal 10 6 2 4" xfId="25341" xr:uid="{F6149234-1594-416C-81C6-57444616835B}"/>
    <cellStyle name="Normal 10 6 3" xfId="3189" xr:uid="{00000000-0005-0000-0000-000084050000}"/>
    <cellStyle name="Normal 10 6 3 2" xfId="10098" xr:uid="{6913172B-32FA-4241-BBC8-AAC679E4D583}"/>
    <cellStyle name="Normal 10 6 3 2 2" xfId="32605" xr:uid="{AD02C58D-CADA-4A5E-83ED-637EFA1ACCF8}"/>
    <cellStyle name="Normal 10 6 3 3" xfId="26437" xr:uid="{6DFC49EB-73F1-4AFE-86B3-A42FFF2FCDAC}"/>
    <cellStyle name="Normal 10 6 4" xfId="8152" xr:uid="{5103CA56-5122-4210-8FA8-5E1FE63F1327}"/>
    <cellStyle name="Normal 10 6 4 2" xfId="30764" xr:uid="{F7CBD56A-D834-4891-8DE6-41923EE276A6}"/>
    <cellStyle name="Normal 10 6 5" xfId="24535" xr:uid="{31605569-6654-426A-9A83-7A21210A70D5}"/>
    <cellStyle name="Normal 10 7" xfId="1247" xr:uid="{00000000-0005-0000-0000-000087050000}"/>
    <cellStyle name="Normal 10 7 2" xfId="2045" xr:uid="{00000000-0005-0000-0000-000088050000}"/>
    <cellStyle name="Normal 10 7 2 2" xfId="4140" xr:uid="{00000000-0005-0000-0000-000087050000}"/>
    <cellStyle name="Normal 10 7 2 2 2" xfId="11044" xr:uid="{3E46E7F6-0C20-4622-9382-BECECBB41A64}"/>
    <cellStyle name="Normal 10 7 2 2 2 2" xfId="33530" xr:uid="{676D23D8-6F14-4884-830A-28B7AF5E7CB7}"/>
    <cellStyle name="Normal 10 7 2 2 3" xfId="27318" xr:uid="{4050046C-6DA7-455F-88FF-5EE28663F2BA}"/>
    <cellStyle name="Normal 10 7 2 3" xfId="8984" xr:uid="{A6D2A8D3-263B-4992-81E3-0F60044B6658}"/>
    <cellStyle name="Normal 10 7 2 3 2" xfId="31562" xr:uid="{CB5150E5-32DA-4339-999D-76F76FFF872C}"/>
    <cellStyle name="Normal 10 7 2 4" xfId="25425" xr:uid="{D5D06872-4C79-40F8-A103-977D21A175E0}"/>
    <cellStyle name="Normal 10 7 3" xfId="3357" xr:uid="{00000000-0005-0000-0000-000086050000}"/>
    <cellStyle name="Normal 10 7 3 2" xfId="10265" xr:uid="{EE442D3E-6FF4-41DB-A689-953CA3AC7479}"/>
    <cellStyle name="Normal 10 7 3 2 2" xfId="32759" xr:uid="{663C9A33-3E29-4615-9DCF-CCC524FCA53F}"/>
    <cellStyle name="Normal 10 7 3 3" xfId="26586" xr:uid="{F96FC5DE-5374-4BA4-88D1-35574F5D4D24}"/>
    <cellStyle name="Normal 10 7 4" xfId="8315" xr:uid="{05ACB774-0A03-4443-AFE6-7BD55F854399}"/>
    <cellStyle name="Normal 10 7 4 2" xfId="30913" xr:uid="{1C1F0446-8F75-44E5-9887-2D729BE2DF62}"/>
    <cellStyle name="Normal 10 7 5" xfId="24687" xr:uid="{EBB6E68E-F930-4110-930B-7BEBEA43D46A}"/>
    <cellStyle name="Normal 10 8" xfId="1450" xr:uid="{00000000-0005-0000-0000-000089050000}"/>
    <cellStyle name="Normal 10 8 2" xfId="2178" xr:uid="{00000000-0005-0000-0000-00008A050000}"/>
    <cellStyle name="Normal 10 8 2 2" xfId="4271" xr:uid="{00000000-0005-0000-0000-000089050000}"/>
    <cellStyle name="Normal 10 8 2 2 2" xfId="11175" xr:uid="{366EDCED-9321-4AB6-BF89-F20DB513B672}"/>
    <cellStyle name="Normal 10 8 2 2 2 2" xfId="33661" xr:uid="{9C2FEF48-1A03-4D85-8133-63FC130627BB}"/>
    <cellStyle name="Normal 10 8 2 2 3" xfId="27443" xr:uid="{E78632B7-FC95-4511-826D-2037F578CA46}"/>
    <cellStyle name="Normal 10 8 2 3" xfId="9095" xr:uid="{D6381EC8-6F0B-492D-BD80-F9C937E4D3FD}"/>
    <cellStyle name="Normal 10 8 2 3 2" xfId="31671" xr:uid="{87D7770A-EB7D-4EC6-9A19-8EAA44CFB807}"/>
    <cellStyle name="Normal 10 8 2 4" xfId="25548" xr:uid="{BE3980D7-6757-4593-9E34-A6A8E7751EBA}"/>
    <cellStyle name="Normal 10 8 3" xfId="3551" xr:uid="{00000000-0005-0000-0000-000088050000}"/>
    <cellStyle name="Normal 10 8 3 2" xfId="10457" xr:uid="{51998A56-4B4C-495A-85F9-DF7674DCA828}"/>
    <cellStyle name="Normal 10 8 3 2 2" xfId="32944" xr:uid="{6B56724F-99D4-4C72-894C-56994E92E93A}"/>
    <cellStyle name="Normal 10 8 3 3" xfId="26764" xr:uid="{B64F8EC5-8578-45E8-8FA3-5FF2D2082BBF}"/>
    <cellStyle name="Normal 10 8 4" xfId="8493" xr:uid="{90EA3583-C248-494E-B927-9A01CE8E127B}"/>
    <cellStyle name="Normal 10 8 4 2" xfId="31080" xr:uid="{BBA1D114-78D5-4D5A-A388-2BF89098C5CA}"/>
    <cellStyle name="Normal 10 8 5" xfId="24873" xr:uid="{516EAAA7-9AD1-4650-A817-3DCE8E8859DB}"/>
    <cellStyle name="Normal 10 9" xfId="1475" xr:uid="{00000000-0005-0000-0000-00008B050000}"/>
    <cellStyle name="Normal 10 9 2" xfId="2202" xr:uid="{00000000-0005-0000-0000-00008C050000}"/>
    <cellStyle name="Normal 10 9 2 2" xfId="4295" xr:uid="{00000000-0005-0000-0000-00008B050000}"/>
    <cellStyle name="Normal 10 9 2 2 2" xfId="11199" xr:uid="{AC9D481B-3DCE-4D13-AD83-A71B3AF4AA6F}"/>
    <cellStyle name="Normal 10 9 2 2 2 2" xfId="33685" xr:uid="{5BA75F4B-956B-4539-9CEC-6B6A1DF0C2EF}"/>
    <cellStyle name="Normal 10 9 2 2 3" xfId="27467" xr:uid="{1CEB320F-7E32-4E71-982B-972A3BD7F545}"/>
    <cellStyle name="Normal 10 9 2 3" xfId="9115" xr:uid="{1F77E327-A802-4923-BD86-4970BA518DB8}"/>
    <cellStyle name="Normal 10 9 2 3 2" xfId="31691" xr:uid="{D3AA360F-6744-4BC2-AE84-12FEAEFD1FD6}"/>
    <cellStyle name="Normal 10 9 2 4" xfId="25570" xr:uid="{93DE19AE-BF38-48B3-A3CD-212681064D7A}"/>
    <cellStyle name="Normal 10 9 3" xfId="3576" xr:uid="{00000000-0005-0000-0000-00008A050000}"/>
    <cellStyle name="Normal 10 9 3 2" xfId="10481" xr:uid="{353E8059-82D9-416C-8299-56C571E3FF11}"/>
    <cellStyle name="Normal 10 9 3 2 2" xfId="32968" xr:uid="{602F2BC0-4C6A-4173-9B58-C9E45FC4FEAB}"/>
    <cellStyle name="Normal 10 9 3 3" xfId="26789" xr:uid="{04DE8F17-C139-4748-A906-EFB66EC1AD28}"/>
    <cellStyle name="Normal 10 9 4" xfId="8517" xr:uid="{14FB0263-614C-4E2C-9643-C69CC22E05D0}"/>
    <cellStyle name="Normal 10 9 4 2" xfId="31104" xr:uid="{1D9D99DA-39EB-4891-AF37-CF188C61C4CD}"/>
    <cellStyle name="Normal 10 9 5" xfId="24897" xr:uid="{97D2F48B-1AA0-4D96-811B-AFC53959CE3B}"/>
    <cellStyle name="Normal 11" xfId="215" xr:uid="{00000000-0005-0000-0000-00008D050000}"/>
    <cellStyle name="Normal 11 10" xfId="1560" xr:uid="{00000000-0005-0000-0000-00008E050000}"/>
    <cellStyle name="Normal 11 10 2" xfId="3661" xr:uid="{00000000-0005-0000-0000-00008D050000}"/>
    <cellStyle name="Normal 11 10 2 2" xfId="10565" xr:uid="{2977B7EE-C2E1-4DD4-BD3E-6944E9F36695}"/>
    <cellStyle name="Normal 11 10 2 2 2" xfId="33051" xr:uid="{0B9D282F-0DE8-4386-8843-1C2DE88AB937}"/>
    <cellStyle name="Normal 11 10 2 3" xfId="26872" xr:uid="{0EC8C9BE-72A4-4999-B565-A1F6A92CDEDF}"/>
    <cellStyle name="Normal 11 10 3" xfId="8597" xr:uid="{8BC7AA77-D9ED-4CE1-994D-7A25478CB3A3}"/>
    <cellStyle name="Normal 11 10 3 2" xfId="31184" xr:uid="{3FD0245B-B937-4CEE-B5C8-41B479511BA6}"/>
    <cellStyle name="Normal 11 10 4" xfId="24982" xr:uid="{164CE071-8597-4DFE-94E0-422192276365}"/>
    <cellStyle name="Normal 11 11" xfId="2384" xr:uid="{00000000-0005-0000-0000-00008C050000}"/>
    <cellStyle name="Normal 11 11 2" xfId="9293" xr:uid="{592F4B73-676C-4DBC-92DF-61E100693315}"/>
    <cellStyle name="Normal 11 11 2 2" xfId="31868" xr:uid="{B763AF68-9B78-4CD2-8C71-D1CF1E6C0B3B}"/>
    <cellStyle name="Normal 11 11 3" xfId="25737" xr:uid="{809CBB4B-9A47-4CD6-B1C6-F6E9CA28A5D7}"/>
    <cellStyle name="Normal 11 12" xfId="7386" xr:uid="{9FD298EC-5ECD-409E-9382-EF5B8F2FE72E}"/>
    <cellStyle name="Normal 11 12 2" xfId="30070" xr:uid="{40826D4E-41DF-435C-9021-11678D094D33}"/>
    <cellStyle name="Normal 11 13" xfId="23783" xr:uid="{D776D86D-C6EA-44D2-A307-4C5A6AFB96AC}"/>
    <cellStyle name="Normal 11 2" xfId="406" xr:uid="{00000000-0005-0000-0000-00008F050000}"/>
    <cellStyle name="Normal 11 2 2" xfId="1616" xr:uid="{00000000-0005-0000-0000-000090050000}"/>
    <cellStyle name="Normal 11 2 2 2" xfId="3717" xr:uid="{00000000-0005-0000-0000-00008F050000}"/>
    <cellStyle name="Normal 11 2 2 2 2" xfId="10621" xr:uid="{58B62857-7352-4597-9ED2-7139FB9A79CC}"/>
    <cellStyle name="Normal 11 2 2 2 2 2" xfId="33107" xr:uid="{A9FAA515-5E49-4ECC-BD6A-A28762563EA1}"/>
    <cellStyle name="Normal 11 2 2 2 3" xfId="26928" xr:uid="{542F04AB-07A0-43B5-9980-FCEB07046A38}"/>
    <cellStyle name="Normal 11 2 2 3" xfId="8651" xr:uid="{9F4352CB-693A-4BBE-BDA1-71BD6C8AAA89}"/>
    <cellStyle name="Normal 11 2 2 3 2" xfId="31237" xr:uid="{22E67682-9FE0-49EE-ACE9-B3D3112AFB71}"/>
    <cellStyle name="Normal 11 2 2 4" xfId="25037" xr:uid="{3092194F-FDD8-43BA-AA46-E793DE04D05C}"/>
    <cellStyle name="Normal 11 2 3" xfId="2565" xr:uid="{00000000-0005-0000-0000-00008E050000}"/>
    <cellStyle name="Normal 11 2 3 2" xfId="9474" xr:uid="{5A5579C7-65A2-4A0F-B83E-BC276317BD42}"/>
    <cellStyle name="Normal 11 2 3 2 2" xfId="32026" xr:uid="{553AB66E-88AF-4F5B-836B-F16A65B7083F}"/>
    <cellStyle name="Normal 11 2 3 3" xfId="25890" xr:uid="{79511026-D6A9-49E6-A8E0-D9F6884AC8E0}"/>
    <cellStyle name="Normal 11 2 4" xfId="7569" xr:uid="{3B020485-AE0C-4EE6-A7CA-077C0E502E05}"/>
    <cellStyle name="Normal 11 2 4 2" xfId="30232" xr:uid="{BE4F80C7-463C-44C7-B0F6-71F4C8553A89}"/>
    <cellStyle name="Normal 11 2 5" xfId="23950" xr:uid="{FB90496A-A583-4F63-9C02-AC4A7BEB27B1}"/>
    <cellStyle name="Normal 11 3" xfId="563" xr:uid="{00000000-0005-0000-0000-000091050000}"/>
    <cellStyle name="Normal 11 3 2" xfId="1701" xr:uid="{00000000-0005-0000-0000-000092050000}"/>
    <cellStyle name="Normal 11 3 2 2" xfId="3799" xr:uid="{00000000-0005-0000-0000-000091050000}"/>
    <cellStyle name="Normal 11 3 2 2 2" xfId="10703" xr:uid="{B6C836BC-AB3A-4D37-9004-A97B2461A8CE}"/>
    <cellStyle name="Normal 11 3 2 2 2 2" xfId="33189" xr:uid="{FFC551A5-A4DF-4108-9737-DBB6F491F111}"/>
    <cellStyle name="Normal 11 3 2 2 3" xfId="27006" xr:uid="{9E75F239-E63F-4F92-BBF4-4A7F89AB7D5B}"/>
    <cellStyle name="Normal 11 3 2 3" xfId="8716" xr:uid="{138FD5DE-2BD3-4991-A585-E5126B0B4884}"/>
    <cellStyle name="Normal 11 3 2 3 2" xfId="31301" xr:uid="{ED385D97-43C6-4996-A352-A646DCF48F71}"/>
    <cellStyle name="Normal 11 3 2 4" xfId="25116" xr:uid="{91E7842D-3AA7-4965-95AF-FDBCE8969621}"/>
    <cellStyle name="Normal 11 3 3" xfId="2714" xr:uid="{00000000-0005-0000-0000-000090050000}"/>
    <cellStyle name="Normal 11 3 3 2" xfId="9623" xr:uid="{DCDB842E-EFE9-4BE1-9354-9D701AD6CA2C}"/>
    <cellStyle name="Normal 11 3 3 2 2" xfId="32171" xr:uid="{B4F27AE1-67C8-4DBC-B653-F968F85F9877}"/>
    <cellStyle name="Normal 11 3 3 3" xfId="26023" xr:uid="{3AD1BD47-7650-4156-B981-C496BAAFCE21}"/>
    <cellStyle name="Normal 11 3 4" xfId="7706" xr:uid="{66A9BC36-09AB-4B0F-AF1E-1DFFA1B40AF3}"/>
    <cellStyle name="Normal 11 3 4 2" xfId="30355" xr:uid="{822AB23F-411D-4575-BBA8-81FAE8F602CC}"/>
    <cellStyle name="Normal 11 3 5" xfId="24089" xr:uid="{CD9FC6BF-C1BD-45F4-931B-168ED524D432}"/>
    <cellStyle name="Normal 11 4" xfId="806" xr:uid="{00000000-0005-0000-0000-000093050000}"/>
    <cellStyle name="Normal 11 4 2" xfId="1798" xr:uid="{00000000-0005-0000-0000-000094050000}"/>
    <cellStyle name="Normal 11 4 2 2" xfId="3896" xr:uid="{00000000-0005-0000-0000-000093050000}"/>
    <cellStyle name="Normal 11 4 2 2 2" xfId="10800" xr:uid="{0BDA4D67-41F9-437A-AAF3-29616D32C204}"/>
    <cellStyle name="Normal 11 4 2 2 2 2" xfId="33286" xr:uid="{DE5A4A19-AA79-408E-B217-0EE884B6E9BF}"/>
    <cellStyle name="Normal 11 4 2 2 3" xfId="27095" xr:uid="{B637AC32-4E5C-41C8-B062-D63878F33515}"/>
    <cellStyle name="Normal 11 4 2 3" xfId="8798" xr:uid="{A49482B4-E179-4FC7-81B1-C18732CF04CE}"/>
    <cellStyle name="Normal 11 4 2 3 2" xfId="31381" xr:uid="{596DD788-A9D6-4814-A12A-2F9984EED5A9}"/>
    <cellStyle name="Normal 11 4 2 4" xfId="25204" xr:uid="{2CD9ACB1-DE31-4D4C-A958-104FE32F037D}"/>
    <cellStyle name="Normal 11 4 3" xfId="2944" xr:uid="{00000000-0005-0000-0000-000092050000}"/>
    <cellStyle name="Normal 11 4 3 2" xfId="9853" xr:uid="{A303C7FF-B352-4330-B4E1-0FC13D49C857}"/>
    <cellStyle name="Normal 11 4 3 2 2" xfId="32377" xr:uid="{7C5DE638-4930-45CB-AED4-7A703600AAFD}"/>
    <cellStyle name="Normal 11 4 3 3" xfId="26230" xr:uid="{EAE181D4-52AE-4184-99A7-A8AB48EF71E2}"/>
    <cellStyle name="Normal 11 4 4" xfId="7927" xr:uid="{03959E84-5796-47D3-A292-25467C1ADBF1}"/>
    <cellStyle name="Normal 11 4 4 2" xfId="30552" xr:uid="{2E9D3951-691F-4D71-9256-320BEDB43B01}"/>
    <cellStyle name="Normal 11 4 5" xfId="24302" xr:uid="{E921B4C6-9AD0-4E7B-B201-D394285150CC}"/>
    <cellStyle name="Normal 11 5" xfId="992" xr:uid="{00000000-0005-0000-0000-000095050000}"/>
    <cellStyle name="Normal 11 5 2" xfId="1887" xr:uid="{00000000-0005-0000-0000-000096050000}"/>
    <cellStyle name="Normal 11 5 2 2" xfId="3985" xr:uid="{00000000-0005-0000-0000-000095050000}"/>
    <cellStyle name="Normal 11 5 2 2 2" xfId="10889" xr:uid="{37D4C770-E89E-4557-B888-1C8C89EC4DB6}"/>
    <cellStyle name="Normal 11 5 2 2 2 2" xfId="33375" xr:uid="{832D48B9-1117-4F0D-B9F2-692145EDE65D}"/>
    <cellStyle name="Normal 11 5 2 2 3" xfId="27176" xr:uid="{7493761B-EAC7-4DFD-964C-2E16EB2FC086}"/>
    <cellStyle name="Normal 11 5 2 3" xfId="8870" xr:uid="{70E92D10-95DB-40DD-ADAE-D3C1CD77E486}"/>
    <cellStyle name="Normal 11 5 2 3 2" xfId="31451" xr:uid="{4111895B-D91D-4C83-BA11-942F719D2C53}"/>
    <cellStyle name="Normal 11 5 2 4" xfId="25283" xr:uid="{31FF7246-443F-40A1-BCD5-010D155A5A75}"/>
    <cellStyle name="Normal 11 5 3" xfId="3120" xr:uid="{00000000-0005-0000-0000-000094050000}"/>
    <cellStyle name="Normal 11 5 3 2" xfId="10029" xr:uid="{0532D5C6-902D-48B5-822F-B285CEC3BB76}"/>
    <cellStyle name="Normal 11 5 3 2 2" xfId="32537" xr:uid="{B24CE79F-AF1A-4683-A9E3-D5C37F1D0F5D}"/>
    <cellStyle name="Normal 11 5 3 3" xfId="26377" xr:uid="{B3987EA6-A161-4E1D-9979-EC7F7D9228A6}"/>
    <cellStyle name="Normal 11 5 4" xfId="8093" xr:uid="{C8CEEED9-C85C-4884-98F8-DC252B12338D}"/>
    <cellStyle name="Normal 11 5 4 2" xfId="30708" xr:uid="{501701B4-ED9D-4879-BFF9-DA76F31BBEE4}"/>
    <cellStyle name="Normal 11 5 5" xfId="24468" xr:uid="{8961319E-931F-4CD8-A19C-1EEBB8AB8F76}"/>
    <cellStyle name="Normal 11 6" xfId="1176" xr:uid="{00000000-0005-0000-0000-000097050000}"/>
    <cellStyle name="Normal 11 6 2" xfId="1982" xr:uid="{00000000-0005-0000-0000-000098050000}"/>
    <cellStyle name="Normal 11 6 2 2" xfId="4078" xr:uid="{00000000-0005-0000-0000-000097050000}"/>
    <cellStyle name="Normal 11 6 2 2 2" xfId="10982" xr:uid="{C69120C9-8FB0-45DF-BA80-6BD3A218F325}"/>
    <cellStyle name="Normal 11 6 2 2 2 2" xfId="33468" xr:uid="{C2E003C4-1FE2-46C7-BC0A-9F7024770480}"/>
    <cellStyle name="Normal 11 6 2 2 3" xfId="27263" xr:uid="{93DC6AD2-49F9-4609-A8EB-EBD441E72E8A}"/>
    <cellStyle name="Normal 11 6 2 3" xfId="8940" xr:uid="{07949418-B059-4E26-9345-07D7DD4BA7C3}"/>
    <cellStyle name="Normal 11 6 2 3 2" xfId="31519" xr:uid="{496B14F7-88A2-425C-9F00-D93950F2E848}"/>
    <cellStyle name="Normal 11 6 2 4" xfId="25368" xr:uid="{586F65F5-93B8-4C96-B302-E4502A051708}"/>
    <cellStyle name="Normal 11 6 3" xfId="3294" xr:uid="{00000000-0005-0000-0000-000096050000}"/>
    <cellStyle name="Normal 11 6 3 2" xfId="10202" xr:uid="{7CC49E72-53FE-4B48-8C85-7510323E8914}"/>
    <cellStyle name="Normal 11 6 3 2 2" xfId="32697" xr:uid="{C59A3DFD-2E18-4CF8-9427-D3B8A37F9528}"/>
    <cellStyle name="Normal 11 6 3 3" xfId="26530" xr:uid="{D2CA63A6-70DA-4681-89C9-816157DDC080}"/>
    <cellStyle name="Normal 11 6 4" xfId="8258" xr:uid="{DF7F6221-1570-4468-81BF-162C952672C4}"/>
    <cellStyle name="Normal 11 6 4 2" xfId="30862" xr:uid="{51FEB960-3A09-4675-B145-1A1EA8AF9007}"/>
    <cellStyle name="Normal 11 6 5" xfId="24627" xr:uid="{F455D20D-3E95-4D28-9865-8491ED62325A}"/>
    <cellStyle name="Normal 11 7" xfId="1339" xr:uid="{00000000-0005-0000-0000-000099050000}"/>
    <cellStyle name="Normal 11 7 2" xfId="2072" xr:uid="{00000000-0005-0000-0000-00009A050000}"/>
    <cellStyle name="Normal 11 7 2 2" xfId="4167" xr:uid="{00000000-0005-0000-0000-000099050000}"/>
    <cellStyle name="Normal 11 7 2 2 2" xfId="11071" xr:uid="{8A34A491-B965-4D7A-AB61-A313A56976F1}"/>
    <cellStyle name="Normal 11 7 2 2 2 2" xfId="33557" xr:uid="{E4E00D1F-3115-41A9-9A84-958E3AB232F9}"/>
    <cellStyle name="Normal 11 7 2 2 3" xfId="27345" xr:uid="{A8B09643-E48B-4054-BF1A-411710962BAD}"/>
    <cellStyle name="Normal 11 7 2 3" xfId="9011" xr:uid="{8B39B2C0-1E4F-45B0-8E32-3D0EAC8AA4A3}"/>
    <cellStyle name="Normal 11 7 2 3 2" xfId="31589" xr:uid="{06363AC0-6A45-424E-A6FE-CF91C7626BCE}"/>
    <cellStyle name="Normal 11 7 2 4" xfId="25452" xr:uid="{4C05784E-C9C1-430A-BC9F-C836CB273229}"/>
    <cellStyle name="Normal 11 7 3" xfId="3447" xr:uid="{00000000-0005-0000-0000-000098050000}"/>
    <cellStyle name="Normal 11 7 3 2" xfId="10355" xr:uid="{BC60765C-578A-44B2-A85B-D67723867187}"/>
    <cellStyle name="Normal 11 7 3 2 2" xfId="32842" xr:uid="{B7D8A01A-5CAF-4748-ABA8-F3839CA88693}"/>
    <cellStyle name="Normal 11 7 3 3" xfId="26668" xr:uid="{F0CC235B-4F57-453C-BB2C-430C36791C77}"/>
    <cellStyle name="Normal 11 7 4" xfId="8405" xr:uid="{5FD335F2-68C8-4412-BE51-F36003EA28CD}"/>
    <cellStyle name="Normal 11 7 4 2" xfId="30993" xr:uid="{B4D3FB32-4EC4-4ADA-8510-6DC218EF2CF2}"/>
    <cellStyle name="Normal 11 7 5" xfId="24767" xr:uid="{1264D1C1-418A-46AD-A505-B8DAA2BF69F5}"/>
    <cellStyle name="Normal 11 8" xfId="1411" xr:uid="{00000000-0005-0000-0000-00009B050000}"/>
    <cellStyle name="Normal 11 8 2" xfId="2140" xr:uid="{00000000-0005-0000-0000-00009C050000}"/>
    <cellStyle name="Normal 11 8 2 2" xfId="4233" xr:uid="{00000000-0005-0000-0000-00009B050000}"/>
    <cellStyle name="Normal 11 8 2 2 2" xfId="11137" xr:uid="{A05F0CCC-C204-4060-B019-9A693FE3DE53}"/>
    <cellStyle name="Normal 11 8 2 2 2 2" xfId="33623" xr:uid="{448DA126-26A5-42E4-B283-378538CE8CEA}"/>
    <cellStyle name="Normal 11 8 2 2 3" xfId="27405" xr:uid="{81D4B3F1-3C1A-4388-B363-46062436AAAD}"/>
    <cellStyle name="Normal 11 8 2 3" xfId="9058" xr:uid="{46795B66-CAC0-4E13-840B-6591505E23F2}"/>
    <cellStyle name="Normal 11 8 2 3 2" xfId="31634" xr:uid="{D1983300-EBEE-489B-89BA-361B182F0CC2}"/>
    <cellStyle name="Normal 11 8 2 4" xfId="25510" xr:uid="{484AE007-65DA-4522-8386-D286570FDF82}"/>
    <cellStyle name="Normal 11 8 3" xfId="3513" xr:uid="{00000000-0005-0000-0000-00009A050000}"/>
    <cellStyle name="Normal 11 8 3 2" xfId="10420" xr:uid="{7E10F4A7-77BB-412D-AF4C-97694C3D5836}"/>
    <cellStyle name="Normal 11 8 3 2 2" xfId="32907" xr:uid="{EF8F6CE7-73D1-42E1-AD97-743816CF1692}"/>
    <cellStyle name="Normal 11 8 3 3" xfId="26726" xr:uid="{15431598-DB71-4B4D-9395-338B0CEACE64}"/>
    <cellStyle name="Normal 11 8 4" xfId="8455" xr:uid="{CEB54D67-B9D2-40C6-A405-26337FBD139E}"/>
    <cellStyle name="Normal 11 8 4 2" xfId="31042" xr:uid="{FF0FE425-81FE-4B60-8730-6294C8D42F22}"/>
    <cellStyle name="Normal 11 8 5" xfId="24835" xr:uid="{6447267B-2AF5-4EBD-BC21-35651F8CF3FD}"/>
    <cellStyle name="Normal 11 9" xfId="1502" xr:uid="{00000000-0005-0000-0000-00009D050000}"/>
    <cellStyle name="Normal 11 9 2" xfId="2229" xr:uid="{00000000-0005-0000-0000-00009E050000}"/>
    <cellStyle name="Normal 11 9 2 2" xfId="4322" xr:uid="{00000000-0005-0000-0000-00009D050000}"/>
    <cellStyle name="Normal 11 9 2 2 2" xfId="11226" xr:uid="{671B1426-E27C-4E27-A966-E3D761BB7E79}"/>
    <cellStyle name="Normal 11 9 2 2 2 2" xfId="33712" xr:uid="{E95D4C78-CA9B-47A8-84EF-ADA854F3E5CA}"/>
    <cellStyle name="Normal 11 9 2 2 3" xfId="27494" xr:uid="{4558D7A1-AC81-4263-9366-D222DD22F27E}"/>
    <cellStyle name="Normal 11 9 2 3" xfId="9142" xr:uid="{49568AF2-19C9-4323-8955-D01292FC1EB4}"/>
    <cellStyle name="Normal 11 9 2 3 2" xfId="31718" xr:uid="{1568F514-8FD4-436A-AD04-00ED89092891}"/>
    <cellStyle name="Normal 11 9 2 4" xfId="25597" xr:uid="{24A79DA1-F475-4F52-9256-8148F4354D2C}"/>
    <cellStyle name="Normal 11 9 3" xfId="3603" xr:uid="{00000000-0005-0000-0000-00009C050000}"/>
    <cellStyle name="Normal 11 9 3 2" xfId="10508" xr:uid="{6A232854-E0E5-4F8D-BADA-CEF4C5EE3479}"/>
    <cellStyle name="Normal 11 9 3 2 2" xfId="32995" xr:uid="{5A672B96-E6A8-465F-8B18-5F5222F7B793}"/>
    <cellStyle name="Normal 11 9 3 3" xfId="26816" xr:uid="{303BE8CD-DC4D-4691-90B6-394E643E7020}"/>
    <cellStyle name="Normal 11 9 4" xfId="8544" xr:uid="{8CF4C53D-1CCD-461C-8C0B-756B950AEFCA}"/>
    <cellStyle name="Normal 11 9 4 2" xfId="31131" xr:uid="{2642A756-D645-4C99-8381-AA886A36EF27}"/>
    <cellStyle name="Normal 11 9 5" xfId="24924" xr:uid="{69634288-7DE9-434D-AF03-3A60C362AF5F}"/>
    <cellStyle name="Normal 12" xfId="216" xr:uid="{00000000-0005-0000-0000-00009F050000}"/>
    <cellStyle name="Normal 12 10" xfId="1561" xr:uid="{00000000-0005-0000-0000-0000A0050000}"/>
    <cellStyle name="Normal 12 10 2" xfId="3662" xr:uid="{00000000-0005-0000-0000-00009F050000}"/>
    <cellStyle name="Normal 12 10 2 2" xfId="10566" xr:uid="{5B6B052A-694D-40B8-AAAC-F4D2D8E76FD6}"/>
    <cellStyle name="Normal 12 10 2 2 2" xfId="33052" xr:uid="{7FD85B29-7EC6-4235-A4EF-79E37F835970}"/>
    <cellStyle name="Normal 12 10 2 3" xfId="26873" xr:uid="{B729A7E3-0220-42F3-9A33-0C224926F0F2}"/>
    <cellStyle name="Normal 12 10 3" xfId="8598" xr:uid="{9CA38D78-C023-4656-9407-74D95D156C72}"/>
    <cellStyle name="Normal 12 10 3 2" xfId="31185" xr:uid="{FAB6E2EF-688C-46DF-8D9F-FB4EAFC8C50A}"/>
    <cellStyle name="Normal 12 10 4" xfId="24983" xr:uid="{EF7C8421-D715-4BE5-AF71-5240C2B830D9}"/>
    <cellStyle name="Normal 12 11" xfId="2385" xr:uid="{00000000-0005-0000-0000-00009E050000}"/>
    <cellStyle name="Normal 12 11 2" xfId="9294" xr:uid="{6B60244A-456E-4F25-837A-ECA3246E2490}"/>
    <cellStyle name="Normal 12 11 2 2" xfId="31869" xr:uid="{C8B5F128-B2EF-406F-A4A5-B1A2192D1505}"/>
    <cellStyle name="Normal 12 11 3" xfId="25738" xr:uid="{33621259-2BD8-4890-9EB0-05BA9B6BC6CD}"/>
    <cellStyle name="Normal 12 12" xfId="7387" xr:uid="{F07D892B-03E6-489A-99FC-BB4E1BCB6EA7}"/>
    <cellStyle name="Normal 12 12 2" xfId="30071" xr:uid="{2878EFB9-6224-439F-83FA-943CEEFBAD5E}"/>
    <cellStyle name="Normal 12 13" xfId="23784" xr:uid="{9B5B1BE6-191E-4AC5-BFE2-FA44CE41ECB3}"/>
    <cellStyle name="Normal 12 2" xfId="407" xr:uid="{00000000-0005-0000-0000-0000A1050000}"/>
    <cellStyle name="Normal 12 2 2" xfId="1617" xr:uid="{00000000-0005-0000-0000-0000A2050000}"/>
    <cellStyle name="Normal 12 2 2 2" xfId="3718" xr:uid="{00000000-0005-0000-0000-0000A1050000}"/>
    <cellStyle name="Normal 12 2 2 2 2" xfId="10622" xr:uid="{82D98069-6C6B-4270-BC73-B9B488F486C2}"/>
    <cellStyle name="Normal 12 2 2 2 2 2" xfId="33108" xr:uid="{E8A45AC3-E455-4A04-BE61-FB2D49C97BB2}"/>
    <cellStyle name="Normal 12 2 2 2 3" xfId="26929" xr:uid="{EB21BEA7-4C22-4C54-93BE-A0E9FA505C5E}"/>
    <cellStyle name="Normal 12 2 2 3" xfId="8652" xr:uid="{EFD4B8A8-F262-4402-90CD-6D7CB44B922A}"/>
    <cellStyle name="Normal 12 2 2 3 2" xfId="31238" xr:uid="{20687E5B-5254-4ADD-A884-BC972F97EFCC}"/>
    <cellStyle name="Normal 12 2 2 4" xfId="25038" xr:uid="{53EEA7CF-6B34-4398-B630-2D1FD158E967}"/>
    <cellStyle name="Normal 12 2 3" xfId="2566" xr:uid="{00000000-0005-0000-0000-0000A0050000}"/>
    <cellStyle name="Normal 12 2 3 2" xfId="9475" xr:uid="{29BFDDE9-FC02-47E9-AEDB-5B3473BDDCE2}"/>
    <cellStyle name="Normal 12 2 3 2 2" xfId="32027" xr:uid="{F5DC0E66-B29D-433B-9E35-C3D3974E56F6}"/>
    <cellStyle name="Normal 12 2 3 3" xfId="25891" xr:uid="{FC72B06E-D7D9-422F-81BF-DA811F264407}"/>
    <cellStyle name="Normal 12 2 4" xfId="7570" xr:uid="{0593E7D6-13DA-44F4-B0BD-F8BADFEDC20F}"/>
    <cellStyle name="Normal 12 2 4 2" xfId="30233" xr:uid="{1F07B8C9-22E5-4A4B-9AA8-970933EF7121}"/>
    <cellStyle name="Normal 12 2 5" xfId="23951" xr:uid="{0FBE7A04-FA6F-472E-B4F7-BF96A787A131}"/>
    <cellStyle name="Normal 12 3" xfId="564" xr:uid="{00000000-0005-0000-0000-0000A3050000}"/>
    <cellStyle name="Normal 12 3 2" xfId="1702" xr:uid="{00000000-0005-0000-0000-0000A4050000}"/>
    <cellStyle name="Normal 12 3 2 2" xfId="3800" xr:uid="{00000000-0005-0000-0000-0000A3050000}"/>
    <cellStyle name="Normal 12 3 2 2 2" xfId="10704" xr:uid="{FE9DE891-71EF-49B3-A2E2-4B459F67FDDD}"/>
    <cellStyle name="Normal 12 3 2 2 2 2" xfId="33190" xr:uid="{C296E767-565E-4282-AC4C-A57CD64C5259}"/>
    <cellStyle name="Normal 12 3 2 2 3" xfId="27007" xr:uid="{0BF2A3B7-B8DB-4AF8-A598-600710664A23}"/>
    <cellStyle name="Normal 12 3 2 3" xfId="8717" xr:uid="{43D2D767-7066-47B1-87B0-22C1BAF16600}"/>
    <cellStyle name="Normal 12 3 2 3 2" xfId="31302" xr:uid="{2D348628-78ED-4C76-8B66-604CF434AA75}"/>
    <cellStyle name="Normal 12 3 2 4" xfId="25117" xr:uid="{6213C1BC-84DC-43C4-9FF9-8CEF4548E727}"/>
    <cellStyle name="Normal 12 3 3" xfId="2715" xr:uid="{00000000-0005-0000-0000-0000A2050000}"/>
    <cellStyle name="Normal 12 3 3 2" xfId="9624" xr:uid="{CF581F17-9195-47B6-8467-4C721DBEA5C9}"/>
    <cellStyle name="Normal 12 3 3 2 2" xfId="32172" xr:uid="{66331187-E53E-402B-9AA5-CB951D900275}"/>
    <cellStyle name="Normal 12 3 3 3" xfId="26024" xr:uid="{74EA9694-7328-4083-92CF-F0DABC93AC9E}"/>
    <cellStyle name="Normal 12 3 4" xfId="7707" xr:uid="{1A3C9A2F-6F39-4D65-853E-E964B6815F73}"/>
    <cellStyle name="Normal 12 3 4 2" xfId="30356" xr:uid="{A45B2070-DCEE-444E-A920-34C77044E75D}"/>
    <cellStyle name="Normal 12 3 5" xfId="24090" xr:uid="{3123C558-8974-43D2-AA31-A2C4F8E2B510}"/>
    <cellStyle name="Normal 12 4" xfId="807" xr:uid="{00000000-0005-0000-0000-0000A5050000}"/>
    <cellStyle name="Normal 12 4 2" xfId="1799" xr:uid="{00000000-0005-0000-0000-0000A6050000}"/>
    <cellStyle name="Normal 12 4 2 2" xfId="3897" xr:uid="{00000000-0005-0000-0000-0000A5050000}"/>
    <cellStyle name="Normal 12 4 2 2 2" xfId="10801" xr:uid="{AB135C6B-91E0-4655-AEF8-5D91E4213F37}"/>
    <cellStyle name="Normal 12 4 2 2 2 2" xfId="33287" xr:uid="{DFBFF09D-7806-4250-B7B6-A7ABE7B9D6D9}"/>
    <cellStyle name="Normal 12 4 2 2 3" xfId="27096" xr:uid="{E86445B4-E429-4071-AB04-BF1D2B12E6DA}"/>
    <cellStyle name="Normal 12 4 2 3" xfId="8799" xr:uid="{731B91FB-7B0D-4CAC-83FC-CBD8851316F7}"/>
    <cellStyle name="Normal 12 4 2 3 2" xfId="31382" xr:uid="{7BF51392-EE82-4669-98D4-F80CC702471D}"/>
    <cellStyle name="Normal 12 4 2 4" xfId="25205" xr:uid="{2B4AF2C5-82CA-4BCB-BF1C-D99AA2ADB6C0}"/>
    <cellStyle name="Normal 12 4 3" xfId="2945" xr:uid="{00000000-0005-0000-0000-0000A4050000}"/>
    <cellStyle name="Normal 12 4 3 2" xfId="9854" xr:uid="{30802383-D33C-4481-8FF4-5F1DB7FC31E2}"/>
    <cellStyle name="Normal 12 4 3 2 2" xfId="32378" xr:uid="{3FBF9E2F-943C-4639-99C1-1F2F4DE4D997}"/>
    <cellStyle name="Normal 12 4 3 3" xfId="26231" xr:uid="{B2B6CC8F-CFED-4294-8C19-D967EB46B77B}"/>
    <cellStyle name="Normal 12 4 4" xfId="7928" xr:uid="{E28EA59F-262A-40F1-82E1-141BF41912A5}"/>
    <cellStyle name="Normal 12 4 4 2" xfId="30553" xr:uid="{145B4EB4-AA1E-44B7-8368-B76B97B73042}"/>
    <cellStyle name="Normal 12 4 5" xfId="24303" xr:uid="{7BAEA076-D738-4598-A8C6-7A002405F40D}"/>
    <cellStyle name="Normal 12 5" xfId="993" xr:uid="{00000000-0005-0000-0000-0000A7050000}"/>
    <cellStyle name="Normal 12 5 2" xfId="1888" xr:uid="{00000000-0005-0000-0000-0000A8050000}"/>
    <cellStyle name="Normal 12 5 2 2" xfId="3986" xr:uid="{00000000-0005-0000-0000-0000A7050000}"/>
    <cellStyle name="Normal 12 5 2 2 2" xfId="10890" xr:uid="{2EDC7079-0E48-4598-8C21-445A21C87CCE}"/>
    <cellStyle name="Normal 12 5 2 2 2 2" xfId="33376" xr:uid="{B545FF94-1326-4F0E-B618-825FBD8EB62A}"/>
    <cellStyle name="Normal 12 5 2 2 3" xfId="27177" xr:uid="{CE3CD3AD-220F-49C0-91A2-917A27CFE39B}"/>
    <cellStyle name="Normal 12 5 2 3" xfId="8871" xr:uid="{6D83EFCB-FD85-413F-81D8-221B25775905}"/>
    <cellStyle name="Normal 12 5 2 3 2" xfId="31452" xr:uid="{0D8EF922-B17D-4D9C-979C-F0721EA7724D}"/>
    <cellStyle name="Normal 12 5 2 4" xfId="25284" xr:uid="{8C73FBA4-F9B6-47CC-A3B3-B85BD66C89E5}"/>
    <cellStyle name="Normal 12 5 3" xfId="3121" xr:uid="{00000000-0005-0000-0000-0000A6050000}"/>
    <cellStyle name="Normal 12 5 3 2" xfId="10030" xr:uid="{77CC7456-C4F9-4E48-89A2-E0618E0E9EAE}"/>
    <cellStyle name="Normal 12 5 3 2 2" xfId="32538" xr:uid="{2B024D02-7D6B-4A24-990C-F631A05BC55B}"/>
    <cellStyle name="Normal 12 5 3 3" xfId="26378" xr:uid="{F149B6F1-D5B0-4E07-A8F8-4ADD10E60EA1}"/>
    <cellStyle name="Normal 12 5 4" xfId="8094" xr:uid="{34FB5323-E98F-4F06-A1AE-4688044FAFA2}"/>
    <cellStyle name="Normal 12 5 4 2" xfId="30709" xr:uid="{D4774EB2-F549-4795-B46D-371ABD4A0488}"/>
    <cellStyle name="Normal 12 5 5" xfId="24469" xr:uid="{A20C748F-06D0-4C4B-BB54-ED702CFA556F}"/>
    <cellStyle name="Normal 12 6" xfId="1177" xr:uid="{00000000-0005-0000-0000-0000A9050000}"/>
    <cellStyle name="Normal 12 6 2" xfId="1983" xr:uid="{00000000-0005-0000-0000-0000AA050000}"/>
    <cellStyle name="Normal 12 6 2 2" xfId="4079" xr:uid="{00000000-0005-0000-0000-0000A9050000}"/>
    <cellStyle name="Normal 12 6 2 2 2" xfId="10983" xr:uid="{491E8521-83AE-4EF4-B13C-0E568B3C9FB6}"/>
    <cellStyle name="Normal 12 6 2 2 2 2" xfId="33469" xr:uid="{EE088D10-A973-4F5C-AAAD-00E07EDF784E}"/>
    <cellStyle name="Normal 12 6 2 2 3" xfId="27264" xr:uid="{DAAEE7DC-4A3A-4221-9664-F699D4DB31CE}"/>
    <cellStyle name="Normal 12 6 2 3" xfId="8941" xr:uid="{A13638FB-B826-4521-9283-E1C2A5F0751E}"/>
    <cellStyle name="Normal 12 6 2 3 2" xfId="31520" xr:uid="{248255C9-EBA7-4953-B44B-9E45DD8D986A}"/>
    <cellStyle name="Normal 12 6 2 4" xfId="25369" xr:uid="{4F49E271-99ED-404A-AB74-9B180F25DA9B}"/>
    <cellStyle name="Normal 12 6 3" xfId="3295" xr:uid="{00000000-0005-0000-0000-0000A8050000}"/>
    <cellStyle name="Normal 12 6 3 2" xfId="10203" xr:uid="{32E464B7-0E72-49B6-A825-F0BE2A99B535}"/>
    <cellStyle name="Normal 12 6 3 2 2" xfId="32698" xr:uid="{467210A7-4A91-4436-86A6-E934B91A8629}"/>
    <cellStyle name="Normal 12 6 3 3" xfId="26531" xr:uid="{64D3188D-A280-45EC-884F-699D26045F8E}"/>
    <cellStyle name="Normal 12 6 4" xfId="8259" xr:uid="{70C77594-FE3D-4B6B-9567-25DD6840905A}"/>
    <cellStyle name="Normal 12 6 4 2" xfId="30863" xr:uid="{98C6AFE2-1E94-4B58-AA02-67EBD633DAF8}"/>
    <cellStyle name="Normal 12 6 5" xfId="24628" xr:uid="{B7E330B0-BDE1-47B5-B567-3EC85092B758}"/>
    <cellStyle name="Normal 12 7" xfId="1340" xr:uid="{00000000-0005-0000-0000-0000AB050000}"/>
    <cellStyle name="Normal 12 7 2" xfId="2073" xr:uid="{00000000-0005-0000-0000-0000AC050000}"/>
    <cellStyle name="Normal 12 7 2 2" xfId="4168" xr:uid="{00000000-0005-0000-0000-0000AB050000}"/>
    <cellStyle name="Normal 12 7 2 2 2" xfId="11072" xr:uid="{DB779BFA-A6EF-47E3-943A-938BF81E0EDF}"/>
    <cellStyle name="Normal 12 7 2 2 2 2" xfId="33558" xr:uid="{C6BAACA2-9874-47FE-BEC8-5CE4C06C473D}"/>
    <cellStyle name="Normal 12 7 2 2 3" xfId="27346" xr:uid="{10E508B8-FD23-4C4E-B9A7-10F21D446FC1}"/>
    <cellStyle name="Normal 12 7 2 3" xfId="9012" xr:uid="{946F864C-2244-48B8-A9DD-8C229B1547B3}"/>
    <cellStyle name="Normal 12 7 2 3 2" xfId="31590" xr:uid="{073EA1F7-E016-44A5-ACF2-B24024339279}"/>
    <cellStyle name="Normal 12 7 2 4" xfId="25453" xr:uid="{3A75F367-77FC-4A6E-99B5-9EA241AD3F1A}"/>
    <cellStyle name="Normal 12 7 3" xfId="3448" xr:uid="{00000000-0005-0000-0000-0000AA050000}"/>
    <cellStyle name="Normal 12 7 3 2" xfId="10356" xr:uid="{5EFCD5EA-FBF7-46F4-9E88-8130AB659DDB}"/>
    <cellStyle name="Normal 12 7 3 2 2" xfId="32843" xr:uid="{F7B5CF59-CA53-4D7E-BEB2-C374A89B907E}"/>
    <cellStyle name="Normal 12 7 3 3" xfId="26669" xr:uid="{7610FA01-DC27-4E0D-8645-E49EA8AC451D}"/>
    <cellStyle name="Normal 12 7 4" xfId="8406" xr:uid="{17516016-25E5-4065-8F2E-E7FCC1E39E43}"/>
    <cellStyle name="Normal 12 7 4 2" xfId="30994" xr:uid="{C82D96F8-C523-41E1-89DF-6EFFFA02AFD4}"/>
    <cellStyle name="Normal 12 7 5" xfId="24768" xr:uid="{0C662906-ACCF-412F-B1A3-4560515881C0}"/>
    <cellStyle name="Normal 12 8" xfId="1407" xr:uid="{00000000-0005-0000-0000-0000AD050000}"/>
    <cellStyle name="Normal 12 8 2" xfId="2136" xr:uid="{00000000-0005-0000-0000-0000AE050000}"/>
    <cellStyle name="Normal 12 8 2 2" xfId="4229" xr:uid="{00000000-0005-0000-0000-0000AD050000}"/>
    <cellStyle name="Normal 12 8 2 2 2" xfId="11133" xr:uid="{5BF4BE12-BF36-4106-B4E4-5EBC4A45214C}"/>
    <cellStyle name="Normal 12 8 2 2 2 2" xfId="33619" xr:uid="{CF9F634F-7A1B-4CDE-8C91-17FA358076D6}"/>
    <cellStyle name="Normal 12 8 2 2 3" xfId="27401" xr:uid="{A4F75820-A8B4-4FB6-B8C4-3B5EE07EF237}"/>
    <cellStyle name="Normal 12 8 2 3" xfId="9055" xr:uid="{0DD736DD-54C4-4C27-9AC4-ABA9CC305D8F}"/>
    <cellStyle name="Normal 12 8 2 3 2" xfId="31631" xr:uid="{C9C3FA5A-DFF5-40CF-ACB0-5E00B606ADD7}"/>
    <cellStyle name="Normal 12 8 2 4" xfId="25506" xr:uid="{C13954E2-81F4-4023-B40C-7F7657BB4034}"/>
    <cellStyle name="Normal 12 8 3" xfId="3509" xr:uid="{00000000-0005-0000-0000-0000AC050000}"/>
    <cellStyle name="Normal 12 8 3 2" xfId="10416" xr:uid="{3F314921-0B8A-4A02-A6F2-1BFD774D3BC7}"/>
    <cellStyle name="Normal 12 8 3 2 2" xfId="32903" xr:uid="{4406053D-79A9-41F5-84AE-8F562C9CE512}"/>
    <cellStyle name="Normal 12 8 3 3" xfId="26723" xr:uid="{7D4940B6-4515-4C15-BDDC-592D5DFE10E3}"/>
    <cellStyle name="Normal 12 8 4" xfId="8451" xr:uid="{FBF91878-EEBE-465B-9D74-0D4857C9A2DE}"/>
    <cellStyle name="Normal 12 8 4 2" xfId="31039" xr:uid="{88A1203C-37DC-4E38-978B-2E48201E0358}"/>
    <cellStyle name="Normal 12 8 5" xfId="24832" xr:uid="{680E62C6-810F-4E72-97FE-52AD78CD33CE}"/>
    <cellStyle name="Normal 12 9" xfId="1503" xr:uid="{00000000-0005-0000-0000-0000AF050000}"/>
    <cellStyle name="Normal 12 9 2" xfId="2230" xr:uid="{00000000-0005-0000-0000-0000B0050000}"/>
    <cellStyle name="Normal 12 9 2 2" xfId="4323" xr:uid="{00000000-0005-0000-0000-0000AF050000}"/>
    <cellStyle name="Normal 12 9 2 2 2" xfId="11227" xr:uid="{137D070C-ABFC-4A37-B66A-7604665A2655}"/>
    <cellStyle name="Normal 12 9 2 2 2 2" xfId="33713" xr:uid="{BFEC4050-12F5-45D2-897B-2ED13C6E3F66}"/>
    <cellStyle name="Normal 12 9 2 2 3" xfId="27495" xr:uid="{03848D7A-2689-41B6-BCFB-2D4AFCE3AC79}"/>
    <cellStyle name="Normal 12 9 2 3" xfId="9143" xr:uid="{B743661A-3240-4C97-92A8-626543016B41}"/>
    <cellStyle name="Normal 12 9 2 3 2" xfId="31719" xr:uid="{4F1ACEDC-9A5E-4DE5-BB00-B09015804165}"/>
    <cellStyle name="Normal 12 9 2 4" xfId="25598" xr:uid="{F0438F6C-D039-48FE-B70E-58F3B1908E73}"/>
    <cellStyle name="Normal 12 9 3" xfId="3604" xr:uid="{00000000-0005-0000-0000-0000AE050000}"/>
    <cellStyle name="Normal 12 9 3 2" xfId="10509" xr:uid="{EABA4747-B7D2-42BA-BD00-2913D611424D}"/>
    <cellStyle name="Normal 12 9 3 2 2" xfId="32996" xr:uid="{89BADCC6-1D1F-41E2-ABC7-47EAB6077762}"/>
    <cellStyle name="Normal 12 9 3 3" xfId="26817" xr:uid="{AB5F3630-D15D-406E-BD6B-C647D37696DB}"/>
    <cellStyle name="Normal 12 9 4" xfId="8545" xr:uid="{7B648CEB-85CB-42A8-B54A-73F5AFAC4F56}"/>
    <cellStyle name="Normal 12 9 4 2" xfId="31132" xr:uid="{90E49C7C-6273-4006-BFF0-813EBBB2610E}"/>
    <cellStyle name="Normal 12 9 5" xfId="24925" xr:uid="{67CE9DFD-6EB7-48B4-8659-FE0A46A35DF3}"/>
    <cellStyle name="Normal 13" xfId="223" xr:uid="{00000000-0005-0000-0000-0000B1050000}"/>
    <cellStyle name="Normal 14" xfId="227" xr:uid="{00000000-0005-0000-0000-0000B2050000}"/>
    <cellStyle name="Normal 14 2" xfId="1567" xr:uid="{00000000-0005-0000-0000-0000B3050000}"/>
    <cellStyle name="Normal 14 2 2" xfId="3668" xr:uid="{00000000-0005-0000-0000-0000B2050000}"/>
    <cellStyle name="Normal 14 2 2 2" xfId="10572" xr:uid="{DA6A4E34-B11B-472D-83B3-0AD173E035F0}"/>
    <cellStyle name="Normal 14 2 2 2 2" xfId="33058" xr:uid="{AEF5ED69-9535-4831-8252-E9CCE24EF500}"/>
    <cellStyle name="Normal 14 2 2 3" xfId="26879" xr:uid="{4200111D-27A2-4BB7-9395-EED7DF3A1E20}"/>
    <cellStyle name="Normal 14 2 3" xfId="8604" xr:uid="{DE760443-1459-41E7-9DEB-37061DBAB8DD}"/>
    <cellStyle name="Normal 14 2 3 2" xfId="31191" xr:uid="{89FF5D6E-F4A9-4EC4-B7ED-9D37A68F1CDA}"/>
    <cellStyle name="Normal 14 2 4" xfId="24989" xr:uid="{34C97D6C-ACAD-49F9-B15F-97497B0B88E2}"/>
    <cellStyle name="Normal 14 3" xfId="2394" xr:uid="{00000000-0005-0000-0000-0000B1050000}"/>
    <cellStyle name="Normal 14 3 2" xfId="9303" xr:uid="{84ACD648-B490-4BD6-A6DA-298C4031498D}"/>
    <cellStyle name="Normal 14 3 2 2" xfId="31878" xr:uid="{52EE309D-FD1F-4E06-BDB8-744334C15E2C}"/>
    <cellStyle name="Normal 14 3 3" xfId="25747" xr:uid="{F2767B63-CA07-462F-BF5D-C88F718E27A9}"/>
    <cellStyle name="Normal 14 4" xfId="7396" xr:uid="{9E4540DB-6152-4086-97B7-4A865A2A4140}"/>
    <cellStyle name="Normal 14 4 2" xfId="30080" xr:uid="{B9F572AC-D2C3-4DA6-B30B-B09FE1E0E42F}"/>
    <cellStyle name="Normal 14 5" xfId="23793" xr:uid="{D42034EA-C2CC-43D0-A1F3-F0ED21A2CCFB}"/>
    <cellStyle name="Normal 15" xfId="1395" xr:uid="{00000000-0005-0000-0000-0000B4050000}"/>
    <cellStyle name="Normal 15 2" xfId="2124" xr:uid="{00000000-0005-0000-0000-0000B5050000}"/>
    <cellStyle name="Normal 15 2 2" xfId="4217" xr:uid="{00000000-0005-0000-0000-0000B4050000}"/>
    <cellStyle name="Normal 15 2 2 2" xfId="11121" xr:uid="{FA64E933-35C4-44F2-B07F-4611CDD0C4C4}"/>
    <cellStyle name="Normal 15 2 2 2 2" xfId="33607" xr:uid="{7FED33AE-859A-40FB-91AD-DB227A98E139}"/>
    <cellStyle name="Normal 15 2 2 3" xfId="27389" xr:uid="{94114455-BA09-4D38-BF7A-0C53760E1D35}"/>
    <cellStyle name="Normal 15 2 3" xfId="9043" xr:uid="{A26AFE39-4463-4469-BF4F-564CAA42DAEE}"/>
    <cellStyle name="Normal 15 2 3 2" xfId="31619" xr:uid="{570EC288-26DA-411B-B720-F9159CB207E3}"/>
    <cellStyle name="Normal 15 2 4" xfId="25494" xr:uid="{02559826-4F87-416F-ADD9-8928D8AF921C}"/>
    <cellStyle name="Normal 15 3" xfId="3497" xr:uid="{00000000-0005-0000-0000-0000B3050000}"/>
    <cellStyle name="Normal 15 3 2" xfId="10404" xr:uid="{A4720FA7-E6B1-4C69-9579-C361A0118B3D}"/>
    <cellStyle name="Normal 15 3 2 2" xfId="32891" xr:uid="{A9B21F5E-5F0B-4602-88B1-0FA5965ED4D2}"/>
    <cellStyle name="Normal 15 3 3" xfId="26711" xr:uid="{58C9D8CE-C029-4346-98CF-5B71EA6D7238}"/>
    <cellStyle name="Normal 15 4" xfId="8440" xr:uid="{34C76EB3-08D8-4AB1-A593-DF8A52322EB7}"/>
    <cellStyle name="Normal 15 4 2" xfId="31028" xr:uid="{121D9289-A1C5-4635-B800-F49B8208FC12}"/>
    <cellStyle name="Normal 15 5" xfId="24820" xr:uid="{EA5A1AF8-0E6E-4843-86E0-0115775E09D1}"/>
    <cellStyle name="Normal 16" xfId="1397" xr:uid="{00000000-0005-0000-0000-0000B6050000}"/>
    <cellStyle name="Normal 16 2" xfId="2126" xr:uid="{00000000-0005-0000-0000-0000B7050000}"/>
    <cellStyle name="Normal 16 2 2" xfId="4219" xr:uid="{00000000-0005-0000-0000-0000B6050000}"/>
    <cellStyle name="Normal 16 2 2 2" xfId="11123" xr:uid="{48C6FF92-F228-4359-AAA2-A38AEBA7CC79}"/>
    <cellStyle name="Normal 16 2 2 2 2" xfId="33609" xr:uid="{9C2A67D3-F5D5-44E6-950E-45318C858BB9}"/>
    <cellStyle name="Normal 16 2 2 3" xfId="27391" xr:uid="{6F302ABA-C04C-4BC1-8229-6AB68D9FB8FD}"/>
    <cellStyle name="Normal 16 2 3" xfId="9045" xr:uid="{5DC44D06-0AB8-4847-AD88-EC812AF344AF}"/>
    <cellStyle name="Normal 16 2 3 2" xfId="31621" xr:uid="{7036CF5D-92EE-4FA3-9160-B8C687BA9C04}"/>
    <cellStyle name="Normal 16 2 4" xfId="25496" xr:uid="{54494730-F949-4EAB-9A45-3CDCB8ABB363}"/>
    <cellStyle name="Normal 16 3" xfId="3499" xr:uid="{00000000-0005-0000-0000-0000B5050000}"/>
    <cellStyle name="Normal 16 3 2" xfId="10406" xr:uid="{B0A3F305-808F-4158-900A-8F47DD9107F3}"/>
    <cellStyle name="Normal 16 3 2 2" xfId="32893" xr:uid="{8636D676-0F24-4A50-B094-97BE12146191}"/>
    <cellStyle name="Normal 16 3 3" xfId="26713" xr:uid="{741F8EB5-0386-4E34-A48F-848EF3CFE433}"/>
    <cellStyle name="Normal 16 4" xfId="8442" xr:uid="{A3E888BB-8D7F-4D16-B0F5-A9B13A841AE7}"/>
    <cellStyle name="Normal 16 4 2" xfId="31030" xr:uid="{C5874E06-2C30-4ABB-8B17-D55930B2EE5C}"/>
    <cellStyle name="Normal 16 5" xfId="24822" xr:uid="{30488D07-A96F-4FED-A092-F7B01980EDFF}"/>
    <cellStyle name="Normal 17" xfId="1399" xr:uid="{00000000-0005-0000-0000-0000B8050000}"/>
    <cellStyle name="Normal 17 2" xfId="2128" xr:uid="{00000000-0005-0000-0000-0000B9050000}"/>
    <cellStyle name="Normal 17 2 2" xfId="4221" xr:uid="{00000000-0005-0000-0000-0000B8050000}"/>
    <cellStyle name="Normal 17 2 2 2" xfId="11125" xr:uid="{98D71559-D9A0-45B8-BB94-D3E3147EF171}"/>
    <cellStyle name="Normal 17 2 2 2 2" xfId="33611" xr:uid="{4E54D019-BCEB-4A9D-97AA-A63C8CCF4056}"/>
    <cellStyle name="Normal 17 2 2 3" xfId="27393" xr:uid="{04FB4712-AA96-4E8B-9BB4-2FBE8F3DB2A0}"/>
    <cellStyle name="Normal 17 2 3" xfId="9047" xr:uid="{35B5ACA0-90E4-42D8-89CF-42192FFFD168}"/>
    <cellStyle name="Normal 17 2 3 2" xfId="31623" xr:uid="{3D721D68-8840-4AA7-AE00-1368EEC9EE31}"/>
    <cellStyle name="Normal 17 2 4" xfId="25498" xr:uid="{1B1306C0-FE63-485C-904D-86986ABDBB58}"/>
    <cellStyle name="Normal 17 3" xfId="3501" xr:uid="{00000000-0005-0000-0000-0000B7050000}"/>
    <cellStyle name="Normal 17 3 2" xfId="10408" xr:uid="{E2DB58CB-A1A3-4061-87FB-E6C9992E24EF}"/>
    <cellStyle name="Normal 17 3 2 2" xfId="32895" xr:uid="{664574C0-6ACA-497A-9B77-5399D63B3775}"/>
    <cellStyle name="Normal 17 3 3" xfId="26715" xr:uid="{12ED6613-13BB-4A25-BA96-A2E1A43A7D98}"/>
    <cellStyle name="Normal 17 4" xfId="8444" xr:uid="{7C70B698-373E-4FB4-990E-E04D2B90B4FC}"/>
    <cellStyle name="Normal 17 4 2" xfId="31032" xr:uid="{6792438C-1507-4E50-88A8-28B36530F410}"/>
    <cellStyle name="Normal 17 5" xfId="24824" xr:uid="{9139D027-A398-4103-814C-BF56B7766EB0}"/>
    <cellStyle name="Normal 18" xfId="1401" xr:uid="{00000000-0005-0000-0000-0000BA050000}"/>
    <cellStyle name="Normal 18 2" xfId="2130" xr:uid="{00000000-0005-0000-0000-0000BB050000}"/>
    <cellStyle name="Normal 18 2 2" xfId="4223" xr:uid="{00000000-0005-0000-0000-0000BA050000}"/>
    <cellStyle name="Normal 18 2 2 2" xfId="11127" xr:uid="{60726FAF-B7C0-4548-86EA-C848230E1589}"/>
    <cellStyle name="Normal 18 2 2 2 2" xfId="33613" xr:uid="{FC0B7F86-FEDA-4B4E-A0E6-D25A09CDD04B}"/>
    <cellStyle name="Normal 18 2 2 3" xfId="27395" xr:uid="{6A6BABE1-E5B9-4ED5-A5B0-F0867C10A125}"/>
    <cellStyle name="Normal 18 2 3" xfId="9049" xr:uid="{8758088C-8C92-48F1-BCA1-CDD5FA9467B6}"/>
    <cellStyle name="Normal 18 2 3 2" xfId="31625" xr:uid="{050D6859-5D77-44A0-94ED-1A3E654CEAFB}"/>
    <cellStyle name="Normal 18 2 4" xfId="25500" xr:uid="{880EEC0E-0ADE-42AE-A045-E22BB9C6EAE7}"/>
    <cellStyle name="Normal 18 3" xfId="3503" xr:uid="{00000000-0005-0000-0000-0000B9050000}"/>
    <cellStyle name="Normal 18 3 2" xfId="10410" xr:uid="{D79C594A-2E19-4FA3-BD49-5B726A2A0700}"/>
    <cellStyle name="Normal 18 3 2 2" xfId="32897" xr:uid="{754D23E1-8910-4877-AD13-52BDECDCC461}"/>
    <cellStyle name="Normal 18 3 3" xfId="26717" xr:uid="{BB2B120C-601D-4D54-BB14-04C45C599FE0}"/>
    <cellStyle name="Normal 18 4" xfId="8446" xr:uid="{7314867F-8761-484B-8817-6FC2A13827FB}"/>
    <cellStyle name="Normal 18 4 2" xfId="31034" xr:uid="{E91E92B6-375F-489D-BB22-D646BD0C0354}"/>
    <cellStyle name="Normal 18 5" xfId="24826" xr:uid="{17FCCBCC-3FFE-4F33-9A36-6D53B6A6D9CC}"/>
    <cellStyle name="Normal 19" xfId="1403" xr:uid="{00000000-0005-0000-0000-0000BC050000}"/>
    <cellStyle name="Normal 19 2" xfId="2132" xr:uid="{00000000-0005-0000-0000-0000BD050000}"/>
    <cellStyle name="Normal 19 2 2" xfId="4225" xr:uid="{00000000-0005-0000-0000-0000BC050000}"/>
    <cellStyle name="Normal 19 2 2 2" xfId="11129" xr:uid="{BFB1B7CC-AAAA-47A2-8363-37A5E8ACDCAB}"/>
    <cellStyle name="Normal 19 2 2 2 2" xfId="33615" xr:uid="{6AD7BEA5-7F94-4939-845C-5AF91675AD7B}"/>
    <cellStyle name="Normal 19 2 2 3" xfId="27397" xr:uid="{81E249FF-1939-49F6-A167-E441CBD31C84}"/>
    <cellStyle name="Normal 19 2 3" xfId="9051" xr:uid="{EC10F81E-E5FC-4C9F-A052-6831255CF5A2}"/>
    <cellStyle name="Normal 19 2 3 2" xfId="31627" xr:uid="{53915E9E-0ECA-47D8-8545-7A677DD1C37C}"/>
    <cellStyle name="Normal 19 2 4" xfId="25502" xr:uid="{D86CF395-8929-4528-A7C0-E4B28B2E2650}"/>
    <cellStyle name="Normal 19 3" xfId="3505" xr:uid="{00000000-0005-0000-0000-0000BB050000}"/>
    <cellStyle name="Normal 19 3 2" xfId="10412" xr:uid="{BE03F102-DD59-4E70-8E80-523265B68C54}"/>
    <cellStyle name="Normal 19 3 2 2" xfId="32899" xr:uid="{3C63C358-CBE9-4F76-BE40-8B770461C880}"/>
    <cellStyle name="Normal 19 3 3" xfId="26719" xr:uid="{93DDF88A-006B-46FA-8C88-363541602399}"/>
    <cellStyle name="Normal 19 4" xfId="8448" xr:uid="{A038657F-C1D3-4389-B1E0-56B66BACBB68}"/>
    <cellStyle name="Normal 19 4 2" xfId="31036" xr:uid="{D9D16393-0B37-4359-A73B-CACCDE021CD7}"/>
    <cellStyle name="Normal 19 5" xfId="24828" xr:uid="{58F4A3D2-8DC3-493C-BF77-CEDA72E95D6E}"/>
    <cellStyle name="Normal 2" xfId="10" xr:uid="{00000000-0005-0000-0000-0000BE050000}"/>
    <cellStyle name="Normal 2 10" xfId="645" xr:uid="{00000000-0005-0000-0000-0000BF050000}"/>
    <cellStyle name="Normal 2 11" xfId="1063" xr:uid="{00000000-0005-0000-0000-0000C0050000}"/>
    <cellStyle name="Normal 2 12" xfId="1394" xr:uid="{00000000-0005-0000-0000-0000C1050000}"/>
    <cellStyle name="Normal 2 12 2" xfId="2123" xr:uid="{00000000-0005-0000-0000-0000C2050000}"/>
    <cellStyle name="Normal 2 12 2 2" xfId="4216" xr:uid="{00000000-0005-0000-0000-0000C1050000}"/>
    <cellStyle name="Normal 2 12 2 2 2" xfId="11120" xr:uid="{383D886E-FF96-4F60-AA9E-D12889EA0BC4}"/>
    <cellStyle name="Normal 2 12 2 2 2 2" xfId="33606" xr:uid="{D45F89DF-8441-4358-BDBC-A8D45CF9BF40}"/>
    <cellStyle name="Normal 2 12 2 2 3" xfId="27388" xr:uid="{357BAD7F-1FDA-4DB7-A04C-F9C99859959F}"/>
    <cellStyle name="Normal 2 12 2 3" xfId="9042" xr:uid="{185C55D4-F057-4D04-9121-3932123F5D91}"/>
    <cellStyle name="Normal 2 12 2 3 2" xfId="31618" xr:uid="{56742013-C53F-49FF-A250-C1B1AC300D57}"/>
    <cellStyle name="Normal 2 12 2 4" xfId="25493" xr:uid="{808AB412-8DB3-4C77-9898-7869536F19A3}"/>
    <cellStyle name="Normal 2 12 3" xfId="3496" xr:uid="{00000000-0005-0000-0000-0000C0050000}"/>
    <cellStyle name="Normal 2 12 3 2" xfId="10403" xr:uid="{DC44022E-8399-4703-96C9-28FB8F0F1C10}"/>
    <cellStyle name="Normal 2 12 3 2 2" xfId="32890" xr:uid="{3BAB5354-D011-4C7C-88DA-0F6499CAE7A0}"/>
    <cellStyle name="Normal 2 12 3 3" xfId="26710" xr:uid="{042209CB-2259-4604-AB80-542AA3EFAE3A}"/>
    <cellStyle name="Normal 2 12 4" xfId="8439" xr:uid="{21C73C73-8ACF-441E-AF0A-A36BD91C34A1}"/>
    <cellStyle name="Normal 2 12 4 2" xfId="31027" xr:uid="{E8828D73-3DFD-408D-AB87-47D4FEF4E8DD}"/>
    <cellStyle name="Normal 2 12 5" xfId="24819" xr:uid="{20555C28-5BE1-4642-853B-474993C3541D}"/>
    <cellStyle name="Normal 2 13" xfId="1511" xr:uid="{00000000-0005-0000-0000-0000C3050000}"/>
    <cellStyle name="Normal 2 13 2" xfId="3612" xr:uid="{00000000-0005-0000-0000-0000C2050000}"/>
    <cellStyle name="Normal 2 14" xfId="2244" xr:uid="{00000000-0005-0000-0000-0000C4050000}"/>
    <cellStyle name="Normal 2 14 2" xfId="4336" xr:uid="{00000000-0005-0000-0000-0000C3050000}"/>
    <cellStyle name="Normal 2 2" xfId="23" xr:uid="{00000000-0005-0000-0000-0000C5050000}"/>
    <cellStyle name="Normal 2 3" xfId="219" xr:uid="{00000000-0005-0000-0000-0000C6050000}"/>
    <cellStyle name="Normal 2 3 10" xfId="1564" xr:uid="{00000000-0005-0000-0000-0000C7050000}"/>
    <cellStyle name="Normal 2 3 10 2" xfId="3665" xr:uid="{00000000-0005-0000-0000-0000C6050000}"/>
    <cellStyle name="Normal 2 3 10 2 2" xfId="10569" xr:uid="{CB05CB40-840B-4F48-BFB0-B6E9B42879FC}"/>
    <cellStyle name="Normal 2 3 10 2 2 2" xfId="33055" xr:uid="{E4DBDC59-CEB0-42B9-B480-01A897DA2806}"/>
    <cellStyle name="Normal 2 3 10 2 3" xfId="26876" xr:uid="{C19CF482-DA4D-48EC-A3E4-A8EDE190F097}"/>
    <cellStyle name="Normal 2 3 10 3" xfId="8601" xr:uid="{5B71446E-89DA-4D73-836F-C8792964094F}"/>
    <cellStyle name="Normal 2 3 10 3 2" xfId="31188" xr:uid="{314689A3-0ECA-4D2F-9B95-69479E85429F}"/>
    <cellStyle name="Normal 2 3 10 4" xfId="24986" xr:uid="{B071C708-75AA-4B13-8747-AEC65326F070}"/>
    <cellStyle name="Normal 2 3 11" xfId="2388" xr:uid="{00000000-0005-0000-0000-0000C5050000}"/>
    <cellStyle name="Normal 2 3 11 2" xfId="9297" xr:uid="{C4DDAFA9-C546-43FB-AE65-9606C369B9AF}"/>
    <cellStyle name="Normal 2 3 11 2 2" xfId="31872" xr:uid="{331C51AC-0BC6-49BC-AFD1-0AD44B141113}"/>
    <cellStyle name="Normal 2 3 11 3" xfId="25741" xr:uid="{3451AD62-0745-4E74-9FB1-E15E276DEEA0}"/>
    <cellStyle name="Normal 2 3 12" xfId="7390" xr:uid="{97559316-5635-47A2-A857-79B763AC609E}"/>
    <cellStyle name="Normal 2 3 12 2" xfId="30074" xr:uid="{DABCAAD8-FFED-4EA4-A7A7-A4E0D8E8EA4F}"/>
    <cellStyle name="Normal 2 3 13" xfId="23787" xr:uid="{74BD5405-B04F-4770-9640-8AAD3CF7704B}"/>
    <cellStyle name="Normal 2 3 2" xfId="410" xr:uid="{00000000-0005-0000-0000-0000C8050000}"/>
    <cellStyle name="Normal 2 3 2 2" xfId="1620" xr:uid="{00000000-0005-0000-0000-0000C9050000}"/>
    <cellStyle name="Normal 2 3 2 2 2" xfId="3721" xr:uid="{00000000-0005-0000-0000-0000C8050000}"/>
    <cellStyle name="Normal 2 3 2 2 2 2" xfId="10625" xr:uid="{4CBEF40B-3EAF-4BE3-B5B7-7EF3FB1D9A96}"/>
    <cellStyle name="Normal 2 3 2 2 2 2 2" xfId="33111" xr:uid="{01B7D9EE-8164-4BA9-A0C2-F18A2A356658}"/>
    <cellStyle name="Normal 2 3 2 2 2 3" xfId="26932" xr:uid="{A6200435-BA37-4F82-8DF1-85CFB00C9901}"/>
    <cellStyle name="Normal 2 3 2 2 3" xfId="8655" xr:uid="{3AC0A910-D6EC-4B7C-9621-5BD731C0A86C}"/>
    <cellStyle name="Normal 2 3 2 2 3 2" xfId="31241" xr:uid="{0BFF6761-0F66-479D-B533-D1F675043673}"/>
    <cellStyle name="Normal 2 3 2 2 4" xfId="25041" xr:uid="{36E8241B-72E9-477C-A385-B0F6078908FE}"/>
    <cellStyle name="Normal 2 3 2 3" xfId="2569" xr:uid="{00000000-0005-0000-0000-0000C7050000}"/>
    <cellStyle name="Normal 2 3 2 3 2" xfId="9478" xr:uid="{E44390A8-44E5-4B32-963B-0E340BF6F87E}"/>
    <cellStyle name="Normal 2 3 2 3 2 2" xfId="32030" xr:uid="{6E05A18D-0C73-48F3-8031-B097FE708ED8}"/>
    <cellStyle name="Normal 2 3 2 3 3" xfId="25894" xr:uid="{A3698738-8672-42DE-BD1D-EF95A3C0FBA7}"/>
    <cellStyle name="Normal 2 3 2 4" xfId="7573" xr:uid="{7DAE3F04-5815-47AD-944A-53D9B1518BC7}"/>
    <cellStyle name="Normal 2 3 2 4 2" xfId="30236" xr:uid="{8787DCF8-6E4D-4576-95DF-93B248A89F54}"/>
    <cellStyle name="Normal 2 3 2 5" xfId="23954" xr:uid="{940BCA32-5722-47C0-86A8-E953A1D337F6}"/>
    <cellStyle name="Normal 2 3 3" xfId="567" xr:uid="{00000000-0005-0000-0000-0000CA050000}"/>
    <cellStyle name="Normal 2 3 3 2" xfId="1705" xr:uid="{00000000-0005-0000-0000-0000CB050000}"/>
    <cellStyle name="Normal 2 3 3 2 2" xfId="3803" xr:uid="{00000000-0005-0000-0000-0000CA050000}"/>
    <cellStyle name="Normal 2 3 3 2 2 2" xfId="10707" xr:uid="{49280E84-EEE6-4C1A-B733-8958548C48A0}"/>
    <cellStyle name="Normal 2 3 3 2 2 2 2" xfId="33193" xr:uid="{4A24C7BC-B089-4361-B301-9B334E55ACCC}"/>
    <cellStyle name="Normal 2 3 3 2 2 3" xfId="27010" xr:uid="{BC55277C-D968-4EA0-983C-B86C54E2E22E}"/>
    <cellStyle name="Normal 2 3 3 2 3" xfId="8720" xr:uid="{1A34BA25-E33B-4118-B0EF-54DF0CFAF445}"/>
    <cellStyle name="Normal 2 3 3 2 3 2" xfId="31305" xr:uid="{E5AF70CD-F8EC-4660-9BAD-EC78AFD06FE3}"/>
    <cellStyle name="Normal 2 3 3 2 4" xfId="25120" xr:uid="{439E7A97-79F7-490D-B869-2DAF669F18E6}"/>
    <cellStyle name="Normal 2 3 3 3" xfId="2718" xr:uid="{00000000-0005-0000-0000-0000C9050000}"/>
    <cellStyle name="Normal 2 3 3 3 2" xfId="9627" xr:uid="{441AB2DA-F64D-47DC-B9A2-19471F5B3E76}"/>
    <cellStyle name="Normal 2 3 3 3 2 2" xfId="32175" xr:uid="{741FAF4E-89B1-4C33-9C70-592143BB56A2}"/>
    <cellStyle name="Normal 2 3 3 3 3" xfId="26027" xr:uid="{BE787FF2-3B8C-4DD6-9D58-F10C44DD6BEE}"/>
    <cellStyle name="Normal 2 3 3 4" xfId="7710" xr:uid="{6161332D-54C9-4ACB-A86B-7CAC0CC14710}"/>
    <cellStyle name="Normal 2 3 3 4 2" xfId="30359" xr:uid="{2EA7F7D1-DB09-40DB-A204-5F7E4D635F25}"/>
    <cellStyle name="Normal 2 3 3 5" xfId="24093" xr:uid="{10B58196-77A1-47C4-B29C-6965671C066A}"/>
    <cellStyle name="Normal 2 3 4" xfId="810" xr:uid="{00000000-0005-0000-0000-0000CC050000}"/>
    <cellStyle name="Normal 2 3 4 2" xfId="1802" xr:uid="{00000000-0005-0000-0000-0000CD050000}"/>
    <cellStyle name="Normal 2 3 4 2 2" xfId="3900" xr:uid="{00000000-0005-0000-0000-0000CC050000}"/>
    <cellStyle name="Normal 2 3 4 2 2 2" xfId="10804" xr:uid="{CAF063B2-2D3F-4034-B24C-6EBE4BF7E7B6}"/>
    <cellStyle name="Normal 2 3 4 2 2 2 2" xfId="33290" xr:uid="{FDEA521E-5A82-4365-A520-DB2B32BE6DAE}"/>
    <cellStyle name="Normal 2 3 4 2 2 3" xfId="27099" xr:uid="{202A77EE-FAB3-452B-9B8B-DA803EC4AF1D}"/>
    <cellStyle name="Normal 2 3 4 2 3" xfId="8802" xr:uid="{94EB2025-3672-4E93-ABDA-0EF9594D5306}"/>
    <cellStyle name="Normal 2 3 4 2 3 2" xfId="31385" xr:uid="{D2A245DC-7F32-4408-A8EC-7AF96F70A9F3}"/>
    <cellStyle name="Normal 2 3 4 2 4" xfId="25208" xr:uid="{2EE08A40-7A2F-47C3-971A-A80058064185}"/>
    <cellStyle name="Normal 2 3 4 3" xfId="2948" xr:uid="{00000000-0005-0000-0000-0000CB050000}"/>
    <cellStyle name="Normal 2 3 4 3 2" xfId="9857" xr:uid="{1276F382-4FDB-4BDA-8385-3EF0D5113E33}"/>
    <cellStyle name="Normal 2 3 4 3 2 2" xfId="32381" xr:uid="{E1CF778C-A553-456B-826E-76EE01B56ECD}"/>
    <cellStyle name="Normal 2 3 4 3 3" xfId="26234" xr:uid="{7B3F0976-D9C6-49A8-BCDE-0F81C996CCE5}"/>
    <cellStyle name="Normal 2 3 4 4" xfId="7931" xr:uid="{DC2DC772-9C3B-4393-9ACD-096A2DB83BE4}"/>
    <cellStyle name="Normal 2 3 4 4 2" xfId="30556" xr:uid="{D3D17639-7F1B-443E-8F4D-9495AC0E0AFD}"/>
    <cellStyle name="Normal 2 3 4 5" xfId="24306" xr:uid="{7BD85CA2-D726-4D5A-9E3D-7DCFC8568150}"/>
    <cellStyle name="Normal 2 3 5" xfId="996" xr:uid="{00000000-0005-0000-0000-0000CE050000}"/>
    <cellStyle name="Normal 2 3 5 2" xfId="1891" xr:uid="{00000000-0005-0000-0000-0000CF050000}"/>
    <cellStyle name="Normal 2 3 5 2 2" xfId="3989" xr:uid="{00000000-0005-0000-0000-0000CE050000}"/>
    <cellStyle name="Normal 2 3 5 2 2 2" xfId="10893" xr:uid="{B8886C00-4FE9-4B20-8576-861496F04F8D}"/>
    <cellStyle name="Normal 2 3 5 2 2 2 2" xfId="33379" xr:uid="{F1840239-C82E-414F-B8B2-57DEABB6985D}"/>
    <cellStyle name="Normal 2 3 5 2 2 3" xfId="27180" xr:uid="{DE135BE7-6F05-417C-BBD0-9F9D3471F7F2}"/>
    <cellStyle name="Normal 2 3 5 2 3" xfId="8874" xr:uid="{54DBE461-3ED2-4E04-92ED-DCEB96F14E7C}"/>
    <cellStyle name="Normal 2 3 5 2 3 2" xfId="31455" xr:uid="{43DC165D-799C-4D07-9874-7FC2EBF420FF}"/>
    <cellStyle name="Normal 2 3 5 2 4" xfId="25287" xr:uid="{955B2BC3-C9FF-467B-9727-E12EE174C607}"/>
    <cellStyle name="Normal 2 3 5 3" xfId="3124" xr:uid="{00000000-0005-0000-0000-0000CD050000}"/>
    <cellStyle name="Normal 2 3 5 3 2" xfId="10033" xr:uid="{3BD9ECA9-3A8D-4CBD-9C67-22F94682060D}"/>
    <cellStyle name="Normal 2 3 5 3 2 2" xfId="32541" xr:uid="{092337F8-F1DF-4892-B5F9-EA32A0619875}"/>
    <cellStyle name="Normal 2 3 5 3 3" xfId="26381" xr:uid="{49D45FF0-B178-4278-B20A-14C10F533B33}"/>
    <cellStyle name="Normal 2 3 5 4" xfId="8097" xr:uid="{C823019E-9D46-4CA0-A8A7-7B864C497D64}"/>
    <cellStyle name="Normal 2 3 5 4 2" xfId="30712" xr:uid="{101575C2-6A04-40F5-95A5-52EF531BBB7A}"/>
    <cellStyle name="Normal 2 3 5 5" xfId="24472" xr:uid="{81FE9870-11CD-4997-8274-4C1ADBDB1C8C}"/>
    <cellStyle name="Normal 2 3 6" xfId="1180" xr:uid="{00000000-0005-0000-0000-0000D0050000}"/>
    <cellStyle name="Normal 2 3 6 2" xfId="1986" xr:uid="{00000000-0005-0000-0000-0000D1050000}"/>
    <cellStyle name="Normal 2 3 6 2 2" xfId="4082" xr:uid="{00000000-0005-0000-0000-0000D0050000}"/>
    <cellStyle name="Normal 2 3 6 2 2 2" xfId="10986" xr:uid="{69AAE234-01CE-438C-9237-74F5ADA80A0D}"/>
    <cellStyle name="Normal 2 3 6 2 2 2 2" xfId="33472" xr:uid="{7FD400BC-D43B-47A8-A4C4-B21D28D4DAFB}"/>
    <cellStyle name="Normal 2 3 6 2 2 3" xfId="27267" xr:uid="{E970BE42-3223-4C19-AF01-83F0E3284486}"/>
    <cellStyle name="Normal 2 3 6 2 3" xfId="8944" xr:uid="{07CC9797-E842-4C0B-ACFC-C62026701194}"/>
    <cellStyle name="Normal 2 3 6 2 3 2" xfId="31523" xr:uid="{75CDE0CA-FCB4-4989-81DF-8805451FCB7F}"/>
    <cellStyle name="Normal 2 3 6 2 4" xfId="25372" xr:uid="{ABEDE82A-AF6D-4749-81D5-4CE13774FEC9}"/>
    <cellStyle name="Normal 2 3 6 3" xfId="3298" xr:uid="{00000000-0005-0000-0000-0000CF050000}"/>
    <cellStyle name="Normal 2 3 6 3 2" xfId="10206" xr:uid="{4FD956D2-3B17-4E9E-978B-762BA3A78059}"/>
    <cellStyle name="Normal 2 3 6 3 2 2" xfId="32701" xr:uid="{52622586-0D69-4806-8B80-234840C4980B}"/>
    <cellStyle name="Normal 2 3 6 3 3" xfId="26534" xr:uid="{2B274C19-0C26-4F0C-AF78-9DB5C64D9186}"/>
    <cellStyle name="Normal 2 3 6 4" xfId="8262" xr:uid="{E2FCB961-C30D-40BE-9531-E74EC1160C22}"/>
    <cellStyle name="Normal 2 3 6 4 2" xfId="30866" xr:uid="{3E9D498F-0F95-43A0-8E75-C27659522E6C}"/>
    <cellStyle name="Normal 2 3 6 5" xfId="24631" xr:uid="{2F24EA34-F6EE-4B1E-AB37-48CC771449FD}"/>
    <cellStyle name="Normal 2 3 7" xfId="1343" xr:uid="{00000000-0005-0000-0000-0000D2050000}"/>
    <cellStyle name="Normal 2 3 7 2" xfId="2076" xr:uid="{00000000-0005-0000-0000-0000D3050000}"/>
    <cellStyle name="Normal 2 3 7 2 2" xfId="4171" xr:uid="{00000000-0005-0000-0000-0000D2050000}"/>
    <cellStyle name="Normal 2 3 7 2 2 2" xfId="11075" xr:uid="{0B1768FA-DBED-48BC-A2B4-FC42BB5E8938}"/>
    <cellStyle name="Normal 2 3 7 2 2 2 2" xfId="33561" xr:uid="{7EB0913B-6416-4459-AC21-55C86E351F45}"/>
    <cellStyle name="Normal 2 3 7 2 2 3" xfId="27349" xr:uid="{4E5D7B47-4F22-47E8-944F-C3448D62CBD0}"/>
    <cellStyle name="Normal 2 3 7 2 3" xfId="9015" xr:uid="{2F0117ED-D887-4EC6-919E-CCFFAFDD8412}"/>
    <cellStyle name="Normal 2 3 7 2 3 2" xfId="31593" xr:uid="{8FB10A6E-1D6E-4247-B95D-BD63EECE6643}"/>
    <cellStyle name="Normal 2 3 7 2 4" xfId="25456" xr:uid="{FE9E5A5E-2891-4825-9EAE-9C8746BEFDDB}"/>
    <cellStyle name="Normal 2 3 7 3" xfId="3451" xr:uid="{00000000-0005-0000-0000-0000D1050000}"/>
    <cellStyle name="Normal 2 3 7 3 2" xfId="10359" xr:uid="{585512C4-93E8-46F3-ADA6-D50AF8004B85}"/>
    <cellStyle name="Normal 2 3 7 3 2 2" xfId="32846" xr:uid="{705DA235-E27D-4949-8973-8682E017A4BC}"/>
    <cellStyle name="Normal 2 3 7 3 3" xfId="26672" xr:uid="{675FDE4D-08DC-43A2-AA6F-4A2BF1EB33E0}"/>
    <cellStyle name="Normal 2 3 7 4" xfId="8409" xr:uid="{18CFA550-5549-4C8F-889B-5306FE379904}"/>
    <cellStyle name="Normal 2 3 7 4 2" xfId="30997" xr:uid="{32F23832-8C64-4DA0-895D-A250F7436694}"/>
    <cellStyle name="Normal 2 3 7 5" xfId="24771" xr:uid="{EE704B0F-D737-4B9C-8B54-6EB30FE74BC2}"/>
    <cellStyle name="Normal 2 3 8" xfId="1435" xr:uid="{00000000-0005-0000-0000-0000D4050000}"/>
    <cellStyle name="Normal 2 3 8 2" xfId="2163" xr:uid="{00000000-0005-0000-0000-0000D5050000}"/>
    <cellStyle name="Normal 2 3 8 2 2" xfId="4256" xr:uid="{00000000-0005-0000-0000-0000D4050000}"/>
    <cellStyle name="Normal 2 3 8 2 2 2" xfId="11160" xr:uid="{E9F2EDC3-DEB8-4D1D-BCF9-FB6A2EEAF4E9}"/>
    <cellStyle name="Normal 2 3 8 2 2 2 2" xfId="33646" xr:uid="{5AFB8EF7-7999-4F2A-8FE3-1FD0B9D31E2B}"/>
    <cellStyle name="Normal 2 3 8 2 2 3" xfId="27428" xr:uid="{2312F87F-956F-49DE-861D-0FE7D0F582F9}"/>
    <cellStyle name="Normal 2 3 8 2 3" xfId="9080" xr:uid="{B1CC9345-C362-4D89-A2DD-871134356459}"/>
    <cellStyle name="Normal 2 3 8 2 3 2" xfId="31656" xr:uid="{764E76AF-D662-46E4-8198-85503348BEA0}"/>
    <cellStyle name="Normal 2 3 8 2 4" xfId="25533" xr:uid="{69B2E0CB-B81C-414D-A73C-D520B0F28054}"/>
    <cellStyle name="Normal 2 3 8 3" xfId="3536" xr:uid="{00000000-0005-0000-0000-0000D3050000}"/>
    <cellStyle name="Normal 2 3 8 3 2" xfId="10442" xr:uid="{56FD099A-7282-4133-BAB8-C3938B33E61D}"/>
    <cellStyle name="Normal 2 3 8 3 2 2" xfId="32929" xr:uid="{DA24E105-AD1D-4FDA-BDF0-D2EB744DE8AE}"/>
    <cellStyle name="Normal 2 3 8 3 3" xfId="26749" xr:uid="{8392FDCA-400B-41BE-88FA-A83FD7591293}"/>
    <cellStyle name="Normal 2 3 8 4" xfId="8478" xr:uid="{948F7C83-3A4E-47DB-8DA8-360D47ECB09C}"/>
    <cellStyle name="Normal 2 3 8 4 2" xfId="31065" xr:uid="{C18E8348-DB14-4DEB-BF93-0D9C9312A306}"/>
    <cellStyle name="Normal 2 3 8 5" xfId="24858" xr:uid="{50EA8106-1CF4-4773-B94E-B8F718C9D065}"/>
    <cellStyle name="Normal 2 3 9" xfId="1506" xr:uid="{00000000-0005-0000-0000-0000D6050000}"/>
    <cellStyle name="Normal 2 3 9 2" xfId="2233" xr:uid="{00000000-0005-0000-0000-0000D7050000}"/>
    <cellStyle name="Normal 2 3 9 2 2" xfId="4326" xr:uid="{00000000-0005-0000-0000-0000D6050000}"/>
    <cellStyle name="Normal 2 3 9 2 2 2" xfId="11230" xr:uid="{C0D63CFD-FCD9-477B-B479-933577D0BC52}"/>
    <cellStyle name="Normal 2 3 9 2 2 2 2" xfId="33716" xr:uid="{3903338D-EA31-4972-95E8-E4E6FD78C2FC}"/>
    <cellStyle name="Normal 2 3 9 2 2 3" xfId="27498" xr:uid="{C8821FC3-314D-4D9F-9240-D73C55AF0346}"/>
    <cellStyle name="Normal 2 3 9 2 3" xfId="9146" xr:uid="{8E67A6EC-9B11-4065-A7D3-FE9AA6859E8D}"/>
    <cellStyle name="Normal 2 3 9 2 3 2" xfId="31722" xr:uid="{E042ECC5-7E26-4242-9874-68AC6828127B}"/>
    <cellStyle name="Normal 2 3 9 2 4" xfId="25601" xr:uid="{7933856A-7B72-4DB3-8E02-BF3A69D4B3F6}"/>
    <cellStyle name="Normal 2 3 9 3" xfId="3607" xr:uid="{00000000-0005-0000-0000-0000D5050000}"/>
    <cellStyle name="Normal 2 3 9 3 2" xfId="10512" xr:uid="{922E620B-5782-424F-8970-C1639D80313A}"/>
    <cellStyle name="Normal 2 3 9 3 2 2" xfId="32999" xr:uid="{36AA68D9-5241-47E0-A617-41B4AC8EC01D}"/>
    <cellStyle name="Normal 2 3 9 3 3" xfId="26820" xr:uid="{7FA0FFEE-22B1-4DB8-BDE1-56E01C4E43BB}"/>
    <cellStyle name="Normal 2 3 9 4" xfId="8548" xr:uid="{969DAB77-B132-4F8F-9D08-C0BFEAC311B9}"/>
    <cellStyle name="Normal 2 3 9 4 2" xfId="31135" xr:uid="{8E98B925-B6A6-424C-BBC9-0C0FDBD6CBF1}"/>
    <cellStyle name="Normal 2 3 9 5" xfId="24928" xr:uid="{B3921860-F6C3-482C-9E80-BAD48F169026}"/>
    <cellStyle name="Normal 2 4" xfId="224" xr:uid="{00000000-0005-0000-0000-0000D8050000}"/>
    <cellStyle name="Normal 2 4 2" xfId="414" xr:uid="{00000000-0005-0000-0000-0000D9050000}"/>
    <cellStyle name="Normal 2 4 3" xfId="571" xr:uid="{00000000-0005-0000-0000-0000DA050000}"/>
    <cellStyle name="Normal 2 4 4" xfId="815" xr:uid="{00000000-0005-0000-0000-0000DB050000}"/>
    <cellStyle name="Normal 2 4 5" xfId="1001" xr:uid="{00000000-0005-0000-0000-0000DC050000}"/>
    <cellStyle name="Normal 2 4 6" xfId="1185" xr:uid="{00000000-0005-0000-0000-0000DD050000}"/>
    <cellStyle name="Normal 2 4 7" xfId="1347" xr:uid="{00000000-0005-0000-0000-0000DE050000}"/>
    <cellStyle name="Normal 2 5" xfId="240" xr:uid="{00000000-0005-0000-0000-0000DF050000}"/>
    <cellStyle name="Normal 2 6" xfId="229" xr:uid="{00000000-0005-0000-0000-0000E0050000}"/>
    <cellStyle name="Normal 2 7" xfId="359" xr:uid="{00000000-0005-0000-0000-0000E1050000}"/>
    <cellStyle name="Normal 2 8" xfId="616" xr:uid="{00000000-0005-0000-0000-0000E2050000}"/>
    <cellStyle name="Normal 2 9" xfId="797" xr:uid="{00000000-0005-0000-0000-0000E3050000}"/>
    <cellStyle name="Normal 20" xfId="1512" xr:uid="{00000000-0005-0000-0000-0000E4050000}"/>
    <cellStyle name="Normal 20 2" xfId="2241" xr:uid="{00000000-0005-0000-0000-0000E5050000}"/>
    <cellStyle name="Normal 21" xfId="2237" xr:uid="{00000000-0005-0000-0000-0000E6050000}"/>
    <cellStyle name="Normal 21 2" xfId="4329" xr:uid="{00000000-0005-0000-0000-0000E5050000}"/>
    <cellStyle name="Normal 22" xfId="2239" xr:uid="{00000000-0005-0000-0000-0000E7050000}"/>
    <cellStyle name="Normal 22 2" xfId="2251" xr:uid="{00000000-0005-0000-0000-0000E8050000}"/>
    <cellStyle name="Normal 22 2 2" xfId="4343" xr:uid="{00000000-0005-0000-0000-0000E7050000}"/>
    <cellStyle name="Normal 22 2 2 2" xfId="11246" xr:uid="{9D297F11-FAC3-461B-8655-FA7A53E79929}"/>
    <cellStyle name="Normal 22 2 2 2 2" xfId="33732" xr:uid="{94CACA5D-2D1E-4E78-AEF2-94ACEDAE0F22}"/>
    <cellStyle name="Normal 22 2 2 3" xfId="27514" xr:uid="{36CA1D76-CADE-4E29-B098-9501D734EFF9}"/>
    <cellStyle name="Normal 22 2 3" xfId="9163" xr:uid="{ACF404EC-2396-4175-AF9F-FF4EFEA2D4AD}"/>
    <cellStyle name="Normal 22 2 3 2" xfId="31738" xr:uid="{26F3B0F6-A8A9-49DE-B036-8768BF759549}"/>
    <cellStyle name="Normal 22 2 4" xfId="25618" xr:uid="{00C8FCFD-6A94-4F61-B498-3CE26125C7CB}"/>
    <cellStyle name="Normal 22 3" xfId="4332" xr:uid="{00000000-0005-0000-0000-0000E6050000}"/>
    <cellStyle name="Normal 22 3 2" xfId="11236" xr:uid="{76ABD90E-2A2D-491C-8EE7-D2B64D886CC2}"/>
    <cellStyle name="Normal 22 3 2 2" xfId="33722" xr:uid="{8876B2B7-B6E7-422A-A25C-9876D4330C32}"/>
    <cellStyle name="Normal 22 3 3" xfId="27504" xr:uid="{38155D8A-5FDB-483B-8603-5701BE25395A}"/>
    <cellStyle name="Normal 22 4" xfId="9151" xr:uid="{4821BC7A-2901-48E5-BBB9-19314F631BEE}"/>
    <cellStyle name="Normal 22 4 2" xfId="31727" xr:uid="{CEBA9FFE-B634-490C-996F-4FB05541D1F2}"/>
    <cellStyle name="Normal 22 5" xfId="25608" xr:uid="{0BE5621E-35E1-4447-BCAC-CB410F7C1DF5}"/>
    <cellStyle name="Normal 23" xfId="2246" xr:uid="{00000000-0005-0000-0000-0000E9050000}"/>
    <cellStyle name="Normal 23 2" xfId="4338" xr:uid="{00000000-0005-0000-0000-0000E8050000}"/>
    <cellStyle name="Normal 23 2 2" xfId="11241" xr:uid="{29E7549A-5A0C-49E7-9EF9-CCE33C1C9CC8}"/>
    <cellStyle name="Normal 23 2 2 2" xfId="33727" xr:uid="{79774072-76B6-420E-8F20-4DA6D4B7BC4E}"/>
    <cellStyle name="Normal 23 2 3" xfId="27509" xr:uid="{6D38D7CE-9D27-4564-8675-34C25C04067A}"/>
    <cellStyle name="Normal 23 3" xfId="9158" xr:uid="{078EC51B-B3D7-48B1-B3C3-B97461EC848A}"/>
    <cellStyle name="Normal 23 3 2" xfId="31733" xr:uid="{2AE54D10-74BC-45B5-A09C-6687398508B2}"/>
    <cellStyle name="Normal 23 4" xfId="25613" xr:uid="{885D5CD5-09FD-472A-98D0-3742E5371793}"/>
    <cellStyle name="Normal 24" xfId="2249" xr:uid="{00000000-0005-0000-0000-0000EA050000}"/>
    <cellStyle name="Normal 24 2" xfId="4341" xr:uid="{00000000-0005-0000-0000-0000E9050000}"/>
    <cellStyle name="Normal 25" xfId="2254" xr:uid="{00000000-0005-0000-0000-0000EB050000}"/>
    <cellStyle name="Normal 25 2" xfId="9166" xr:uid="{AD74BF23-5E8C-4C6E-88E8-ACACE63E6DD1}"/>
    <cellStyle name="Normal 25 2 2" xfId="31741" xr:uid="{188B500C-1DF7-4B88-A9C0-5536522ED81E}"/>
    <cellStyle name="Normal 25 3" xfId="25621" xr:uid="{6B273ED2-69C5-4116-9109-B7145DF43596}"/>
    <cellStyle name="Normal 26" xfId="7238" xr:uid="{85A08389-90DC-437E-BA0C-89A40859A6E8}"/>
    <cellStyle name="Normal 26 2" xfId="29928" xr:uid="{9FA6AFEF-1684-4058-8548-BB9CF24BCB8E}"/>
    <cellStyle name="Normal 27" xfId="7241" xr:uid="{AF49F1F5-1357-420B-B9E0-E58FC15F392E}"/>
    <cellStyle name="Normal 27 2" xfId="29931" xr:uid="{E0C11730-D44B-4576-B321-F77FCA297107}"/>
    <cellStyle name="Normal 28" xfId="23599" xr:uid="{D2B94056-90B7-47EF-90B9-8E32347073A6}"/>
    <cellStyle name="Normal 29" xfId="54145" xr:uid="{E299E9A1-BC3A-F74E-94A4-2D07ADADDBD0}"/>
    <cellStyle name="Normal 3" xfId="11" xr:uid="{00000000-0005-0000-0000-0000EC050000}"/>
    <cellStyle name="Normal 3 10" xfId="984" xr:uid="{00000000-0005-0000-0000-0000ED050000}"/>
    <cellStyle name="Normal 3 11" xfId="2242" xr:uid="{00000000-0005-0000-0000-0000EE050000}"/>
    <cellStyle name="Normal 3 2" xfId="19" xr:uid="{00000000-0005-0000-0000-0000EF050000}"/>
    <cellStyle name="Normal 3 2 2" xfId="40" xr:uid="{00000000-0005-0000-0000-0000F0050000}"/>
    <cellStyle name="Normal 3 2 2 2" xfId="121" xr:uid="{00000000-0005-0000-0000-0000F1050000}"/>
    <cellStyle name="Normal 3 2 2 3" xfId="142" xr:uid="{00000000-0005-0000-0000-0000F2050000}"/>
    <cellStyle name="Normal 3 2 2 4" xfId="163" xr:uid="{00000000-0005-0000-0000-0000F3050000}"/>
    <cellStyle name="Normal 3 2 2 5" xfId="184" xr:uid="{00000000-0005-0000-0000-0000F4050000}"/>
    <cellStyle name="Normal 3 2 2 6" xfId="205" xr:uid="{00000000-0005-0000-0000-0000F5050000}"/>
    <cellStyle name="Normal 3 3" xfId="33" xr:uid="{00000000-0005-0000-0000-0000F6050000}"/>
    <cellStyle name="Normal 3 3 2" xfId="114" xr:uid="{00000000-0005-0000-0000-0000F7050000}"/>
    <cellStyle name="Normal 3 3 3" xfId="135" xr:uid="{00000000-0005-0000-0000-0000F8050000}"/>
    <cellStyle name="Normal 3 3 4" xfId="156" xr:uid="{00000000-0005-0000-0000-0000F9050000}"/>
    <cellStyle name="Normal 3 3 5" xfId="177" xr:uid="{00000000-0005-0000-0000-0000FA050000}"/>
    <cellStyle name="Normal 3 3 6" xfId="198" xr:uid="{00000000-0005-0000-0000-0000FB050000}"/>
    <cellStyle name="Normal 3 4" xfId="241" xr:uid="{00000000-0005-0000-0000-0000FC050000}"/>
    <cellStyle name="Normal 3 5" xfId="231" xr:uid="{00000000-0005-0000-0000-0000FD050000}"/>
    <cellStyle name="Normal 3 6" xfId="321" xr:uid="{00000000-0005-0000-0000-0000FE050000}"/>
    <cellStyle name="Normal 3 7" xfId="618" xr:uid="{00000000-0005-0000-0000-0000FF050000}"/>
    <cellStyle name="Normal 3 8" xfId="757" xr:uid="{00000000-0005-0000-0000-000000060000}"/>
    <cellStyle name="Normal 3 9" xfId="991" xr:uid="{00000000-0005-0000-0000-000001060000}"/>
    <cellStyle name="Normal 4" xfId="31" xr:uid="{00000000-0005-0000-0000-000002060000}"/>
    <cellStyle name="Normal 4 10" xfId="619" xr:uid="{00000000-0005-0000-0000-000003060000}"/>
    <cellStyle name="Normal 4 11" xfId="737" xr:uid="{00000000-0005-0000-0000-000004060000}"/>
    <cellStyle name="Normal 4 12" xfId="989" xr:uid="{00000000-0005-0000-0000-000005060000}"/>
    <cellStyle name="Normal 4 13" xfId="1161" xr:uid="{00000000-0005-0000-0000-000006060000}"/>
    <cellStyle name="Normal 4 14" xfId="1459" xr:uid="{00000000-0005-0000-0000-000007060000}"/>
    <cellStyle name="Normal 4 14 2" xfId="2186" xr:uid="{00000000-0005-0000-0000-000008060000}"/>
    <cellStyle name="Normal 4 14 2 2" xfId="4279" xr:uid="{00000000-0005-0000-0000-000006060000}"/>
    <cellStyle name="Normal 4 14 2 2 2" xfId="11183" xr:uid="{8A639D03-BCDB-4028-AFFE-21F920A62F07}"/>
    <cellStyle name="Normal 4 14 2 2 2 2" xfId="33669" xr:uid="{F4425991-B821-4CCA-B06F-24EC99709BA3}"/>
    <cellStyle name="Normal 4 14 2 2 3" xfId="27451" xr:uid="{A81A857D-DE29-4795-9807-B634A36589B6}"/>
    <cellStyle name="Normal 4 14 2 3" xfId="9103" xr:uid="{F0B454D0-2237-4058-9D5C-A856F9684888}"/>
    <cellStyle name="Normal 4 14 2 3 2" xfId="31679" xr:uid="{E15E0979-1C10-4A42-B6F2-897833ECB876}"/>
    <cellStyle name="Normal 4 14 2 4" xfId="25556" xr:uid="{3486D582-1CAB-496B-B792-787E5ED8503E}"/>
    <cellStyle name="Normal 4 14 3" xfId="3560" xr:uid="{00000000-0005-0000-0000-000005060000}"/>
    <cellStyle name="Normal 4 14 3 2" xfId="10466" xr:uid="{B9BEEBA7-DC76-4E4C-B31E-10F6A8E28410}"/>
    <cellStyle name="Normal 4 14 3 2 2" xfId="32953" xr:uid="{D347FF2D-33A4-4FD2-A1DF-8744AA280CC7}"/>
    <cellStyle name="Normal 4 14 3 3" xfId="26773" xr:uid="{DF975FC0-DEFB-4429-AE1D-5721A9BA0E5C}"/>
    <cellStyle name="Normal 4 14 4" xfId="8502" xr:uid="{51712A48-B499-46C4-A446-1ED208EE8C32}"/>
    <cellStyle name="Normal 4 14 4 2" xfId="31089" xr:uid="{9252EE66-E953-4162-B28D-DE2A5E0533F6}"/>
    <cellStyle name="Normal 4 14 5" xfId="24882" xr:uid="{2DD9215F-0318-4F06-B176-FA5DE7BEE6CD}"/>
    <cellStyle name="Normal 4 15" xfId="1457" xr:uid="{00000000-0005-0000-0000-000009060000}"/>
    <cellStyle name="Normal 4 15 2" xfId="2184" xr:uid="{00000000-0005-0000-0000-00000A060000}"/>
    <cellStyle name="Normal 4 15 2 2" xfId="4277" xr:uid="{00000000-0005-0000-0000-000008060000}"/>
    <cellStyle name="Normal 4 15 2 2 2" xfId="11181" xr:uid="{F0172DCD-8ECD-4B9F-913F-96F62112A638}"/>
    <cellStyle name="Normal 4 15 2 2 2 2" xfId="33667" xr:uid="{98C511A4-A349-4D44-AF40-75C01BE9558F}"/>
    <cellStyle name="Normal 4 15 2 2 3" xfId="27449" xr:uid="{E7A8408F-73C9-41F8-AC43-223F0F786281}"/>
    <cellStyle name="Normal 4 15 2 3" xfId="9101" xr:uid="{32019701-DA6A-47D1-9AE0-D55F874B43A5}"/>
    <cellStyle name="Normal 4 15 2 3 2" xfId="31677" xr:uid="{7CEF2BEF-6F39-40A5-A4F2-EE649E9BD6AA}"/>
    <cellStyle name="Normal 4 15 2 4" xfId="25554" xr:uid="{5DD1DFCE-7E5B-4878-AC2E-254F3B1131AA}"/>
    <cellStyle name="Normal 4 15 3" xfId="3558" xr:uid="{00000000-0005-0000-0000-000007060000}"/>
    <cellStyle name="Normal 4 15 3 2" xfId="10464" xr:uid="{59CE3794-DEC2-4C0F-B9E7-62861FF6B6D1}"/>
    <cellStyle name="Normal 4 15 3 2 2" xfId="32951" xr:uid="{A4E18B5F-BA4F-4F15-889E-5CF3FDC62AF6}"/>
    <cellStyle name="Normal 4 15 3 3" xfId="26771" xr:uid="{3BC3E4C4-0FFA-4B99-AEB2-BDBBB7D0E460}"/>
    <cellStyle name="Normal 4 15 4" xfId="8500" xr:uid="{BED81268-340A-4DF9-BEC1-412CB92D7677}"/>
    <cellStyle name="Normal 4 15 4 2" xfId="31087" xr:uid="{F6B42C0B-2625-473C-86F3-91E14D0FBF3B}"/>
    <cellStyle name="Normal 4 15 5" xfId="24880" xr:uid="{E01F50A6-A19B-4394-85A4-9FC706F03E11}"/>
    <cellStyle name="Normal 4 16" xfId="1515" xr:uid="{00000000-0005-0000-0000-00000B060000}"/>
    <cellStyle name="Normal 4 16 2" xfId="3616" xr:uid="{00000000-0005-0000-0000-000009060000}"/>
    <cellStyle name="Normal 4 16 2 2" xfId="10520" xr:uid="{5DB2B133-5696-496D-905A-D59BFFC719EC}"/>
    <cellStyle name="Normal 4 16 2 2 2" xfId="33006" xr:uid="{A900A4F0-52E0-4317-B2F4-A442DCDD0713}"/>
    <cellStyle name="Normal 4 16 2 3" xfId="26828" xr:uid="{CA6A885D-D3D3-4216-9D88-1362F7876EE8}"/>
    <cellStyle name="Normal 4 16 3" xfId="8555" xr:uid="{0BB29C43-5825-46DA-817A-E6746E7BA422}"/>
    <cellStyle name="Normal 4 16 3 2" xfId="31142" xr:uid="{49C05ABE-E5C9-4330-86A1-8991F76568B7}"/>
    <cellStyle name="Normal 4 16 4" xfId="24937" xr:uid="{CB336336-F870-418E-8B03-0E0FA02E011A}"/>
    <cellStyle name="Normal 4 17" xfId="2271" xr:uid="{00000000-0005-0000-0000-000000060000}"/>
    <cellStyle name="Normal 4 17 2" xfId="9183" xr:uid="{5968F110-608D-423C-8065-8BD701741F9B}"/>
    <cellStyle name="Normal 4 17 2 2" xfId="31758" xr:uid="{1B6CD137-AC18-40A5-A9D6-8803AEF66459}"/>
    <cellStyle name="Normal 4 17 3" xfId="25638" xr:uid="{7A69BC1B-4AB0-4E67-8DB1-46EB4F760CC1}"/>
    <cellStyle name="Normal 4 18" xfId="7258" xr:uid="{6F88F99D-74F9-4A13-BE72-1F37428C21B2}"/>
    <cellStyle name="Normal 4 18 2" xfId="29947" xr:uid="{D43A0BE6-AB68-459E-8E54-D45695D3808A}"/>
    <cellStyle name="Normal 4 19" xfId="23626" xr:uid="{BF0A487F-8B3F-44D3-9A1C-FCE2B5BD58C8}"/>
    <cellStyle name="Normal 4 2" xfId="112" xr:uid="{00000000-0005-0000-0000-00000C060000}"/>
    <cellStyle name="Normal 4 2 10" xfId="1535" xr:uid="{00000000-0005-0000-0000-00000D060000}"/>
    <cellStyle name="Normal 4 2 10 2" xfId="3636" xr:uid="{00000000-0005-0000-0000-00000B060000}"/>
    <cellStyle name="Normal 4 2 10 2 2" xfId="10540" xr:uid="{026CE943-94DE-4390-9B08-1C837C30561B}"/>
    <cellStyle name="Normal 4 2 10 2 2 2" xfId="33026" xr:uid="{B71D8AC2-4185-49AD-9EEB-D64DA620866F}"/>
    <cellStyle name="Normal 4 2 10 2 3" xfId="26847" xr:uid="{EDEF30AC-27D8-4485-A3C9-DF18A77777BF}"/>
    <cellStyle name="Normal 4 2 10 3" xfId="8572" xr:uid="{3EDA65A0-F286-4D8A-B7F6-3A3DD1952ADF}"/>
    <cellStyle name="Normal 4 2 10 3 2" xfId="31159" xr:uid="{45093C69-B9D0-40E1-B16E-6185D1D854A9}"/>
    <cellStyle name="Normal 4 2 10 4" xfId="24957" xr:uid="{4C96B116-72A3-4351-A580-3B0AAE2D1FDC}"/>
    <cellStyle name="Normal 4 2 11" xfId="2318" xr:uid="{00000000-0005-0000-0000-00000A060000}"/>
    <cellStyle name="Normal 4 2 11 2" xfId="9228" xr:uid="{E8412DD8-37BA-47DC-9B81-F426E5CA4671}"/>
    <cellStyle name="Normal 4 2 11 2 2" xfId="31803" xr:uid="{5DBF3AEE-50DD-4DBD-994D-1893B852E24F}"/>
    <cellStyle name="Normal 4 2 11 3" xfId="25679" xr:uid="{0080A9F5-740F-4497-A9A0-8B82349871C1}"/>
    <cellStyle name="Normal 4 2 12" xfId="7310" xr:uid="{CD220ED5-BE70-4051-A677-844FED1D9667}"/>
    <cellStyle name="Normal 4 2 12 2" xfId="29998" xr:uid="{3BD18873-9B89-480E-BF55-D6EC2ACE991A}"/>
    <cellStyle name="Normal 4 2 13" xfId="23693" xr:uid="{7FECEDBA-03AA-45EB-B701-11D56F7F4245}"/>
    <cellStyle name="Normal 4 2 2" xfId="319" xr:uid="{00000000-0005-0000-0000-00000E060000}"/>
    <cellStyle name="Normal 4 2 2 2" xfId="1591" xr:uid="{00000000-0005-0000-0000-00000F060000}"/>
    <cellStyle name="Normal 4 2 2 2 2" xfId="3692" xr:uid="{00000000-0005-0000-0000-00000D060000}"/>
    <cellStyle name="Normal 4 2 2 2 2 2" xfId="10596" xr:uid="{60968AA3-E39A-4CCA-BBAE-79AA75643BAC}"/>
    <cellStyle name="Normal 4 2 2 2 2 2 2" xfId="33082" xr:uid="{80F71560-8FFB-4A7D-A92B-88EB0AF9D8F1}"/>
    <cellStyle name="Normal 4 2 2 2 2 3" xfId="26903" xr:uid="{12DB80A6-5FBD-4280-BBC8-BBF4C2C590ED}"/>
    <cellStyle name="Normal 4 2 2 2 3" xfId="8626" xr:uid="{45FC72FC-7A88-4EA0-8217-647B06FC7944}"/>
    <cellStyle name="Normal 4 2 2 2 3 2" xfId="31212" xr:uid="{4B3370CB-756A-4CDB-AB21-CDA0DA65F4E6}"/>
    <cellStyle name="Normal 4 2 2 2 4" xfId="25012" xr:uid="{38F77E29-288A-46BB-BD2A-9FAA7E21FA76}"/>
    <cellStyle name="Normal 4 2 2 3" xfId="2480" xr:uid="{00000000-0005-0000-0000-00000C060000}"/>
    <cellStyle name="Normal 4 2 2 3 2" xfId="9389" xr:uid="{5DF4B4B9-E269-4391-9013-2BCF804E8CF7}"/>
    <cellStyle name="Normal 4 2 2 3 2 2" xfId="31950" xr:uid="{FE5EFA46-27D1-42E9-A75F-7AA469445B34}"/>
    <cellStyle name="Normal 4 2 2 3 3" xfId="25816" xr:uid="{DF7381DC-A232-4E00-AD70-C1C4F1C42DAE}"/>
    <cellStyle name="Normal 4 2 2 4" xfId="7482" xr:uid="{C321F206-F40B-4F50-9D77-84D1354A9525}"/>
    <cellStyle name="Normal 4 2 2 4 2" xfId="30151" xr:uid="{ED60B227-68FC-495B-8A62-3B38D44F74B7}"/>
    <cellStyle name="Normal 4 2 2 5" xfId="23873" xr:uid="{DCD30A0B-9E75-4253-AFAA-077B8BA4C0C2}"/>
    <cellStyle name="Normal 4 2 3" xfId="484" xr:uid="{00000000-0005-0000-0000-000010060000}"/>
    <cellStyle name="Normal 4 2 3 2" xfId="1676" xr:uid="{00000000-0005-0000-0000-000011060000}"/>
    <cellStyle name="Normal 4 2 3 2 2" xfId="3774" xr:uid="{00000000-0005-0000-0000-00000F060000}"/>
    <cellStyle name="Normal 4 2 3 2 2 2" xfId="10678" xr:uid="{4A30F4FB-5782-47B5-8507-34D3BFF9B81D}"/>
    <cellStyle name="Normal 4 2 3 2 2 2 2" xfId="33164" xr:uid="{18D8C0AE-A348-4714-BD16-FE4C82A7D47A}"/>
    <cellStyle name="Normal 4 2 3 2 2 3" xfId="26981" xr:uid="{3BF4208E-D527-4896-B174-DE6A69C8453F}"/>
    <cellStyle name="Normal 4 2 3 2 3" xfId="8691" xr:uid="{014900D5-50CC-4904-A5EE-DAFA5768B9A8}"/>
    <cellStyle name="Normal 4 2 3 2 3 2" xfId="31276" xr:uid="{0E9F32AD-A06B-4028-81CA-0E642E0A5517}"/>
    <cellStyle name="Normal 4 2 3 2 4" xfId="25091" xr:uid="{F4A903B5-9B5B-41E4-AC1B-0C7764EA153A}"/>
    <cellStyle name="Normal 4 2 3 3" xfId="2635" xr:uid="{00000000-0005-0000-0000-00000E060000}"/>
    <cellStyle name="Normal 4 2 3 3 2" xfId="9544" xr:uid="{112C5664-0E4D-484D-A157-EF4A25D45886}"/>
    <cellStyle name="Normal 4 2 3 3 2 2" xfId="32094" xr:uid="{634101D7-0657-424C-8FC4-C2ACD2053FE7}"/>
    <cellStyle name="Normal 4 2 3 3 3" xfId="25951" xr:uid="{953755D5-E6B7-4F88-AFE8-0E307357E3A8}"/>
    <cellStyle name="Normal 4 2 3 4" xfId="7627" xr:uid="{443CD449-174F-4757-8574-FDE91A276AFA}"/>
    <cellStyle name="Normal 4 2 3 4 2" xfId="30286" xr:uid="{C28FF075-DD64-414D-99D5-0B13E9A44477}"/>
    <cellStyle name="Normal 4 2 3 5" xfId="24016" xr:uid="{CC773002-66D5-4AE6-B283-3319AD4ED3B1}"/>
    <cellStyle name="Normal 4 2 4" xfId="708" xr:uid="{00000000-0005-0000-0000-000012060000}"/>
    <cellStyle name="Normal 4 2 4 2" xfId="1773" xr:uid="{00000000-0005-0000-0000-000013060000}"/>
    <cellStyle name="Normal 4 2 4 2 2" xfId="3871" xr:uid="{00000000-0005-0000-0000-000011060000}"/>
    <cellStyle name="Normal 4 2 4 2 2 2" xfId="10775" xr:uid="{29D2F7CC-7F1B-4ED5-81A6-3E6D599396B5}"/>
    <cellStyle name="Normal 4 2 4 2 2 2 2" xfId="33261" xr:uid="{129C827C-A532-4F83-A0E9-256DFC9A536D}"/>
    <cellStyle name="Normal 4 2 4 2 2 3" xfId="27070" xr:uid="{0040DC56-32E3-48F4-9B46-FE91A6386179}"/>
    <cellStyle name="Normal 4 2 4 2 3" xfId="8773" xr:uid="{78830A08-FB1F-43CC-828C-E28DF621643F}"/>
    <cellStyle name="Normal 4 2 4 2 3 2" xfId="31356" xr:uid="{B4A3EDCC-3890-4BFB-9E9D-7460EE93C174}"/>
    <cellStyle name="Normal 4 2 4 2 4" xfId="25179" xr:uid="{AD63A9C7-0690-4698-9175-0EF1A0806C60}"/>
    <cellStyle name="Normal 4 2 4 3" xfId="2848" xr:uid="{00000000-0005-0000-0000-000010060000}"/>
    <cellStyle name="Normal 4 2 4 3 2" xfId="9757" xr:uid="{551E9EF5-8674-4F92-9EEE-ADA35045CD38}"/>
    <cellStyle name="Normal 4 2 4 3 2 2" xfId="32292" xr:uid="{64AF08C5-28FC-4C5C-A938-D98160F9ACF2}"/>
    <cellStyle name="Normal 4 2 4 3 3" xfId="26143" xr:uid="{B72D489F-3AC3-4C27-8404-067A22EBC3AD}"/>
    <cellStyle name="Normal 4 2 4 4" xfId="7830" xr:uid="{66DB85D9-49C8-4C5B-BB3D-C757997928F5}"/>
    <cellStyle name="Normal 4 2 4 4 2" xfId="30463" xr:uid="{894CC9C9-84DF-45CE-927A-FDC03F43F86B}"/>
    <cellStyle name="Normal 4 2 4 5" xfId="24216" xr:uid="{64DFDA41-F9A4-4061-A4D1-425846990A2C}"/>
    <cellStyle name="Normal 4 2 5" xfId="900" xr:uid="{00000000-0005-0000-0000-000014060000}"/>
    <cellStyle name="Normal 4 2 5 2" xfId="1862" xr:uid="{00000000-0005-0000-0000-000015060000}"/>
    <cellStyle name="Normal 4 2 5 2 2" xfId="3960" xr:uid="{00000000-0005-0000-0000-000013060000}"/>
    <cellStyle name="Normal 4 2 5 2 2 2" xfId="10864" xr:uid="{D1CCDA88-9023-48B5-AD5E-6C290962DEAA}"/>
    <cellStyle name="Normal 4 2 5 2 2 2 2" xfId="33350" xr:uid="{D1A6126C-23A6-4E13-99D9-1CFCA97EB1C0}"/>
    <cellStyle name="Normal 4 2 5 2 2 3" xfId="27151" xr:uid="{03B4131B-793D-45EF-9AA8-85416F199A7D}"/>
    <cellStyle name="Normal 4 2 5 2 3" xfId="8845" xr:uid="{06EC75BF-74AB-426C-8BBD-B0AD6941D8FC}"/>
    <cellStyle name="Normal 4 2 5 2 3 2" xfId="31426" xr:uid="{9E3206D0-DB99-4624-8A43-71ADE09A7857}"/>
    <cellStyle name="Normal 4 2 5 2 4" xfId="25258" xr:uid="{40598F02-1238-4AA6-BFA0-0658F532C2FC}"/>
    <cellStyle name="Normal 4 2 5 3" xfId="3029" xr:uid="{00000000-0005-0000-0000-000012060000}"/>
    <cellStyle name="Normal 4 2 5 3 2" xfId="9938" xr:uid="{D4EA6DA9-DC18-405A-97EC-C20FB8A72981}"/>
    <cellStyle name="Normal 4 2 5 3 2 2" xfId="32457" xr:uid="{8AF9E8C6-5333-4FF1-BBE4-4410BA68F7A0}"/>
    <cellStyle name="Normal 4 2 5 3 3" xfId="26294" xr:uid="{DFA31F66-21D4-4178-B7DF-AA52D0F7E614}"/>
    <cellStyle name="Normal 4 2 5 4" xfId="8001" xr:uid="{2D620F2D-C8EB-4CDF-AA76-CD4A3D1ADF13}"/>
    <cellStyle name="Normal 4 2 5 4 2" xfId="30622" xr:uid="{0F0B8EAD-DD1D-441F-8CA1-49CDAF6BC682}"/>
    <cellStyle name="Normal 4 2 5 5" xfId="24381" xr:uid="{62A71C54-76A3-45BA-ADC4-B7DC7B31F8A0}"/>
    <cellStyle name="Normal 4 2 6" xfId="1082" xr:uid="{00000000-0005-0000-0000-000016060000}"/>
    <cellStyle name="Normal 4 2 6 2" xfId="1957" xr:uid="{00000000-0005-0000-0000-000017060000}"/>
    <cellStyle name="Normal 4 2 6 2 2" xfId="4053" xr:uid="{00000000-0005-0000-0000-000015060000}"/>
    <cellStyle name="Normal 4 2 6 2 2 2" xfId="10957" xr:uid="{B3479DEA-2FC0-4512-9DDA-EE366814D412}"/>
    <cellStyle name="Normal 4 2 6 2 2 2 2" xfId="33443" xr:uid="{B01077A4-6EE2-4F07-A2E3-CDFFD5ECC060}"/>
    <cellStyle name="Normal 4 2 6 2 2 3" xfId="27238" xr:uid="{601C75D4-82F4-4804-9308-C3A66A1C09BF}"/>
    <cellStyle name="Normal 4 2 6 2 3" xfId="8915" xr:uid="{6026FC28-EBCD-4955-A9B8-60E5430AFF1C}"/>
    <cellStyle name="Normal 4 2 6 2 3 2" xfId="31494" xr:uid="{2C1C0AF4-8298-4E59-93A0-8E7DF5DBEF61}"/>
    <cellStyle name="Normal 4 2 6 2 4" xfId="25343" xr:uid="{5D3438AA-1620-4024-A6B1-634D27F7B33D}"/>
    <cellStyle name="Normal 4 2 6 3" xfId="3200" xr:uid="{00000000-0005-0000-0000-000014060000}"/>
    <cellStyle name="Normal 4 2 6 3 2" xfId="10108" xr:uid="{A438DCE0-10A1-400D-9972-B005991BEA78}"/>
    <cellStyle name="Normal 4 2 6 3 2 2" xfId="32614" xr:uid="{74739F3F-68C5-475B-BC9E-145A0E963CBC}"/>
    <cellStyle name="Normal 4 2 6 3 3" xfId="26446" xr:uid="{09B8168A-558D-44A9-8D93-27611FFFCC4A}"/>
    <cellStyle name="Normal 4 2 6 4" xfId="8164" xr:uid="{E7F1D2C0-5DFC-402C-85AD-7BC6C7D3318B}"/>
    <cellStyle name="Normal 4 2 6 4 2" xfId="30776" xr:uid="{E1BEEDB8-0B37-4A01-AC44-6A3E796ABFF1}"/>
    <cellStyle name="Normal 4 2 6 5" xfId="24545" xr:uid="{0EADA607-46A8-4FBC-878C-48F59FC7239D}"/>
    <cellStyle name="Normal 4 2 7" xfId="1260" xr:uid="{00000000-0005-0000-0000-000018060000}"/>
    <cellStyle name="Normal 4 2 7 2" xfId="2047" xr:uid="{00000000-0005-0000-0000-000019060000}"/>
    <cellStyle name="Normal 4 2 7 2 2" xfId="4142" xr:uid="{00000000-0005-0000-0000-000017060000}"/>
    <cellStyle name="Normal 4 2 7 2 2 2" xfId="11046" xr:uid="{280E461F-17C6-44E3-9480-3E0FC40D8265}"/>
    <cellStyle name="Normal 4 2 7 2 2 2 2" xfId="33532" xr:uid="{B9FEDD00-5EC7-4486-8382-5B12A141E688}"/>
    <cellStyle name="Normal 4 2 7 2 2 3" xfId="27320" xr:uid="{8C1EEC68-84B4-4CD0-812B-4FCD66B551B1}"/>
    <cellStyle name="Normal 4 2 7 2 3" xfId="8986" xr:uid="{D6A882DF-D953-4C7B-928A-D4CE22F3659C}"/>
    <cellStyle name="Normal 4 2 7 2 3 2" xfId="31564" xr:uid="{3915356D-42BF-4E3D-B320-AE358909EDFB}"/>
    <cellStyle name="Normal 4 2 7 2 4" xfId="25427" xr:uid="{1920BF2C-68BC-4BB5-91F7-0E4B05E731DC}"/>
    <cellStyle name="Normal 4 2 7 3" xfId="3368" xr:uid="{00000000-0005-0000-0000-000016060000}"/>
    <cellStyle name="Normal 4 2 7 3 2" xfId="10276" xr:uid="{54D30D47-04F8-4E9B-AA57-1A5065400C77}"/>
    <cellStyle name="Normal 4 2 7 3 2 2" xfId="32769" xr:uid="{DC3A71B2-3FEB-49D0-911F-54C4E395CFD4}"/>
    <cellStyle name="Normal 4 2 7 3 3" xfId="26596" xr:uid="{47D7F3BA-EE25-4C3A-8C84-08078FE81E46}"/>
    <cellStyle name="Normal 4 2 7 4" xfId="8326" xr:uid="{12B7DA24-2DDD-4883-8613-4F6336998613}"/>
    <cellStyle name="Normal 4 2 7 4 2" xfId="30922" xr:uid="{F5DEFC1B-6253-42B2-843C-E8E4B2186522}"/>
    <cellStyle name="Normal 4 2 7 5" xfId="24696" xr:uid="{DE9C723B-9EDD-4B97-A563-67C5B8B7A56B}"/>
    <cellStyle name="Normal 4 2 8" xfId="1431" xr:uid="{00000000-0005-0000-0000-00001A060000}"/>
    <cellStyle name="Normal 4 2 8 2" xfId="2159" xr:uid="{00000000-0005-0000-0000-00001B060000}"/>
    <cellStyle name="Normal 4 2 8 2 2" xfId="4252" xr:uid="{00000000-0005-0000-0000-000019060000}"/>
    <cellStyle name="Normal 4 2 8 2 2 2" xfId="11156" xr:uid="{447C09B4-7A76-48FC-A039-53C91C04ACA3}"/>
    <cellStyle name="Normal 4 2 8 2 2 2 2" xfId="33642" xr:uid="{80725F9A-E526-47EA-9DA8-CB48F08D2E69}"/>
    <cellStyle name="Normal 4 2 8 2 2 3" xfId="27424" xr:uid="{8FA972B6-E4DB-4B24-80CE-0D026C6DFDB4}"/>
    <cellStyle name="Normal 4 2 8 2 3" xfId="9076" xr:uid="{934B6855-BDE0-45AA-9593-11313571ED6B}"/>
    <cellStyle name="Normal 4 2 8 2 3 2" xfId="31652" xr:uid="{74B9424D-611F-4A5B-A47C-F875B742AA27}"/>
    <cellStyle name="Normal 4 2 8 2 4" xfId="25529" xr:uid="{123A82D2-4325-430C-B578-6CCDA2965F38}"/>
    <cellStyle name="Normal 4 2 8 3" xfId="3532" xr:uid="{00000000-0005-0000-0000-000018060000}"/>
    <cellStyle name="Normal 4 2 8 3 2" xfId="10438" xr:uid="{ED7C9560-83C5-4A7E-9EC5-68D03194D415}"/>
    <cellStyle name="Normal 4 2 8 3 2 2" xfId="32925" xr:uid="{33E63BB5-2191-430C-9576-BD1D9C3DDDBB}"/>
    <cellStyle name="Normal 4 2 8 3 3" xfId="26745" xr:uid="{ABF747C7-6E48-4976-AB99-8EBBF55282DF}"/>
    <cellStyle name="Normal 4 2 8 4" xfId="8474" xr:uid="{A1FE778F-8D22-4D6F-8048-EDE902903944}"/>
    <cellStyle name="Normal 4 2 8 4 2" xfId="31061" xr:uid="{B72CC811-7528-4619-8B67-BD192AE4A8D3}"/>
    <cellStyle name="Normal 4 2 8 5" xfId="24854" xr:uid="{233C39EE-A85A-41A5-998D-5F129D3F1B0F}"/>
    <cellStyle name="Normal 4 2 9" xfId="1477" xr:uid="{00000000-0005-0000-0000-00001C060000}"/>
    <cellStyle name="Normal 4 2 9 2" xfId="2204" xr:uid="{00000000-0005-0000-0000-00001D060000}"/>
    <cellStyle name="Normal 4 2 9 2 2" xfId="4297" xr:uid="{00000000-0005-0000-0000-00001B060000}"/>
    <cellStyle name="Normal 4 2 9 2 2 2" xfId="11201" xr:uid="{F8263381-BDF1-4EC8-AF7B-FE44AD45B1B9}"/>
    <cellStyle name="Normal 4 2 9 2 2 2 2" xfId="33687" xr:uid="{F2E456EB-C952-4DD7-A387-49E44772530F}"/>
    <cellStyle name="Normal 4 2 9 2 2 3" xfId="27469" xr:uid="{70524C6E-BF4B-476C-BB8E-F4F9E810663A}"/>
    <cellStyle name="Normal 4 2 9 2 3" xfId="9117" xr:uid="{BDCD2010-F39C-46BC-91DA-94A5312A6A71}"/>
    <cellStyle name="Normal 4 2 9 2 3 2" xfId="31693" xr:uid="{4C8824B8-A303-45A3-8C37-DFF66960A144}"/>
    <cellStyle name="Normal 4 2 9 2 4" xfId="25572" xr:uid="{539B0018-DBF2-417D-A7AA-455C732CAA9F}"/>
    <cellStyle name="Normal 4 2 9 3" xfId="3578" xr:uid="{00000000-0005-0000-0000-00001A060000}"/>
    <cellStyle name="Normal 4 2 9 3 2" xfId="10483" xr:uid="{ABA09749-0EEA-4AE2-B09F-7D2C30318717}"/>
    <cellStyle name="Normal 4 2 9 3 2 2" xfId="32970" xr:uid="{C8CF3175-EB7F-41A8-AFE5-ACF91B547718}"/>
    <cellStyle name="Normal 4 2 9 3 3" xfId="26791" xr:uid="{2BC761CF-69C5-4D24-BAC0-EE915C814A66}"/>
    <cellStyle name="Normal 4 2 9 4" xfId="8519" xr:uid="{95FB4647-A1A3-44F1-824E-751E3C6AF282}"/>
    <cellStyle name="Normal 4 2 9 4 2" xfId="31106" xr:uid="{59675C24-56BA-4C03-B519-257CF3344A3C}"/>
    <cellStyle name="Normal 4 2 9 5" xfId="24899" xr:uid="{EB63A683-7469-42C8-BEA1-79B7D8067EC1}"/>
    <cellStyle name="Normal 4 3" xfId="133" xr:uid="{00000000-0005-0000-0000-00001E060000}"/>
    <cellStyle name="Normal 4 3 10" xfId="1540" xr:uid="{00000000-0005-0000-0000-00001F060000}"/>
    <cellStyle name="Normal 4 3 10 2" xfId="3641" xr:uid="{00000000-0005-0000-0000-00001D060000}"/>
    <cellStyle name="Normal 4 3 10 2 2" xfId="10545" xr:uid="{C2EF9F9E-4079-4F38-8363-37CA42B776FC}"/>
    <cellStyle name="Normal 4 3 10 2 2 2" xfId="33031" xr:uid="{6B00FEFC-9A74-4D88-8A04-42BFD5E1D117}"/>
    <cellStyle name="Normal 4 3 10 2 3" xfId="26852" xr:uid="{38C32FFC-702B-4DA0-93F0-CC15B67B70B4}"/>
    <cellStyle name="Normal 4 3 10 3" xfId="8577" xr:uid="{C8D67B9A-4AFC-4010-B19E-E2B5910AA5EF}"/>
    <cellStyle name="Normal 4 3 10 3 2" xfId="31164" xr:uid="{14D37F7D-F66B-40DA-8CF7-DFB0BCC1D9F4}"/>
    <cellStyle name="Normal 4 3 10 4" xfId="24962" xr:uid="{AF45A197-F9C4-43DA-8A30-CEBD151A0596}"/>
    <cellStyle name="Normal 4 3 11" xfId="2335" xr:uid="{00000000-0005-0000-0000-00001C060000}"/>
    <cellStyle name="Normal 4 3 11 2" xfId="9244" xr:uid="{1C49CD6F-71EF-4073-9F6C-24B0F11C694A}"/>
    <cellStyle name="Normal 4 3 11 2 2" xfId="31819" xr:uid="{31C9318E-C6DF-47B4-AF55-A7C76A7A0820}"/>
    <cellStyle name="Normal 4 3 11 3" xfId="25693" xr:uid="{B1E4707D-B0CE-4218-938C-F3B32BB56839}"/>
    <cellStyle name="Normal 4 3 12" xfId="7324" xr:uid="{05665DC2-B572-4288-92CF-9B399634BA27}"/>
    <cellStyle name="Normal 4 3 12 2" xfId="30012" xr:uid="{6B624F73-670C-48EE-9154-FEBB8448135A}"/>
    <cellStyle name="Normal 4 3 13" xfId="23711" xr:uid="{A5EB44B4-3BFF-4904-BC16-588ADEC984F8}"/>
    <cellStyle name="Normal 4 3 2" xfId="338" xr:uid="{00000000-0005-0000-0000-000020060000}"/>
    <cellStyle name="Normal 4 3 2 2" xfId="1596" xr:uid="{00000000-0005-0000-0000-000021060000}"/>
    <cellStyle name="Normal 4 3 2 2 2" xfId="3697" xr:uid="{00000000-0005-0000-0000-00001F060000}"/>
    <cellStyle name="Normal 4 3 2 2 2 2" xfId="10601" xr:uid="{FD51F649-5856-45C6-A327-F823E6E0BDAD}"/>
    <cellStyle name="Normal 4 3 2 2 2 2 2" xfId="33087" xr:uid="{71A81F77-E0F8-48C9-8B4F-5C63EAE35B3C}"/>
    <cellStyle name="Normal 4 3 2 2 2 3" xfId="26908" xr:uid="{F47E7A02-154A-401E-814B-46C8FE29BF25}"/>
    <cellStyle name="Normal 4 3 2 2 3" xfId="8631" xr:uid="{689EBB7F-6A85-45DA-AB4B-594DE553319C}"/>
    <cellStyle name="Normal 4 3 2 2 3 2" xfId="31217" xr:uid="{1840E4A5-C1EC-4896-A021-A3712E0A640D}"/>
    <cellStyle name="Normal 4 3 2 2 4" xfId="25017" xr:uid="{F8579C6B-3B95-4BCB-A9C5-F05B9CEB5117}"/>
    <cellStyle name="Normal 4 3 2 3" xfId="2498" xr:uid="{00000000-0005-0000-0000-00001E060000}"/>
    <cellStyle name="Normal 4 3 2 3 2" xfId="9407" xr:uid="{ABD57524-A3AB-456D-ACC3-22192F7B2DEB}"/>
    <cellStyle name="Normal 4 3 2 3 2 2" xfId="31968" xr:uid="{1BFE6175-3A31-4671-8FD2-C5FB97B8D7B0}"/>
    <cellStyle name="Normal 4 3 2 3 3" xfId="25831" xr:uid="{3D4CBF47-62DC-491E-B039-77F657141FB1}"/>
    <cellStyle name="Normal 4 3 2 4" xfId="7501" xr:uid="{2A9498B1-9379-4E5F-A083-7B91FC22178B}"/>
    <cellStyle name="Normal 4 3 2 4 2" xfId="30170" xr:uid="{DC65654B-B52D-4324-B441-19082C761D5A}"/>
    <cellStyle name="Normal 4 3 2 5" xfId="23891" xr:uid="{F42A8909-C3CA-4DDB-8152-B2E36804C2DE}"/>
    <cellStyle name="Normal 4 3 3" xfId="501" xr:uid="{00000000-0005-0000-0000-000022060000}"/>
    <cellStyle name="Normal 4 3 3 2" xfId="1681" xr:uid="{00000000-0005-0000-0000-000023060000}"/>
    <cellStyle name="Normal 4 3 3 2 2" xfId="3779" xr:uid="{00000000-0005-0000-0000-000021060000}"/>
    <cellStyle name="Normal 4 3 3 2 2 2" xfId="10683" xr:uid="{BF659ACF-C841-42EA-913A-E246832A7582}"/>
    <cellStyle name="Normal 4 3 3 2 2 2 2" xfId="33169" xr:uid="{BCD0CB94-CDBC-4000-AB68-779C2B9668B2}"/>
    <cellStyle name="Normal 4 3 3 2 2 3" xfId="26986" xr:uid="{3BE8D07C-CAB1-4DE9-972A-CFD82CDC3EBD}"/>
    <cellStyle name="Normal 4 3 3 2 3" xfId="8696" xr:uid="{CB99362A-7E9D-40FA-98FF-6E75D4DB8AFA}"/>
    <cellStyle name="Normal 4 3 3 2 3 2" xfId="31281" xr:uid="{DFF43771-E3E7-4055-9DC9-837DADD9DD0B}"/>
    <cellStyle name="Normal 4 3 3 2 4" xfId="25096" xr:uid="{6251DE03-1486-475C-A6C1-1B7A3239A292}"/>
    <cellStyle name="Normal 4 3 3 3" xfId="2652" xr:uid="{00000000-0005-0000-0000-000020060000}"/>
    <cellStyle name="Normal 4 3 3 3 2" xfId="9561" xr:uid="{52FDAAC6-DADD-4782-B6FA-C8EA4A552265}"/>
    <cellStyle name="Normal 4 3 3 3 2 2" xfId="32111" xr:uid="{AD965F12-CA62-4DE3-A746-86A5DC23BB63}"/>
    <cellStyle name="Normal 4 3 3 3 3" xfId="25968" xr:uid="{DD22F55B-5175-43FA-9211-5A2463FF63DF}"/>
    <cellStyle name="Normal 4 3 3 4" xfId="7644" xr:uid="{562B5A53-3360-4292-98F8-7D3CF1CD4FA8}"/>
    <cellStyle name="Normal 4 3 3 4 2" xfId="30302" xr:uid="{CFA299B6-D097-4A5A-9FD8-AAF71892907A}"/>
    <cellStyle name="Normal 4 3 3 5" xfId="24033" xr:uid="{B556D7F3-01F6-4FAB-BB79-94BAFB8A7C83}"/>
    <cellStyle name="Normal 4 3 4" xfId="728" xr:uid="{00000000-0005-0000-0000-000024060000}"/>
    <cellStyle name="Normal 4 3 4 2" xfId="1778" xr:uid="{00000000-0005-0000-0000-000025060000}"/>
    <cellStyle name="Normal 4 3 4 2 2" xfId="3876" xr:uid="{00000000-0005-0000-0000-000023060000}"/>
    <cellStyle name="Normal 4 3 4 2 2 2" xfId="10780" xr:uid="{3430CD48-306E-4651-B767-AF884CEB3D67}"/>
    <cellStyle name="Normal 4 3 4 2 2 2 2" xfId="33266" xr:uid="{93B1BBAE-00E7-46E5-BBC7-A28DC52D8D2C}"/>
    <cellStyle name="Normal 4 3 4 2 2 3" xfId="27075" xr:uid="{6A42A638-55FB-4E95-A66E-A92DF73CDF59}"/>
    <cellStyle name="Normal 4 3 4 2 3" xfId="8778" xr:uid="{4683FF66-BAD8-40F0-9287-1208010C1374}"/>
    <cellStyle name="Normal 4 3 4 2 3 2" xfId="31361" xr:uid="{89DD173B-28A2-4AD3-936A-9E2D2B784064}"/>
    <cellStyle name="Normal 4 3 4 2 4" xfId="25184" xr:uid="{5B12AF46-70F7-47FD-BC92-C9C6772C9866}"/>
    <cellStyle name="Normal 4 3 4 3" xfId="2868" xr:uid="{00000000-0005-0000-0000-000022060000}"/>
    <cellStyle name="Normal 4 3 4 3 2" xfId="9777" xr:uid="{E71D8BA0-B011-48DC-8B12-53AD9741C991}"/>
    <cellStyle name="Normal 4 3 4 3 2 2" xfId="32309" xr:uid="{A9AE6964-39B5-412C-B9AF-BFA9D615028E}"/>
    <cellStyle name="Normal 4 3 4 3 3" xfId="26160" xr:uid="{FD225989-A675-43DC-880E-5EFFD7A7DBAC}"/>
    <cellStyle name="Normal 4 3 4 4" xfId="7850" xr:uid="{89BD6450-BA95-4C43-B06E-46C03848DD40}"/>
    <cellStyle name="Normal 4 3 4 4 2" xfId="30482" xr:uid="{264BDE96-0943-4765-855B-C5325AC09356}"/>
    <cellStyle name="Normal 4 3 4 5" xfId="24234" xr:uid="{70AE5283-0284-4314-9066-C93D8CF290D1}"/>
    <cellStyle name="Normal 4 3 5" xfId="919" xr:uid="{00000000-0005-0000-0000-000026060000}"/>
    <cellStyle name="Normal 4 3 5 2" xfId="1867" xr:uid="{00000000-0005-0000-0000-000027060000}"/>
    <cellStyle name="Normal 4 3 5 2 2" xfId="3965" xr:uid="{00000000-0005-0000-0000-000025060000}"/>
    <cellStyle name="Normal 4 3 5 2 2 2" xfId="10869" xr:uid="{D2B2BB5C-A20C-4EC3-99AA-81FA8C58D8FC}"/>
    <cellStyle name="Normal 4 3 5 2 2 2 2" xfId="33355" xr:uid="{F2BFC328-A0CB-45DF-BD2E-31D50337974C}"/>
    <cellStyle name="Normal 4 3 5 2 2 3" xfId="27156" xr:uid="{C2926D95-5B5E-4540-A6B9-F88E0FA53447}"/>
    <cellStyle name="Normal 4 3 5 2 3" xfId="8850" xr:uid="{D982C5B4-9784-40D2-9210-B7A70AD4569D}"/>
    <cellStyle name="Normal 4 3 5 2 3 2" xfId="31431" xr:uid="{B796FFEC-A0B4-40DB-9B67-8A7303A50A75}"/>
    <cellStyle name="Normal 4 3 5 2 4" xfId="25263" xr:uid="{9F7F126A-1F6D-48BB-ADA8-63456905124C}"/>
    <cellStyle name="Normal 4 3 5 3" xfId="3048" xr:uid="{00000000-0005-0000-0000-000024060000}"/>
    <cellStyle name="Normal 4 3 5 3 2" xfId="9957" xr:uid="{D0C86E5C-8A4E-4588-B4AB-EE6911178CEC}"/>
    <cellStyle name="Normal 4 3 5 3 2 2" xfId="32475" xr:uid="{EAA0291E-5A22-449C-9ABC-5A6D2F7CD635}"/>
    <cellStyle name="Normal 4 3 5 3 3" xfId="26311" xr:uid="{B8BA89C5-A939-44AD-B77A-C9A5AC47F501}"/>
    <cellStyle name="Normal 4 3 5 4" xfId="8020" xr:uid="{30AC8A8E-CCB6-4169-A9D9-A34F63F3A769}"/>
    <cellStyle name="Normal 4 3 5 4 2" xfId="30640" xr:uid="{BD7E6412-05C2-4881-AF9A-D6E4D207C9A3}"/>
    <cellStyle name="Normal 4 3 5 5" xfId="24399" xr:uid="{4E115062-FD8C-4F3F-BBC9-E692235939E0}"/>
    <cellStyle name="Normal 4 3 6" xfId="1101" xr:uid="{00000000-0005-0000-0000-000028060000}"/>
    <cellStyle name="Normal 4 3 6 2" xfId="1962" xr:uid="{00000000-0005-0000-0000-000029060000}"/>
    <cellStyle name="Normal 4 3 6 2 2" xfId="4058" xr:uid="{00000000-0005-0000-0000-000027060000}"/>
    <cellStyle name="Normal 4 3 6 2 2 2" xfId="10962" xr:uid="{C6D53F30-6107-4882-A854-6AF591D2D14B}"/>
    <cellStyle name="Normal 4 3 6 2 2 2 2" xfId="33448" xr:uid="{16C56A52-2D61-40EF-B002-3B780605F2E7}"/>
    <cellStyle name="Normal 4 3 6 2 2 3" xfId="27243" xr:uid="{1DC98FFF-CC64-4B28-AA74-EC1E045505C2}"/>
    <cellStyle name="Normal 4 3 6 2 3" xfId="8920" xr:uid="{BF7A69F3-46DE-4F04-8053-04B4B81505F4}"/>
    <cellStyle name="Normal 4 3 6 2 3 2" xfId="31499" xr:uid="{37E48C37-270F-4CEC-BF55-3B0765C8DA12}"/>
    <cellStyle name="Normal 4 3 6 2 4" xfId="25348" xr:uid="{C83FBF6B-CBB2-42D1-8AB0-DAA335873C43}"/>
    <cellStyle name="Normal 4 3 6 3" xfId="3219" xr:uid="{00000000-0005-0000-0000-000026060000}"/>
    <cellStyle name="Normal 4 3 6 3 2" xfId="10127" xr:uid="{9424E0B5-E1D5-4D5B-BC90-74AA26C4F890}"/>
    <cellStyle name="Normal 4 3 6 3 2 2" xfId="32630" xr:uid="{C08C0AF7-9804-4991-95A2-EC809C10C1A2}"/>
    <cellStyle name="Normal 4 3 6 3 3" xfId="26462" xr:uid="{C87900AD-B1D9-48F7-9790-F2EA72DD55D4}"/>
    <cellStyle name="Normal 4 3 6 4" xfId="8183" xr:uid="{E577385D-76FB-4A2A-96C7-FF85A3B3D7BE}"/>
    <cellStyle name="Normal 4 3 6 4 2" xfId="30794" xr:uid="{650D9348-D951-4F6F-A48B-9573CFD02595}"/>
    <cellStyle name="Normal 4 3 6 5" xfId="24562" xr:uid="{4C8F7B9E-A6BF-4328-9EAF-FC00AF13D3F4}"/>
    <cellStyle name="Normal 4 3 7" xfId="1277" xr:uid="{00000000-0005-0000-0000-00002A060000}"/>
    <cellStyle name="Normal 4 3 7 2" xfId="2052" xr:uid="{00000000-0005-0000-0000-00002B060000}"/>
    <cellStyle name="Normal 4 3 7 2 2" xfId="4147" xr:uid="{00000000-0005-0000-0000-000029060000}"/>
    <cellStyle name="Normal 4 3 7 2 2 2" xfId="11051" xr:uid="{1F049657-BD84-4478-9C22-AE5D3BD782BC}"/>
    <cellStyle name="Normal 4 3 7 2 2 2 2" xfId="33537" xr:uid="{141F8F3C-A92A-4EB4-9A8E-16A57C06CA45}"/>
    <cellStyle name="Normal 4 3 7 2 2 3" xfId="27325" xr:uid="{86C50E27-238D-45EF-983D-24CEB37AC32D}"/>
    <cellStyle name="Normal 4 3 7 2 3" xfId="8991" xr:uid="{0ADFA220-E978-41E5-ADDC-99B617DD372F}"/>
    <cellStyle name="Normal 4 3 7 2 3 2" xfId="31569" xr:uid="{720A77A0-50F9-49FE-BCAC-1317157355D5}"/>
    <cellStyle name="Normal 4 3 7 2 4" xfId="25432" xr:uid="{681DF95C-A369-4B83-8B13-D6A345E60717}"/>
    <cellStyle name="Normal 4 3 7 3" xfId="3385" xr:uid="{00000000-0005-0000-0000-000028060000}"/>
    <cellStyle name="Normal 4 3 7 3 2" xfId="10293" xr:uid="{20FAC3C8-45BC-4527-8409-3478928F07EC}"/>
    <cellStyle name="Normal 4 3 7 3 2 2" xfId="32786" xr:uid="{18A812AE-3D6D-49B0-858B-4404A758C8A0}"/>
    <cellStyle name="Normal 4 3 7 3 3" xfId="26612" xr:uid="{F63A37D0-7C43-4560-8E57-8795F0ADE032}"/>
    <cellStyle name="Normal 4 3 7 4" xfId="8343" xr:uid="{B5F177FB-C59A-4053-A4BA-AF0EF221117A}"/>
    <cellStyle name="Normal 4 3 7 4 2" xfId="30939" xr:uid="{832F1712-06CF-495A-B3B8-21159A0EEFF1}"/>
    <cellStyle name="Normal 4 3 7 5" xfId="24712" xr:uid="{A48F6001-A06C-4369-BC1F-B43322B02D07}"/>
    <cellStyle name="Normal 4 3 8" xfId="1419" xr:uid="{00000000-0005-0000-0000-00002C060000}"/>
    <cellStyle name="Normal 4 3 8 2" xfId="2148" xr:uid="{00000000-0005-0000-0000-00002D060000}"/>
    <cellStyle name="Normal 4 3 8 2 2" xfId="4241" xr:uid="{00000000-0005-0000-0000-00002B060000}"/>
    <cellStyle name="Normal 4 3 8 2 2 2" xfId="11145" xr:uid="{984895D0-8D85-42FF-B922-F371F335D9B8}"/>
    <cellStyle name="Normal 4 3 8 2 2 2 2" xfId="33631" xr:uid="{EF3CD5BD-D7CB-4F46-A0CF-B581C1DE273E}"/>
    <cellStyle name="Normal 4 3 8 2 2 3" xfId="27413" xr:uid="{1C1D8934-4973-4FAC-A902-1C79F7222D7C}"/>
    <cellStyle name="Normal 4 3 8 2 3" xfId="9065" xr:uid="{78D4171D-0229-4B24-A423-C64D068B77FC}"/>
    <cellStyle name="Normal 4 3 8 2 3 2" xfId="31641" xr:uid="{102D64DE-42E9-4641-9A7A-DC3FC58248D7}"/>
    <cellStyle name="Normal 4 3 8 2 4" xfId="25518" xr:uid="{1F660064-1D95-44FB-AE1B-E161A8B4CE1C}"/>
    <cellStyle name="Normal 4 3 8 3" xfId="3520" xr:uid="{00000000-0005-0000-0000-00002A060000}"/>
    <cellStyle name="Normal 4 3 8 3 2" xfId="10427" xr:uid="{39FF1E52-FCF2-4339-8909-BF642006922D}"/>
    <cellStyle name="Normal 4 3 8 3 2 2" xfId="32914" xr:uid="{B239C013-D27D-4780-AE60-A19254DCC5AA}"/>
    <cellStyle name="Normal 4 3 8 3 3" xfId="26733" xr:uid="{8A8BB71D-0088-4ECB-95ED-827DA16C7F69}"/>
    <cellStyle name="Normal 4 3 8 4" xfId="8462" xr:uid="{5269BF19-8DC2-43FD-94D4-A10ADAB0DE46}"/>
    <cellStyle name="Normal 4 3 8 4 2" xfId="31049" xr:uid="{9E5A0643-87FA-476B-9A89-B87CBC1C90CE}"/>
    <cellStyle name="Normal 4 3 8 5" xfId="24842" xr:uid="{C74A0F81-FA1E-4979-B49A-F5FC77E2A0FF}"/>
    <cellStyle name="Normal 4 3 9" xfId="1482" xr:uid="{00000000-0005-0000-0000-00002E060000}"/>
    <cellStyle name="Normal 4 3 9 2" xfId="2209" xr:uid="{00000000-0005-0000-0000-00002F060000}"/>
    <cellStyle name="Normal 4 3 9 2 2" xfId="4302" xr:uid="{00000000-0005-0000-0000-00002D060000}"/>
    <cellStyle name="Normal 4 3 9 2 2 2" xfId="11206" xr:uid="{FE8617EC-CE43-434A-8BE9-DB4660827940}"/>
    <cellStyle name="Normal 4 3 9 2 2 2 2" xfId="33692" xr:uid="{5BC70B26-1739-46DF-863F-B332B89301F8}"/>
    <cellStyle name="Normal 4 3 9 2 2 3" xfId="27474" xr:uid="{E1242670-6C33-4DDB-8C9B-22F75915E62F}"/>
    <cellStyle name="Normal 4 3 9 2 3" xfId="9122" xr:uid="{4B0A8A87-C590-4515-893E-2FBEBB7B2378}"/>
    <cellStyle name="Normal 4 3 9 2 3 2" xfId="31698" xr:uid="{BE8FD714-4779-451B-A155-8012C7A161EE}"/>
    <cellStyle name="Normal 4 3 9 2 4" xfId="25577" xr:uid="{4834F66B-80DE-4BCE-B54A-30190D8FF840}"/>
    <cellStyle name="Normal 4 3 9 3" xfId="3583" xr:uid="{00000000-0005-0000-0000-00002C060000}"/>
    <cellStyle name="Normal 4 3 9 3 2" xfId="10488" xr:uid="{E827E636-5F54-45DB-B18C-7D82F33B287D}"/>
    <cellStyle name="Normal 4 3 9 3 2 2" xfId="32975" xr:uid="{A91AF354-53B4-435E-8856-07FEDCDF940A}"/>
    <cellStyle name="Normal 4 3 9 3 3" xfId="26796" xr:uid="{129ECF55-3709-401D-AE84-402EE124502A}"/>
    <cellStyle name="Normal 4 3 9 4" xfId="8524" xr:uid="{E3027A74-2D48-44F9-A395-8EB2C754B262}"/>
    <cellStyle name="Normal 4 3 9 4 2" xfId="31111" xr:uid="{8BC495EF-A05B-4233-8F12-1BF02CB1E9BF}"/>
    <cellStyle name="Normal 4 3 9 5" xfId="24904" xr:uid="{66902087-7B5D-4CA6-9E89-F3158837CC49}"/>
    <cellStyle name="Normal 4 4" xfId="154" xr:uid="{00000000-0005-0000-0000-000030060000}"/>
    <cellStyle name="Normal 4 4 10" xfId="1545" xr:uid="{00000000-0005-0000-0000-000031060000}"/>
    <cellStyle name="Normal 4 4 10 2" xfId="3646" xr:uid="{00000000-0005-0000-0000-00002F060000}"/>
    <cellStyle name="Normal 4 4 10 2 2" xfId="10550" xr:uid="{4C360CE1-21D2-4DDF-979C-9FB2DDF1B862}"/>
    <cellStyle name="Normal 4 4 10 2 2 2" xfId="33036" xr:uid="{7C2A8E20-998C-4CB7-B640-812E4E735747}"/>
    <cellStyle name="Normal 4 4 10 2 3" xfId="26857" xr:uid="{EF9FCCC4-2391-4A5B-8E0C-A0C450441698}"/>
    <cellStyle name="Normal 4 4 10 3" xfId="8582" xr:uid="{C16D5B66-251C-4DE9-B3E0-0B4CC4020DC0}"/>
    <cellStyle name="Normal 4 4 10 3 2" xfId="31169" xr:uid="{5982E865-58F9-4FFE-BA75-A35C4F5854F0}"/>
    <cellStyle name="Normal 4 4 10 4" xfId="24967" xr:uid="{E2CEA878-F8A9-4814-A052-8D25898166C5}"/>
    <cellStyle name="Normal 4 4 11" xfId="2346" xr:uid="{00000000-0005-0000-0000-00002E060000}"/>
    <cellStyle name="Normal 4 4 11 2" xfId="9255" xr:uid="{44508C80-D106-455C-BA8E-47AD37972258}"/>
    <cellStyle name="Normal 4 4 11 2 2" xfId="31830" xr:uid="{56A269C5-C226-4DEA-8006-06AEE7551013}"/>
    <cellStyle name="Normal 4 4 11 3" xfId="25703" xr:uid="{8FEE469B-161F-42A2-BDC3-CC15ACF22B44}"/>
    <cellStyle name="Normal 4 4 12" xfId="7339" xr:uid="{FF30B666-555F-430A-985C-B6D7AC9B3024}"/>
    <cellStyle name="Normal 4 4 12 2" xfId="30027" xr:uid="{81482315-4708-4EF8-ABC0-2129E2C64E9D}"/>
    <cellStyle name="Normal 4 4 13" xfId="23731" xr:uid="{90E2EFDF-A901-406B-8762-4A84DD6E7447}"/>
    <cellStyle name="Normal 4 4 2" xfId="357" xr:uid="{00000000-0005-0000-0000-000032060000}"/>
    <cellStyle name="Normal 4 4 2 2" xfId="1601" xr:uid="{00000000-0005-0000-0000-000033060000}"/>
    <cellStyle name="Normal 4 4 2 2 2" xfId="3702" xr:uid="{00000000-0005-0000-0000-000031060000}"/>
    <cellStyle name="Normal 4 4 2 2 2 2" xfId="10606" xr:uid="{B72590CD-EB7E-4A89-AC9A-A6E11727ECF4}"/>
    <cellStyle name="Normal 4 4 2 2 2 2 2" xfId="33092" xr:uid="{CC012481-BF66-4362-B196-1B0237775D7C}"/>
    <cellStyle name="Normal 4 4 2 2 2 3" xfId="26913" xr:uid="{B256EFE4-666B-42E0-905C-AD19115A08D5}"/>
    <cellStyle name="Normal 4 4 2 2 3" xfId="8636" xr:uid="{C90D2089-D296-4113-84A5-596A4D3693FC}"/>
    <cellStyle name="Normal 4 4 2 2 3 2" xfId="31222" xr:uid="{73C93D16-5BD3-4B45-BBF1-3DB9034B01C8}"/>
    <cellStyle name="Normal 4 4 2 2 4" xfId="25022" xr:uid="{B6ABDF59-2884-48FE-9B7A-8EF6A7A4AF8B}"/>
    <cellStyle name="Normal 4 4 2 3" xfId="2517" xr:uid="{00000000-0005-0000-0000-000030060000}"/>
    <cellStyle name="Normal 4 4 2 3 2" xfId="9426" xr:uid="{259D9EC7-C0B6-415D-AAAE-579E5D33E871}"/>
    <cellStyle name="Normal 4 4 2 3 2 2" xfId="31984" xr:uid="{6A069A17-BAD3-4082-A43A-CAFFBE090C5D}"/>
    <cellStyle name="Normal 4 4 2 3 3" xfId="25848" xr:uid="{B22CE97A-FD3D-4BB3-8C31-FED3AC79C2E7}"/>
    <cellStyle name="Normal 4 4 2 4" xfId="7520" xr:uid="{3087262B-1FF1-43E3-9465-DDB84E356427}"/>
    <cellStyle name="Normal 4 4 2 4 2" xfId="30187" xr:uid="{293B4C87-E7AC-4D52-84A2-1282F5BA4255}"/>
    <cellStyle name="Normal 4 4 2 5" xfId="23908" xr:uid="{13486980-5440-4C01-B313-E9BC8272E372}"/>
    <cellStyle name="Normal 4 4 3" xfId="518" xr:uid="{00000000-0005-0000-0000-000034060000}"/>
    <cellStyle name="Normal 4 4 3 2" xfId="1686" xr:uid="{00000000-0005-0000-0000-000035060000}"/>
    <cellStyle name="Normal 4 4 3 2 2" xfId="3784" xr:uid="{00000000-0005-0000-0000-000033060000}"/>
    <cellStyle name="Normal 4 4 3 2 2 2" xfId="10688" xr:uid="{AC8CA52F-381A-4866-B62E-4D4CCB17F980}"/>
    <cellStyle name="Normal 4 4 3 2 2 2 2" xfId="33174" xr:uid="{E0E22E60-7A80-4F55-B3EF-B5E470A9C555}"/>
    <cellStyle name="Normal 4 4 3 2 2 3" xfId="26991" xr:uid="{625A977B-1A96-42DD-906A-BEA43BAD5969}"/>
    <cellStyle name="Normal 4 4 3 2 3" xfId="8701" xr:uid="{10FD690B-29BA-45F7-BF60-9B37A321D197}"/>
    <cellStyle name="Normal 4 4 3 2 3 2" xfId="31286" xr:uid="{A16E5F02-ECF5-45EC-BDD2-145B6AA70D42}"/>
    <cellStyle name="Normal 4 4 3 2 4" xfId="25101" xr:uid="{99D5D277-EE13-4784-8A3A-0444BF89CE66}"/>
    <cellStyle name="Normal 4 4 3 3" xfId="2669" xr:uid="{00000000-0005-0000-0000-000032060000}"/>
    <cellStyle name="Normal 4 4 3 3 2" xfId="9578" xr:uid="{9E56D43D-F494-45D7-8929-03EFF7CBDC92}"/>
    <cellStyle name="Normal 4 4 3 3 2 2" xfId="32128" xr:uid="{9367E7D8-902E-4F7F-BE8C-BF976C62891F}"/>
    <cellStyle name="Normal 4 4 3 3 3" xfId="25983" xr:uid="{B2B64D36-5F68-48AD-A33D-5DA124616576}"/>
    <cellStyle name="Normal 4 4 3 4" xfId="7661" xr:uid="{9CF08542-0438-4BD6-A83B-2C791D6995B0}"/>
    <cellStyle name="Normal 4 4 3 4 2" xfId="30315" xr:uid="{9DE6CC3A-D17E-4C77-80FA-05A95D4CAB51}"/>
    <cellStyle name="Normal 4 4 3 5" xfId="24050" xr:uid="{FFDE3655-D044-4974-A992-B988AF06CE8D}"/>
    <cellStyle name="Normal 4 4 4" xfId="748" xr:uid="{00000000-0005-0000-0000-000036060000}"/>
    <cellStyle name="Normal 4 4 4 2" xfId="1783" xr:uid="{00000000-0005-0000-0000-000037060000}"/>
    <cellStyle name="Normal 4 4 4 2 2" xfId="3881" xr:uid="{00000000-0005-0000-0000-000035060000}"/>
    <cellStyle name="Normal 4 4 4 2 2 2" xfId="10785" xr:uid="{E02ED3C8-EB02-4290-B741-C0C4EE0B16E9}"/>
    <cellStyle name="Normal 4 4 4 2 2 2 2" xfId="33271" xr:uid="{960581EE-4C60-44B9-8447-454CD39B198B}"/>
    <cellStyle name="Normal 4 4 4 2 2 3" xfId="27080" xr:uid="{2141DCFF-15B8-4C83-A0B4-1730316A6ADC}"/>
    <cellStyle name="Normal 4 4 4 2 3" xfId="8783" xr:uid="{14C3BC8F-698A-4E8A-B054-D5B3484D0407}"/>
    <cellStyle name="Normal 4 4 4 2 3 2" xfId="31366" xr:uid="{8A5A4E4C-9545-4606-AD24-058B417113EA}"/>
    <cellStyle name="Normal 4 4 4 2 4" xfId="25189" xr:uid="{A2D5CA28-E1F9-4F19-8A45-04D58B339FAE}"/>
    <cellStyle name="Normal 4 4 4 3" xfId="2888" xr:uid="{00000000-0005-0000-0000-000034060000}"/>
    <cellStyle name="Normal 4 4 4 3 2" xfId="9797" xr:uid="{1E7B72D7-4D3D-4A37-B85E-21083D0F6512}"/>
    <cellStyle name="Normal 4 4 4 3 2 2" xfId="32327" xr:uid="{04BA536C-5438-44BE-BA8B-2B740430B1C2}"/>
    <cellStyle name="Normal 4 4 4 3 3" xfId="26179" xr:uid="{5D0CEA9F-3C2D-44F8-A462-0CDD257C61B6}"/>
    <cellStyle name="Normal 4 4 4 4" xfId="7870" xr:uid="{E6454C5F-B8C5-41F1-BF3C-C35942CB8950}"/>
    <cellStyle name="Normal 4 4 4 4 2" xfId="30501" xr:uid="{99F1C20E-E3B9-4884-BFCB-1ECD9DEBED12}"/>
    <cellStyle name="Normal 4 4 4 5" xfId="24253" xr:uid="{B887E821-7673-4890-8205-1B5B60828007}"/>
    <cellStyle name="Normal 4 4 5" xfId="938" xr:uid="{00000000-0005-0000-0000-000038060000}"/>
    <cellStyle name="Normal 4 4 5 2" xfId="1872" xr:uid="{00000000-0005-0000-0000-000039060000}"/>
    <cellStyle name="Normal 4 4 5 2 2" xfId="3970" xr:uid="{00000000-0005-0000-0000-000037060000}"/>
    <cellStyle name="Normal 4 4 5 2 2 2" xfId="10874" xr:uid="{34E7AFED-DE96-4E3C-A5A7-020CDFDE6932}"/>
    <cellStyle name="Normal 4 4 5 2 2 2 2" xfId="33360" xr:uid="{57256E84-BED1-4D96-B6CD-89C56767B0DB}"/>
    <cellStyle name="Normal 4 4 5 2 2 3" xfId="27161" xr:uid="{D8D666D9-8781-4DDB-97E2-3ED0F3FB9517}"/>
    <cellStyle name="Normal 4 4 5 2 3" xfId="8855" xr:uid="{273399EA-CEF6-451F-8814-680A44C14535}"/>
    <cellStyle name="Normal 4 4 5 2 3 2" xfId="31436" xr:uid="{2C9BE75D-8671-4559-AEA8-87238EB85914}"/>
    <cellStyle name="Normal 4 4 5 2 4" xfId="25268" xr:uid="{E8123E8F-D177-4F6A-82EC-F0DC178483B8}"/>
    <cellStyle name="Normal 4 4 5 3" xfId="3067" xr:uid="{00000000-0005-0000-0000-000036060000}"/>
    <cellStyle name="Normal 4 4 5 3 2" xfId="9976" xr:uid="{B7B7EC5A-B619-4F56-A314-C33F6F48D5AB}"/>
    <cellStyle name="Normal 4 4 5 3 2 2" xfId="32493" xr:uid="{AC5D992D-8E2D-41B1-926B-E143482B3772}"/>
    <cellStyle name="Normal 4 4 5 3 3" xfId="26327" xr:uid="{2AD5936F-E1D1-4839-A1A0-1FB0EE61FAAC}"/>
    <cellStyle name="Normal 4 4 5 4" xfId="8039" xr:uid="{12D5E5C8-621F-465A-95A5-80B0F5C7743E}"/>
    <cellStyle name="Normal 4 4 5 4 2" xfId="30658" xr:uid="{6930661C-F4AF-47D4-BBC7-6DEE34AE28EC}"/>
    <cellStyle name="Normal 4 4 5 5" xfId="24417" xr:uid="{2AC9D213-2A6D-4744-B1BB-C8FD05B1BBAB}"/>
    <cellStyle name="Normal 4 4 6" xfId="1121" xr:uid="{00000000-0005-0000-0000-00003A060000}"/>
    <cellStyle name="Normal 4 4 6 2" xfId="1967" xr:uid="{00000000-0005-0000-0000-00003B060000}"/>
    <cellStyle name="Normal 4 4 6 2 2" xfId="4063" xr:uid="{00000000-0005-0000-0000-000039060000}"/>
    <cellStyle name="Normal 4 4 6 2 2 2" xfId="10967" xr:uid="{653CF62E-70CC-4C7A-B64C-BB3C8D45FE2C}"/>
    <cellStyle name="Normal 4 4 6 2 2 2 2" xfId="33453" xr:uid="{44870DEB-045D-48B6-8F02-516DD97F43EE}"/>
    <cellStyle name="Normal 4 4 6 2 2 3" xfId="27248" xr:uid="{518C48EE-F8FC-44C8-B0E9-52B8A46E27B5}"/>
    <cellStyle name="Normal 4 4 6 2 3" xfId="8925" xr:uid="{B72C83EB-7F7F-4590-9461-5ED63A387B1B}"/>
    <cellStyle name="Normal 4 4 6 2 3 2" xfId="31504" xr:uid="{12C37603-DB1F-4797-BAD7-01B8EE60FFDE}"/>
    <cellStyle name="Normal 4 4 6 2 4" xfId="25353" xr:uid="{907A74E2-606C-48CC-B025-DA5F5E056BC7}"/>
    <cellStyle name="Normal 4 4 6 3" xfId="3239" xr:uid="{00000000-0005-0000-0000-000038060000}"/>
    <cellStyle name="Normal 4 4 6 3 2" xfId="10147" xr:uid="{7B983CFE-7CD4-4103-974A-592893B55B3B}"/>
    <cellStyle name="Normal 4 4 6 3 2 2" xfId="32648" xr:uid="{44670237-6B0D-4572-BE1B-807571E9542F}"/>
    <cellStyle name="Normal 4 4 6 3 3" xfId="26480" xr:uid="{A28D03BB-F268-4814-B9CF-1162619E5060}"/>
    <cellStyle name="Normal 4 4 6 4" xfId="8203" xr:uid="{9B0D0C8F-3D77-47E9-BDB4-869AECB47E02}"/>
    <cellStyle name="Normal 4 4 6 4 2" xfId="30811" xr:uid="{92B5B2F1-7EB8-4208-939D-1A9C2AF3E99E}"/>
    <cellStyle name="Normal 4 4 6 5" xfId="24581" xr:uid="{43CAA755-735A-4005-A93F-ADF6B1215648}"/>
    <cellStyle name="Normal 4 4 7" xfId="1294" xr:uid="{00000000-0005-0000-0000-00003C060000}"/>
    <cellStyle name="Normal 4 4 7 2" xfId="2057" xr:uid="{00000000-0005-0000-0000-00003D060000}"/>
    <cellStyle name="Normal 4 4 7 2 2" xfId="4152" xr:uid="{00000000-0005-0000-0000-00003B060000}"/>
    <cellStyle name="Normal 4 4 7 2 2 2" xfId="11056" xr:uid="{2E9ECEC9-6098-4A23-BFED-15F4138A6DF0}"/>
    <cellStyle name="Normal 4 4 7 2 2 2 2" xfId="33542" xr:uid="{03158170-0B65-4BA5-A096-25F62E1EAFF4}"/>
    <cellStyle name="Normal 4 4 7 2 2 3" xfId="27330" xr:uid="{E160A26C-B2C3-4688-8C7E-76EC14801705}"/>
    <cellStyle name="Normal 4 4 7 2 3" xfId="8996" xr:uid="{E8A447FF-8532-4213-8FEF-F43BC85F7938}"/>
    <cellStyle name="Normal 4 4 7 2 3 2" xfId="31574" xr:uid="{40FF70B6-17F3-4810-92F2-8A2D76CE5E3D}"/>
    <cellStyle name="Normal 4 4 7 2 4" xfId="25437" xr:uid="{F2EBA65C-033F-4FDB-8FDF-83CF25208186}"/>
    <cellStyle name="Normal 4 4 7 3" xfId="3402" xr:uid="{00000000-0005-0000-0000-00003A060000}"/>
    <cellStyle name="Normal 4 4 7 3 2" xfId="10310" xr:uid="{C54EBC25-7C8C-4181-B31C-CC4E71F53DFE}"/>
    <cellStyle name="Normal 4 4 7 3 2 2" xfId="32802" xr:uid="{098FF29D-2494-4767-80C6-E4DBB7C283E0}"/>
    <cellStyle name="Normal 4 4 7 3 3" xfId="26629" xr:uid="{ADA81D43-0EBD-40AE-84A0-234987C2B1F2}"/>
    <cellStyle name="Normal 4 4 7 4" xfId="8360" xr:uid="{5E889E71-CE61-42BF-9101-EAD07EA27FFE}"/>
    <cellStyle name="Normal 4 4 7 4 2" xfId="30953" xr:uid="{9113BDA1-A5B2-4E82-8E78-320EB5EBCA85}"/>
    <cellStyle name="Normal 4 4 7 5" xfId="24728" xr:uid="{52DDCECE-01EC-4DB1-A5CC-A9F0A447C8D0}"/>
    <cellStyle name="Normal 4 4 8" xfId="1433" xr:uid="{00000000-0005-0000-0000-00003E060000}"/>
    <cellStyle name="Normal 4 4 8 2" xfId="2161" xr:uid="{00000000-0005-0000-0000-00003F060000}"/>
    <cellStyle name="Normal 4 4 8 2 2" xfId="4254" xr:uid="{00000000-0005-0000-0000-00003D060000}"/>
    <cellStyle name="Normal 4 4 8 2 2 2" xfId="11158" xr:uid="{98D1A2FE-66E8-49EB-8E57-65E21C8DEECE}"/>
    <cellStyle name="Normal 4 4 8 2 2 2 2" xfId="33644" xr:uid="{6BA602F4-69BC-4001-B36C-8FDBDA1BA980}"/>
    <cellStyle name="Normal 4 4 8 2 2 3" xfId="27426" xr:uid="{D5C2B75A-7F8F-49A7-B248-82FEE2019E82}"/>
    <cellStyle name="Normal 4 4 8 2 3" xfId="9078" xr:uid="{76AAAB67-E5BF-4CB0-967C-E47F6F2F585B}"/>
    <cellStyle name="Normal 4 4 8 2 3 2" xfId="31654" xr:uid="{87995E85-D196-492D-AE1D-A6E31811674D}"/>
    <cellStyle name="Normal 4 4 8 2 4" xfId="25531" xr:uid="{851C7DAF-8862-4CE8-BCE8-722154CAB154}"/>
    <cellStyle name="Normal 4 4 8 3" xfId="3534" xr:uid="{00000000-0005-0000-0000-00003C060000}"/>
    <cellStyle name="Normal 4 4 8 3 2" xfId="10440" xr:uid="{60270AAB-8BE1-4F3F-A30F-BD7F4A8FD236}"/>
    <cellStyle name="Normal 4 4 8 3 2 2" xfId="32927" xr:uid="{FC22DE1A-0CF7-4BAE-A444-73F7883F3404}"/>
    <cellStyle name="Normal 4 4 8 3 3" xfId="26747" xr:uid="{E748161A-26E2-4EDB-B2CB-CF7627F03972}"/>
    <cellStyle name="Normal 4 4 8 4" xfId="8476" xr:uid="{522FE72A-81CF-4A81-A0C8-FEA1BD440E9E}"/>
    <cellStyle name="Normal 4 4 8 4 2" xfId="31063" xr:uid="{B98F3297-E59C-4FD0-A741-A08AA7E2D7DD}"/>
    <cellStyle name="Normal 4 4 8 5" xfId="24856" xr:uid="{254D50F7-1C49-4CED-9F7E-AE6C35CE0B42}"/>
    <cellStyle name="Normal 4 4 9" xfId="1487" xr:uid="{00000000-0005-0000-0000-000040060000}"/>
    <cellStyle name="Normal 4 4 9 2" xfId="2214" xr:uid="{00000000-0005-0000-0000-000041060000}"/>
    <cellStyle name="Normal 4 4 9 2 2" xfId="4307" xr:uid="{00000000-0005-0000-0000-00003F060000}"/>
    <cellStyle name="Normal 4 4 9 2 2 2" xfId="11211" xr:uid="{1FA49269-8EAA-41C8-B2D4-0FBFBC7395D5}"/>
    <cellStyle name="Normal 4 4 9 2 2 2 2" xfId="33697" xr:uid="{52E72242-C3D3-4CC9-AA8D-8F7F0E143171}"/>
    <cellStyle name="Normal 4 4 9 2 2 3" xfId="27479" xr:uid="{FEEF5463-B4F1-483F-9359-B383D07E6AE1}"/>
    <cellStyle name="Normal 4 4 9 2 3" xfId="9127" xr:uid="{54E18FEE-BB47-453D-B666-7A186CFCC4B9}"/>
    <cellStyle name="Normal 4 4 9 2 3 2" xfId="31703" xr:uid="{2B6C16B1-D39E-4654-A448-1E57EDB8FB42}"/>
    <cellStyle name="Normal 4 4 9 2 4" xfId="25582" xr:uid="{8822F57B-52E3-4958-B2E0-FF080A7886C0}"/>
    <cellStyle name="Normal 4 4 9 3" xfId="3588" xr:uid="{00000000-0005-0000-0000-00003E060000}"/>
    <cellStyle name="Normal 4 4 9 3 2" xfId="10493" xr:uid="{58EEC5AE-461D-48D3-AF85-7D6FCF61AFA7}"/>
    <cellStyle name="Normal 4 4 9 3 2 2" xfId="32980" xr:uid="{BAAF2BFC-0E02-4A28-9342-31206A8C7345}"/>
    <cellStyle name="Normal 4 4 9 3 3" xfId="26801" xr:uid="{E4018D3C-0364-4251-8344-E3A78D317379}"/>
    <cellStyle name="Normal 4 4 9 4" xfId="8529" xr:uid="{815A60BB-C043-407D-8325-25A88BC1CA85}"/>
    <cellStyle name="Normal 4 4 9 4 2" xfId="31116" xr:uid="{62E61090-0653-462E-95D4-8829E3519EC4}"/>
    <cellStyle name="Normal 4 4 9 5" xfId="24909" xr:uid="{EE71E3DC-65D4-46CB-ABFC-65D7900C2AF3}"/>
    <cellStyle name="Normal 4 5" xfId="175" xr:uid="{00000000-0005-0000-0000-000042060000}"/>
    <cellStyle name="Normal 4 5 10" xfId="1550" xr:uid="{00000000-0005-0000-0000-000043060000}"/>
    <cellStyle name="Normal 4 5 10 2" xfId="3651" xr:uid="{00000000-0005-0000-0000-000041060000}"/>
    <cellStyle name="Normal 4 5 10 2 2" xfId="10555" xr:uid="{1372F458-CBC0-44EC-A894-4C7C005F5509}"/>
    <cellStyle name="Normal 4 5 10 2 2 2" xfId="33041" xr:uid="{A485E2B3-3E7A-4BDF-B18D-1C9630326798}"/>
    <cellStyle name="Normal 4 5 10 2 3" xfId="26862" xr:uid="{18E4BDF5-8B58-4D32-A0A0-E39387B39F72}"/>
    <cellStyle name="Normal 4 5 10 3" xfId="8587" xr:uid="{52CA83F8-DF6E-4839-B38C-D2CDB09B7D96}"/>
    <cellStyle name="Normal 4 5 10 3 2" xfId="31174" xr:uid="{49D66B1A-4CED-4FF3-93D1-76AF26AB5186}"/>
    <cellStyle name="Normal 4 5 10 4" xfId="24972" xr:uid="{A5563572-9AA8-441F-9176-257B015A969D}"/>
    <cellStyle name="Normal 4 5 11" xfId="2357" xr:uid="{00000000-0005-0000-0000-000040060000}"/>
    <cellStyle name="Normal 4 5 11 2" xfId="9266" xr:uid="{EBBC3028-27D1-4099-99A9-A53664AD6DE4}"/>
    <cellStyle name="Normal 4 5 11 2 2" xfId="31841" xr:uid="{41C14791-F5D1-42B6-8438-5637EF7E42F4}"/>
    <cellStyle name="Normal 4 5 11 3" xfId="25713" xr:uid="{30106BC3-B72D-4B32-983C-C947A2272493}"/>
    <cellStyle name="Normal 4 5 12" xfId="7354" xr:uid="{785A8B90-D04B-4E40-A496-D9FFFA7D5441}"/>
    <cellStyle name="Normal 4 5 12 2" xfId="30039" xr:uid="{AAF2B098-B2B2-41BB-8063-07C823F678DE}"/>
    <cellStyle name="Normal 4 5 13" xfId="23748" xr:uid="{E15744E0-A55E-4AE0-9E0F-4C2B59174A90}"/>
    <cellStyle name="Normal 4 5 2" xfId="376" xr:uid="{00000000-0005-0000-0000-000044060000}"/>
    <cellStyle name="Normal 4 5 2 2" xfId="1606" xr:uid="{00000000-0005-0000-0000-000045060000}"/>
    <cellStyle name="Normal 4 5 2 2 2" xfId="3707" xr:uid="{00000000-0005-0000-0000-000043060000}"/>
    <cellStyle name="Normal 4 5 2 2 2 2" xfId="10611" xr:uid="{60BBE17F-EF94-4A62-97D2-D054AB05196A}"/>
    <cellStyle name="Normal 4 5 2 2 2 2 2" xfId="33097" xr:uid="{88D2179E-1C0C-4B75-BDA0-2E8F8F970866}"/>
    <cellStyle name="Normal 4 5 2 2 2 3" xfId="26918" xr:uid="{2F1301FD-654F-4B6C-B994-739EF502493A}"/>
    <cellStyle name="Normal 4 5 2 2 3" xfId="8641" xr:uid="{F64EC716-85EC-4894-B205-A58C8C4E84D0}"/>
    <cellStyle name="Normal 4 5 2 2 3 2" xfId="31227" xr:uid="{337EEDA3-054B-4D89-BBFC-AAD4E5A51A02}"/>
    <cellStyle name="Normal 4 5 2 2 4" xfId="25027" xr:uid="{60DFF230-6776-4E7F-8C82-AFE7ACDA9A55}"/>
    <cellStyle name="Normal 4 5 2 3" xfId="2536" xr:uid="{00000000-0005-0000-0000-000042060000}"/>
    <cellStyle name="Normal 4 5 2 3 2" xfId="9445" xr:uid="{265E370A-6592-44D2-8862-CF83D2FD4274}"/>
    <cellStyle name="Normal 4 5 2 3 2 2" xfId="32001" xr:uid="{5DCE9457-C3AE-44CC-8947-B31217E239CD}"/>
    <cellStyle name="Normal 4 5 2 3 3" xfId="25865" xr:uid="{DFFE7A7F-2674-4920-8D75-B01982D925C1}"/>
    <cellStyle name="Normal 4 5 2 4" xfId="7539" xr:uid="{F0B70D81-09C6-422F-A8E4-C09E7E81E998}"/>
    <cellStyle name="Normal 4 5 2 4 2" xfId="30203" xr:uid="{2F83C726-ACF4-4645-B3CC-A1B9A5860382}"/>
    <cellStyle name="Normal 4 5 2 5" xfId="23924" xr:uid="{F19833EA-9BB2-4C19-83FF-CC5E98BF205B}"/>
    <cellStyle name="Normal 4 5 3" xfId="535" xr:uid="{00000000-0005-0000-0000-000046060000}"/>
    <cellStyle name="Normal 4 5 3 2" xfId="1691" xr:uid="{00000000-0005-0000-0000-000047060000}"/>
    <cellStyle name="Normal 4 5 3 2 2" xfId="3789" xr:uid="{00000000-0005-0000-0000-000045060000}"/>
    <cellStyle name="Normal 4 5 3 2 2 2" xfId="10693" xr:uid="{E9882E59-3ECB-4AF8-A805-4EF52BBE1299}"/>
    <cellStyle name="Normal 4 5 3 2 2 2 2" xfId="33179" xr:uid="{75486D32-AAFA-4718-9019-E7AB00B130E3}"/>
    <cellStyle name="Normal 4 5 3 2 2 3" xfId="26996" xr:uid="{8D8AB22A-F376-4BCA-BCA3-131E6D42385A}"/>
    <cellStyle name="Normal 4 5 3 2 3" xfId="8706" xr:uid="{6DB9A928-FFEB-440F-AE79-57D6F437E40C}"/>
    <cellStyle name="Normal 4 5 3 2 3 2" xfId="31291" xr:uid="{E7F96803-08ED-41DB-A7C1-609004235ED6}"/>
    <cellStyle name="Normal 4 5 3 2 4" xfId="25106" xr:uid="{DD18D85F-883A-46BE-87CB-AA968BB75955}"/>
    <cellStyle name="Normal 4 5 3 3" xfId="2686" xr:uid="{00000000-0005-0000-0000-000044060000}"/>
    <cellStyle name="Normal 4 5 3 3 2" xfId="9595" xr:uid="{5563B94F-9752-4DC1-ADF4-799C9EB5B823}"/>
    <cellStyle name="Normal 4 5 3 3 2 2" xfId="32145" xr:uid="{02C1557F-4B67-4C63-9429-CF2876C17639}"/>
    <cellStyle name="Normal 4 5 3 3 3" xfId="25998" xr:uid="{A6D38942-2753-4FDC-8290-AE9F30EF297A}"/>
    <cellStyle name="Normal 4 5 3 4" xfId="7678" xr:uid="{57A2F8C2-7DEF-422F-822A-CC68787AC89F}"/>
    <cellStyle name="Normal 4 5 3 4 2" xfId="30330" xr:uid="{C9C69AF5-2780-41F0-821B-A3A8541CEA07}"/>
    <cellStyle name="Normal 4 5 3 5" xfId="24064" xr:uid="{AD7C9416-9FCC-4289-8161-33E4B2FD9EE5}"/>
    <cellStyle name="Normal 4 5 4" xfId="768" xr:uid="{00000000-0005-0000-0000-000048060000}"/>
    <cellStyle name="Normal 4 5 4 2" xfId="1788" xr:uid="{00000000-0005-0000-0000-000049060000}"/>
    <cellStyle name="Normal 4 5 4 2 2" xfId="3886" xr:uid="{00000000-0005-0000-0000-000047060000}"/>
    <cellStyle name="Normal 4 5 4 2 2 2" xfId="10790" xr:uid="{B0C698D9-C52D-4DF5-B332-52F3A99F11CF}"/>
    <cellStyle name="Normal 4 5 4 2 2 2 2" xfId="33276" xr:uid="{4FC50947-03A4-4EFB-BC03-245F56169DE8}"/>
    <cellStyle name="Normal 4 5 4 2 2 3" xfId="27085" xr:uid="{81674113-BB9A-4AA1-9E41-3BBC08387289}"/>
    <cellStyle name="Normal 4 5 4 2 3" xfId="8788" xr:uid="{B78EB598-EE38-40A1-AB4D-1EED5AF97936}"/>
    <cellStyle name="Normal 4 5 4 2 3 2" xfId="31371" xr:uid="{F7E44940-4B54-4263-8605-3114FA17E1A2}"/>
    <cellStyle name="Normal 4 5 4 2 4" xfId="25194" xr:uid="{4AD50B3D-5BB0-45AF-9BA8-4572FB267B39}"/>
    <cellStyle name="Normal 4 5 4 3" xfId="2907" xr:uid="{00000000-0005-0000-0000-000046060000}"/>
    <cellStyle name="Normal 4 5 4 3 2" xfId="9816" xr:uid="{E5820944-0E57-4A66-AD42-A8A374F60455}"/>
    <cellStyle name="Normal 4 5 4 3 2 2" xfId="32344" xr:uid="{4F4BCA7C-94FA-45DE-95C1-27EC7BC389C8}"/>
    <cellStyle name="Normal 4 5 4 3 3" xfId="26197" xr:uid="{F363ADAD-681F-4BA6-BFDD-4C4F8470C9B4}"/>
    <cellStyle name="Normal 4 5 4 4" xfId="7890" xr:uid="{64FC86BF-6731-405B-B8D5-E58F51044D21}"/>
    <cellStyle name="Normal 4 5 4 4 2" xfId="30519" xr:uid="{56E59EBC-7875-41D3-BF9F-84186A74A3D0}"/>
    <cellStyle name="Normal 4 5 4 5" xfId="24269" xr:uid="{868AB8C0-2A2C-4AE8-B40E-9DF32CD53EA1}"/>
    <cellStyle name="Normal 4 5 5" xfId="957" xr:uid="{00000000-0005-0000-0000-00004A060000}"/>
    <cellStyle name="Normal 4 5 5 2" xfId="1877" xr:uid="{00000000-0005-0000-0000-00004B060000}"/>
    <cellStyle name="Normal 4 5 5 2 2" xfId="3975" xr:uid="{00000000-0005-0000-0000-000049060000}"/>
    <cellStyle name="Normal 4 5 5 2 2 2" xfId="10879" xr:uid="{3F50A5D5-388E-4C0D-BAD6-D9EF83EA655F}"/>
    <cellStyle name="Normal 4 5 5 2 2 2 2" xfId="33365" xr:uid="{D8AFAD4B-B723-47E7-B5CF-AE3CAFB7204A}"/>
    <cellStyle name="Normal 4 5 5 2 2 3" xfId="27166" xr:uid="{3ACD49C4-17F6-4B9E-8C93-0AFC7B86F424}"/>
    <cellStyle name="Normal 4 5 5 2 3" xfId="8860" xr:uid="{63971B2D-7CEF-4F00-B24D-0985C437FCF3}"/>
    <cellStyle name="Normal 4 5 5 2 3 2" xfId="31441" xr:uid="{3CE7DFCD-6677-4572-8CFF-D5E26FE1B823}"/>
    <cellStyle name="Normal 4 5 5 2 4" xfId="25273" xr:uid="{EE566E63-C201-4E73-BD2B-9D1CDDBE2E95}"/>
    <cellStyle name="Normal 4 5 5 3" xfId="3086" xr:uid="{00000000-0005-0000-0000-000048060000}"/>
    <cellStyle name="Normal 4 5 5 3 2" xfId="9995" xr:uid="{133C5E52-3650-47DB-8892-2D343CDB59A5}"/>
    <cellStyle name="Normal 4 5 5 3 2 2" xfId="32511" xr:uid="{4DF7D3AF-00B5-42E2-B582-82D908B61E6E}"/>
    <cellStyle name="Normal 4 5 5 3 3" xfId="26345" xr:uid="{74949B99-ED53-406F-B7E6-6AB8DBAD8542}"/>
    <cellStyle name="Normal 4 5 5 4" xfId="8058" xr:uid="{27568C94-23DC-49D7-9752-0E4B94E1492E}"/>
    <cellStyle name="Normal 4 5 5 4 2" xfId="30676" xr:uid="{FDF27AF6-6EAD-4B61-9466-08E6B5FF1BEA}"/>
    <cellStyle name="Normal 4 5 5 5" xfId="24435" xr:uid="{EB295666-0CD3-44E3-A5B3-324E2D65B02F}"/>
    <cellStyle name="Normal 4 5 6" xfId="1140" xr:uid="{00000000-0005-0000-0000-00004C060000}"/>
    <cellStyle name="Normal 4 5 6 2" xfId="1972" xr:uid="{00000000-0005-0000-0000-00004D060000}"/>
    <cellStyle name="Normal 4 5 6 2 2" xfId="4068" xr:uid="{00000000-0005-0000-0000-00004B060000}"/>
    <cellStyle name="Normal 4 5 6 2 2 2" xfId="10972" xr:uid="{86BA65C2-7F2E-4D73-8455-F7AB87DC1DFA}"/>
    <cellStyle name="Normal 4 5 6 2 2 2 2" xfId="33458" xr:uid="{4B514E1E-7A57-4D5B-A5B7-4F6909DE297F}"/>
    <cellStyle name="Normal 4 5 6 2 2 3" xfId="27253" xr:uid="{0E4A14C2-9332-452F-8F79-37A78EE8D809}"/>
    <cellStyle name="Normal 4 5 6 2 3" xfId="8930" xr:uid="{1B926AC2-D7D4-44D5-A2D2-9FB6BBCF576E}"/>
    <cellStyle name="Normal 4 5 6 2 3 2" xfId="31509" xr:uid="{E7E55E64-BD19-46E1-BA11-565296F7832C}"/>
    <cellStyle name="Normal 4 5 6 2 4" xfId="25358" xr:uid="{208AEAFA-BA2A-49ED-8611-A9C0162A4E2C}"/>
    <cellStyle name="Normal 4 5 6 3" xfId="3258" xr:uid="{00000000-0005-0000-0000-00004A060000}"/>
    <cellStyle name="Normal 4 5 6 3 2" xfId="10166" xr:uid="{DADCDF14-42AA-4BD9-A995-4DE0232D7C47}"/>
    <cellStyle name="Normal 4 5 6 3 2 2" xfId="32664" xr:uid="{8F7E2F9E-BCC4-418F-A6E8-53C16BB9536D}"/>
    <cellStyle name="Normal 4 5 6 3 3" xfId="26497" xr:uid="{6D8A720C-6761-4660-B563-FD1D1D4A191A}"/>
    <cellStyle name="Normal 4 5 6 4" xfId="8222" xr:uid="{5684ED4B-EB77-4F99-B0DD-9F10EACA0233}"/>
    <cellStyle name="Normal 4 5 6 4 2" xfId="30829" xr:uid="{42470D24-86FB-4AF8-9BEB-84CA9AB804FB}"/>
    <cellStyle name="Normal 4 5 6 5" xfId="24598" xr:uid="{0E338D22-E566-41FF-B237-C60DC74E65F6}"/>
    <cellStyle name="Normal 4 5 7" xfId="1311" xr:uid="{00000000-0005-0000-0000-00004E060000}"/>
    <cellStyle name="Normal 4 5 7 2" xfId="2062" xr:uid="{00000000-0005-0000-0000-00004F060000}"/>
    <cellStyle name="Normal 4 5 7 2 2" xfId="4157" xr:uid="{00000000-0005-0000-0000-00004D060000}"/>
    <cellStyle name="Normal 4 5 7 2 2 2" xfId="11061" xr:uid="{3C4807E7-EECC-458A-96AC-3DC13BFF1A1D}"/>
    <cellStyle name="Normal 4 5 7 2 2 2 2" xfId="33547" xr:uid="{1CE2F552-708D-46C3-9034-98E2987C5B3C}"/>
    <cellStyle name="Normal 4 5 7 2 2 3" xfId="27335" xr:uid="{258E8844-A629-411C-BD9C-F4175283DC80}"/>
    <cellStyle name="Normal 4 5 7 2 3" xfId="9001" xr:uid="{55E7ECE2-C668-4449-AAEF-BB9FCBEEBF8F}"/>
    <cellStyle name="Normal 4 5 7 2 3 2" xfId="31579" xr:uid="{06B5E97D-B8B3-4EAB-B1B5-30DC1F4219CF}"/>
    <cellStyle name="Normal 4 5 7 2 4" xfId="25442" xr:uid="{015A5DA4-675C-4065-B7F4-D1A1122C7AD0}"/>
    <cellStyle name="Normal 4 5 7 3" xfId="3419" xr:uid="{00000000-0005-0000-0000-00004C060000}"/>
    <cellStyle name="Normal 4 5 7 3 2" xfId="10327" xr:uid="{FB32A445-81CB-4D7B-BEEF-E79ED0BB2218}"/>
    <cellStyle name="Normal 4 5 7 3 2 2" xfId="32818" xr:uid="{81BFE1AE-9F3D-451D-9CB4-115D28FAB2DE}"/>
    <cellStyle name="Normal 4 5 7 3 3" xfId="26643" xr:uid="{C3CB55F7-EB46-4965-858E-81EC77279977}"/>
    <cellStyle name="Normal 4 5 7 4" xfId="8377" xr:uid="{81041915-7CA2-44CD-8041-8A920DF8A5D2}"/>
    <cellStyle name="Normal 4 5 7 4 2" xfId="30968" xr:uid="{B457EA42-3BED-43F3-A940-241C66F51AA8}"/>
    <cellStyle name="Normal 4 5 7 5" xfId="24742" xr:uid="{1A000DD0-9864-4388-839F-8F81888BD749}"/>
    <cellStyle name="Normal 4 5 8" xfId="1416" xr:uid="{00000000-0005-0000-0000-000050060000}"/>
    <cellStyle name="Normal 4 5 8 2" xfId="2145" xr:uid="{00000000-0005-0000-0000-000051060000}"/>
    <cellStyle name="Normal 4 5 8 2 2" xfId="4238" xr:uid="{00000000-0005-0000-0000-00004F060000}"/>
    <cellStyle name="Normal 4 5 8 2 2 2" xfId="11142" xr:uid="{6C6F117C-F10F-4481-A4F5-D4DEF8455DAC}"/>
    <cellStyle name="Normal 4 5 8 2 2 2 2" xfId="33628" xr:uid="{86B3D916-FAE3-48F8-8207-5ED772BB7FDD}"/>
    <cellStyle name="Normal 4 5 8 2 2 3" xfId="27410" xr:uid="{1DBB294D-EADF-4064-B44E-934A043BE269}"/>
    <cellStyle name="Normal 4 5 8 2 3" xfId="9062" xr:uid="{5F75B678-AEF9-4994-924E-3634413F081A}"/>
    <cellStyle name="Normal 4 5 8 2 3 2" xfId="31638" xr:uid="{8C55EFFE-3504-48F9-B0A9-4BFCD33EAAAD}"/>
    <cellStyle name="Normal 4 5 8 2 4" xfId="25515" xr:uid="{489D0BEF-7EA3-4C93-9DD9-4C281CD2F73A}"/>
    <cellStyle name="Normal 4 5 8 3" xfId="3517" xr:uid="{00000000-0005-0000-0000-00004E060000}"/>
    <cellStyle name="Normal 4 5 8 3 2" xfId="10424" xr:uid="{0F5A64E2-8AAC-4D84-BA31-5E7FF11DF9CC}"/>
    <cellStyle name="Normal 4 5 8 3 2 2" xfId="32911" xr:uid="{99B5FEB5-8AA0-4DBC-9F49-98C0FB5C78C8}"/>
    <cellStyle name="Normal 4 5 8 3 3" xfId="26730" xr:uid="{3EE9F32A-E2CA-434B-A261-5785E14F148C}"/>
    <cellStyle name="Normal 4 5 8 4" xfId="8459" xr:uid="{AE861B45-B704-44FE-A4AC-35309A2670A8}"/>
    <cellStyle name="Normal 4 5 8 4 2" xfId="31046" xr:uid="{0D816651-54D2-4E6E-B727-AC5BC8B92E35}"/>
    <cellStyle name="Normal 4 5 8 5" xfId="24839" xr:uid="{8C6F1471-6602-48B2-B057-64D28ACAC2AA}"/>
    <cellStyle name="Normal 4 5 9" xfId="1492" xr:uid="{00000000-0005-0000-0000-000052060000}"/>
    <cellStyle name="Normal 4 5 9 2" xfId="2219" xr:uid="{00000000-0005-0000-0000-000053060000}"/>
    <cellStyle name="Normal 4 5 9 2 2" xfId="4312" xr:uid="{00000000-0005-0000-0000-000051060000}"/>
    <cellStyle name="Normal 4 5 9 2 2 2" xfId="11216" xr:uid="{D238B9FC-E155-4BAC-81DB-B0214A28EFE1}"/>
    <cellStyle name="Normal 4 5 9 2 2 2 2" xfId="33702" xr:uid="{57B4FF60-9413-4B2A-A2F7-738D923EA5D1}"/>
    <cellStyle name="Normal 4 5 9 2 2 3" xfId="27484" xr:uid="{7950492E-488C-47CA-8A33-D07E776385EC}"/>
    <cellStyle name="Normal 4 5 9 2 3" xfId="9132" xr:uid="{253710DE-E352-4078-A04B-B31108CD090A}"/>
    <cellStyle name="Normal 4 5 9 2 3 2" xfId="31708" xr:uid="{7C450A38-C724-4382-AE23-2BA8E12719D9}"/>
    <cellStyle name="Normal 4 5 9 2 4" xfId="25587" xr:uid="{5329AC8C-4C4B-450E-95E6-1F58B9F1D62F}"/>
    <cellStyle name="Normal 4 5 9 3" xfId="3593" xr:uid="{00000000-0005-0000-0000-000050060000}"/>
    <cellStyle name="Normal 4 5 9 3 2" xfId="10498" xr:uid="{A7943D6F-223A-4420-8BF0-51F8C293C3B3}"/>
    <cellStyle name="Normal 4 5 9 3 2 2" xfId="32985" xr:uid="{B05A06BF-0750-45DB-883D-4E4AC47F27F8}"/>
    <cellStyle name="Normal 4 5 9 3 3" xfId="26806" xr:uid="{B18DD559-120D-4B43-BE97-33CC0895A0B9}"/>
    <cellStyle name="Normal 4 5 9 4" xfId="8534" xr:uid="{6B21316C-2351-41B4-9C2D-4E89C9B9BAED}"/>
    <cellStyle name="Normal 4 5 9 4 2" xfId="31121" xr:uid="{172B2161-95A0-43CF-B97A-344334540013}"/>
    <cellStyle name="Normal 4 5 9 5" xfId="24914" xr:uid="{EB9873E8-B618-4F98-8910-42819DCDA028}"/>
    <cellStyle name="Normal 4 6" xfId="196" xr:uid="{00000000-0005-0000-0000-000054060000}"/>
    <cellStyle name="Normal 4 6 10" xfId="1555" xr:uid="{00000000-0005-0000-0000-000055060000}"/>
    <cellStyle name="Normal 4 6 10 2" xfId="3656" xr:uid="{00000000-0005-0000-0000-000053060000}"/>
    <cellStyle name="Normal 4 6 10 2 2" xfId="10560" xr:uid="{2012FE86-29AA-4C58-A693-3699C07F6BB1}"/>
    <cellStyle name="Normal 4 6 10 2 2 2" xfId="33046" xr:uid="{4F00D5D0-3713-41DD-BACD-1251599FF226}"/>
    <cellStyle name="Normal 4 6 10 2 3" xfId="26867" xr:uid="{B296C46C-05AA-4F44-BF2F-453AD153AD25}"/>
    <cellStyle name="Normal 4 6 10 3" xfId="8592" xr:uid="{092DB94D-9DB4-487D-93B3-B7DD71AB81A2}"/>
    <cellStyle name="Normal 4 6 10 3 2" xfId="31179" xr:uid="{3E0E3160-1A39-43FC-877F-93D97D1E61B7}"/>
    <cellStyle name="Normal 4 6 10 4" xfId="24977" xr:uid="{79982155-ADB3-45C4-8346-7749E1EE33A5}"/>
    <cellStyle name="Normal 4 6 11" xfId="2371" xr:uid="{00000000-0005-0000-0000-000052060000}"/>
    <cellStyle name="Normal 4 6 11 2" xfId="9280" xr:uid="{E917E254-A7CB-4300-92CE-4D81E2DC210B}"/>
    <cellStyle name="Normal 4 6 11 2 2" xfId="31855" xr:uid="{46E94280-E89F-428C-BF62-BE9558C323A6}"/>
    <cellStyle name="Normal 4 6 11 3" xfId="25726" xr:uid="{969146D7-29C7-4CE4-B545-2B0616E987F3}"/>
    <cellStyle name="Normal 4 6 12" xfId="7369" xr:uid="{C9A9DEB7-2A71-4507-9C8D-22D3B9763D2F}"/>
    <cellStyle name="Normal 4 6 12 2" xfId="30054" xr:uid="{C0E5EBC1-4EC4-4483-810F-F56F5E7C5A0A}"/>
    <cellStyle name="Normal 4 6 13" xfId="23769" xr:uid="{BD5769F4-D625-4B8D-B873-FC73FF0065E8}"/>
    <cellStyle name="Normal 4 6 2" xfId="395" xr:uid="{00000000-0005-0000-0000-000056060000}"/>
    <cellStyle name="Normal 4 6 2 2" xfId="1611" xr:uid="{00000000-0005-0000-0000-000057060000}"/>
    <cellStyle name="Normal 4 6 2 2 2" xfId="3712" xr:uid="{00000000-0005-0000-0000-000055060000}"/>
    <cellStyle name="Normal 4 6 2 2 2 2" xfId="10616" xr:uid="{4D5DF512-3DDD-4C93-BDAC-AF56AF09D26C}"/>
    <cellStyle name="Normal 4 6 2 2 2 2 2" xfId="33102" xr:uid="{3F0BFF0A-C94B-4F40-9901-250A8550D8A4}"/>
    <cellStyle name="Normal 4 6 2 2 2 3" xfId="26923" xr:uid="{AF5CB420-F417-4F63-87B3-DB8F3D3233B1}"/>
    <cellStyle name="Normal 4 6 2 2 3" xfId="8646" xr:uid="{30CAEC4B-345E-4C96-AFD6-957EDF77C29B}"/>
    <cellStyle name="Normal 4 6 2 2 3 2" xfId="31232" xr:uid="{2C8C6578-5274-41B7-A79D-F8BD70731D08}"/>
    <cellStyle name="Normal 4 6 2 2 4" xfId="25032" xr:uid="{65EA204C-DB3D-4394-9A1E-FF09899797B4}"/>
    <cellStyle name="Normal 4 6 2 3" xfId="2554" xr:uid="{00000000-0005-0000-0000-000054060000}"/>
    <cellStyle name="Normal 4 6 2 3 2" xfId="9463" xr:uid="{ADF6D7F5-0136-41B0-8B1A-7757E8EAB4C6}"/>
    <cellStyle name="Normal 4 6 2 3 2 2" xfId="32016" xr:uid="{B4E2D018-2E48-457F-9667-B2A3958B1CD3}"/>
    <cellStyle name="Normal 4 6 2 3 3" xfId="25880" xr:uid="{2A32977A-59DD-4458-9BE0-8E30E01D2E62}"/>
    <cellStyle name="Normal 4 6 2 4" xfId="7558" xr:uid="{7529C3F7-9F18-4BAF-A057-06BFF4B6C9FC}"/>
    <cellStyle name="Normal 4 6 2 4 2" xfId="30222" xr:uid="{078B53C5-DAE8-4444-B117-844DB14F8F46}"/>
    <cellStyle name="Normal 4 6 2 5" xfId="23940" xr:uid="{C1A9DDAD-A684-442C-9647-B1EEC20A1DA7}"/>
    <cellStyle name="Normal 4 6 3" xfId="552" xr:uid="{00000000-0005-0000-0000-000058060000}"/>
    <cellStyle name="Normal 4 6 3 2" xfId="1696" xr:uid="{00000000-0005-0000-0000-000059060000}"/>
    <cellStyle name="Normal 4 6 3 2 2" xfId="3794" xr:uid="{00000000-0005-0000-0000-000057060000}"/>
    <cellStyle name="Normal 4 6 3 2 2 2" xfId="10698" xr:uid="{EC677948-E2ED-4948-954C-A5F117BCF0AA}"/>
    <cellStyle name="Normal 4 6 3 2 2 2 2" xfId="33184" xr:uid="{07050269-6855-4A8E-B01C-B2666CDB6EA8}"/>
    <cellStyle name="Normal 4 6 3 2 2 3" xfId="27001" xr:uid="{68F1A6A2-58A2-49CD-A2B4-C3EE55F7D6F8}"/>
    <cellStyle name="Normal 4 6 3 2 3" xfId="8711" xr:uid="{2C52F7CD-C83C-4DA5-A741-80C3BE5B88AD}"/>
    <cellStyle name="Normal 4 6 3 2 3 2" xfId="31296" xr:uid="{E6C96CBD-F9D3-4A68-9523-3E7B97EB220A}"/>
    <cellStyle name="Normal 4 6 3 2 4" xfId="25111" xr:uid="{EB66BBFB-0D07-4A47-AA14-04EECC332BAB}"/>
    <cellStyle name="Normal 4 6 3 3" xfId="2703" xr:uid="{00000000-0005-0000-0000-000056060000}"/>
    <cellStyle name="Normal 4 6 3 3 2" xfId="9612" xr:uid="{C9E5B129-D76B-4BCF-B12F-95B09C8490C6}"/>
    <cellStyle name="Normal 4 6 3 3 2 2" xfId="32160" xr:uid="{BCEC5B4C-EC57-4D95-A575-817E479C29BF}"/>
    <cellStyle name="Normal 4 6 3 3 3" xfId="26012" xr:uid="{618D917B-BDD3-425A-9B17-0327C56ACA2A}"/>
    <cellStyle name="Normal 4 6 3 4" xfId="7695" xr:uid="{113EA115-7863-4547-BB7A-6F7C8623E4F8}"/>
    <cellStyle name="Normal 4 6 3 4 2" xfId="30344" xr:uid="{EDC02769-2CF6-49EF-83F6-53644B7AC43E}"/>
    <cellStyle name="Normal 4 6 3 5" xfId="24080" xr:uid="{F390C498-B62F-4DB6-91EC-96676D0ED9BC}"/>
    <cellStyle name="Normal 4 6 4" xfId="788" xr:uid="{00000000-0005-0000-0000-00005A060000}"/>
    <cellStyle name="Normal 4 6 4 2" xfId="1793" xr:uid="{00000000-0005-0000-0000-00005B060000}"/>
    <cellStyle name="Normal 4 6 4 2 2" xfId="3891" xr:uid="{00000000-0005-0000-0000-000059060000}"/>
    <cellStyle name="Normal 4 6 4 2 2 2" xfId="10795" xr:uid="{79870DE9-116D-451D-980A-0010178D1B32}"/>
    <cellStyle name="Normal 4 6 4 2 2 2 2" xfId="33281" xr:uid="{F0D12951-27AA-4A27-A68A-A4FF9D32BA38}"/>
    <cellStyle name="Normal 4 6 4 2 2 3" xfId="27090" xr:uid="{10A9F3C4-5266-41A3-B802-E3969A82B571}"/>
    <cellStyle name="Normal 4 6 4 2 3" xfId="8793" xr:uid="{9082535E-41CF-42CD-80AE-57D7901CAD60}"/>
    <cellStyle name="Normal 4 6 4 2 3 2" xfId="31376" xr:uid="{7FAC81FF-DDD7-4F39-8AB0-6A888A37B225}"/>
    <cellStyle name="Normal 4 6 4 2 4" xfId="25199" xr:uid="{8325CDEF-71E3-4274-A93D-9D106369674B}"/>
    <cellStyle name="Normal 4 6 4 3" xfId="2927" xr:uid="{00000000-0005-0000-0000-000058060000}"/>
    <cellStyle name="Normal 4 6 4 3 2" xfId="9836" xr:uid="{0936D76C-E62D-4C83-B626-B94FB30BA840}"/>
    <cellStyle name="Normal 4 6 4 3 2 2" xfId="32361" xr:uid="{D1C64F2F-5EAB-47EE-A382-A64E9A0F3B8B}"/>
    <cellStyle name="Normal 4 6 4 3 3" xfId="26214" xr:uid="{D5413D4F-5BA7-4456-825B-357A297E9832}"/>
    <cellStyle name="Normal 4 6 4 4" xfId="7910" xr:uid="{E69DC261-96B8-4F95-B517-BF8C5F7BFC09}"/>
    <cellStyle name="Normal 4 6 4 4 2" xfId="30538" xr:uid="{A61BFD12-00A9-4035-B8AD-89E825E4F94E}"/>
    <cellStyle name="Normal 4 6 4 5" xfId="24286" xr:uid="{0688B073-B183-4340-97D9-BDA4DF148D90}"/>
    <cellStyle name="Normal 4 6 5" xfId="976" xr:uid="{00000000-0005-0000-0000-00005C060000}"/>
    <cellStyle name="Normal 4 6 5 2" xfId="1882" xr:uid="{00000000-0005-0000-0000-00005D060000}"/>
    <cellStyle name="Normal 4 6 5 2 2" xfId="3980" xr:uid="{00000000-0005-0000-0000-00005B060000}"/>
    <cellStyle name="Normal 4 6 5 2 2 2" xfId="10884" xr:uid="{A153B303-6808-4AF2-9399-CFEC39982C6F}"/>
    <cellStyle name="Normal 4 6 5 2 2 2 2" xfId="33370" xr:uid="{4163B6B6-F114-462E-A1FB-7661336B8759}"/>
    <cellStyle name="Normal 4 6 5 2 2 3" xfId="27171" xr:uid="{F0856898-0464-433B-835A-5A68EE981492}"/>
    <cellStyle name="Normal 4 6 5 2 3" xfId="8865" xr:uid="{37247E51-0D1C-4371-AACD-FE6F95BD4DC2}"/>
    <cellStyle name="Normal 4 6 5 2 3 2" xfId="31446" xr:uid="{9BA5B3DD-3E50-4091-B745-21350FE61D74}"/>
    <cellStyle name="Normal 4 6 5 2 4" xfId="25278" xr:uid="{F51CDCF4-C66F-4271-B722-D2E5EF17F3C7}"/>
    <cellStyle name="Normal 4 6 5 3" xfId="3105" xr:uid="{00000000-0005-0000-0000-00005A060000}"/>
    <cellStyle name="Normal 4 6 5 3 2" xfId="10014" xr:uid="{6E214F3C-97AD-4BED-B2CF-A2236C805940}"/>
    <cellStyle name="Normal 4 6 5 3 2 2" xfId="32524" xr:uid="{A9BDABB4-A0FF-435E-BECC-BA418F1688D5}"/>
    <cellStyle name="Normal 4 6 5 3 3" xfId="26362" xr:uid="{4C8B7921-3B90-49D1-9E62-BA3A8C17AD32}"/>
    <cellStyle name="Normal 4 6 5 4" xfId="8077" xr:uid="{267BC592-E034-4DAB-AC1A-97E5A754B6CE}"/>
    <cellStyle name="Normal 4 6 5 4 2" xfId="30693" xr:uid="{94F98D1B-DF35-4939-B063-4CF514268881}"/>
    <cellStyle name="Normal 4 6 5 5" xfId="24454" xr:uid="{DC37B8CE-97C0-43CD-A52A-876807DD4331}"/>
    <cellStyle name="Normal 4 6 6" xfId="1159" xr:uid="{00000000-0005-0000-0000-00005E060000}"/>
    <cellStyle name="Normal 4 6 6 2" xfId="1977" xr:uid="{00000000-0005-0000-0000-00005F060000}"/>
    <cellStyle name="Normal 4 6 6 2 2" xfId="4073" xr:uid="{00000000-0005-0000-0000-00005D060000}"/>
    <cellStyle name="Normal 4 6 6 2 2 2" xfId="10977" xr:uid="{79F281B4-A2B7-4801-B0C4-10B4DD5FED50}"/>
    <cellStyle name="Normal 4 6 6 2 2 2 2" xfId="33463" xr:uid="{8AE0DBC3-CBB0-4D9A-A641-82ECB2DC815B}"/>
    <cellStyle name="Normal 4 6 6 2 2 3" xfId="27258" xr:uid="{C1579808-F678-4841-8FFD-014AF2B0EF50}"/>
    <cellStyle name="Normal 4 6 6 2 3" xfId="8935" xr:uid="{AF62EDC1-01BF-4F14-8C39-9BDC23BEA635}"/>
    <cellStyle name="Normal 4 6 6 2 3 2" xfId="31514" xr:uid="{6908E335-63BB-4CE6-B3EF-71AA123AAD24}"/>
    <cellStyle name="Normal 4 6 6 2 4" xfId="25363" xr:uid="{AE7EE632-0FF8-4B2C-BBE8-7C0FA6F134B2}"/>
    <cellStyle name="Normal 4 6 6 3" xfId="3277" xr:uid="{00000000-0005-0000-0000-00005C060000}"/>
    <cellStyle name="Normal 4 6 6 3 2" xfId="10185" xr:uid="{B3BF458D-4B36-47E5-B19C-F29D6502F3D3}"/>
    <cellStyle name="Normal 4 6 6 3 2 2" xfId="32682" xr:uid="{A2B30410-7F7B-4036-85E5-3D967F908FC1}"/>
    <cellStyle name="Normal 4 6 6 3 3" xfId="26514" xr:uid="{898F0594-BA2C-4DC4-BD6B-FB35EF448681}"/>
    <cellStyle name="Normal 4 6 6 4" xfId="8241" xr:uid="{57C6FAD0-797E-489C-BCB9-9481BDD232D5}"/>
    <cellStyle name="Normal 4 6 6 4 2" xfId="30846" xr:uid="{FD7D852D-2E43-44D5-AB55-8EC3178A708E}"/>
    <cellStyle name="Normal 4 6 6 5" xfId="24615" xr:uid="{37EEA915-E605-4303-B431-1A6C67D35DA0}"/>
    <cellStyle name="Normal 4 6 7" xfId="1328" xr:uid="{00000000-0005-0000-0000-000060060000}"/>
    <cellStyle name="Normal 4 6 7 2" xfId="2067" xr:uid="{00000000-0005-0000-0000-000061060000}"/>
    <cellStyle name="Normal 4 6 7 2 2" xfId="4162" xr:uid="{00000000-0005-0000-0000-00005F060000}"/>
    <cellStyle name="Normal 4 6 7 2 2 2" xfId="11066" xr:uid="{E4D2D95E-8106-4C67-B33D-3684DE0D4086}"/>
    <cellStyle name="Normal 4 6 7 2 2 2 2" xfId="33552" xr:uid="{FC8E3D8B-371D-4FF9-94EE-0A92F53C4456}"/>
    <cellStyle name="Normal 4 6 7 2 2 3" xfId="27340" xr:uid="{0D99C29D-7CBA-4BE4-B236-C3A282692249}"/>
    <cellStyle name="Normal 4 6 7 2 3" xfId="9006" xr:uid="{D01CBB32-3A9A-45EC-894E-CB2BBB19C585}"/>
    <cellStyle name="Normal 4 6 7 2 3 2" xfId="31584" xr:uid="{9BBEFBD4-D674-4341-A37E-1E1EEA8BA5B7}"/>
    <cellStyle name="Normal 4 6 7 2 4" xfId="25447" xr:uid="{2536EF4A-7C23-4C8D-9E36-0A597C6FB431}"/>
    <cellStyle name="Normal 4 6 7 3" xfId="3436" xr:uid="{00000000-0005-0000-0000-00005E060000}"/>
    <cellStyle name="Normal 4 6 7 3 2" xfId="10344" xr:uid="{959C4840-405A-4A8D-B03C-8ADA9210FF55}"/>
    <cellStyle name="Normal 4 6 7 3 2 2" xfId="32832" xr:uid="{A8CEF069-D5D7-42F7-AF3A-25A36A80CD03}"/>
    <cellStyle name="Normal 4 6 7 3 3" xfId="26658" xr:uid="{D1BF07E1-A5E5-42BF-9A1C-1EF1A9F74810}"/>
    <cellStyle name="Normal 4 6 7 4" xfId="8394" xr:uid="{6874F457-ADF7-41B6-B6A0-472BC484B229}"/>
    <cellStyle name="Normal 4 6 7 4 2" xfId="30982" xr:uid="{A98F4A08-6EAF-487C-B19A-F703BB585DCD}"/>
    <cellStyle name="Normal 4 6 7 5" xfId="24757" xr:uid="{DEB8805F-BB97-4350-B2C0-511E80597A39}"/>
    <cellStyle name="Normal 4 6 8" xfId="1430" xr:uid="{00000000-0005-0000-0000-000062060000}"/>
    <cellStyle name="Normal 4 6 8 2" xfId="2158" xr:uid="{00000000-0005-0000-0000-000063060000}"/>
    <cellStyle name="Normal 4 6 8 2 2" xfId="4251" xr:uid="{00000000-0005-0000-0000-000061060000}"/>
    <cellStyle name="Normal 4 6 8 2 2 2" xfId="11155" xr:uid="{297AE558-4598-4860-B2B8-5258DB1EEA9A}"/>
    <cellStyle name="Normal 4 6 8 2 2 2 2" xfId="33641" xr:uid="{D5048B91-F7ED-439B-A969-0FE348861093}"/>
    <cellStyle name="Normal 4 6 8 2 2 3" xfId="27423" xr:uid="{1B668CDA-33E1-468A-A928-B4B2BC4611A9}"/>
    <cellStyle name="Normal 4 6 8 2 3" xfId="9075" xr:uid="{F4902E69-ED9B-4DB7-AF41-DA756C09D624}"/>
    <cellStyle name="Normal 4 6 8 2 3 2" xfId="31651" xr:uid="{9B5537E2-B880-4CE1-8A54-2E8D67019ECC}"/>
    <cellStyle name="Normal 4 6 8 2 4" xfId="25528" xr:uid="{22887D2A-ADC2-49FE-9CA5-09B00B48E9FB}"/>
    <cellStyle name="Normal 4 6 8 3" xfId="3531" xr:uid="{00000000-0005-0000-0000-000060060000}"/>
    <cellStyle name="Normal 4 6 8 3 2" xfId="10437" xr:uid="{E6325F1F-D868-424F-9033-403B87CE2840}"/>
    <cellStyle name="Normal 4 6 8 3 2 2" xfId="32924" xr:uid="{2FF24C17-2478-48AA-B0C7-8E248CBDDB5B}"/>
    <cellStyle name="Normal 4 6 8 3 3" xfId="26744" xr:uid="{A2F9D4EE-A68C-4E7F-AD64-F4C5C0C6AAEE}"/>
    <cellStyle name="Normal 4 6 8 4" xfId="8473" xr:uid="{42FC595C-D76F-4E60-94D7-6FE711FCF088}"/>
    <cellStyle name="Normal 4 6 8 4 2" xfId="31060" xr:uid="{97E8B9F2-E4E0-4111-9102-D93E31E6093A}"/>
    <cellStyle name="Normal 4 6 8 5" xfId="24853" xr:uid="{254DFB17-6924-4656-8BC7-0637988BD36B}"/>
    <cellStyle name="Normal 4 6 9" xfId="1497" xr:uid="{00000000-0005-0000-0000-000064060000}"/>
    <cellStyle name="Normal 4 6 9 2" xfId="2224" xr:uid="{00000000-0005-0000-0000-000065060000}"/>
    <cellStyle name="Normal 4 6 9 2 2" xfId="4317" xr:uid="{00000000-0005-0000-0000-000063060000}"/>
    <cellStyle name="Normal 4 6 9 2 2 2" xfId="11221" xr:uid="{72DE7C90-68E4-456A-A7D2-DC0F34F083E4}"/>
    <cellStyle name="Normal 4 6 9 2 2 2 2" xfId="33707" xr:uid="{8BBB73F9-E6A3-4192-BE3E-DB8D21CFF414}"/>
    <cellStyle name="Normal 4 6 9 2 2 3" xfId="27489" xr:uid="{B0B16142-C26C-4361-AFF8-63934E0564A1}"/>
    <cellStyle name="Normal 4 6 9 2 3" xfId="9137" xr:uid="{A07C1AED-7880-44AF-AA5A-388EAE36C48B}"/>
    <cellStyle name="Normal 4 6 9 2 3 2" xfId="31713" xr:uid="{F8367616-9AEC-4B90-9AF4-F2E5F7B8DEE2}"/>
    <cellStyle name="Normal 4 6 9 2 4" xfId="25592" xr:uid="{5FD03D64-A664-463D-BBE2-167A7DF1F16A}"/>
    <cellStyle name="Normal 4 6 9 3" xfId="3598" xr:uid="{00000000-0005-0000-0000-000062060000}"/>
    <cellStyle name="Normal 4 6 9 3 2" xfId="10503" xr:uid="{334269B2-7529-484D-94DA-19A6C27BA658}"/>
    <cellStyle name="Normal 4 6 9 3 2 2" xfId="32990" xr:uid="{82F44761-02B3-4FD6-87B9-901370091E7E}"/>
    <cellStyle name="Normal 4 6 9 3 3" xfId="26811" xr:uid="{927B48E0-3DEF-4156-AABB-118EC4E3B159}"/>
    <cellStyle name="Normal 4 6 9 4" xfId="8539" xr:uid="{F3A5F07C-E518-4C8A-99D5-2729E73C85D2}"/>
    <cellStyle name="Normal 4 6 9 4 2" xfId="31126" xr:uid="{800C9D9A-C8E3-4B9E-B0E4-C1C97F750807}"/>
    <cellStyle name="Normal 4 6 9 5" xfId="24919" xr:uid="{44CB0216-75D7-4CAC-A258-BE56B2B5EEAC}"/>
    <cellStyle name="Normal 4 7" xfId="256" xr:uid="{00000000-0005-0000-0000-000066060000}"/>
    <cellStyle name="Normal 4 7 2" xfId="1568" xr:uid="{00000000-0005-0000-0000-000067060000}"/>
    <cellStyle name="Normal 4 7 2 2" xfId="3669" xr:uid="{00000000-0005-0000-0000-000065060000}"/>
    <cellStyle name="Normal 4 7 2 2 2" xfId="10573" xr:uid="{3F9E1898-7024-4CA8-99A8-CAFA57903E01}"/>
    <cellStyle name="Normal 4 7 2 2 2 2" xfId="33059" xr:uid="{C57F180C-A06A-45A9-8C72-FB26DCB56151}"/>
    <cellStyle name="Normal 4 7 2 2 3" xfId="26880" xr:uid="{AC6EFBF8-51C0-4EAF-8B3A-78045F1A0D28}"/>
    <cellStyle name="Normal 4 7 2 3" xfId="8605" xr:uid="{72DF2C2B-625D-47B3-B692-CBA7719990E0}"/>
    <cellStyle name="Normal 4 7 2 3 2" xfId="31192" xr:uid="{58D41A05-1EAA-497C-8D93-42DD53C7B94D}"/>
    <cellStyle name="Normal 4 7 2 4" xfId="24990" xr:uid="{99DCE1C4-4C32-492C-925B-5D1133DD5123}"/>
    <cellStyle name="Normal 4 7 3" xfId="2420" xr:uid="{00000000-0005-0000-0000-000064060000}"/>
    <cellStyle name="Normal 4 7 3 2" xfId="9329" xr:uid="{2563EECA-8E60-4C23-B7F3-AA5F08D57321}"/>
    <cellStyle name="Normal 4 7 3 2 2" xfId="31898" xr:uid="{873DB5C6-63E3-4695-BE1D-E8ABDDC6CFCC}"/>
    <cellStyle name="Normal 4 7 3 3" xfId="25766" xr:uid="{55A4CAAE-E4F6-4798-B191-F71BBF887ED5}"/>
    <cellStyle name="Normal 4 7 4" xfId="7424" xr:uid="{9066CE39-CDD4-47DE-9B86-BD9CEAF74781}"/>
    <cellStyle name="Normal 4 7 4 2" xfId="30102" xr:uid="{B3B193C1-0E8B-4FD3-9458-DF8B99DD07FB}"/>
    <cellStyle name="Normal 4 7 5" xfId="23818" xr:uid="{3DAF5BD3-E5DB-4812-A953-0B72C0BC306C}"/>
    <cellStyle name="Normal 4 8" xfId="232" xr:uid="{00000000-0005-0000-0000-000068060000}"/>
    <cellStyle name="Normal 4 9" xfId="258" xr:uid="{00000000-0005-0000-0000-000069060000}"/>
    <cellStyle name="Normal 5" xfId="44" xr:uid="{00000000-0005-0000-0000-00006A060000}"/>
    <cellStyle name="Normal 5 10" xfId="378" xr:uid="{00000000-0005-0000-0000-00006B060000}"/>
    <cellStyle name="Normal 5 11" xfId="615" xr:uid="{00000000-0005-0000-0000-00006C060000}"/>
    <cellStyle name="Normal 5 12" xfId="648" xr:uid="{00000000-0005-0000-0000-00006D060000}"/>
    <cellStyle name="Normal 5 13" xfId="796" xr:uid="{00000000-0005-0000-0000-00006E060000}"/>
    <cellStyle name="Normal 5 14" xfId="1056" xr:uid="{00000000-0005-0000-0000-00006F060000}"/>
    <cellStyle name="Normal 5 15" xfId="1440" xr:uid="{00000000-0005-0000-0000-000070060000}"/>
    <cellStyle name="Normal 5 15 2" xfId="2168" xr:uid="{00000000-0005-0000-0000-000071060000}"/>
    <cellStyle name="Normal 5 15 2 2" xfId="4261" xr:uid="{00000000-0005-0000-0000-00006F060000}"/>
    <cellStyle name="Normal 5 15 2 2 2" xfId="11165" xr:uid="{B3CDB824-7A88-4ADE-97A3-2DAA466DF101}"/>
    <cellStyle name="Normal 5 15 2 2 2 2" xfId="33651" xr:uid="{879E6718-79C6-4F34-8C58-DC6B078E5072}"/>
    <cellStyle name="Normal 5 15 2 2 3" xfId="27433" xr:uid="{FD830D91-A736-4F6C-B13A-03AB0F78E944}"/>
    <cellStyle name="Normal 5 15 2 3" xfId="9085" xr:uid="{C64144A5-A838-4208-AE49-0588612DCAB9}"/>
    <cellStyle name="Normal 5 15 2 3 2" xfId="31661" xr:uid="{46311E9F-053E-41DC-ACD0-3721359AEF9E}"/>
    <cellStyle name="Normal 5 15 2 4" xfId="25538" xr:uid="{BD2905BE-03AB-4A65-9AA0-DBBA860A51A8}"/>
    <cellStyle name="Normal 5 15 3" xfId="3541" xr:uid="{00000000-0005-0000-0000-00006E060000}"/>
    <cellStyle name="Normal 5 15 3 2" xfId="10447" xr:uid="{1288E452-199C-47CB-9F2B-2A66E24F3B78}"/>
    <cellStyle name="Normal 5 15 3 2 2" xfId="32934" xr:uid="{BBAA0F36-6CF6-4234-BF0C-3E6288A85E50}"/>
    <cellStyle name="Normal 5 15 3 3" xfId="26754" xr:uid="{5245281A-81CC-4490-ABD0-59EEF031CBBC}"/>
    <cellStyle name="Normal 5 15 4" xfId="8483" xr:uid="{A4CBA1DF-0173-4D91-A066-1F7220C56575}"/>
    <cellStyle name="Normal 5 15 4 2" xfId="31070" xr:uid="{29C977BD-48B7-46C2-A139-5B416765BDFD}"/>
    <cellStyle name="Normal 5 15 5" xfId="24863" xr:uid="{32F425DD-0C6D-4460-A225-840A2ECE73C6}"/>
    <cellStyle name="Normal 5 16" xfId="1454" xr:uid="{00000000-0005-0000-0000-000072060000}"/>
    <cellStyle name="Normal 5 16 2" xfId="2181" xr:uid="{00000000-0005-0000-0000-000073060000}"/>
    <cellStyle name="Normal 5 16 2 2" xfId="4274" xr:uid="{00000000-0005-0000-0000-000071060000}"/>
    <cellStyle name="Normal 5 16 2 2 2" xfId="11178" xr:uid="{E832685D-A9D4-4B12-9392-3E4CB4285806}"/>
    <cellStyle name="Normal 5 16 2 2 2 2" xfId="33664" xr:uid="{1A433C83-7A94-4730-B92E-9CEEB1CF744C}"/>
    <cellStyle name="Normal 5 16 2 2 3" xfId="27446" xr:uid="{0176CD57-2EFB-4F10-95FC-A04CA55799FF}"/>
    <cellStyle name="Normal 5 16 2 3" xfId="9098" xr:uid="{D5E765AE-3EB8-4C08-B06C-835086483B31}"/>
    <cellStyle name="Normal 5 16 2 3 2" xfId="31674" xr:uid="{92C636BA-1910-43BD-A4F6-832127360427}"/>
    <cellStyle name="Normal 5 16 2 4" xfId="25551" xr:uid="{F7B1B752-383F-409C-881E-F6A8AB60A138}"/>
    <cellStyle name="Normal 5 16 3" xfId="3555" xr:uid="{00000000-0005-0000-0000-000070060000}"/>
    <cellStyle name="Normal 5 16 3 2" xfId="10461" xr:uid="{E980A48D-CE34-4092-B3F3-7D8860CBC01E}"/>
    <cellStyle name="Normal 5 16 3 2 2" xfId="32948" xr:uid="{811D444C-4617-47DA-93A6-7289632D421C}"/>
    <cellStyle name="Normal 5 16 3 3" xfId="26768" xr:uid="{1FC1D97F-3C5F-4303-AE27-C6806AA757BB}"/>
    <cellStyle name="Normal 5 16 4" xfId="8497" xr:uid="{1140035C-FFC5-469B-86F0-096C286FA7E4}"/>
    <cellStyle name="Normal 5 16 4 2" xfId="31084" xr:uid="{EC1EC4C4-31D9-4AF1-8772-8B0EA6FB1539}"/>
    <cellStyle name="Normal 5 16 5" xfId="24877" xr:uid="{3190C87F-64CA-4DB6-9ABE-BB36EF997BBE}"/>
    <cellStyle name="Normal 5 17" xfId="1518" xr:uid="{00000000-0005-0000-0000-000074060000}"/>
    <cellStyle name="Normal 5 17 2" xfId="3619" xr:uid="{00000000-0005-0000-0000-000072060000}"/>
    <cellStyle name="Normal 5 17 2 2" xfId="10523" xr:uid="{BCA5AA3E-EBE5-470E-B52A-7676428423F5}"/>
    <cellStyle name="Normal 5 17 2 2 2" xfId="33009" xr:uid="{5ADB0059-3C1A-4F91-BEC7-7A9FEEA95CF4}"/>
    <cellStyle name="Normal 5 17 2 3" xfId="26831" xr:uid="{CAA6B4C6-37F2-4E53-B823-F46C2BC6DA79}"/>
    <cellStyle name="Normal 5 17 3" xfId="8558" xr:uid="{26AB235B-B2A0-4532-80AE-5A0A2CCBDC37}"/>
    <cellStyle name="Normal 5 17 3 2" xfId="31145" xr:uid="{8480E2DD-3506-42C1-96B5-6B0FBCC6B73E}"/>
    <cellStyle name="Normal 5 17 4" xfId="24940" xr:uid="{C1D2A365-E2C7-4441-8465-A1C86974A9D3}"/>
    <cellStyle name="Normal 5 18" xfId="2279" xr:uid="{00000000-0005-0000-0000-000068060000}"/>
    <cellStyle name="Normal 5 18 2" xfId="9190" xr:uid="{7F946BD0-4187-48A5-A777-18E0B0584527}"/>
    <cellStyle name="Normal 5 18 2 2" xfId="31765" xr:uid="{361C7BD7-8658-470F-8DE5-4B2EA48F41D6}"/>
    <cellStyle name="Normal 5 18 3" xfId="25646" xr:uid="{3417845A-C6E9-4868-9F2B-662CEE3BAACE}"/>
    <cellStyle name="Normal 5 19" xfId="7269" xr:uid="{8D310FAA-AF88-4B97-A9F0-2305EA75A4DF}"/>
    <cellStyle name="Normal 5 19 2" xfId="29958" xr:uid="{0AA0DAD3-5F7E-445B-B18E-C362AB9ACC8D}"/>
    <cellStyle name="Normal 5 2" xfId="89" xr:uid="{00000000-0005-0000-0000-000075060000}"/>
    <cellStyle name="Normal 5 2 10" xfId="1526" xr:uid="{00000000-0005-0000-0000-000076060000}"/>
    <cellStyle name="Normal 5 2 10 2" xfId="3627" xr:uid="{00000000-0005-0000-0000-000074060000}"/>
    <cellStyle name="Normal 5 2 10 2 2" xfId="10531" xr:uid="{C8B85AFC-BD1B-4391-9EC7-B4584D7645A7}"/>
    <cellStyle name="Normal 5 2 10 2 2 2" xfId="33017" xr:uid="{F499C353-1E92-4089-9844-97181530F3CD}"/>
    <cellStyle name="Normal 5 2 10 2 3" xfId="26838" xr:uid="{E1A8EC20-4A86-4C91-B1BA-BF6249D0F856}"/>
    <cellStyle name="Normal 5 2 10 3" xfId="8563" xr:uid="{F68239AB-1194-4691-AD80-CC1A305CC811}"/>
    <cellStyle name="Normal 5 2 10 3 2" xfId="31150" xr:uid="{A5541C24-441B-4563-AE14-9F5F047900BC}"/>
    <cellStyle name="Normal 5 2 10 4" xfId="24948" xr:uid="{DB33B824-9A3E-4E87-9CD3-CA589C621575}"/>
    <cellStyle name="Normal 5 2 11" xfId="2302" xr:uid="{00000000-0005-0000-0000-000073060000}"/>
    <cellStyle name="Normal 5 2 11 2" xfId="9212" xr:uid="{E27608E6-79C4-47E8-8439-A736AEC5BB91}"/>
    <cellStyle name="Normal 5 2 11 2 2" xfId="31787" xr:uid="{D69AF3A4-4944-4B4F-BCC8-4A5762DFBDBD}"/>
    <cellStyle name="Normal 5 2 11 3" xfId="25666" xr:uid="{7AEACDED-6847-473D-882B-CD449CC6CCAB}"/>
    <cellStyle name="Normal 5 2 12" xfId="7295" xr:uid="{24B1C627-1735-43D5-A4B7-A1AE3CECAF14}"/>
    <cellStyle name="Normal 5 2 12 2" xfId="29983" xr:uid="{90CB0C3F-F626-4417-9DAB-02EED50282F3}"/>
    <cellStyle name="Normal 5 2 13" xfId="23675" xr:uid="{CDD44360-081F-4612-BBE1-3A89A2B5ECB0}"/>
    <cellStyle name="Normal 5 2 2" xfId="297" xr:uid="{00000000-0005-0000-0000-000077060000}"/>
    <cellStyle name="Normal 5 2 2 2" xfId="1582" xr:uid="{00000000-0005-0000-0000-000078060000}"/>
    <cellStyle name="Normal 5 2 2 2 2" xfId="3683" xr:uid="{00000000-0005-0000-0000-000076060000}"/>
    <cellStyle name="Normal 5 2 2 2 2 2" xfId="10587" xr:uid="{3E1FE186-9D09-455B-904B-721E74759472}"/>
    <cellStyle name="Normal 5 2 2 2 2 2 2" xfId="33073" xr:uid="{ABF32F73-2DB8-4B8A-9247-BBF801A7D3E4}"/>
    <cellStyle name="Normal 5 2 2 2 2 3" xfId="26894" xr:uid="{4306DCB9-B1E8-4899-A9F0-072348ABC3EF}"/>
    <cellStyle name="Normal 5 2 2 2 3" xfId="8617" xr:uid="{53CE3D0B-FE82-4BEF-9DE4-9E1C4203571A}"/>
    <cellStyle name="Normal 5 2 2 2 3 2" xfId="31203" xr:uid="{843EFE34-8BE2-4CCC-9643-4D9AF5711041}"/>
    <cellStyle name="Normal 5 2 2 2 4" xfId="25003" xr:uid="{E549150C-0FA3-4FC3-8E19-B08863CB2840}"/>
    <cellStyle name="Normal 5 2 2 3" xfId="2461" xr:uid="{00000000-0005-0000-0000-000075060000}"/>
    <cellStyle name="Normal 5 2 2 3 2" xfId="9370" xr:uid="{0FC3C312-B9FD-4175-96AC-5C7CF2AA2620}"/>
    <cellStyle name="Normal 5 2 2 3 2 2" xfId="31935" xr:uid="{02CBBABD-9390-4AF6-A34F-641E1AAEADE4}"/>
    <cellStyle name="Normal 5 2 2 3 3" xfId="25801" xr:uid="{906E90B4-4B5F-4D6A-9569-3E18ECBE614C}"/>
    <cellStyle name="Normal 5 2 2 4" xfId="7462" xr:uid="{424771AD-B629-4DFC-8108-93939E8A9B2E}"/>
    <cellStyle name="Normal 5 2 2 4 2" xfId="30133" xr:uid="{441402D3-0C2A-4440-B04D-EC7B420B40E8}"/>
    <cellStyle name="Normal 5 2 2 5" xfId="23856" xr:uid="{760C02E3-3E72-4964-91FF-A72BB507EEA6}"/>
    <cellStyle name="Normal 5 2 3" xfId="462" xr:uid="{00000000-0005-0000-0000-000079060000}"/>
    <cellStyle name="Normal 5 2 3 2" xfId="1667" xr:uid="{00000000-0005-0000-0000-00007A060000}"/>
    <cellStyle name="Normal 5 2 3 2 2" xfId="3765" xr:uid="{00000000-0005-0000-0000-000078060000}"/>
    <cellStyle name="Normal 5 2 3 2 2 2" xfId="10669" xr:uid="{5AFAB80D-7A0A-4E96-973B-F569A7B61E79}"/>
    <cellStyle name="Normal 5 2 3 2 2 2 2" xfId="33155" xr:uid="{331E14E0-606B-496A-AB8E-A0769D933842}"/>
    <cellStyle name="Normal 5 2 3 2 2 3" xfId="26972" xr:uid="{EACC3F83-D545-419B-930E-6FE55C4CEB77}"/>
    <cellStyle name="Normal 5 2 3 2 3" xfId="8682" xr:uid="{E8F46650-536E-48E7-82B1-A9AB96EB6117}"/>
    <cellStyle name="Normal 5 2 3 2 3 2" xfId="31267" xr:uid="{540AD1F5-A31B-4CBA-A2D2-C8A4957CE964}"/>
    <cellStyle name="Normal 5 2 3 2 4" xfId="25082" xr:uid="{B7975390-F59D-4FD4-AF63-63B522918E23}"/>
    <cellStyle name="Normal 5 2 3 3" xfId="2614" xr:uid="{00000000-0005-0000-0000-000077060000}"/>
    <cellStyle name="Normal 5 2 3 3 2" xfId="9523" xr:uid="{5EFCE690-EDE6-4598-BF21-5DB4F9D626B6}"/>
    <cellStyle name="Normal 5 2 3 3 2 2" xfId="32075" xr:uid="{EA299DEE-5D85-4931-8731-C35CBC2934AD}"/>
    <cellStyle name="Normal 5 2 3 3 3" xfId="25935" xr:uid="{572F6D3F-C2EC-4F90-9500-18F61A9BE5AE}"/>
    <cellStyle name="Normal 5 2 3 4" xfId="7608" xr:uid="{CF9DE237-5E0C-48E3-9DB8-75CC4ACE54D6}"/>
    <cellStyle name="Normal 5 2 3 4 2" xfId="30269" xr:uid="{99D79A7D-6349-47E1-AC04-A32A0F834DED}"/>
    <cellStyle name="Normal 5 2 3 5" xfId="23997" xr:uid="{315FD95B-1FA8-40A4-967E-D707C8215A10}"/>
    <cellStyle name="Normal 5 2 4" xfId="686" xr:uid="{00000000-0005-0000-0000-00007B060000}"/>
    <cellStyle name="Normal 5 2 4 2" xfId="1764" xr:uid="{00000000-0005-0000-0000-00007C060000}"/>
    <cellStyle name="Normal 5 2 4 2 2" xfId="3862" xr:uid="{00000000-0005-0000-0000-00007A060000}"/>
    <cellStyle name="Normal 5 2 4 2 2 2" xfId="10766" xr:uid="{56116EF8-8F62-410D-9861-D014255718B5}"/>
    <cellStyle name="Normal 5 2 4 2 2 2 2" xfId="33252" xr:uid="{7053725C-19BC-450E-AA2B-376220249859}"/>
    <cellStyle name="Normal 5 2 4 2 2 3" xfId="27061" xr:uid="{C79A526E-397E-4D7B-9E63-D795C1C3ECCA}"/>
    <cellStyle name="Normal 5 2 4 2 3" xfId="8764" xr:uid="{B4A2A5BD-F77E-4804-89CB-0BCD012BA9A4}"/>
    <cellStyle name="Normal 5 2 4 2 3 2" xfId="31347" xr:uid="{AFDB34B6-AB90-474C-9DFF-4FF8969DB1AC}"/>
    <cellStyle name="Normal 5 2 4 2 4" xfId="25170" xr:uid="{6A37A2B1-09A9-4828-AD24-09492AFF5324}"/>
    <cellStyle name="Normal 5 2 4 3" xfId="2828" xr:uid="{00000000-0005-0000-0000-000079060000}"/>
    <cellStyle name="Normal 5 2 4 3 2" xfId="9737" xr:uid="{EAB47430-AC18-4900-90CA-9C4FCD78B7C6}"/>
    <cellStyle name="Normal 5 2 4 3 2 2" xfId="32275" xr:uid="{551E3809-F56B-4281-8AE2-DDA01BB18EA1}"/>
    <cellStyle name="Normal 5 2 4 3 3" xfId="26123" xr:uid="{9E5230E6-BB03-4D9C-9E9A-1AF2EC780CDB}"/>
    <cellStyle name="Normal 5 2 4 4" xfId="7810" xr:uid="{433E462A-7BC9-47B1-9C20-9EF5A84241A0}"/>
    <cellStyle name="Normal 5 2 4 4 2" xfId="30446" xr:uid="{DAD3D7AB-4D74-4BD1-98E3-5BF1C385C5E7}"/>
    <cellStyle name="Normal 5 2 4 5" xfId="24197" xr:uid="{49F28ACE-E41C-4487-BB85-DD5EF24A9A87}"/>
    <cellStyle name="Normal 5 2 5" xfId="878" xr:uid="{00000000-0005-0000-0000-00007D060000}"/>
    <cellStyle name="Normal 5 2 5 2" xfId="1853" xr:uid="{00000000-0005-0000-0000-00007E060000}"/>
    <cellStyle name="Normal 5 2 5 2 2" xfId="3951" xr:uid="{00000000-0005-0000-0000-00007C060000}"/>
    <cellStyle name="Normal 5 2 5 2 2 2" xfId="10855" xr:uid="{E7229C82-326A-42CA-ABB5-C45B492F933D}"/>
    <cellStyle name="Normal 5 2 5 2 2 2 2" xfId="33341" xr:uid="{808C23AF-B433-4DA6-9355-5F358F2FD7EE}"/>
    <cellStyle name="Normal 5 2 5 2 2 3" xfId="27142" xr:uid="{D9AC2AB5-CC46-4262-8EDD-C00B0019DE83}"/>
    <cellStyle name="Normal 5 2 5 2 3" xfId="8836" xr:uid="{4B1F787D-B1C2-49AF-B7D0-AB64C511B62E}"/>
    <cellStyle name="Normal 5 2 5 2 3 2" xfId="31417" xr:uid="{8D7E394B-9FE7-4383-B386-84AE6BC0FAB3}"/>
    <cellStyle name="Normal 5 2 5 2 4" xfId="25249" xr:uid="{6D0DE756-0D04-4B02-A7BB-F5654A3FA108}"/>
    <cellStyle name="Normal 5 2 5 3" xfId="3008" xr:uid="{00000000-0005-0000-0000-00007B060000}"/>
    <cellStyle name="Normal 5 2 5 3 2" xfId="9917" xr:uid="{C45D2479-6C39-4261-BA63-C5E7DC1DDA2E}"/>
    <cellStyle name="Normal 5 2 5 3 2 2" xfId="32438" xr:uid="{82786CA2-5BF7-41EC-A69E-C2CC956158FE}"/>
    <cellStyle name="Normal 5 2 5 3 3" xfId="26276" xr:uid="{61BBCC6D-7617-4CB4-987C-D91D1DE72215}"/>
    <cellStyle name="Normal 5 2 5 4" xfId="7981" xr:uid="{D3196430-6B36-4CE4-94BE-187F0C48CEC4}"/>
    <cellStyle name="Normal 5 2 5 4 2" xfId="30603" xr:uid="{81C50C9E-E79E-4947-9E36-0DE293EEF37A}"/>
    <cellStyle name="Normal 5 2 5 5" xfId="24362" xr:uid="{37972917-2CEF-47B3-A8A2-DF6DD88331AE}"/>
    <cellStyle name="Normal 5 2 6" xfId="1059" xr:uid="{00000000-0005-0000-0000-00007F060000}"/>
    <cellStyle name="Normal 5 2 6 2" xfId="1948" xr:uid="{00000000-0005-0000-0000-000080060000}"/>
    <cellStyle name="Normal 5 2 6 2 2" xfId="4044" xr:uid="{00000000-0005-0000-0000-00007E060000}"/>
    <cellStyle name="Normal 5 2 6 2 2 2" xfId="10948" xr:uid="{CBC98151-2E0E-4051-B801-12BC306FDC75}"/>
    <cellStyle name="Normal 5 2 6 2 2 2 2" xfId="33434" xr:uid="{385296FF-015D-48BD-8328-B8482BE6FBFD}"/>
    <cellStyle name="Normal 5 2 6 2 2 3" xfId="27229" xr:uid="{B10DF248-5719-4C67-B94D-89B13A6E62F8}"/>
    <cellStyle name="Normal 5 2 6 2 3" xfId="8906" xr:uid="{CFD977D7-6CBC-4320-A2C5-83006D932429}"/>
    <cellStyle name="Normal 5 2 6 2 3 2" xfId="31485" xr:uid="{985610BA-60C0-46D1-806F-7BE9223BFBED}"/>
    <cellStyle name="Normal 5 2 6 2 4" xfId="25334" xr:uid="{9D729739-9058-4555-8F87-84C270017596}"/>
    <cellStyle name="Normal 5 2 6 3" xfId="3179" xr:uid="{00000000-0005-0000-0000-00007D060000}"/>
    <cellStyle name="Normal 5 2 6 3 2" xfId="10088" xr:uid="{49A79FF7-D82C-48E1-8C50-5EA281DF41D8}"/>
    <cellStyle name="Normal 5 2 6 3 2 2" xfId="32595" xr:uid="{C2B928F1-3426-46E8-8CD7-C38C2E04AE79}"/>
    <cellStyle name="Normal 5 2 6 3 3" xfId="26428" xr:uid="{92E8BCA7-FE22-4FB4-A046-029865BD39C5}"/>
    <cellStyle name="Normal 5 2 6 4" xfId="8142" xr:uid="{37427325-D40C-4A43-9057-9067C3797AC4}"/>
    <cellStyle name="Normal 5 2 6 4 2" xfId="30754" xr:uid="{C5AE5F82-2B55-4F08-8D66-DFAA1C2C28CF}"/>
    <cellStyle name="Normal 5 2 6 5" xfId="24526" xr:uid="{054782E4-5260-4446-8ED5-3BBCCA555155}"/>
    <cellStyle name="Normal 5 2 7" xfId="1238" xr:uid="{00000000-0005-0000-0000-000081060000}"/>
    <cellStyle name="Normal 5 2 7 2" xfId="2038" xr:uid="{00000000-0005-0000-0000-000082060000}"/>
    <cellStyle name="Normal 5 2 7 2 2" xfId="4133" xr:uid="{00000000-0005-0000-0000-000080060000}"/>
    <cellStyle name="Normal 5 2 7 2 2 2" xfId="11037" xr:uid="{73CA927B-9076-4DD6-AF97-4A451916D53C}"/>
    <cellStyle name="Normal 5 2 7 2 2 2 2" xfId="33523" xr:uid="{4DC9758A-5F77-4D25-BAE5-002C865D9349}"/>
    <cellStyle name="Normal 5 2 7 2 2 3" xfId="27311" xr:uid="{3DF2D058-A0F6-4504-A165-318AADE4C537}"/>
    <cellStyle name="Normal 5 2 7 2 3" xfId="8977" xr:uid="{A6221078-0053-4D36-93CA-5015AB6AB343}"/>
    <cellStyle name="Normal 5 2 7 2 3 2" xfId="31555" xr:uid="{A6376E42-E0CC-4A02-9CE5-743D236B51D7}"/>
    <cellStyle name="Normal 5 2 7 2 4" xfId="25418" xr:uid="{52291FF2-9AA2-431A-88EB-01A05E6A0CBA}"/>
    <cellStyle name="Normal 5 2 7 3" xfId="3348" xr:uid="{00000000-0005-0000-0000-00007F060000}"/>
    <cellStyle name="Normal 5 2 7 3 2" xfId="10256" xr:uid="{61D20A1F-5128-4442-8F35-769D309082D8}"/>
    <cellStyle name="Normal 5 2 7 3 2 2" xfId="32750" xr:uid="{24DF96F9-3513-4475-88AE-3D681D77B036}"/>
    <cellStyle name="Normal 5 2 7 3 3" xfId="26577" xr:uid="{4CCEA6B9-934B-4A56-B6D7-C24296E397C0}"/>
    <cellStyle name="Normal 5 2 7 4" xfId="8306" xr:uid="{8F98F5D1-802D-4817-A6BC-FD45D14688C7}"/>
    <cellStyle name="Normal 5 2 7 4 2" xfId="30905" xr:uid="{E722DCC8-1EA3-4F12-A142-8D63D4798BE6}"/>
    <cellStyle name="Normal 5 2 7 5" xfId="24679" xr:uid="{3FE6BDCC-F046-452F-9EB8-090F8D667D7D}"/>
    <cellStyle name="Normal 5 2 8" xfId="1422" xr:uid="{00000000-0005-0000-0000-000083060000}"/>
    <cellStyle name="Normal 5 2 8 2" xfId="2151" xr:uid="{00000000-0005-0000-0000-000084060000}"/>
    <cellStyle name="Normal 5 2 8 2 2" xfId="4244" xr:uid="{00000000-0005-0000-0000-000082060000}"/>
    <cellStyle name="Normal 5 2 8 2 2 2" xfId="11148" xr:uid="{B5FD41E6-3DCB-4C3F-9403-D5FB8EEB2330}"/>
    <cellStyle name="Normal 5 2 8 2 2 2 2" xfId="33634" xr:uid="{43EC96F6-F6A5-46B1-86C9-4A2108A58448}"/>
    <cellStyle name="Normal 5 2 8 2 2 3" xfId="27416" xr:uid="{B104F336-DAF1-40FD-ACCD-10A74F8F615C}"/>
    <cellStyle name="Normal 5 2 8 2 3" xfId="9068" xr:uid="{5A31B9F0-67FD-42B3-9E89-15E8B8190218}"/>
    <cellStyle name="Normal 5 2 8 2 3 2" xfId="31644" xr:uid="{C4219B89-C569-4F29-97F6-743C2324CBFE}"/>
    <cellStyle name="Normal 5 2 8 2 4" xfId="25521" xr:uid="{12C1A437-8ACA-4764-895B-C4F87C96CF29}"/>
    <cellStyle name="Normal 5 2 8 3" xfId="3523" xr:uid="{00000000-0005-0000-0000-000081060000}"/>
    <cellStyle name="Normal 5 2 8 3 2" xfId="10430" xr:uid="{2D525BAD-45C3-41FE-928A-2826AF76A22D}"/>
    <cellStyle name="Normal 5 2 8 3 2 2" xfId="32917" xr:uid="{F74112EC-E973-4A58-82E6-97B2316D5904}"/>
    <cellStyle name="Normal 5 2 8 3 3" xfId="26736" xr:uid="{42C8415A-1769-4723-8B1C-45030FC73EB7}"/>
    <cellStyle name="Normal 5 2 8 4" xfId="8465" xr:uid="{D35A0E6A-BE6A-4F32-9F96-DE12F901FE2F}"/>
    <cellStyle name="Normal 5 2 8 4 2" xfId="31052" xr:uid="{E315EE1A-39F7-4AB1-B764-DE139760CD15}"/>
    <cellStyle name="Normal 5 2 8 5" xfId="24845" xr:uid="{3389D40F-2B73-4D85-A107-78D713CB1218}"/>
    <cellStyle name="Normal 5 2 9" xfId="1468" xr:uid="{00000000-0005-0000-0000-000085060000}"/>
    <cellStyle name="Normal 5 2 9 2" xfId="2195" xr:uid="{00000000-0005-0000-0000-000086060000}"/>
    <cellStyle name="Normal 5 2 9 2 2" xfId="4288" xr:uid="{00000000-0005-0000-0000-000084060000}"/>
    <cellStyle name="Normal 5 2 9 2 2 2" xfId="11192" xr:uid="{AF099260-44BD-4109-80A6-B50989A90073}"/>
    <cellStyle name="Normal 5 2 9 2 2 2 2" xfId="33678" xr:uid="{403DD762-6398-45E6-A0E6-F8B4ECF95F68}"/>
    <cellStyle name="Normal 5 2 9 2 2 3" xfId="27460" xr:uid="{A12390CD-8851-4215-9915-2EEE6A827754}"/>
    <cellStyle name="Normal 5 2 9 2 3" xfId="9108" xr:uid="{2C4096B1-D5CE-4702-8BDD-5D7F8952BA2E}"/>
    <cellStyle name="Normal 5 2 9 2 3 2" xfId="31684" xr:uid="{41D88509-A5E0-4B7F-A6A0-4BE9B0C45222}"/>
    <cellStyle name="Normal 5 2 9 2 4" xfId="25563" xr:uid="{29A03820-6428-4583-9917-8E39C03DD5A2}"/>
    <cellStyle name="Normal 5 2 9 3" xfId="3569" xr:uid="{00000000-0005-0000-0000-000083060000}"/>
    <cellStyle name="Normal 5 2 9 3 2" xfId="10474" xr:uid="{175AC923-2722-4FD1-9A0C-53C360BD9E37}"/>
    <cellStyle name="Normal 5 2 9 3 2 2" xfId="32961" xr:uid="{2EE3093F-35FE-424C-A46C-84C410958717}"/>
    <cellStyle name="Normal 5 2 9 3 3" xfId="26782" xr:uid="{844ED261-D1FC-4733-A900-4A0D789383B2}"/>
    <cellStyle name="Normal 5 2 9 4" xfId="8510" xr:uid="{C5D8BA8A-627A-4F31-B944-9E33778B2C01}"/>
    <cellStyle name="Normal 5 2 9 4 2" xfId="31097" xr:uid="{17BC4821-8191-4539-A853-2341CA6CDDCD}"/>
    <cellStyle name="Normal 5 2 9 5" xfId="24890" xr:uid="{14590191-789F-4C27-A82B-A4A3B723684A}"/>
    <cellStyle name="Normal 5 20" xfId="23638" xr:uid="{C5A012B5-969F-4F9A-84CF-39DE94FB859E}"/>
    <cellStyle name="Normal 5 3" xfId="125" xr:uid="{00000000-0005-0000-0000-000087060000}"/>
    <cellStyle name="Normal 5 3 10" xfId="1538" xr:uid="{00000000-0005-0000-0000-000088060000}"/>
    <cellStyle name="Normal 5 3 10 2" xfId="3639" xr:uid="{00000000-0005-0000-0000-000086060000}"/>
    <cellStyle name="Normal 5 3 10 2 2" xfId="10543" xr:uid="{82F9E26C-1A17-4131-BF32-3B3621D3DB3A}"/>
    <cellStyle name="Normal 5 3 10 2 2 2" xfId="33029" xr:uid="{0419ABCE-80E6-4A68-99A0-E9FE7A840898}"/>
    <cellStyle name="Normal 5 3 10 2 3" xfId="26850" xr:uid="{9BC8F267-333F-4E6D-9351-BF9B0C115FA3}"/>
    <cellStyle name="Normal 5 3 10 3" xfId="8575" xr:uid="{AC05F5A0-61F9-411C-84B5-DC9D281C966D}"/>
    <cellStyle name="Normal 5 3 10 3 2" xfId="31162" xr:uid="{F25B3BE9-632E-46BD-B6A5-148C9B0D78AF}"/>
    <cellStyle name="Normal 5 3 10 4" xfId="24960" xr:uid="{6FB00474-79C3-4483-A635-E50D9C9C6655}"/>
    <cellStyle name="Normal 5 3 11" xfId="2328" xr:uid="{00000000-0005-0000-0000-000085060000}"/>
    <cellStyle name="Normal 5 3 11 2" xfId="9238" xr:uid="{8976E864-846D-4D84-9E0D-6475119C4E59}"/>
    <cellStyle name="Normal 5 3 11 2 2" xfId="31813" xr:uid="{C0AD262B-30C2-4327-81D9-483A88EB276C}"/>
    <cellStyle name="Normal 5 3 11 3" xfId="25687" xr:uid="{671E6AA4-C97C-4617-8ACE-6F009EB12318}"/>
    <cellStyle name="Normal 5 3 12" xfId="7318" xr:uid="{388F7D46-1177-4815-884B-C9106589B8AE}"/>
    <cellStyle name="Normal 5 3 12 2" xfId="30006" xr:uid="{57F94A65-D3DE-4A2C-A923-FA9BCBC1DC35}"/>
    <cellStyle name="Normal 5 3 13" xfId="23703" xr:uid="{DA89E643-305C-422E-B22A-EB889BC0F256}"/>
    <cellStyle name="Normal 5 3 2" xfId="330" xr:uid="{00000000-0005-0000-0000-000089060000}"/>
    <cellStyle name="Normal 5 3 2 2" xfId="1594" xr:uid="{00000000-0005-0000-0000-00008A060000}"/>
    <cellStyle name="Normal 5 3 2 2 2" xfId="3695" xr:uid="{00000000-0005-0000-0000-000088060000}"/>
    <cellStyle name="Normal 5 3 2 2 2 2" xfId="10599" xr:uid="{E9F784EB-A3FB-407B-9638-3DDE44A7C096}"/>
    <cellStyle name="Normal 5 3 2 2 2 2 2" xfId="33085" xr:uid="{F65BD600-4CD2-4B13-A683-E75BFB80D0C2}"/>
    <cellStyle name="Normal 5 3 2 2 2 3" xfId="26906" xr:uid="{F2BEA75B-4474-4521-B668-4541B39D92D5}"/>
    <cellStyle name="Normal 5 3 2 2 3" xfId="8629" xr:uid="{8B8BBE7C-2605-4086-84F0-70B401DF1099}"/>
    <cellStyle name="Normal 5 3 2 2 3 2" xfId="31215" xr:uid="{32AB070A-3E11-4C4C-A643-9CEC0E9FE1C9}"/>
    <cellStyle name="Normal 5 3 2 2 4" xfId="25015" xr:uid="{3955F86D-8231-4137-B0FE-2EBA4D7E86AB}"/>
    <cellStyle name="Normal 5 3 2 3" xfId="2490" xr:uid="{00000000-0005-0000-0000-000087060000}"/>
    <cellStyle name="Normal 5 3 2 3 2" xfId="9399" xr:uid="{D0BB920D-98AF-425B-8121-C1B3F91D7859}"/>
    <cellStyle name="Normal 5 3 2 3 2 2" xfId="31960" xr:uid="{707F72C1-B705-406D-9952-1E44D5E5D262}"/>
    <cellStyle name="Normal 5 3 2 3 3" xfId="25824" xr:uid="{BE2B62F0-342D-4EE9-A542-64031BC015D1}"/>
    <cellStyle name="Normal 5 3 2 4" xfId="7493" xr:uid="{3310A28C-0E26-4FEB-B634-1D61EE45D53C}"/>
    <cellStyle name="Normal 5 3 2 4 2" xfId="30162" xr:uid="{3755BBB8-AF9D-4E46-89E5-C998FBC615FE}"/>
    <cellStyle name="Normal 5 3 2 5" xfId="23883" xr:uid="{24A9DC55-870C-4084-82FC-718A239ED0E2}"/>
    <cellStyle name="Normal 5 3 3" xfId="493" xr:uid="{00000000-0005-0000-0000-00008B060000}"/>
    <cellStyle name="Normal 5 3 3 2" xfId="1679" xr:uid="{00000000-0005-0000-0000-00008C060000}"/>
    <cellStyle name="Normal 5 3 3 2 2" xfId="3777" xr:uid="{00000000-0005-0000-0000-00008A060000}"/>
    <cellStyle name="Normal 5 3 3 2 2 2" xfId="10681" xr:uid="{1D1B4CE4-AC52-48B4-91D2-BE665BB46FD2}"/>
    <cellStyle name="Normal 5 3 3 2 2 2 2" xfId="33167" xr:uid="{1B064B2B-415A-4149-95F0-7AA0581C4D99}"/>
    <cellStyle name="Normal 5 3 3 2 2 3" xfId="26984" xr:uid="{88E01203-205A-4336-8006-7081EBA484A9}"/>
    <cellStyle name="Normal 5 3 3 2 3" xfId="8694" xr:uid="{300FDD1D-C084-4913-8649-64F3DD56D5D2}"/>
    <cellStyle name="Normal 5 3 3 2 3 2" xfId="31279" xr:uid="{07062F96-813A-432F-BF78-9597BAEC0A6E}"/>
    <cellStyle name="Normal 5 3 3 2 4" xfId="25094" xr:uid="{1D206E44-583A-43D5-9D29-9DA670757EB1}"/>
    <cellStyle name="Normal 5 3 3 3" xfId="2644" xr:uid="{00000000-0005-0000-0000-000089060000}"/>
    <cellStyle name="Normal 5 3 3 3 2" xfId="9553" xr:uid="{711F5A78-4903-406D-B8DB-3E70DC74FE0A}"/>
    <cellStyle name="Normal 5 3 3 3 2 2" xfId="32103" xr:uid="{9B9391AC-3B36-4D8E-9FB4-547DF987322A}"/>
    <cellStyle name="Normal 5 3 3 3 3" xfId="25960" xr:uid="{F53660DF-2B3B-4C56-8B2F-7C1CA1DC34C4}"/>
    <cellStyle name="Normal 5 3 3 4" xfId="7636" xr:uid="{F312477A-42B9-405C-AF57-83021C826A58}"/>
    <cellStyle name="Normal 5 3 3 4 2" xfId="30294" xr:uid="{FE4585C7-7B5C-4DB7-A020-4B2D73AFB7A9}"/>
    <cellStyle name="Normal 5 3 3 5" xfId="24025" xr:uid="{85E06732-D8D1-4BEA-A38C-B8006837A8CD}"/>
    <cellStyle name="Normal 5 3 4" xfId="720" xr:uid="{00000000-0005-0000-0000-00008D060000}"/>
    <cellStyle name="Normal 5 3 4 2" xfId="1776" xr:uid="{00000000-0005-0000-0000-00008E060000}"/>
    <cellStyle name="Normal 5 3 4 2 2" xfId="3874" xr:uid="{00000000-0005-0000-0000-00008C060000}"/>
    <cellStyle name="Normal 5 3 4 2 2 2" xfId="10778" xr:uid="{478A4F6D-F444-4B62-84D4-DD92EED48BCA}"/>
    <cellStyle name="Normal 5 3 4 2 2 2 2" xfId="33264" xr:uid="{724679EF-6524-48AA-902E-64EFD3330495}"/>
    <cellStyle name="Normal 5 3 4 2 2 3" xfId="27073" xr:uid="{02E0637F-0649-4890-8AA3-C22D2C96F068}"/>
    <cellStyle name="Normal 5 3 4 2 3" xfId="8776" xr:uid="{7DFDBCD8-AF5D-44A5-9724-460813E400D6}"/>
    <cellStyle name="Normal 5 3 4 2 3 2" xfId="31359" xr:uid="{4F7A7E98-1A77-48EB-A8A2-BD67F6FABED0}"/>
    <cellStyle name="Normal 5 3 4 2 4" xfId="25182" xr:uid="{EB268201-43EF-4B29-8702-2C6D30A4B74C}"/>
    <cellStyle name="Normal 5 3 4 3" xfId="2860" xr:uid="{00000000-0005-0000-0000-00008B060000}"/>
    <cellStyle name="Normal 5 3 4 3 2" xfId="9769" xr:uid="{C7CC49D3-557C-4F78-BB6A-FE29D2387BCA}"/>
    <cellStyle name="Normal 5 3 4 3 2 2" xfId="32302" xr:uid="{B506FEFC-D9AA-467B-A85E-63905CE2008E}"/>
    <cellStyle name="Normal 5 3 4 3 3" xfId="26152" xr:uid="{35DE4D8E-2E80-49DC-BA66-3D5C27840283}"/>
    <cellStyle name="Normal 5 3 4 4" xfId="7842" xr:uid="{B9C6A322-CEF3-42D9-8373-94CED433DA81}"/>
    <cellStyle name="Normal 5 3 4 4 2" xfId="30474" xr:uid="{17F14542-0A6A-4988-8701-49B1726B43AB}"/>
    <cellStyle name="Normal 5 3 4 5" xfId="24227" xr:uid="{E4E54958-DC1C-4E81-AFD9-8A5F5076CE2B}"/>
    <cellStyle name="Normal 5 3 5" xfId="911" xr:uid="{00000000-0005-0000-0000-00008F060000}"/>
    <cellStyle name="Normal 5 3 5 2" xfId="1865" xr:uid="{00000000-0005-0000-0000-000090060000}"/>
    <cellStyle name="Normal 5 3 5 2 2" xfId="3963" xr:uid="{00000000-0005-0000-0000-00008E060000}"/>
    <cellStyle name="Normal 5 3 5 2 2 2" xfId="10867" xr:uid="{3810DFCC-1D8D-4F13-8CFF-4A5D7F113FC1}"/>
    <cellStyle name="Normal 5 3 5 2 2 2 2" xfId="33353" xr:uid="{18F036D1-6781-4D36-99F4-F8A4677F0C98}"/>
    <cellStyle name="Normal 5 3 5 2 2 3" xfId="27154" xr:uid="{431C048F-C5CE-4525-882F-73C48A590494}"/>
    <cellStyle name="Normal 5 3 5 2 3" xfId="8848" xr:uid="{CBBAFB81-3DF7-43B6-B80B-450826584BE5}"/>
    <cellStyle name="Normal 5 3 5 2 3 2" xfId="31429" xr:uid="{B3297ED1-B0DE-4A76-A5D0-1B6A9872C070}"/>
    <cellStyle name="Normal 5 3 5 2 4" xfId="25261" xr:uid="{53313BD4-9216-4BAD-B358-5C29F48440E3}"/>
    <cellStyle name="Normal 5 3 5 3" xfId="3040" xr:uid="{00000000-0005-0000-0000-00008D060000}"/>
    <cellStyle name="Normal 5 3 5 3 2" xfId="9949" xr:uid="{2A70F503-9E07-4F92-BE38-F7F0EE62E90A}"/>
    <cellStyle name="Normal 5 3 5 3 2 2" xfId="32468" xr:uid="{142D8575-F5E6-469F-ABE9-D99E3030C2E6}"/>
    <cellStyle name="Normal 5 3 5 3 3" xfId="26303" xr:uid="{DEE7CF50-339C-4E54-B08C-5FFB08193785}"/>
    <cellStyle name="Normal 5 3 5 4" xfId="8012" xr:uid="{48C467BF-808B-4EFC-A026-2136EB433E06}"/>
    <cellStyle name="Normal 5 3 5 4 2" xfId="30633" xr:uid="{60E07137-A412-4C09-A3F9-94574E6EE1A9}"/>
    <cellStyle name="Normal 5 3 5 5" xfId="24391" xr:uid="{EC3ABCBC-79BE-4D82-9B26-8DEC2345E80C}"/>
    <cellStyle name="Normal 5 3 6" xfId="1093" xr:uid="{00000000-0005-0000-0000-000091060000}"/>
    <cellStyle name="Normal 5 3 6 2" xfId="1960" xr:uid="{00000000-0005-0000-0000-000092060000}"/>
    <cellStyle name="Normal 5 3 6 2 2" xfId="4056" xr:uid="{00000000-0005-0000-0000-000090060000}"/>
    <cellStyle name="Normal 5 3 6 2 2 2" xfId="10960" xr:uid="{E10FDA76-FA5D-4787-B4FD-3A9207D3843C}"/>
    <cellStyle name="Normal 5 3 6 2 2 2 2" xfId="33446" xr:uid="{34631FE5-C978-40D5-9517-D7FA2BB5B790}"/>
    <cellStyle name="Normal 5 3 6 2 2 3" xfId="27241" xr:uid="{3271B51B-A88D-4E7E-97D1-A856E127E888}"/>
    <cellStyle name="Normal 5 3 6 2 3" xfId="8918" xr:uid="{4707FD9B-AB15-42ED-BA96-89B710ABEAB5}"/>
    <cellStyle name="Normal 5 3 6 2 3 2" xfId="31497" xr:uid="{39148D48-5B9C-4284-820E-C7AF761BF787}"/>
    <cellStyle name="Normal 5 3 6 2 4" xfId="25346" xr:uid="{586701A1-946E-446E-8D05-93CE842A2E66}"/>
    <cellStyle name="Normal 5 3 6 3" xfId="3211" xr:uid="{00000000-0005-0000-0000-00008F060000}"/>
    <cellStyle name="Normal 5 3 6 3 2" xfId="10119" xr:uid="{CEA31A91-9EC4-4D47-8986-1FD83B221BE7}"/>
    <cellStyle name="Normal 5 3 6 3 2 2" xfId="32623" xr:uid="{0D2FDFB8-00C7-47EB-A79B-97BA9AF6B529}"/>
    <cellStyle name="Normal 5 3 6 3 3" xfId="26454" xr:uid="{7D5D7AEE-16C8-4B6E-914E-1188CFA45F56}"/>
    <cellStyle name="Normal 5 3 6 4" xfId="8175" xr:uid="{F2063C36-A07E-4E96-95CC-2E8665E6E1A0}"/>
    <cellStyle name="Normal 5 3 6 4 2" xfId="30786" xr:uid="{59DC3FBD-25F3-47E8-BF70-6A8A04BD1462}"/>
    <cellStyle name="Normal 5 3 6 5" xfId="24554" xr:uid="{F2A9275D-81F7-414F-83E2-00F999649D24}"/>
    <cellStyle name="Normal 5 3 7" xfId="1269" xr:uid="{00000000-0005-0000-0000-000093060000}"/>
    <cellStyle name="Normal 5 3 7 2" xfId="2050" xr:uid="{00000000-0005-0000-0000-000094060000}"/>
    <cellStyle name="Normal 5 3 7 2 2" xfId="4145" xr:uid="{00000000-0005-0000-0000-000092060000}"/>
    <cellStyle name="Normal 5 3 7 2 2 2" xfId="11049" xr:uid="{0CACFB57-10C9-436F-AE96-F24FAD9B6E68}"/>
    <cellStyle name="Normal 5 3 7 2 2 2 2" xfId="33535" xr:uid="{0E2ABC05-6139-44A7-8ABE-21D5B2B12DC1}"/>
    <cellStyle name="Normal 5 3 7 2 2 3" xfId="27323" xr:uid="{3393D129-B6A4-4EC7-8283-D74FAC65A745}"/>
    <cellStyle name="Normal 5 3 7 2 3" xfId="8989" xr:uid="{9F318BEF-4BE8-47FB-A471-961E2317FAD9}"/>
    <cellStyle name="Normal 5 3 7 2 3 2" xfId="31567" xr:uid="{4C7F6E68-8094-4DC7-B0F2-FD0F7AF939F7}"/>
    <cellStyle name="Normal 5 3 7 2 4" xfId="25430" xr:uid="{1928CB83-3B45-410A-BB95-425955B101BF}"/>
    <cellStyle name="Normal 5 3 7 3" xfId="3377" xr:uid="{00000000-0005-0000-0000-000091060000}"/>
    <cellStyle name="Normal 5 3 7 3 2" xfId="10285" xr:uid="{D6DCF36E-6B50-4BC7-9765-AA57594BC760}"/>
    <cellStyle name="Normal 5 3 7 3 2 2" xfId="32778" xr:uid="{8363475B-D5DC-4F82-8283-11BF531115FD}"/>
    <cellStyle name="Normal 5 3 7 3 3" xfId="26604" xr:uid="{9EB5B8F0-D4FE-46E1-9922-327CEAFDD9A3}"/>
    <cellStyle name="Normal 5 3 7 4" xfId="8335" xr:uid="{059F2A52-8077-4BBF-82FD-B9C6CE54D593}"/>
    <cellStyle name="Normal 5 3 7 4 2" xfId="30931" xr:uid="{C13A7EA9-816D-4464-A142-CF0B9BEB0138}"/>
    <cellStyle name="Normal 5 3 7 5" xfId="24705" xr:uid="{B9C1B217-55B2-4A12-A561-B6271632BA2B}"/>
    <cellStyle name="Normal 5 3 8" xfId="1438" xr:uid="{00000000-0005-0000-0000-000095060000}"/>
    <cellStyle name="Normal 5 3 8 2" xfId="2166" xr:uid="{00000000-0005-0000-0000-000096060000}"/>
    <cellStyle name="Normal 5 3 8 2 2" xfId="4259" xr:uid="{00000000-0005-0000-0000-000094060000}"/>
    <cellStyle name="Normal 5 3 8 2 2 2" xfId="11163" xr:uid="{A70613C0-F282-4572-AACB-1EC4D2845677}"/>
    <cellStyle name="Normal 5 3 8 2 2 2 2" xfId="33649" xr:uid="{69CA976D-1A17-4225-8EE2-F53022965A06}"/>
    <cellStyle name="Normal 5 3 8 2 2 3" xfId="27431" xr:uid="{03176CA9-5C8A-4A2C-B885-BC468CDD7C99}"/>
    <cellStyle name="Normal 5 3 8 2 3" xfId="9083" xr:uid="{87C02C3A-AAF4-4257-BB01-880AF2F78033}"/>
    <cellStyle name="Normal 5 3 8 2 3 2" xfId="31659" xr:uid="{9CED71D4-59AD-4C26-B986-1960C09DEC76}"/>
    <cellStyle name="Normal 5 3 8 2 4" xfId="25536" xr:uid="{FC17B5EF-B89C-434E-88B7-B4FFABA2E583}"/>
    <cellStyle name="Normal 5 3 8 3" xfId="3539" xr:uid="{00000000-0005-0000-0000-000093060000}"/>
    <cellStyle name="Normal 5 3 8 3 2" xfId="10445" xr:uid="{1FF3B134-D9A9-4A4E-9DEF-3F4E87E92511}"/>
    <cellStyle name="Normal 5 3 8 3 2 2" xfId="32932" xr:uid="{FE0CAF1D-E473-42DB-BFF8-D77B378AEA4F}"/>
    <cellStyle name="Normal 5 3 8 3 3" xfId="26752" xr:uid="{506DC6BD-2FF6-4A2B-B382-E9ECFA780001}"/>
    <cellStyle name="Normal 5 3 8 4" xfId="8481" xr:uid="{E34D776C-358B-4F2D-BBC2-4D9E96CA461A}"/>
    <cellStyle name="Normal 5 3 8 4 2" xfId="31068" xr:uid="{5C0B2ED7-67DC-427D-8FC9-72B39432C5F3}"/>
    <cellStyle name="Normal 5 3 8 5" xfId="24861" xr:uid="{FDFDF64E-FC4D-4AE3-AA28-C3555B0F742C}"/>
    <cellStyle name="Normal 5 3 9" xfId="1480" xr:uid="{00000000-0005-0000-0000-000097060000}"/>
    <cellStyle name="Normal 5 3 9 2" xfId="2207" xr:uid="{00000000-0005-0000-0000-000098060000}"/>
    <cellStyle name="Normal 5 3 9 2 2" xfId="4300" xr:uid="{00000000-0005-0000-0000-000096060000}"/>
    <cellStyle name="Normal 5 3 9 2 2 2" xfId="11204" xr:uid="{8E92144E-7099-4F99-B564-F2E44391CEDC}"/>
    <cellStyle name="Normal 5 3 9 2 2 2 2" xfId="33690" xr:uid="{01892327-0C10-4864-89AB-83D9A8B80A0D}"/>
    <cellStyle name="Normal 5 3 9 2 2 3" xfId="27472" xr:uid="{7E19D844-7D64-48D2-B06C-22992C383734}"/>
    <cellStyle name="Normal 5 3 9 2 3" xfId="9120" xr:uid="{19A883F1-D7E3-4525-BADE-F24AA7C6A6F0}"/>
    <cellStyle name="Normal 5 3 9 2 3 2" xfId="31696" xr:uid="{9764C023-828E-42A3-A1D5-16A9DF527038}"/>
    <cellStyle name="Normal 5 3 9 2 4" xfId="25575" xr:uid="{D649892A-8946-4709-BC45-DFD2F50C400A}"/>
    <cellStyle name="Normal 5 3 9 3" xfId="3581" xr:uid="{00000000-0005-0000-0000-000095060000}"/>
    <cellStyle name="Normal 5 3 9 3 2" xfId="10486" xr:uid="{FCEBA005-FD6E-45DE-9C0D-F6AE03DF16E4}"/>
    <cellStyle name="Normal 5 3 9 3 2 2" xfId="32973" xr:uid="{67F72930-149F-4958-B330-9CBB4B1A30EC}"/>
    <cellStyle name="Normal 5 3 9 3 3" xfId="26794" xr:uid="{C7D84B0C-901D-4653-9941-2403641BA358}"/>
    <cellStyle name="Normal 5 3 9 4" xfId="8522" xr:uid="{D79FF3D8-8D7D-4B39-BEB1-102E1BC64486}"/>
    <cellStyle name="Normal 5 3 9 4 2" xfId="31109" xr:uid="{35B146A1-D855-4A68-B0D9-598B206CEF9D}"/>
    <cellStyle name="Normal 5 3 9 5" xfId="24902" xr:uid="{EE525ACB-6F65-449C-8EDC-501D15D59A1E}"/>
    <cellStyle name="Normal 5 4" xfId="146" xr:uid="{00000000-0005-0000-0000-000099060000}"/>
    <cellStyle name="Normal 5 4 10" xfId="1543" xr:uid="{00000000-0005-0000-0000-00009A060000}"/>
    <cellStyle name="Normal 5 4 10 2" xfId="3644" xr:uid="{00000000-0005-0000-0000-000098060000}"/>
    <cellStyle name="Normal 5 4 10 2 2" xfId="10548" xr:uid="{22900F08-24B6-426B-A161-8D4F00D69FC9}"/>
    <cellStyle name="Normal 5 4 10 2 2 2" xfId="33034" xr:uid="{044D1163-FAF3-4BDC-A049-D2CB5DDACEA0}"/>
    <cellStyle name="Normal 5 4 10 2 3" xfId="26855" xr:uid="{037D0FF8-709D-4CFE-93EC-721FB87C41BD}"/>
    <cellStyle name="Normal 5 4 10 3" xfId="8580" xr:uid="{0EEDAA29-A1A3-45CA-813B-51E0739B810F}"/>
    <cellStyle name="Normal 5 4 10 3 2" xfId="31167" xr:uid="{9ADED3DB-F490-44A5-A00E-4D9FA36914A3}"/>
    <cellStyle name="Normal 5 4 10 4" xfId="24965" xr:uid="{C6F1E0D6-5BA0-44EF-A78C-A366F9B24A8B}"/>
    <cellStyle name="Normal 5 4 11" xfId="2341" xr:uid="{00000000-0005-0000-0000-000097060000}"/>
    <cellStyle name="Normal 5 4 11 2" xfId="9250" xr:uid="{08C468F5-E8CE-4BE6-B023-7CEF9D8D5B01}"/>
    <cellStyle name="Normal 5 4 11 2 2" xfId="31825" xr:uid="{C2BBE518-AAE9-48AE-A9B3-85C352522224}"/>
    <cellStyle name="Normal 5 4 11 3" xfId="25699" xr:uid="{1F425B25-DA7F-492F-A679-4F524CCD75DE}"/>
    <cellStyle name="Normal 5 4 12" xfId="7334" xr:uid="{8BF886CB-521E-44B5-B505-A3E8B9D718B4}"/>
    <cellStyle name="Normal 5 4 12 2" xfId="30022" xr:uid="{AA5711F4-22C4-44B1-A4A1-A27AC2D69828}"/>
    <cellStyle name="Normal 5 4 13" xfId="23723" xr:uid="{B4C47AE5-EF2D-45F5-A174-52B504EC4F20}"/>
    <cellStyle name="Normal 5 4 2" xfId="349" xr:uid="{00000000-0005-0000-0000-00009B060000}"/>
    <cellStyle name="Normal 5 4 2 2" xfId="1599" xr:uid="{00000000-0005-0000-0000-00009C060000}"/>
    <cellStyle name="Normal 5 4 2 2 2" xfId="3700" xr:uid="{00000000-0005-0000-0000-00009A060000}"/>
    <cellStyle name="Normal 5 4 2 2 2 2" xfId="10604" xr:uid="{4C15391B-9163-455F-BD7A-B55D62ED80E9}"/>
    <cellStyle name="Normal 5 4 2 2 2 2 2" xfId="33090" xr:uid="{5E99C83A-7DE9-4E79-9FB8-CB94E9F81DD3}"/>
    <cellStyle name="Normal 5 4 2 2 2 3" xfId="26911" xr:uid="{26115203-7B37-4219-882A-06123A19FD81}"/>
    <cellStyle name="Normal 5 4 2 2 3" xfId="8634" xr:uid="{BD8D3CF6-7D4B-4FF6-BD59-96AEAE5136FD}"/>
    <cellStyle name="Normal 5 4 2 2 3 2" xfId="31220" xr:uid="{9D1C390D-96FC-4B95-B364-62E4E8040863}"/>
    <cellStyle name="Normal 5 4 2 2 4" xfId="25020" xr:uid="{5F772BFC-2FB0-4CEF-8656-5ADC8253382A}"/>
    <cellStyle name="Normal 5 4 2 3" xfId="2509" xr:uid="{00000000-0005-0000-0000-000099060000}"/>
    <cellStyle name="Normal 5 4 2 3 2" xfId="9418" xr:uid="{0FBA4994-6784-43AE-A20C-5CE66DCAE402}"/>
    <cellStyle name="Normal 5 4 2 3 2 2" xfId="31977" xr:uid="{7FC6920C-2D2D-4F1B-9D4F-FFF8174ACD78}"/>
    <cellStyle name="Normal 5 4 2 3 3" xfId="25840" xr:uid="{AD5BE850-3AC9-49F2-9484-A40735BCAFC4}"/>
    <cellStyle name="Normal 5 4 2 4" xfId="7512" xr:uid="{9EBD4EF7-63EA-4BF6-A7BE-E65158AAB6C8}"/>
    <cellStyle name="Normal 5 4 2 4 2" xfId="30180" xr:uid="{64B3408B-B48B-4327-9845-E16B5E1FA340}"/>
    <cellStyle name="Normal 5 4 2 5" xfId="23900" xr:uid="{3A90B8D5-150E-4556-845E-0083149D43B4}"/>
    <cellStyle name="Normal 5 4 3" xfId="510" xr:uid="{00000000-0005-0000-0000-00009D060000}"/>
    <cellStyle name="Normal 5 4 3 2" xfId="1684" xr:uid="{00000000-0005-0000-0000-00009E060000}"/>
    <cellStyle name="Normal 5 4 3 2 2" xfId="3782" xr:uid="{00000000-0005-0000-0000-00009C060000}"/>
    <cellStyle name="Normal 5 4 3 2 2 2" xfId="10686" xr:uid="{E61ECDBE-1AF0-4E65-99B5-429E8923F709}"/>
    <cellStyle name="Normal 5 4 3 2 2 2 2" xfId="33172" xr:uid="{8CEC8ABA-3D68-4428-9CD9-310B57F4C50D}"/>
    <cellStyle name="Normal 5 4 3 2 2 3" xfId="26989" xr:uid="{D2D5D4F3-5F9B-4929-AF54-8A796DB75655}"/>
    <cellStyle name="Normal 5 4 3 2 3" xfId="8699" xr:uid="{549196FD-835D-4B0F-A692-6DD32BB6BFD7}"/>
    <cellStyle name="Normal 5 4 3 2 3 2" xfId="31284" xr:uid="{A9CA1C2C-180A-46A2-B787-1327C8A4F971}"/>
    <cellStyle name="Normal 5 4 3 2 4" xfId="25099" xr:uid="{AD464EE7-88C9-4E52-B1E0-3748838A099A}"/>
    <cellStyle name="Normal 5 4 3 3" xfId="2661" xr:uid="{00000000-0005-0000-0000-00009B060000}"/>
    <cellStyle name="Normal 5 4 3 3 2" xfId="9570" xr:uid="{CEABF7B7-9DDB-4267-A174-899DDDF2A4D2}"/>
    <cellStyle name="Normal 5 4 3 3 2 2" xfId="32120" xr:uid="{FAECACE1-0CEB-44D1-ACA8-3B70A0C00F0E}"/>
    <cellStyle name="Normal 5 4 3 3 3" xfId="25976" xr:uid="{E8C803DC-4501-48B1-BDDC-6DA66C5A02BB}"/>
    <cellStyle name="Normal 5 4 3 4" xfId="7653" xr:uid="{C31E2D51-3793-4533-9ED6-36C93AF276D3}"/>
    <cellStyle name="Normal 5 4 3 4 2" xfId="30309" xr:uid="{E847F443-AAEB-49EF-90F3-D0965C575FD8}"/>
    <cellStyle name="Normal 5 4 3 5" xfId="24042" xr:uid="{457C5C06-3179-4FD5-A81A-E8A71297DBEF}"/>
    <cellStyle name="Normal 5 4 4" xfId="740" xr:uid="{00000000-0005-0000-0000-00009F060000}"/>
    <cellStyle name="Normal 5 4 4 2" xfId="1781" xr:uid="{00000000-0005-0000-0000-0000A0060000}"/>
    <cellStyle name="Normal 5 4 4 2 2" xfId="3879" xr:uid="{00000000-0005-0000-0000-00009E060000}"/>
    <cellStyle name="Normal 5 4 4 2 2 2" xfId="10783" xr:uid="{0B925A69-EB9B-47D1-8B8D-5E9C9DA79D66}"/>
    <cellStyle name="Normal 5 4 4 2 2 2 2" xfId="33269" xr:uid="{4FE24223-A3CF-4770-8FCD-E08D4FDF2B8E}"/>
    <cellStyle name="Normal 5 4 4 2 2 3" xfId="27078" xr:uid="{0A3B8C44-5CA4-489C-B2DD-9C8F90F695CF}"/>
    <cellStyle name="Normal 5 4 4 2 3" xfId="8781" xr:uid="{E323E373-702A-4CF3-8E7A-B5F40E4D3755}"/>
    <cellStyle name="Normal 5 4 4 2 3 2" xfId="31364" xr:uid="{457091D7-FA72-47E3-B117-A448C317BB73}"/>
    <cellStyle name="Normal 5 4 4 2 4" xfId="25187" xr:uid="{97452491-0749-4AA0-864B-3FEEE5BBFB81}"/>
    <cellStyle name="Normal 5 4 4 3" xfId="2880" xr:uid="{00000000-0005-0000-0000-00009D060000}"/>
    <cellStyle name="Normal 5 4 4 3 2" xfId="9789" xr:uid="{62E57736-F531-47BF-A329-8DD0AC0735A2}"/>
    <cellStyle name="Normal 5 4 4 3 2 2" xfId="32319" xr:uid="{861A268A-B98B-4C0D-ADB8-D87A572C01BE}"/>
    <cellStyle name="Normal 5 4 4 3 3" xfId="26171" xr:uid="{BFA8D690-945F-4F4E-A2D4-34A408EF6140}"/>
    <cellStyle name="Normal 5 4 4 4" xfId="7862" xr:uid="{86FEB92A-66CC-4B59-9D01-02C8B2CC298E}"/>
    <cellStyle name="Normal 5 4 4 4 2" xfId="30493" xr:uid="{7A6ABA88-0023-4F70-B752-C4B6AE4D0E60}"/>
    <cellStyle name="Normal 5 4 4 5" xfId="24246" xr:uid="{FE8131DA-D271-4EFA-8E48-0709F445A5DE}"/>
    <cellStyle name="Normal 5 4 5" xfId="930" xr:uid="{00000000-0005-0000-0000-0000A1060000}"/>
    <cellStyle name="Normal 5 4 5 2" xfId="1870" xr:uid="{00000000-0005-0000-0000-0000A2060000}"/>
    <cellStyle name="Normal 5 4 5 2 2" xfId="3968" xr:uid="{00000000-0005-0000-0000-0000A0060000}"/>
    <cellStyle name="Normal 5 4 5 2 2 2" xfId="10872" xr:uid="{4E372A27-895A-4863-8A6D-12B0B1D84518}"/>
    <cellStyle name="Normal 5 4 5 2 2 2 2" xfId="33358" xr:uid="{9014984C-FB9C-490B-B3DE-D7DADD0B9D61}"/>
    <cellStyle name="Normal 5 4 5 2 2 3" xfId="27159" xr:uid="{09769425-BB28-438C-BBFD-FCC69F8F3E91}"/>
    <cellStyle name="Normal 5 4 5 2 3" xfId="8853" xr:uid="{3F38031E-69B2-456D-95C6-2307CCF63BD8}"/>
    <cellStyle name="Normal 5 4 5 2 3 2" xfId="31434" xr:uid="{1EABB204-D787-4B97-AFC0-2A2D8A125B33}"/>
    <cellStyle name="Normal 5 4 5 2 4" xfId="25266" xr:uid="{B3E69189-9FAD-41DB-A945-9566EF0CEA97}"/>
    <cellStyle name="Normal 5 4 5 3" xfId="3059" xr:uid="{00000000-0005-0000-0000-00009F060000}"/>
    <cellStyle name="Normal 5 4 5 3 2" xfId="9968" xr:uid="{4A71B42A-CA80-4810-BF77-0FD2F9F77853}"/>
    <cellStyle name="Normal 5 4 5 3 2 2" xfId="32485" xr:uid="{D5AF431F-08E2-425B-B4F2-318A116A65B6}"/>
    <cellStyle name="Normal 5 4 5 3 3" xfId="26321" xr:uid="{5E8410BA-BBC0-4E6D-9C1A-8E01868C1F69}"/>
    <cellStyle name="Normal 5 4 5 4" xfId="8031" xr:uid="{11B2A44A-5CE6-493E-B9AA-528C79665614}"/>
    <cellStyle name="Normal 5 4 5 4 2" xfId="30651" xr:uid="{4DAF2A6A-3EBE-427C-B318-B1570DBB6F86}"/>
    <cellStyle name="Normal 5 4 5 5" xfId="24409" xr:uid="{A5330A2D-976D-4A19-8180-A940EBB1983F}"/>
    <cellStyle name="Normal 5 4 6" xfId="1113" xr:uid="{00000000-0005-0000-0000-0000A3060000}"/>
    <cellStyle name="Normal 5 4 6 2" xfId="1965" xr:uid="{00000000-0005-0000-0000-0000A4060000}"/>
    <cellStyle name="Normal 5 4 6 2 2" xfId="4061" xr:uid="{00000000-0005-0000-0000-0000A2060000}"/>
    <cellStyle name="Normal 5 4 6 2 2 2" xfId="10965" xr:uid="{5E0AEC53-C551-4E97-A154-A51477BD96CE}"/>
    <cellStyle name="Normal 5 4 6 2 2 2 2" xfId="33451" xr:uid="{B8C4EFB2-F7A6-42A7-8E5E-7365C972FB89}"/>
    <cellStyle name="Normal 5 4 6 2 2 3" xfId="27246" xr:uid="{4B885A03-02E9-4EC9-A781-0428ED8C859A}"/>
    <cellStyle name="Normal 5 4 6 2 3" xfId="8923" xr:uid="{27B87FDD-B0C6-4522-8497-B8BB21253A16}"/>
    <cellStyle name="Normal 5 4 6 2 3 2" xfId="31502" xr:uid="{B0670AED-6D2D-4C92-82C5-8FBCC65461C4}"/>
    <cellStyle name="Normal 5 4 6 2 4" xfId="25351" xr:uid="{0FC82EDE-144C-4F76-B9EB-CD7D17503567}"/>
    <cellStyle name="Normal 5 4 6 3" xfId="3231" xr:uid="{00000000-0005-0000-0000-0000A1060000}"/>
    <cellStyle name="Normal 5 4 6 3 2" xfId="10139" xr:uid="{C1FF2F35-15BF-4DC5-A3CA-384431A66945}"/>
    <cellStyle name="Normal 5 4 6 3 2 2" xfId="32640" xr:uid="{3CB96DEF-76E8-4D86-B804-2D88A3AFBED3}"/>
    <cellStyle name="Normal 5 4 6 3 3" xfId="26473" xr:uid="{6F90C5DF-91E5-4164-A6EE-9453BCD06B77}"/>
    <cellStyle name="Normal 5 4 6 4" xfId="8195" xr:uid="{0CB534D4-B11E-4731-B056-2E207858F513}"/>
    <cellStyle name="Normal 5 4 6 4 2" xfId="30804" xr:uid="{27820B66-0C0A-45A8-B786-ED2BDA80CB21}"/>
    <cellStyle name="Normal 5 4 6 5" xfId="24573" xr:uid="{F293BF95-30DC-468C-89EB-C4654E71DD9B}"/>
    <cellStyle name="Normal 5 4 7" xfId="1286" xr:uid="{00000000-0005-0000-0000-0000A5060000}"/>
    <cellStyle name="Normal 5 4 7 2" xfId="2055" xr:uid="{00000000-0005-0000-0000-0000A6060000}"/>
    <cellStyle name="Normal 5 4 7 2 2" xfId="4150" xr:uid="{00000000-0005-0000-0000-0000A4060000}"/>
    <cellStyle name="Normal 5 4 7 2 2 2" xfId="11054" xr:uid="{87BCE8E3-CE6A-41AA-8BB3-84AB0BFD0D49}"/>
    <cellStyle name="Normal 5 4 7 2 2 2 2" xfId="33540" xr:uid="{8778AD26-AA1B-4BA2-8818-C7C0EC4D4FD3}"/>
    <cellStyle name="Normal 5 4 7 2 2 3" xfId="27328" xr:uid="{72620030-115D-4877-A944-A81BF577AB48}"/>
    <cellStyle name="Normal 5 4 7 2 3" xfId="8994" xr:uid="{BF50A150-6CE8-4D6A-B000-A64BE7A86531}"/>
    <cellStyle name="Normal 5 4 7 2 3 2" xfId="31572" xr:uid="{F79443A9-0425-4B54-820C-7E371955A777}"/>
    <cellStyle name="Normal 5 4 7 2 4" xfId="25435" xr:uid="{8FA5F7BA-484A-44EE-8414-2E877C1B998D}"/>
    <cellStyle name="Normal 5 4 7 3" xfId="3394" xr:uid="{00000000-0005-0000-0000-0000A3060000}"/>
    <cellStyle name="Normal 5 4 7 3 2" xfId="10302" xr:uid="{CA4EC027-BA72-4D1C-88AF-24CA529C3E0E}"/>
    <cellStyle name="Normal 5 4 7 3 2 2" xfId="32794" xr:uid="{AE005558-DBAE-4652-8822-75D65D45F014}"/>
    <cellStyle name="Normal 5 4 7 3 3" xfId="26621" xr:uid="{C900203E-9432-495A-B6E1-8AA06C833ABE}"/>
    <cellStyle name="Normal 5 4 7 4" xfId="8352" xr:uid="{9A30FFD4-C9D3-4904-B124-EF5023B1C05C}"/>
    <cellStyle name="Normal 5 4 7 4 2" xfId="30946" xr:uid="{533D2E79-2034-4AC7-9277-07F7507F70FD}"/>
    <cellStyle name="Normal 5 4 7 5" xfId="24720" xr:uid="{9D639898-D44F-49B4-A15D-84BDD0B23D4E}"/>
    <cellStyle name="Normal 5 4 8" xfId="1429" xr:uid="{00000000-0005-0000-0000-0000A7060000}"/>
    <cellStyle name="Normal 5 4 8 2" xfId="2157" xr:uid="{00000000-0005-0000-0000-0000A8060000}"/>
    <cellStyle name="Normal 5 4 8 2 2" xfId="4250" xr:uid="{00000000-0005-0000-0000-0000A6060000}"/>
    <cellStyle name="Normal 5 4 8 2 2 2" xfId="11154" xr:uid="{5E9DB26D-4ADB-40B2-808D-227B6A0A7F9D}"/>
    <cellStyle name="Normal 5 4 8 2 2 2 2" xfId="33640" xr:uid="{9D241129-0285-4533-BF90-36F5868B3561}"/>
    <cellStyle name="Normal 5 4 8 2 2 3" xfId="27422" xr:uid="{619F50BB-A0C5-47C0-B8F8-2526167ECEE5}"/>
    <cellStyle name="Normal 5 4 8 2 3" xfId="9074" xr:uid="{2E5C145E-4DA7-4654-8671-2C48BB61E6DC}"/>
    <cellStyle name="Normal 5 4 8 2 3 2" xfId="31650" xr:uid="{FDD00B58-944B-4C37-B7FC-B1F664C0E1E9}"/>
    <cellStyle name="Normal 5 4 8 2 4" xfId="25527" xr:uid="{7DB1658F-0725-48CD-AE70-346DDD17355D}"/>
    <cellStyle name="Normal 5 4 8 3" xfId="3530" xr:uid="{00000000-0005-0000-0000-0000A5060000}"/>
    <cellStyle name="Normal 5 4 8 3 2" xfId="10436" xr:uid="{FF67D5C9-00A4-4031-8146-95ACA15C888E}"/>
    <cellStyle name="Normal 5 4 8 3 2 2" xfId="32923" xr:uid="{3A46D775-3C88-400B-9232-F05D953DBEE0}"/>
    <cellStyle name="Normal 5 4 8 3 3" xfId="26743" xr:uid="{A54DBF55-4D1C-4B48-8BDA-03857D7C3FE6}"/>
    <cellStyle name="Normal 5 4 8 4" xfId="8472" xr:uid="{2DD10946-A8AA-4AB2-911F-6FC78DCA4840}"/>
    <cellStyle name="Normal 5 4 8 4 2" xfId="31059" xr:uid="{42EC2CE2-2369-482F-AA86-653859C9F294}"/>
    <cellStyle name="Normal 5 4 8 5" xfId="24852" xr:uid="{384055EB-17DA-4525-8B67-67EB22E3AAD1}"/>
    <cellStyle name="Normal 5 4 9" xfId="1485" xr:uid="{00000000-0005-0000-0000-0000A9060000}"/>
    <cellStyle name="Normal 5 4 9 2" xfId="2212" xr:uid="{00000000-0005-0000-0000-0000AA060000}"/>
    <cellStyle name="Normal 5 4 9 2 2" xfId="4305" xr:uid="{00000000-0005-0000-0000-0000A8060000}"/>
    <cellStyle name="Normal 5 4 9 2 2 2" xfId="11209" xr:uid="{C4830528-4F4A-4C32-BCA2-E18D8D4B8A1B}"/>
    <cellStyle name="Normal 5 4 9 2 2 2 2" xfId="33695" xr:uid="{0EE8A15E-2472-473D-BA99-0E2AE44B7A8D}"/>
    <cellStyle name="Normal 5 4 9 2 2 3" xfId="27477" xr:uid="{84B425D0-8224-453E-870C-23B07F7F6F3F}"/>
    <cellStyle name="Normal 5 4 9 2 3" xfId="9125" xr:uid="{CE3CE249-D8D4-4E45-96EC-19980CE14449}"/>
    <cellStyle name="Normal 5 4 9 2 3 2" xfId="31701" xr:uid="{B2C52924-0810-4A72-94F0-4F5163168000}"/>
    <cellStyle name="Normal 5 4 9 2 4" xfId="25580" xr:uid="{6C928E73-ED06-4B29-8B96-96478E732DBF}"/>
    <cellStyle name="Normal 5 4 9 3" xfId="3586" xr:uid="{00000000-0005-0000-0000-0000A7060000}"/>
    <cellStyle name="Normal 5 4 9 3 2" xfId="10491" xr:uid="{32A5793B-98EC-4423-9CE6-E262CDCC45CA}"/>
    <cellStyle name="Normal 5 4 9 3 2 2" xfId="32978" xr:uid="{A8973155-CA52-4D35-980C-902E97A1C5BE}"/>
    <cellStyle name="Normal 5 4 9 3 3" xfId="26799" xr:uid="{A46E70FC-8CCF-4FD8-B56B-23F22AA8A884}"/>
    <cellStyle name="Normal 5 4 9 4" xfId="8527" xr:uid="{BA913C7F-BC80-48F1-AD9E-7F6810F53BCE}"/>
    <cellStyle name="Normal 5 4 9 4 2" xfId="31114" xr:uid="{A1471C85-0D85-454B-8257-58C0F3F1C809}"/>
    <cellStyle name="Normal 5 4 9 5" xfId="24907" xr:uid="{152653ED-D798-41D0-92DD-F4FB88764DBE}"/>
    <cellStyle name="Normal 5 5" xfId="167" xr:uid="{00000000-0005-0000-0000-0000AB060000}"/>
    <cellStyle name="Normal 5 5 10" xfId="1548" xr:uid="{00000000-0005-0000-0000-0000AC060000}"/>
    <cellStyle name="Normal 5 5 10 2" xfId="3649" xr:uid="{00000000-0005-0000-0000-0000AA060000}"/>
    <cellStyle name="Normal 5 5 10 2 2" xfId="10553" xr:uid="{534768FC-3FF9-48F9-81CD-7482AC7C038E}"/>
    <cellStyle name="Normal 5 5 10 2 2 2" xfId="33039" xr:uid="{F362F28B-1DF7-4AC6-8467-33819ADF4C0D}"/>
    <cellStyle name="Normal 5 5 10 2 3" xfId="26860" xr:uid="{C2773F0D-183B-4BED-B67A-3701D975340A}"/>
    <cellStyle name="Normal 5 5 10 3" xfId="8585" xr:uid="{7C29AC69-79CA-4A78-B2E8-423637F3445E}"/>
    <cellStyle name="Normal 5 5 10 3 2" xfId="31172" xr:uid="{A31CA036-8F3E-4D7E-B74C-E8FCB15EC109}"/>
    <cellStyle name="Normal 5 5 10 4" xfId="24970" xr:uid="{E543A10A-0A3F-4A28-8530-2469477560FA}"/>
    <cellStyle name="Normal 5 5 11" xfId="2353" xr:uid="{00000000-0005-0000-0000-0000A9060000}"/>
    <cellStyle name="Normal 5 5 11 2" xfId="9262" xr:uid="{6DFBF8E0-ED1C-476D-99C6-0592B9538B40}"/>
    <cellStyle name="Normal 5 5 11 2 2" xfId="31837" xr:uid="{2B3FF9D9-007A-46DB-8423-983904386F4D}"/>
    <cellStyle name="Normal 5 5 11 3" xfId="25709" xr:uid="{2BE27782-04C4-4867-A5E2-95CABE3B78A3}"/>
    <cellStyle name="Normal 5 5 12" xfId="7348" xr:uid="{EDB73356-872E-4BD5-B4DD-7227A3974740}"/>
    <cellStyle name="Normal 5 5 12 2" xfId="30034" xr:uid="{7997F40F-302A-446B-82C9-AD23AF145B76}"/>
    <cellStyle name="Normal 5 5 13" xfId="23741" xr:uid="{A0DE682D-548F-4317-BCA6-046673ED6CEC}"/>
    <cellStyle name="Normal 5 5 2" xfId="368" xr:uid="{00000000-0005-0000-0000-0000AD060000}"/>
    <cellStyle name="Normal 5 5 2 2" xfId="1604" xr:uid="{00000000-0005-0000-0000-0000AE060000}"/>
    <cellStyle name="Normal 5 5 2 2 2" xfId="3705" xr:uid="{00000000-0005-0000-0000-0000AC060000}"/>
    <cellStyle name="Normal 5 5 2 2 2 2" xfId="10609" xr:uid="{18A741D5-0FE2-46E7-8EFD-AD0196350B38}"/>
    <cellStyle name="Normal 5 5 2 2 2 2 2" xfId="33095" xr:uid="{A1259722-7A1D-4BE9-896C-57B128D55B46}"/>
    <cellStyle name="Normal 5 5 2 2 2 3" xfId="26916" xr:uid="{2D48F318-6834-4D26-8B4C-BC1C77713274}"/>
    <cellStyle name="Normal 5 5 2 2 3" xfId="8639" xr:uid="{7685B709-42CD-4E48-A6F3-6303D7C3325D}"/>
    <cellStyle name="Normal 5 5 2 2 3 2" xfId="31225" xr:uid="{09A42CDD-0F87-416C-AF88-331522E4DA99}"/>
    <cellStyle name="Normal 5 5 2 2 4" xfId="25025" xr:uid="{67F066D3-4FD8-45AC-90CC-59067AA9C2AE}"/>
    <cellStyle name="Normal 5 5 2 3" xfId="2528" xr:uid="{00000000-0005-0000-0000-0000AB060000}"/>
    <cellStyle name="Normal 5 5 2 3 2" xfId="9437" xr:uid="{78893F7B-31C2-4C4A-992D-C013FFFBC94F}"/>
    <cellStyle name="Normal 5 5 2 3 2 2" xfId="31994" xr:uid="{5EE0CEF3-B019-4D12-88EF-1CC23A62360B}"/>
    <cellStyle name="Normal 5 5 2 3 3" xfId="25857" xr:uid="{BC26AD34-6FD7-495F-B710-DF2625BA312B}"/>
    <cellStyle name="Normal 5 5 2 4" xfId="7531" xr:uid="{E82020DD-B672-4352-9C71-8EC21AD0BBEA}"/>
    <cellStyle name="Normal 5 5 2 4 2" xfId="30196" xr:uid="{B9AE1087-74BB-47D1-AE67-94434756B9FC}"/>
    <cellStyle name="Normal 5 5 2 5" xfId="23916" xr:uid="{EDBD3344-49F3-4914-8EC3-8F4A7B17004C}"/>
    <cellStyle name="Normal 5 5 3" xfId="527" xr:uid="{00000000-0005-0000-0000-0000AF060000}"/>
    <cellStyle name="Normal 5 5 3 2" xfId="1689" xr:uid="{00000000-0005-0000-0000-0000B0060000}"/>
    <cellStyle name="Normal 5 5 3 2 2" xfId="3787" xr:uid="{00000000-0005-0000-0000-0000AE060000}"/>
    <cellStyle name="Normal 5 5 3 2 2 2" xfId="10691" xr:uid="{60F73467-B95A-4673-941A-3EE13C11C33A}"/>
    <cellStyle name="Normal 5 5 3 2 2 2 2" xfId="33177" xr:uid="{924C74A6-230F-4560-BBEE-FC960476EFFF}"/>
    <cellStyle name="Normal 5 5 3 2 2 3" xfId="26994" xr:uid="{0953D422-C118-4101-8357-D61487612A69}"/>
    <cellStyle name="Normal 5 5 3 2 3" xfId="8704" xr:uid="{D047FA43-0253-4E21-9A8D-5318DEC9644E}"/>
    <cellStyle name="Normal 5 5 3 2 3 2" xfId="31289" xr:uid="{97E7EBE9-D568-43ED-84C4-17D2A1FD7617}"/>
    <cellStyle name="Normal 5 5 3 2 4" xfId="25104" xr:uid="{3D998B23-20E0-4756-A7F8-873F2E2C64FA}"/>
    <cellStyle name="Normal 5 5 3 3" xfId="2678" xr:uid="{00000000-0005-0000-0000-0000AD060000}"/>
    <cellStyle name="Normal 5 5 3 3 2" xfId="9587" xr:uid="{C9507621-139A-49E7-A57F-63CE122E29EC}"/>
    <cellStyle name="Normal 5 5 3 3 2 2" xfId="32137" xr:uid="{B0FCC948-E73D-43BC-8FB9-8F540A4C9E58}"/>
    <cellStyle name="Normal 5 5 3 3 3" xfId="25990" xr:uid="{9B7F5D07-EB73-40A2-9513-A8CB970F49A7}"/>
    <cellStyle name="Normal 5 5 3 4" xfId="7670" xr:uid="{A25024B0-0BD5-4D7C-B251-05E5E6DCA219}"/>
    <cellStyle name="Normal 5 5 3 4 2" xfId="30323" xr:uid="{4EB04662-F421-4654-AA19-1E622F9C6C00}"/>
    <cellStyle name="Normal 5 5 3 5" xfId="24058" xr:uid="{A40A7624-6241-4B5A-8A2B-11F580FEF817}"/>
    <cellStyle name="Normal 5 5 4" xfId="760" xr:uid="{00000000-0005-0000-0000-0000B1060000}"/>
    <cellStyle name="Normal 5 5 4 2" xfId="1786" xr:uid="{00000000-0005-0000-0000-0000B2060000}"/>
    <cellStyle name="Normal 5 5 4 2 2" xfId="3884" xr:uid="{00000000-0005-0000-0000-0000B0060000}"/>
    <cellStyle name="Normal 5 5 4 2 2 2" xfId="10788" xr:uid="{BCB0818D-4DFF-44F7-9A5C-C8A604524B97}"/>
    <cellStyle name="Normal 5 5 4 2 2 2 2" xfId="33274" xr:uid="{67B53901-6ED6-417A-B7FA-90F5DD54C1A7}"/>
    <cellStyle name="Normal 5 5 4 2 2 3" xfId="27083" xr:uid="{24019BB8-A0C4-4570-8AEF-50D3C3A15C39}"/>
    <cellStyle name="Normal 5 5 4 2 3" xfId="8786" xr:uid="{BC6FB97C-707F-4627-8F7A-4F3A15E9459A}"/>
    <cellStyle name="Normal 5 5 4 2 3 2" xfId="31369" xr:uid="{73A3FE2E-871A-4038-9957-B83B5414D96D}"/>
    <cellStyle name="Normal 5 5 4 2 4" xfId="25192" xr:uid="{8C5BE45A-7915-492C-A70E-52C6851908BD}"/>
    <cellStyle name="Normal 5 5 4 3" xfId="2899" xr:uid="{00000000-0005-0000-0000-0000AF060000}"/>
    <cellStyle name="Normal 5 5 4 3 2" xfId="9808" xr:uid="{30F6225C-7F73-4365-8121-3883010BF3E9}"/>
    <cellStyle name="Normal 5 5 4 3 2 2" xfId="32336" xr:uid="{E782F9FE-A8A6-47E7-9C98-8CE9AF5FAA4D}"/>
    <cellStyle name="Normal 5 5 4 3 3" xfId="26190" xr:uid="{F818D8EC-0683-4E4B-BAF1-01F05407C7F9}"/>
    <cellStyle name="Normal 5 5 4 4" xfId="7882" xr:uid="{82767F5B-7CCB-4AC3-8031-478FFA15B3FD}"/>
    <cellStyle name="Normal 5 5 4 4 2" xfId="30512" xr:uid="{902723E9-ED21-4219-B6D1-4A9AC4AB5426}"/>
    <cellStyle name="Normal 5 5 4 5" xfId="24261" xr:uid="{4D3EFA62-56D9-4909-B109-CDCFEBCF16FA}"/>
    <cellStyle name="Normal 5 5 5" xfId="949" xr:uid="{00000000-0005-0000-0000-0000B3060000}"/>
    <cellStyle name="Normal 5 5 5 2" xfId="1875" xr:uid="{00000000-0005-0000-0000-0000B4060000}"/>
    <cellStyle name="Normal 5 5 5 2 2" xfId="3973" xr:uid="{00000000-0005-0000-0000-0000B2060000}"/>
    <cellStyle name="Normal 5 5 5 2 2 2" xfId="10877" xr:uid="{FAD591D1-3BE4-486C-9F7E-FA1E3DBFF17C}"/>
    <cellStyle name="Normal 5 5 5 2 2 2 2" xfId="33363" xr:uid="{9BA1529A-DCCB-4DC8-A149-B44C52D94B14}"/>
    <cellStyle name="Normal 5 5 5 2 2 3" xfId="27164" xr:uid="{3CFC8F0B-A799-4B5E-812B-26B3762F2804}"/>
    <cellStyle name="Normal 5 5 5 2 3" xfId="8858" xr:uid="{A74B5C46-9D2D-4ABA-B3EE-9267DFFB252D}"/>
    <cellStyle name="Normal 5 5 5 2 3 2" xfId="31439" xr:uid="{1BCED2BD-E1D9-4693-B3A2-8467AD378195}"/>
    <cellStyle name="Normal 5 5 5 2 4" xfId="25271" xr:uid="{399AE5DA-BE80-4CC8-97B8-A6E870EB8200}"/>
    <cellStyle name="Normal 5 5 5 3" xfId="3078" xr:uid="{00000000-0005-0000-0000-0000B1060000}"/>
    <cellStyle name="Normal 5 5 5 3 2" xfId="9987" xr:uid="{D6E31E62-D23B-4378-936E-15E5BB1EE7FF}"/>
    <cellStyle name="Normal 5 5 5 3 2 2" xfId="32504" xr:uid="{2957A460-564F-46C9-8765-0B46B79BC5BB}"/>
    <cellStyle name="Normal 5 5 5 3 3" xfId="26337" xr:uid="{2577FF48-3708-4936-BD61-39E6AF3EA66D}"/>
    <cellStyle name="Normal 5 5 5 4" xfId="8050" xr:uid="{343C0FEF-8787-4C58-9546-2D237929388D}"/>
    <cellStyle name="Normal 5 5 5 4 2" xfId="30668" xr:uid="{41DC3E22-0516-4512-80C2-5E8B6013D0AE}"/>
    <cellStyle name="Normal 5 5 5 5" xfId="24427" xr:uid="{40E981A6-7D42-43B9-ABC2-EAD554526897}"/>
    <cellStyle name="Normal 5 5 6" xfId="1132" xr:uid="{00000000-0005-0000-0000-0000B5060000}"/>
    <cellStyle name="Normal 5 5 6 2" xfId="1970" xr:uid="{00000000-0005-0000-0000-0000B6060000}"/>
    <cellStyle name="Normal 5 5 6 2 2" xfId="4066" xr:uid="{00000000-0005-0000-0000-0000B4060000}"/>
    <cellStyle name="Normal 5 5 6 2 2 2" xfId="10970" xr:uid="{61781D75-4D2D-437E-B3E7-D011AD73108B}"/>
    <cellStyle name="Normal 5 5 6 2 2 2 2" xfId="33456" xr:uid="{E2C5E85E-DF9D-4420-8628-A267E7014442}"/>
    <cellStyle name="Normal 5 5 6 2 2 3" xfId="27251" xr:uid="{BA2590A6-E9CC-4929-8D6B-05843DE83F20}"/>
    <cellStyle name="Normal 5 5 6 2 3" xfId="8928" xr:uid="{46908CC8-B41E-4AE7-A4FE-7F92EA508AF3}"/>
    <cellStyle name="Normal 5 5 6 2 3 2" xfId="31507" xr:uid="{E7415CB4-2519-48EF-B78F-9B1C8DD4D5DC}"/>
    <cellStyle name="Normal 5 5 6 2 4" xfId="25356" xr:uid="{ADF5C343-7352-4162-9206-945E59327C18}"/>
    <cellStyle name="Normal 5 5 6 3" xfId="3250" xr:uid="{00000000-0005-0000-0000-0000B3060000}"/>
    <cellStyle name="Normal 5 5 6 3 2" xfId="10158" xr:uid="{F2C39FB7-B273-41DA-AC56-C7FAB42D08A8}"/>
    <cellStyle name="Normal 5 5 6 3 2 2" xfId="32657" xr:uid="{9C96ECCB-9EDA-499A-B994-1A474A13A1B1}"/>
    <cellStyle name="Normal 5 5 6 3 3" xfId="26489" xr:uid="{24E6BADF-AE5A-4933-A718-F5A332766A40}"/>
    <cellStyle name="Normal 5 5 6 4" xfId="8214" xr:uid="{5958A157-89EB-4ED0-B5A3-8D5FC58A8494}"/>
    <cellStyle name="Normal 5 5 6 4 2" xfId="30822" xr:uid="{ABC50849-98BB-44AB-82FE-2810E54D76A7}"/>
    <cellStyle name="Normal 5 5 6 5" xfId="24591" xr:uid="{9E6E8889-DFCC-4631-BED2-1EC1AD2BB828}"/>
    <cellStyle name="Normal 5 5 7" xfId="1303" xr:uid="{00000000-0005-0000-0000-0000B7060000}"/>
    <cellStyle name="Normal 5 5 7 2" xfId="2060" xr:uid="{00000000-0005-0000-0000-0000B8060000}"/>
    <cellStyle name="Normal 5 5 7 2 2" xfId="4155" xr:uid="{00000000-0005-0000-0000-0000B6060000}"/>
    <cellStyle name="Normal 5 5 7 2 2 2" xfId="11059" xr:uid="{2BCFC610-95AE-40F9-9D94-F9AFFC676755}"/>
    <cellStyle name="Normal 5 5 7 2 2 2 2" xfId="33545" xr:uid="{065F2EE6-EB9D-4215-9C52-9CAC28A2A3D1}"/>
    <cellStyle name="Normal 5 5 7 2 2 3" xfId="27333" xr:uid="{40E7D81A-E65A-4436-A0AB-7CB8AB5D177F}"/>
    <cellStyle name="Normal 5 5 7 2 3" xfId="8999" xr:uid="{7232A817-C0C3-441F-9E95-E585473226EA}"/>
    <cellStyle name="Normal 5 5 7 2 3 2" xfId="31577" xr:uid="{D8281D94-F7B9-41A6-BC0A-F7A831E95888}"/>
    <cellStyle name="Normal 5 5 7 2 4" xfId="25440" xr:uid="{72B71DF9-0981-4941-AE9B-C2F2F2C08480}"/>
    <cellStyle name="Normal 5 5 7 3" xfId="3411" xr:uid="{00000000-0005-0000-0000-0000B5060000}"/>
    <cellStyle name="Normal 5 5 7 3 2" xfId="10319" xr:uid="{D4046874-C8B6-4F57-9BFD-345FA7B194B5}"/>
    <cellStyle name="Normal 5 5 7 3 2 2" xfId="32810" xr:uid="{D604DA74-2278-42DE-B125-56D90BDCF402}"/>
    <cellStyle name="Normal 5 5 7 3 3" xfId="26636" xr:uid="{CC3F0B2D-11A9-4304-91AB-8989FC04223D}"/>
    <cellStyle name="Normal 5 5 7 4" xfId="8369" xr:uid="{C87AE8B5-F14B-4FD7-9F2A-8CBA2AF3F0FA}"/>
    <cellStyle name="Normal 5 5 7 4 2" xfId="30961" xr:uid="{C4476853-BF50-48D5-8A21-F4371A5E4DD2}"/>
    <cellStyle name="Normal 5 5 7 5" xfId="24735" xr:uid="{0E435D8F-859B-4966-9518-EE2578819E92}"/>
    <cellStyle name="Normal 5 5 8" xfId="1442" xr:uid="{00000000-0005-0000-0000-0000B9060000}"/>
    <cellStyle name="Normal 5 5 8 2" xfId="2170" xr:uid="{00000000-0005-0000-0000-0000BA060000}"/>
    <cellStyle name="Normal 5 5 8 2 2" xfId="4263" xr:uid="{00000000-0005-0000-0000-0000B8060000}"/>
    <cellStyle name="Normal 5 5 8 2 2 2" xfId="11167" xr:uid="{A6AB0D5F-84CA-40B4-9FC3-2A07D9585EF6}"/>
    <cellStyle name="Normal 5 5 8 2 2 2 2" xfId="33653" xr:uid="{73B526B4-42AF-407E-866C-CEC8FA19FE9E}"/>
    <cellStyle name="Normal 5 5 8 2 2 3" xfId="27435" xr:uid="{82573BC6-080A-462F-AC6E-97A89A7A16FA}"/>
    <cellStyle name="Normal 5 5 8 2 3" xfId="9087" xr:uid="{714ECE4F-130D-457A-BCBE-868D66F70BE3}"/>
    <cellStyle name="Normal 5 5 8 2 3 2" xfId="31663" xr:uid="{4FDD53F1-8873-4091-9786-D8F0841F29EE}"/>
    <cellStyle name="Normal 5 5 8 2 4" xfId="25540" xr:uid="{D4515173-9FCC-4256-AB05-1D174549BFA7}"/>
    <cellStyle name="Normal 5 5 8 3" xfId="3543" xr:uid="{00000000-0005-0000-0000-0000B7060000}"/>
    <cellStyle name="Normal 5 5 8 3 2" xfId="10449" xr:uid="{96508F21-765A-4B6E-BA60-7F5084BFA462}"/>
    <cellStyle name="Normal 5 5 8 3 2 2" xfId="32936" xr:uid="{E708A656-0816-4680-A7C5-A379BEE341BA}"/>
    <cellStyle name="Normal 5 5 8 3 3" xfId="26756" xr:uid="{14EFDFE3-4CC9-49CA-968D-95049AEC796F}"/>
    <cellStyle name="Normal 5 5 8 4" xfId="8485" xr:uid="{F5DEE71B-57A9-4420-AF15-33D206D64B6D}"/>
    <cellStyle name="Normal 5 5 8 4 2" xfId="31072" xr:uid="{5BA889B8-F28D-484D-BF1A-70BF42E36724}"/>
    <cellStyle name="Normal 5 5 8 5" xfId="24865" xr:uid="{061D0DA7-B735-4480-B9C0-F71B1257B3CA}"/>
    <cellStyle name="Normal 5 5 9" xfId="1490" xr:uid="{00000000-0005-0000-0000-0000BB060000}"/>
    <cellStyle name="Normal 5 5 9 2" xfId="2217" xr:uid="{00000000-0005-0000-0000-0000BC060000}"/>
    <cellStyle name="Normal 5 5 9 2 2" xfId="4310" xr:uid="{00000000-0005-0000-0000-0000BA060000}"/>
    <cellStyle name="Normal 5 5 9 2 2 2" xfId="11214" xr:uid="{9C34E05D-24E4-49E1-AD15-F630C35C7C91}"/>
    <cellStyle name="Normal 5 5 9 2 2 2 2" xfId="33700" xr:uid="{846946B8-4670-49BE-B3DE-8371F650A42A}"/>
    <cellStyle name="Normal 5 5 9 2 2 3" xfId="27482" xr:uid="{FB5615E7-6617-4074-B26E-FAC8515FB25E}"/>
    <cellStyle name="Normal 5 5 9 2 3" xfId="9130" xr:uid="{41638BD3-E49B-4892-A3C7-2306850BC49C}"/>
    <cellStyle name="Normal 5 5 9 2 3 2" xfId="31706" xr:uid="{832567C1-46A2-4AAB-9AE1-023B38ED272C}"/>
    <cellStyle name="Normal 5 5 9 2 4" xfId="25585" xr:uid="{06A8CDD5-739F-4D13-8A5E-1315E77BE12E}"/>
    <cellStyle name="Normal 5 5 9 3" xfId="3591" xr:uid="{00000000-0005-0000-0000-0000B9060000}"/>
    <cellStyle name="Normal 5 5 9 3 2" xfId="10496" xr:uid="{71A48D36-C0AC-436C-82E6-EF5D6E9EAD3E}"/>
    <cellStyle name="Normal 5 5 9 3 2 2" xfId="32983" xr:uid="{46FD3519-74C0-4597-9773-B3FC780EDB9F}"/>
    <cellStyle name="Normal 5 5 9 3 3" xfId="26804" xr:uid="{26A99FAF-A855-4453-BC39-C1E97377E26E}"/>
    <cellStyle name="Normal 5 5 9 4" xfId="8532" xr:uid="{258D2CAB-2EA5-4C91-A4A3-57E833122622}"/>
    <cellStyle name="Normal 5 5 9 4 2" xfId="31119" xr:uid="{71D63144-9F36-4561-849E-B41426316AC7}"/>
    <cellStyle name="Normal 5 5 9 5" xfId="24912" xr:uid="{DDF47A15-3774-4586-8728-A9ABDC7A9A37}"/>
    <cellStyle name="Normal 5 6" xfId="188" xr:uid="{00000000-0005-0000-0000-0000BD060000}"/>
    <cellStyle name="Normal 5 6 10" xfId="1553" xr:uid="{00000000-0005-0000-0000-0000BE060000}"/>
    <cellStyle name="Normal 5 6 10 2" xfId="3654" xr:uid="{00000000-0005-0000-0000-0000BC060000}"/>
    <cellStyle name="Normal 5 6 10 2 2" xfId="10558" xr:uid="{01DD1EA8-8FF6-4F5D-BE0E-D6FEE0EF9E11}"/>
    <cellStyle name="Normal 5 6 10 2 2 2" xfId="33044" xr:uid="{8B245840-E085-4474-B54D-0E85D8971B51}"/>
    <cellStyle name="Normal 5 6 10 2 3" xfId="26865" xr:uid="{9BBB0771-DD5C-4B63-8302-453C420067F1}"/>
    <cellStyle name="Normal 5 6 10 3" xfId="8590" xr:uid="{17BEF356-FD03-48B6-846D-74181D4FC653}"/>
    <cellStyle name="Normal 5 6 10 3 2" xfId="31177" xr:uid="{719419AA-72B4-438E-96BB-64AAA74978CF}"/>
    <cellStyle name="Normal 5 6 10 4" xfId="24975" xr:uid="{5B42B858-33BF-4512-96BF-1688BD584028}"/>
    <cellStyle name="Normal 5 6 11" xfId="2365" xr:uid="{00000000-0005-0000-0000-0000BB060000}"/>
    <cellStyle name="Normal 5 6 11 2" xfId="9274" xr:uid="{E395E45D-B691-47D0-BEAE-F4AA845A7E7C}"/>
    <cellStyle name="Normal 5 6 11 2 2" xfId="31849" xr:uid="{4D559F27-4A3E-4BBD-A8DA-C53D120D5685}"/>
    <cellStyle name="Normal 5 6 11 3" xfId="25721" xr:uid="{E3799AC2-C2B8-4DB5-9469-5C07F01B1708}"/>
    <cellStyle name="Normal 5 6 12" xfId="7364" xr:uid="{EEBFBDEF-0A66-47CA-BA3C-93EDE17307DF}"/>
    <cellStyle name="Normal 5 6 12 2" xfId="30049" xr:uid="{CDB3FECA-3FE2-4C7D-A79A-B2B25EA76A8F}"/>
    <cellStyle name="Normal 5 6 13" xfId="23761" xr:uid="{70938133-C805-46F7-8B91-19045C48E568}"/>
    <cellStyle name="Normal 5 6 2" xfId="387" xr:uid="{00000000-0005-0000-0000-0000BF060000}"/>
    <cellStyle name="Normal 5 6 2 2" xfId="1609" xr:uid="{00000000-0005-0000-0000-0000C0060000}"/>
    <cellStyle name="Normal 5 6 2 2 2" xfId="3710" xr:uid="{00000000-0005-0000-0000-0000BE060000}"/>
    <cellStyle name="Normal 5 6 2 2 2 2" xfId="10614" xr:uid="{7DEBE537-7311-431A-BAF3-006D55DE0593}"/>
    <cellStyle name="Normal 5 6 2 2 2 2 2" xfId="33100" xr:uid="{A1A362F4-25FB-4A1F-97AA-4EA425DF0D26}"/>
    <cellStyle name="Normal 5 6 2 2 2 3" xfId="26921" xr:uid="{02F65890-8EA9-4790-95F9-A5497C0182AC}"/>
    <cellStyle name="Normal 5 6 2 2 3" xfId="8644" xr:uid="{7E5613F2-4918-4D20-A12C-620CCC57B415}"/>
    <cellStyle name="Normal 5 6 2 2 3 2" xfId="31230" xr:uid="{952A5827-2064-419C-B12D-65ECF50AEED5}"/>
    <cellStyle name="Normal 5 6 2 2 4" xfId="25030" xr:uid="{9CBCEAC2-BBCA-492E-AABE-D7ACFD1CA02E}"/>
    <cellStyle name="Normal 5 6 2 3" xfId="2546" xr:uid="{00000000-0005-0000-0000-0000BD060000}"/>
    <cellStyle name="Normal 5 6 2 3 2" xfId="9455" xr:uid="{E73C02C4-538D-4941-9EF9-DA488EADCC3E}"/>
    <cellStyle name="Normal 5 6 2 3 2 2" xfId="32010" xr:uid="{AA227184-6E45-4D55-B6EC-8C94553A5192}"/>
    <cellStyle name="Normal 5 6 2 3 3" xfId="25873" xr:uid="{0861683F-B3FA-41F2-8F3E-CE5ADEE6CE75}"/>
    <cellStyle name="Normal 5 6 2 4" xfId="7550" xr:uid="{A51241D7-E0F9-40D7-A04F-5A09D254B4F2}"/>
    <cellStyle name="Normal 5 6 2 4 2" xfId="30214" xr:uid="{BC75E9C6-D663-4EA6-9FA9-3ECC749A5AAB}"/>
    <cellStyle name="Normal 5 6 2 5" xfId="23934" xr:uid="{ED73A015-66C1-4C99-9988-5C890B4BB0A1}"/>
    <cellStyle name="Normal 5 6 3" xfId="544" xr:uid="{00000000-0005-0000-0000-0000C1060000}"/>
    <cellStyle name="Normal 5 6 3 2" xfId="1694" xr:uid="{00000000-0005-0000-0000-0000C2060000}"/>
    <cellStyle name="Normal 5 6 3 2 2" xfId="3792" xr:uid="{00000000-0005-0000-0000-0000C0060000}"/>
    <cellStyle name="Normal 5 6 3 2 2 2" xfId="10696" xr:uid="{EB5EA668-793F-4525-8004-A193BD371DB7}"/>
    <cellStyle name="Normal 5 6 3 2 2 2 2" xfId="33182" xr:uid="{FF77CE95-924D-434F-B870-DD2CFF3C33DA}"/>
    <cellStyle name="Normal 5 6 3 2 2 3" xfId="26999" xr:uid="{CB2845FA-7462-4A7F-BE10-46A3ECC45A77}"/>
    <cellStyle name="Normal 5 6 3 2 3" xfId="8709" xr:uid="{1750E08F-A801-47D4-ACCF-28C62F10C6F1}"/>
    <cellStyle name="Normal 5 6 3 2 3 2" xfId="31294" xr:uid="{3484B003-EDF2-4E23-87CC-C76A7D0899A3}"/>
    <cellStyle name="Normal 5 6 3 2 4" xfId="25109" xr:uid="{F4A5F158-A612-4D6F-AF49-61B0AD043120}"/>
    <cellStyle name="Normal 5 6 3 3" xfId="2695" xr:uid="{00000000-0005-0000-0000-0000BF060000}"/>
    <cellStyle name="Normal 5 6 3 3 2" xfId="9604" xr:uid="{8EA129C3-05EC-41AA-AEFF-516932329604}"/>
    <cellStyle name="Normal 5 6 3 3 2 2" xfId="32153" xr:uid="{70BA5E80-0C8C-40B1-A91E-BD070A87AF71}"/>
    <cellStyle name="Normal 5 6 3 3 3" xfId="26005" xr:uid="{42C8F9BB-C123-44E2-B2B2-F03F7BC2BA1E}"/>
    <cellStyle name="Normal 5 6 3 4" xfId="7687" xr:uid="{8CA7C952-C3C0-4626-A982-A780331256D5}"/>
    <cellStyle name="Normal 5 6 3 4 2" xfId="30337" xr:uid="{54CA0317-0DB8-472D-91CA-31159AE1DB31}"/>
    <cellStyle name="Normal 5 6 3 5" xfId="24072" xr:uid="{11C91DC4-C693-4907-B1B8-440072DB32E4}"/>
    <cellStyle name="Normal 5 6 4" xfId="780" xr:uid="{00000000-0005-0000-0000-0000C3060000}"/>
    <cellStyle name="Normal 5 6 4 2" xfId="1791" xr:uid="{00000000-0005-0000-0000-0000C4060000}"/>
    <cellStyle name="Normal 5 6 4 2 2" xfId="3889" xr:uid="{00000000-0005-0000-0000-0000C2060000}"/>
    <cellStyle name="Normal 5 6 4 2 2 2" xfId="10793" xr:uid="{5E4C9753-2B05-4191-822A-8F3AC47E079F}"/>
    <cellStyle name="Normal 5 6 4 2 2 2 2" xfId="33279" xr:uid="{D2AA86F7-ADD3-43D7-8E27-C7C21F09305B}"/>
    <cellStyle name="Normal 5 6 4 2 2 3" xfId="27088" xr:uid="{8F8B53D2-C9A3-4AC3-865F-F071441DB6A8}"/>
    <cellStyle name="Normal 5 6 4 2 3" xfId="8791" xr:uid="{D1D3B6C4-A177-4195-BA2A-C08894615842}"/>
    <cellStyle name="Normal 5 6 4 2 3 2" xfId="31374" xr:uid="{847844C8-4986-4D96-BF61-19F32C25D270}"/>
    <cellStyle name="Normal 5 6 4 2 4" xfId="25197" xr:uid="{0B441411-119D-42CA-B84D-CAAACBFD579D}"/>
    <cellStyle name="Normal 5 6 4 3" xfId="2919" xr:uid="{00000000-0005-0000-0000-0000C1060000}"/>
    <cellStyle name="Normal 5 6 4 3 2" xfId="9828" xr:uid="{6393764B-B09B-4E21-9135-5BF49679E16A}"/>
    <cellStyle name="Normal 5 6 4 3 2 2" xfId="32353" xr:uid="{4F4EE297-4943-4B7A-9779-82474F5012E4}"/>
    <cellStyle name="Normal 5 6 4 3 3" xfId="26208" xr:uid="{6937BF7A-34EA-41B4-B50E-C5F84E41B549}"/>
    <cellStyle name="Normal 5 6 4 4" xfId="7902" xr:uid="{8E78DB93-4678-45FA-A253-70B5865EA60B}"/>
    <cellStyle name="Normal 5 6 4 4 2" xfId="30530" xr:uid="{7B6F1D3B-C803-4F6E-8B08-3F5782181406}"/>
    <cellStyle name="Normal 5 6 4 5" xfId="24279" xr:uid="{C1759551-4864-4032-B783-DFDE13404D2D}"/>
    <cellStyle name="Normal 5 6 5" xfId="968" xr:uid="{00000000-0005-0000-0000-0000C5060000}"/>
    <cellStyle name="Normal 5 6 5 2" xfId="1880" xr:uid="{00000000-0005-0000-0000-0000C6060000}"/>
    <cellStyle name="Normal 5 6 5 2 2" xfId="3978" xr:uid="{00000000-0005-0000-0000-0000C4060000}"/>
    <cellStyle name="Normal 5 6 5 2 2 2" xfId="10882" xr:uid="{7884C3CE-97E0-45BF-80EA-53854CA3AA32}"/>
    <cellStyle name="Normal 5 6 5 2 2 2 2" xfId="33368" xr:uid="{87AC2C37-472E-45AA-92EF-31D034A95A82}"/>
    <cellStyle name="Normal 5 6 5 2 2 3" xfId="27169" xr:uid="{6AC20CDE-5577-4C1F-A481-D6C7F309A473}"/>
    <cellStyle name="Normal 5 6 5 2 3" xfId="8863" xr:uid="{B9E92C89-51AA-4A86-BF47-9EF196501302}"/>
    <cellStyle name="Normal 5 6 5 2 3 2" xfId="31444" xr:uid="{3B96DF12-4B60-46D4-BB3D-C1873D50C30E}"/>
    <cellStyle name="Normal 5 6 5 2 4" xfId="25276" xr:uid="{5258C07E-679C-48C4-9F05-1E7A79CA6C64}"/>
    <cellStyle name="Normal 5 6 5 3" xfId="3097" xr:uid="{00000000-0005-0000-0000-0000C3060000}"/>
    <cellStyle name="Normal 5 6 5 3 2" xfId="10006" xr:uid="{CB818658-20B3-449A-97FB-98AE1253B610}"/>
    <cellStyle name="Normal 5 6 5 3 2 2" xfId="32517" xr:uid="{D7102A37-6B25-458C-818D-D2A7B0FF7B6A}"/>
    <cellStyle name="Normal 5 6 5 3 3" xfId="26356" xr:uid="{48FCE609-4D1E-4165-B62D-840B2B1E6F0F}"/>
    <cellStyle name="Normal 5 6 5 4" xfId="8069" xr:uid="{49535D86-25F0-4578-BF9E-39DC47D91106}"/>
    <cellStyle name="Normal 5 6 5 4 2" xfId="30686" xr:uid="{87A59AAD-53AB-4698-9EA5-F01B138DDED7}"/>
    <cellStyle name="Normal 5 6 5 5" xfId="24446" xr:uid="{B282AB63-F652-403E-BCF3-F685F1D84045}"/>
    <cellStyle name="Normal 5 6 6" xfId="1151" xr:uid="{00000000-0005-0000-0000-0000C7060000}"/>
    <cellStyle name="Normal 5 6 6 2" xfId="1975" xr:uid="{00000000-0005-0000-0000-0000C8060000}"/>
    <cellStyle name="Normal 5 6 6 2 2" xfId="4071" xr:uid="{00000000-0005-0000-0000-0000C6060000}"/>
    <cellStyle name="Normal 5 6 6 2 2 2" xfId="10975" xr:uid="{4DE00847-952E-4858-8D75-33AD4014BD90}"/>
    <cellStyle name="Normal 5 6 6 2 2 2 2" xfId="33461" xr:uid="{C09C7707-4A4D-4D4C-9FF0-8AB6297EFBD1}"/>
    <cellStyle name="Normal 5 6 6 2 2 3" xfId="27256" xr:uid="{F47B6FA2-1AB5-4AEC-840D-C5B4D5A9469A}"/>
    <cellStyle name="Normal 5 6 6 2 3" xfId="8933" xr:uid="{907540D2-7F52-4F74-ABA3-701B176EAF1D}"/>
    <cellStyle name="Normal 5 6 6 2 3 2" xfId="31512" xr:uid="{F631EF63-6059-4D4F-9399-825FE912FA19}"/>
    <cellStyle name="Normal 5 6 6 2 4" xfId="25361" xr:uid="{9F6B7E18-20EB-49CF-B53D-0E8C58606055}"/>
    <cellStyle name="Normal 5 6 6 3" xfId="3269" xr:uid="{00000000-0005-0000-0000-0000C5060000}"/>
    <cellStyle name="Normal 5 6 6 3 2" xfId="10177" xr:uid="{3A1E709D-23BB-4EF1-BB5C-72E8FEA44953}"/>
    <cellStyle name="Normal 5 6 6 3 2 2" xfId="32674" xr:uid="{B592BCC3-8F10-4935-BAA4-036DC4F0F5D0}"/>
    <cellStyle name="Normal 5 6 6 3 3" xfId="26506" xr:uid="{C1A0A81F-B1DA-4D60-B67A-DE32C3AA8C22}"/>
    <cellStyle name="Normal 5 6 6 4" xfId="8233" xr:uid="{3ACE353E-AB6A-494D-BC12-4756B251951B}"/>
    <cellStyle name="Normal 5 6 6 4 2" xfId="30838" xr:uid="{153C5F30-27F8-4DD4-B81F-5E2A90628AA5}"/>
    <cellStyle name="Normal 5 6 6 5" xfId="24608" xr:uid="{4B309DF3-1DEF-46E2-A44D-42ED27CBAFB8}"/>
    <cellStyle name="Normal 5 6 7" xfId="1320" xr:uid="{00000000-0005-0000-0000-0000C9060000}"/>
    <cellStyle name="Normal 5 6 7 2" xfId="2065" xr:uid="{00000000-0005-0000-0000-0000CA060000}"/>
    <cellStyle name="Normal 5 6 7 2 2" xfId="4160" xr:uid="{00000000-0005-0000-0000-0000C8060000}"/>
    <cellStyle name="Normal 5 6 7 2 2 2" xfId="11064" xr:uid="{09081505-5F50-478E-AB24-A1DD07CF1C8D}"/>
    <cellStyle name="Normal 5 6 7 2 2 2 2" xfId="33550" xr:uid="{D53AEB53-2ADC-41BB-A6E7-8B81D630EB0F}"/>
    <cellStyle name="Normal 5 6 7 2 2 3" xfId="27338" xr:uid="{CE4E6FD7-11FE-48F1-9476-D3F7E1B7C3E7}"/>
    <cellStyle name="Normal 5 6 7 2 3" xfId="9004" xr:uid="{E9D2F3C4-8445-47B3-872E-DF0CB3A96C3A}"/>
    <cellStyle name="Normal 5 6 7 2 3 2" xfId="31582" xr:uid="{67D5493B-69BF-4294-82E0-21F27B110371}"/>
    <cellStyle name="Normal 5 6 7 2 4" xfId="25445" xr:uid="{32041080-8D05-4B96-864A-ECB089C2FD95}"/>
    <cellStyle name="Normal 5 6 7 3" xfId="3428" xr:uid="{00000000-0005-0000-0000-0000C7060000}"/>
    <cellStyle name="Normal 5 6 7 3 2" xfId="10336" xr:uid="{7033DA97-474A-40A3-8E51-7EA8E2F883D2}"/>
    <cellStyle name="Normal 5 6 7 3 2 2" xfId="32825" xr:uid="{26C273AE-98AD-4EDE-997D-5E77BF09608F}"/>
    <cellStyle name="Normal 5 6 7 3 3" xfId="26652" xr:uid="{BE0D352F-E579-41A5-AB2C-C3C62C0005DD}"/>
    <cellStyle name="Normal 5 6 7 4" xfId="8386" xr:uid="{14317273-8BBD-48B2-88B4-A82223B9FB83}"/>
    <cellStyle name="Normal 5 6 7 4 2" xfId="30976" xr:uid="{65F60B59-C9E9-4791-8945-F3222B02A529}"/>
    <cellStyle name="Normal 5 6 7 5" xfId="24750" xr:uid="{01D435B6-3496-4870-B49E-9A4C740E397A}"/>
    <cellStyle name="Normal 5 6 8" xfId="1441" xr:uid="{00000000-0005-0000-0000-0000CB060000}"/>
    <cellStyle name="Normal 5 6 8 2" xfId="2169" xr:uid="{00000000-0005-0000-0000-0000CC060000}"/>
    <cellStyle name="Normal 5 6 8 2 2" xfId="4262" xr:uid="{00000000-0005-0000-0000-0000CA060000}"/>
    <cellStyle name="Normal 5 6 8 2 2 2" xfId="11166" xr:uid="{CF004D80-9814-4635-A072-F88291A04D85}"/>
    <cellStyle name="Normal 5 6 8 2 2 2 2" xfId="33652" xr:uid="{7E516C77-3A5C-41FE-9CDA-1DD9AF1EB7D0}"/>
    <cellStyle name="Normal 5 6 8 2 2 3" xfId="27434" xr:uid="{6F501D67-3889-4972-8EB7-4E0146F6A864}"/>
    <cellStyle name="Normal 5 6 8 2 3" xfId="9086" xr:uid="{AE5A222B-B636-4CE9-B8E6-E40FF6E7C1E6}"/>
    <cellStyle name="Normal 5 6 8 2 3 2" xfId="31662" xr:uid="{1B454AC7-2043-4E8A-92CD-D8B2F8679FEA}"/>
    <cellStyle name="Normal 5 6 8 2 4" xfId="25539" xr:uid="{C9205777-ED61-44B6-9FFE-CC584B76F4AA}"/>
    <cellStyle name="Normal 5 6 8 3" xfId="3542" xr:uid="{00000000-0005-0000-0000-0000C9060000}"/>
    <cellStyle name="Normal 5 6 8 3 2" xfId="10448" xr:uid="{0F86B301-4B53-4490-AC52-49D1484251B8}"/>
    <cellStyle name="Normal 5 6 8 3 2 2" xfId="32935" xr:uid="{B915D57B-887D-41E7-8A0A-843EA6325B9E}"/>
    <cellStyle name="Normal 5 6 8 3 3" xfId="26755" xr:uid="{5189D176-CE5F-4690-B4AD-63BD85FD1BA9}"/>
    <cellStyle name="Normal 5 6 8 4" xfId="8484" xr:uid="{7F408972-1C7F-4AE0-953E-C10425D4F71C}"/>
    <cellStyle name="Normal 5 6 8 4 2" xfId="31071" xr:uid="{2D685372-0F9C-45E8-A5DD-A77BBC5EDD1D}"/>
    <cellStyle name="Normal 5 6 8 5" xfId="24864" xr:uid="{3B50A4F2-9AFD-4A2A-B5FF-1F566CA17E58}"/>
    <cellStyle name="Normal 5 6 9" xfId="1495" xr:uid="{00000000-0005-0000-0000-0000CD060000}"/>
    <cellStyle name="Normal 5 6 9 2" xfId="2222" xr:uid="{00000000-0005-0000-0000-0000CE060000}"/>
    <cellStyle name="Normal 5 6 9 2 2" xfId="4315" xr:uid="{00000000-0005-0000-0000-0000CC060000}"/>
    <cellStyle name="Normal 5 6 9 2 2 2" xfId="11219" xr:uid="{6E002E53-7CC1-4871-A5FE-457DB3689519}"/>
    <cellStyle name="Normal 5 6 9 2 2 2 2" xfId="33705" xr:uid="{1EA7E6B5-B4F6-425B-8542-8FF89177C0F9}"/>
    <cellStyle name="Normal 5 6 9 2 2 3" xfId="27487" xr:uid="{86E127F8-AB3D-4709-AC48-B8A1EFF9EE65}"/>
    <cellStyle name="Normal 5 6 9 2 3" xfId="9135" xr:uid="{B32FF336-71BD-484C-88E4-95770DB654A2}"/>
    <cellStyle name="Normal 5 6 9 2 3 2" xfId="31711" xr:uid="{A5F2F81A-2268-490C-975E-5E73ADB47B45}"/>
    <cellStyle name="Normal 5 6 9 2 4" xfId="25590" xr:uid="{22F9716A-2DE7-4D83-A32B-506A8184E2BB}"/>
    <cellStyle name="Normal 5 6 9 3" xfId="3596" xr:uid="{00000000-0005-0000-0000-0000CB060000}"/>
    <cellStyle name="Normal 5 6 9 3 2" xfId="10501" xr:uid="{A52B1699-C8E0-492F-A141-9E7DBB936C77}"/>
    <cellStyle name="Normal 5 6 9 3 2 2" xfId="32988" xr:uid="{ACDE17EF-9467-4B09-BC14-71DFA9160B6D}"/>
    <cellStyle name="Normal 5 6 9 3 3" xfId="26809" xr:uid="{F2BA89CD-AB9E-4E4A-BBCC-EA50DB829172}"/>
    <cellStyle name="Normal 5 6 9 4" xfId="8537" xr:uid="{C4DA31BC-631B-49F7-933C-8E6C4C3FC3AC}"/>
    <cellStyle name="Normal 5 6 9 4 2" xfId="31124" xr:uid="{7264E7A3-48B1-414B-A7B4-30B60465657E}"/>
    <cellStyle name="Normal 5 6 9 5" xfId="24917" xr:uid="{FD5E0877-48D0-4B07-A833-E3BCC136F7E2}"/>
    <cellStyle name="Normal 5 7" xfId="209" xr:uid="{00000000-0005-0000-0000-0000CF060000}"/>
    <cellStyle name="Normal 5 7 10" xfId="1558" xr:uid="{00000000-0005-0000-0000-0000D0060000}"/>
    <cellStyle name="Normal 5 7 10 2" xfId="3659" xr:uid="{00000000-0005-0000-0000-0000CE060000}"/>
    <cellStyle name="Normal 5 7 10 2 2" xfId="10563" xr:uid="{663344FC-AFF8-4775-8A39-CE1DF4452B6C}"/>
    <cellStyle name="Normal 5 7 10 2 2 2" xfId="33049" xr:uid="{ACED5526-FDD7-4E09-8699-4733FDCE26E1}"/>
    <cellStyle name="Normal 5 7 10 2 3" xfId="26870" xr:uid="{8F4877CA-78F5-4EEB-B5BA-391BB3279BB5}"/>
    <cellStyle name="Normal 5 7 10 3" xfId="8595" xr:uid="{286053DF-C412-4A90-96BD-81CA329DA912}"/>
    <cellStyle name="Normal 5 7 10 3 2" xfId="31182" xr:uid="{5F3CD72E-AD7F-4EE2-93ED-5B573F622983}"/>
    <cellStyle name="Normal 5 7 10 4" xfId="24980" xr:uid="{2F4558E8-C4B4-4A36-AC2E-FA86704D3D04}"/>
    <cellStyle name="Normal 5 7 11" xfId="2380" xr:uid="{00000000-0005-0000-0000-0000CD060000}"/>
    <cellStyle name="Normal 5 7 11 2" xfId="9289" xr:uid="{45109F2E-9A02-4A41-AFA4-523188EE71B0}"/>
    <cellStyle name="Normal 5 7 11 2 2" xfId="31864" xr:uid="{3DE381F9-A9D1-4023-8334-AB365E04FF97}"/>
    <cellStyle name="Normal 5 7 11 3" xfId="25733" xr:uid="{1909AECA-4306-4851-9CCD-1131D1B1FF6C}"/>
    <cellStyle name="Normal 5 7 12" xfId="7381" xr:uid="{EBF97766-634B-42BB-B084-6C01401C07A8}"/>
    <cellStyle name="Normal 5 7 12 2" xfId="30066" xr:uid="{0CB0270A-E4CC-4CEC-9F93-B4EA8290E03C}"/>
    <cellStyle name="Normal 5 7 13" xfId="23780" xr:uid="{DEE9B8AB-EABC-4347-8380-B0C714ECB033}"/>
    <cellStyle name="Normal 5 7 2" xfId="404" xr:uid="{00000000-0005-0000-0000-0000D1060000}"/>
    <cellStyle name="Normal 5 7 2 2" xfId="1614" xr:uid="{00000000-0005-0000-0000-0000D2060000}"/>
    <cellStyle name="Normal 5 7 2 2 2" xfId="3715" xr:uid="{00000000-0005-0000-0000-0000D0060000}"/>
    <cellStyle name="Normal 5 7 2 2 2 2" xfId="10619" xr:uid="{654662F2-43D7-4D36-A3B2-301F79A6FEB4}"/>
    <cellStyle name="Normal 5 7 2 2 2 2 2" xfId="33105" xr:uid="{216F1F3D-FE6C-4D35-9960-C16AB06F63BA}"/>
    <cellStyle name="Normal 5 7 2 2 2 3" xfId="26926" xr:uid="{3089AC09-9E17-437C-89B1-60E625FEE771}"/>
    <cellStyle name="Normal 5 7 2 2 3" xfId="8649" xr:uid="{25CE3D54-7E42-47EE-A906-72C350CFF28E}"/>
    <cellStyle name="Normal 5 7 2 2 3 2" xfId="31235" xr:uid="{F29FA5B4-48C0-48AC-8DAD-CDAF37AB4F47}"/>
    <cellStyle name="Normal 5 7 2 2 4" xfId="25035" xr:uid="{975B544E-73EE-424B-B67D-3AD5F707C887}"/>
    <cellStyle name="Normal 5 7 2 3" xfId="2563" xr:uid="{00000000-0005-0000-0000-0000CF060000}"/>
    <cellStyle name="Normal 5 7 2 3 2" xfId="9472" xr:uid="{0A319C99-9ACA-447C-A657-B0E8981EC0E5}"/>
    <cellStyle name="Normal 5 7 2 3 2 2" xfId="32024" xr:uid="{FE5A1D53-D05B-4198-902F-4DC7953D7803}"/>
    <cellStyle name="Normal 5 7 2 3 3" xfId="25888" xr:uid="{B28D7742-C32D-4763-8BFB-F55CCCEFB5B0}"/>
    <cellStyle name="Normal 5 7 2 4" xfId="7567" xr:uid="{252728A9-1F4D-4523-B260-80C9F4ED91D0}"/>
    <cellStyle name="Normal 5 7 2 4 2" xfId="30230" xr:uid="{4A1B3C54-70E0-453E-904D-4873C22DEB03}"/>
    <cellStyle name="Normal 5 7 2 5" xfId="23948" xr:uid="{6A282324-1DD6-4737-BF96-CF12891B332E}"/>
    <cellStyle name="Normal 5 7 3" xfId="561" xr:uid="{00000000-0005-0000-0000-0000D3060000}"/>
    <cellStyle name="Normal 5 7 3 2" xfId="1699" xr:uid="{00000000-0005-0000-0000-0000D4060000}"/>
    <cellStyle name="Normal 5 7 3 2 2" xfId="3797" xr:uid="{00000000-0005-0000-0000-0000D2060000}"/>
    <cellStyle name="Normal 5 7 3 2 2 2" xfId="10701" xr:uid="{ADBB945E-844A-4454-9371-B10529987E54}"/>
    <cellStyle name="Normal 5 7 3 2 2 2 2" xfId="33187" xr:uid="{DEAD066C-9E26-41D4-AA90-70D6CAA68F23}"/>
    <cellStyle name="Normal 5 7 3 2 2 3" xfId="27004" xr:uid="{E3EABF97-0357-4525-98A7-D17811E0F28A}"/>
    <cellStyle name="Normal 5 7 3 2 3" xfId="8714" xr:uid="{89BE82C9-CE5E-4994-91BE-DB28A3B01DAE}"/>
    <cellStyle name="Normal 5 7 3 2 3 2" xfId="31299" xr:uid="{A45569A7-632A-4D18-9661-17D9EE3C2B68}"/>
    <cellStyle name="Normal 5 7 3 2 4" xfId="25114" xr:uid="{94D7D7F7-BB03-4C41-9622-90DF2BEFA8A6}"/>
    <cellStyle name="Normal 5 7 3 3" xfId="2712" xr:uid="{00000000-0005-0000-0000-0000D1060000}"/>
    <cellStyle name="Normal 5 7 3 3 2" xfId="9621" xr:uid="{999EEAD7-643E-4813-BC1E-CB7E1B6E97C2}"/>
    <cellStyle name="Normal 5 7 3 3 2 2" xfId="32169" xr:uid="{836542DD-3CFF-476B-B2D1-4D91E6CC147B}"/>
    <cellStyle name="Normal 5 7 3 3 3" xfId="26021" xr:uid="{E6D87364-8789-48EF-B006-AD44EE22CB50}"/>
    <cellStyle name="Normal 5 7 3 4" xfId="7704" xr:uid="{A2247B16-BDE9-4A38-8B7C-0B8452BFEA75}"/>
    <cellStyle name="Normal 5 7 3 4 2" xfId="30353" xr:uid="{8CA44957-D786-4F17-9EE1-66D90D793E84}"/>
    <cellStyle name="Normal 5 7 3 5" xfId="24087" xr:uid="{6E6F7B45-9AB1-4D28-B02D-EAB613C729E2}"/>
    <cellStyle name="Normal 5 7 4" xfId="800" xr:uid="{00000000-0005-0000-0000-0000D5060000}"/>
    <cellStyle name="Normal 5 7 4 2" xfId="1796" xr:uid="{00000000-0005-0000-0000-0000D6060000}"/>
    <cellStyle name="Normal 5 7 4 2 2" xfId="3894" xr:uid="{00000000-0005-0000-0000-0000D4060000}"/>
    <cellStyle name="Normal 5 7 4 2 2 2" xfId="10798" xr:uid="{66CF4CAF-2474-418B-B792-29F0609FE4B9}"/>
    <cellStyle name="Normal 5 7 4 2 2 2 2" xfId="33284" xr:uid="{87415C95-5473-42C6-819E-DD5477A97DC3}"/>
    <cellStyle name="Normal 5 7 4 2 2 3" xfId="27093" xr:uid="{3B810DB9-19C7-4453-8831-6365B687C9A7}"/>
    <cellStyle name="Normal 5 7 4 2 3" xfId="8796" xr:uid="{E58B17B4-606C-481F-BF4C-BE49510454B4}"/>
    <cellStyle name="Normal 5 7 4 2 3 2" xfId="31379" xr:uid="{23968808-65ED-4D29-86BB-E4F25551D14D}"/>
    <cellStyle name="Normal 5 7 4 2 4" xfId="25202" xr:uid="{9DA74465-9CCA-47F7-84D1-035F08C4CA4C}"/>
    <cellStyle name="Normal 5 7 4 3" xfId="2938" xr:uid="{00000000-0005-0000-0000-0000D3060000}"/>
    <cellStyle name="Normal 5 7 4 3 2" xfId="9847" xr:uid="{A7ACC403-1215-4A9B-B118-BCFE098851DE}"/>
    <cellStyle name="Normal 5 7 4 3 2 2" xfId="32371" xr:uid="{3E93BC76-47EF-4150-AB84-17C1551F2407}"/>
    <cellStyle name="Normal 5 7 4 3 3" xfId="26224" xr:uid="{13D0049D-60F7-4435-ABEF-C1AC6DB4A7CC}"/>
    <cellStyle name="Normal 5 7 4 4" xfId="7921" xr:uid="{92B266BE-C7EC-40B0-8BB6-3B181B1016EF}"/>
    <cellStyle name="Normal 5 7 4 4 2" xfId="30548" xr:uid="{E9A2B35C-8281-40AC-BEF1-916838B03269}"/>
    <cellStyle name="Normal 5 7 4 5" xfId="24297" xr:uid="{C620DF59-DB2F-4536-87DD-EB79A6B5E46B}"/>
    <cellStyle name="Normal 5 7 5" xfId="987" xr:uid="{00000000-0005-0000-0000-0000D7060000}"/>
    <cellStyle name="Normal 5 7 5 2" xfId="1885" xr:uid="{00000000-0005-0000-0000-0000D8060000}"/>
    <cellStyle name="Normal 5 7 5 2 2" xfId="3983" xr:uid="{00000000-0005-0000-0000-0000D6060000}"/>
    <cellStyle name="Normal 5 7 5 2 2 2" xfId="10887" xr:uid="{B428FCDF-0076-4EF9-940E-ED6BE704F5B0}"/>
    <cellStyle name="Normal 5 7 5 2 2 2 2" xfId="33373" xr:uid="{1F4EF03A-9904-4AEE-87AC-10E7FBCC2E9C}"/>
    <cellStyle name="Normal 5 7 5 2 2 3" xfId="27174" xr:uid="{53DF3836-767C-419B-B5A5-44FDA45FFB23}"/>
    <cellStyle name="Normal 5 7 5 2 3" xfId="8868" xr:uid="{E72D7C2F-6337-489A-BE9E-920195AC2271}"/>
    <cellStyle name="Normal 5 7 5 2 3 2" xfId="31449" xr:uid="{66EF0C2C-125D-46AA-A229-DD14CAA43051}"/>
    <cellStyle name="Normal 5 7 5 2 4" xfId="25281" xr:uid="{6F051230-CC49-456A-B02A-88AFC1D6DFE9}"/>
    <cellStyle name="Normal 5 7 5 3" xfId="3116" xr:uid="{00000000-0005-0000-0000-0000D5060000}"/>
    <cellStyle name="Normal 5 7 5 3 2" xfId="10025" xr:uid="{64480C37-898B-4CA0-9D1A-804869525C4A}"/>
    <cellStyle name="Normal 5 7 5 3 2 2" xfId="32533" xr:uid="{B4DF5700-C0F3-4ED0-95C4-BFEBB6C4C365}"/>
    <cellStyle name="Normal 5 7 5 3 3" xfId="26373" xr:uid="{15CB043A-0BB6-41AB-912A-6D58B203F0A7}"/>
    <cellStyle name="Normal 5 7 5 4" xfId="8088" xr:uid="{E1BF3062-E963-49CF-811E-5FA483891993}"/>
    <cellStyle name="Normal 5 7 5 4 2" xfId="30703" xr:uid="{D7E32FFE-FCF8-4FF1-923A-5F03307C5291}"/>
    <cellStyle name="Normal 5 7 5 5" xfId="24464" xr:uid="{49495D6E-5F7A-46C9-9524-B9FD3C0D78B2}"/>
    <cellStyle name="Normal 5 7 6" xfId="1171" xr:uid="{00000000-0005-0000-0000-0000D9060000}"/>
    <cellStyle name="Normal 5 7 6 2" xfId="1980" xr:uid="{00000000-0005-0000-0000-0000DA060000}"/>
    <cellStyle name="Normal 5 7 6 2 2" xfId="4076" xr:uid="{00000000-0005-0000-0000-0000D8060000}"/>
    <cellStyle name="Normal 5 7 6 2 2 2" xfId="10980" xr:uid="{5D1DA19B-21DF-4E4D-A8F7-D66376E25B3D}"/>
    <cellStyle name="Normal 5 7 6 2 2 2 2" xfId="33466" xr:uid="{825528FB-E029-426F-8EF5-4779378AAD10}"/>
    <cellStyle name="Normal 5 7 6 2 2 3" xfId="27261" xr:uid="{BC3E4C26-2CAA-411C-AE76-79D2DDD3D70A}"/>
    <cellStyle name="Normal 5 7 6 2 3" xfId="8938" xr:uid="{5921AC78-2115-4949-B77E-702EACF2B282}"/>
    <cellStyle name="Normal 5 7 6 2 3 2" xfId="31517" xr:uid="{B014564A-B18C-4721-A73C-DC9CBCEACF73}"/>
    <cellStyle name="Normal 5 7 6 2 4" xfId="25366" xr:uid="{2D03EE61-E86C-4FD5-9FF4-6C5CBC78B6D1}"/>
    <cellStyle name="Normal 5 7 6 3" xfId="3289" xr:uid="{00000000-0005-0000-0000-0000D7060000}"/>
    <cellStyle name="Normal 5 7 6 3 2" xfId="10197" xr:uid="{B3B70F17-4298-46DA-8524-4F75AB9B5F5E}"/>
    <cellStyle name="Normal 5 7 6 3 2 2" xfId="32692" xr:uid="{C4CF68FE-8500-49A0-9BF6-83AB326557F4}"/>
    <cellStyle name="Normal 5 7 6 3 3" xfId="26525" xr:uid="{7FF75B8C-8CF1-44DA-918B-697423E2687D}"/>
    <cellStyle name="Normal 5 7 6 4" xfId="8253" xr:uid="{89DA2C72-8D00-4B07-99A1-D7A94564CFE4}"/>
    <cellStyle name="Normal 5 7 6 4 2" xfId="30857" xr:uid="{615C3F6B-8AC0-4BB2-B247-A1874F56A80E}"/>
    <cellStyle name="Normal 5 7 6 5" xfId="24623" xr:uid="{CB5D25B1-CE38-4857-8EB9-C626877D5B33}"/>
    <cellStyle name="Normal 5 7 7" xfId="1337" xr:uid="{00000000-0005-0000-0000-0000DB060000}"/>
    <cellStyle name="Normal 5 7 7 2" xfId="2070" xr:uid="{00000000-0005-0000-0000-0000DC060000}"/>
    <cellStyle name="Normal 5 7 7 2 2" xfId="4165" xr:uid="{00000000-0005-0000-0000-0000DA060000}"/>
    <cellStyle name="Normal 5 7 7 2 2 2" xfId="11069" xr:uid="{94E8BDA9-26B7-49AE-A822-F561324AA54F}"/>
    <cellStyle name="Normal 5 7 7 2 2 2 2" xfId="33555" xr:uid="{ED09D8FD-BD42-43E3-8EDC-90A24486FC70}"/>
    <cellStyle name="Normal 5 7 7 2 2 3" xfId="27343" xr:uid="{E1BD7D07-8025-4BB3-B703-7E7025E920A2}"/>
    <cellStyle name="Normal 5 7 7 2 3" xfId="9009" xr:uid="{8AEC5F5B-09CF-4F3F-8FAE-0E81986568DD}"/>
    <cellStyle name="Normal 5 7 7 2 3 2" xfId="31587" xr:uid="{DD34B66C-2388-4CD4-B6B9-969A1E0B07B9}"/>
    <cellStyle name="Normal 5 7 7 2 4" xfId="25450" xr:uid="{C8888709-61BE-4CF2-A7A3-0CC60FD32573}"/>
    <cellStyle name="Normal 5 7 7 3" xfId="3445" xr:uid="{00000000-0005-0000-0000-0000D9060000}"/>
    <cellStyle name="Normal 5 7 7 3 2" xfId="10353" xr:uid="{1F4D7745-35B6-432C-966A-B9F893C79165}"/>
    <cellStyle name="Normal 5 7 7 3 2 2" xfId="32840" xr:uid="{C499A6A0-1587-492A-B1FC-BB2B22FC7F2B}"/>
    <cellStyle name="Normal 5 7 7 3 3" xfId="26666" xr:uid="{E1C3010E-E388-4EB4-A128-C900352F2EDE}"/>
    <cellStyle name="Normal 5 7 7 4" xfId="8403" xr:uid="{F8A0BC84-4E79-4D33-B963-A99A3A782887}"/>
    <cellStyle name="Normal 5 7 7 4 2" xfId="30991" xr:uid="{FFC749F2-CE17-4771-8BB2-A9974A863C86}"/>
    <cellStyle name="Normal 5 7 7 5" xfId="24765" xr:uid="{F11EECE7-15E6-425E-9FDB-7DE734EE9CA2}"/>
    <cellStyle name="Normal 5 7 8" xfId="1437" xr:uid="{00000000-0005-0000-0000-0000DD060000}"/>
    <cellStyle name="Normal 5 7 8 2" xfId="2165" xr:uid="{00000000-0005-0000-0000-0000DE060000}"/>
    <cellStyle name="Normal 5 7 8 2 2" xfId="4258" xr:uid="{00000000-0005-0000-0000-0000DC060000}"/>
    <cellStyle name="Normal 5 7 8 2 2 2" xfId="11162" xr:uid="{DAAA8A3F-FF7E-4268-A009-11C7C2787FF1}"/>
    <cellStyle name="Normal 5 7 8 2 2 2 2" xfId="33648" xr:uid="{258BFACF-9530-45E3-B43B-3360340B0D5E}"/>
    <cellStyle name="Normal 5 7 8 2 2 3" xfId="27430" xr:uid="{B83E0901-A1F9-4A43-8102-5975A6583AC6}"/>
    <cellStyle name="Normal 5 7 8 2 3" xfId="9082" xr:uid="{29A04D2D-942E-431D-841C-BAD6C00C7366}"/>
    <cellStyle name="Normal 5 7 8 2 3 2" xfId="31658" xr:uid="{FDFA4226-6B67-4E2D-85EA-A4176FFD4BED}"/>
    <cellStyle name="Normal 5 7 8 2 4" xfId="25535" xr:uid="{3E578478-09FD-4FC8-ADD1-44FE69E41791}"/>
    <cellStyle name="Normal 5 7 8 3" xfId="3538" xr:uid="{00000000-0005-0000-0000-0000DB060000}"/>
    <cellStyle name="Normal 5 7 8 3 2" xfId="10444" xr:uid="{758A0BAE-095A-4093-AD65-537CAC2863D2}"/>
    <cellStyle name="Normal 5 7 8 3 2 2" xfId="32931" xr:uid="{07FD5199-5EE5-4A23-A17D-198309D3D74B}"/>
    <cellStyle name="Normal 5 7 8 3 3" xfId="26751" xr:uid="{27B407C6-B658-4999-BAEA-166A23293BAA}"/>
    <cellStyle name="Normal 5 7 8 4" xfId="8480" xr:uid="{CEBCEE88-5A75-4E73-84DE-F6D15A214BF9}"/>
    <cellStyle name="Normal 5 7 8 4 2" xfId="31067" xr:uid="{D652E446-FD44-4A40-B38E-82CD291D5686}"/>
    <cellStyle name="Normal 5 7 8 5" xfId="24860" xr:uid="{F2683884-D3F1-4046-B1EF-25CB4033D1E4}"/>
    <cellStyle name="Normal 5 7 9" xfId="1500" xr:uid="{00000000-0005-0000-0000-0000DF060000}"/>
    <cellStyle name="Normal 5 7 9 2" xfId="2227" xr:uid="{00000000-0005-0000-0000-0000E0060000}"/>
    <cellStyle name="Normal 5 7 9 2 2" xfId="4320" xr:uid="{00000000-0005-0000-0000-0000DE060000}"/>
    <cellStyle name="Normal 5 7 9 2 2 2" xfId="11224" xr:uid="{E23EED6A-EAD4-4BEC-9A9A-B6B1D5961C90}"/>
    <cellStyle name="Normal 5 7 9 2 2 2 2" xfId="33710" xr:uid="{38690228-5670-4139-B50F-B684FF6EFE40}"/>
    <cellStyle name="Normal 5 7 9 2 2 3" xfId="27492" xr:uid="{73C8149E-4F88-4415-BF8C-4D5B1DFE8E66}"/>
    <cellStyle name="Normal 5 7 9 2 3" xfId="9140" xr:uid="{8CFBF182-271A-4998-AE91-FF2C497E0676}"/>
    <cellStyle name="Normal 5 7 9 2 3 2" xfId="31716" xr:uid="{9E73D67E-85C2-4159-A0F3-2795447F3086}"/>
    <cellStyle name="Normal 5 7 9 2 4" xfId="25595" xr:uid="{85CAE004-E86C-4493-9996-CC59E79022F7}"/>
    <cellStyle name="Normal 5 7 9 3" xfId="3601" xr:uid="{00000000-0005-0000-0000-0000DD060000}"/>
    <cellStyle name="Normal 5 7 9 3 2" xfId="10506" xr:uid="{A3B632C1-E613-4D7E-9C28-5C0C39905C99}"/>
    <cellStyle name="Normal 5 7 9 3 2 2" xfId="32993" xr:uid="{8FE610CE-60AD-4A16-AA85-6B632232310B}"/>
    <cellStyle name="Normal 5 7 9 3 3" xfId="26814" xr:uid="{7D360FE0-80FD-4358-B500-FD6C331DA072}"/>
    <cellStyle name="Normal 5 7 9 4" xfId="8542" xr:uid="{3FD4C3C3-3851-417E-802A-B11FE5354C18}"/>
    <cellStyle name="Normal 5 7 9 4 2" xfId="31129" xr:uid="{49EEFD86-2866-4A5F-A43D-32FC77BD722B}"/>
    <cellStyle name="Normal 5 7 9 5" xfId="24922" xr:uid="{B83F6186-C84A-4E9D-8200-B6DAF14B05E4}"/>
    <cellStyle name="Normal 5 8" xfId="267" xr:uid="{00000000-0005-0000-0000-0000E1060000}"/>
    <cellStyle name="Normal 5 8 2" xfId="1571" xr:uid="{00000000-0005-0000-0000-0000E2060000}"/>
    <cellStyle name="Normal 5 8 2 2" xfId="3672" xr:uid="{00000000-0005-0000-0000-0000E0060000}"/>
    <cellStyle name="Normal 5 8 2 2 2" xfId="10576" xr:uid="{871870A2-58CE-4DB8-A73A-591ABBCA5BF1}"/>
    <cellStyle name="Normal 5 8 2 2 2 2" xfId="33062" xr:uid="{6C85C7F2-76E6-4D30-A542-353F47DF68D3}"/>
    <cellStyle name="Normal 5 8 2 2 3" xfId="26883" xr:uid="{27D1223E-A03C-4A99-BB58-A59538A15DDC}"/>
    <cellStyle name="Normal 5 8 2 3" xfId="8608" xr:uid="{581C8A53-694F-4722-9ACA-AA717E8F85A2}"/>
    <cellStyle name="Normal 5 8 2 3 2" xfId="31195" xr:uid="{716647D2-25CE-4DAC-9BCA-B96422FE0288}"/>
    <cellStyle name="Normal 5 8 2 4" xfId="24993" xr:uid="{41BFAF48-7369-4760-BF4F-FFCD234E2914}"/>
    <cellStyle name="Normal 5 8 3" xfId="2431" xr:uid="{00000000-0005-0000-0000-0000DF060000}"/>
    <cellStyle name="Normal 5 8 3 2" xfId="9340" xr:uid="{5F5793F7-04EF-4811-8D7B-1E46C3B2FF14}"/>
    <cellStyle name="Normal 5 8 3 2 2" xfId="31909" xr:uid="{ABE61FE2-BD42-4DB0-8871-DC4C50EC4E60}"/>
    <cellStyle name="Normal 5 8 3 3" xfId="25776" xr:uid="{D96A31E4-442D-4EC3-9720-5E6586BA4F7F}"/>
    <cellStyle name="Normal 5 8 4" xfId="7435" xr:uid="{DC0E2AD7-07C7-4F8B-B18D-19F46EB5C8F4}"/>
    <cellStyle name="Normal 5 8 4 2" xfId="30112" xr:uid="{818B11AF-3C04-467C-B6B6-79E1D16A5ADB}"/>
    <cellStyle name="Normal 5 8 5" xfId="23829" xr:uid="{F8245B84-D24C-4693-857D-CF0C6E87D908}"/>
    <cellStyle name="Normal 5 9" xfId="228" xr:uid="{00000000-0005-0000-0000-0000E3060000}"/>
    <cellStyle name="Normal 5_Handbook" xfId="2236" xr:uid="{00000000-0005-0000-0000-0000E4060000}"/>
    <cellStyle name="Normal 6" xfId="88" xr:uid="{00000000-0005-0000-0000-0000E5060000}"/>
    <cellStyle name="Normal 6 10" xfId="213" xr:uid="{00000000-0005-0000-0000-0000E6060000}"/>
    <cellStyle name="Normal 6 11" xfId="296" xr:uid="{00000000-0005-0000-0000-0000E7060000}"/>
    <cellStyle name="Normal 6 11 2" xfId="1581" xr:uid="{00000000-0005-0000-0000-0000E8060000}"/>
    <cellStyle name="Normal 6 11 2 2" xfId="3682" xr:uid="{00000000-0005-0000-0000-0000E6060000}"/>
    <cellStyle name="Normal 6 11 2 2 2" xfId="10586" xr:uid="{CD9DE45C-EA80-4374-8147-1A884BB0ACC4}"/>
    <cellStyle name="Normal 6 11 2 2 2 2" xfId="33072" xr:uid="{BF1682A1-64DB-45C6-B25B-4D221B1783C5}"/>
    <cellStyle name="Normal 6 11 2 2 3" xfId="26893" xr:uid="{BCE5F8FB-2856-44A0-AF8F-EFFD83918A77}"/>
    <cellStyle name="Normal 6 11 2 3" xfId="8616" xr:uid="{2DBC1FD5-7C1C-4B8A-929A-28A1229C609A}"/>
    <cellStyle name="Normal 6 11 2 3 2" xfId="31202" xr:uid="{E34D4297-B0AD-421C-ABC1-064DCC3C52F8}"/>
    <cellStyle name="Normal 6 11 2 4" xfId="25002" xr:uid="{CD0A231E-5F50-4A5A-AF3A-B4D1B9FA5F8A}"/>
    <cellStyle name="Normal 6 11 3" xfId="2460" xr:uid="{00000000-0005-0000-0000-0000E5060000}"/>
    <cellStyle name="Normal 6 11 3 2" xfId="9369" xr:uid="{8097F2D6-011D-4A58-8A6B-E8322E76AB12}"/>
    <cellStyle name="Normal 6 11 3 2 2" xfId="31934" xr:uid="{1D592AF2-3ED8-4894-8BDB-401DDDF2C4D7}"/>
    <cellStyle name="Normal 6 11 3 3" xfId="25800" xr:uid="{27CA4824-43EB-4D49-82F8-B8EB736E8315}"/>
    <cellStyle name="Normal 6 11 4" xfId="7461" xr:uid="{8B25ADDA-84E7-469C-944A-29C154C97080}"/>
    <cellStyle name="Normal 6 11 4 2" xfId="30132" xr:uid="{8131023C-9877-4F2B-A41B-AACC64CD8487}"/>
    <cellStyle name="Normal 6 11 5" xfId="23855" xr:uid="{5ACEA785-CA08-4410-9325-515A6F0947DA}"/>
    <cellStyle name="Normal 6 12" xfId="461" xr:uid="{00000000-0005-0000-0000-0000E9060000}"/>
    <cellStyle name="Normal 6 12 2" xfId="1666" xr:uid="{00000000-0005-0000-0000-0000EA060000}"/>
    <cellStyle name="Normal 6 12 2 2" xfId="3764" xr:uid="{00000000-0005-0000-0000-0000E8060000}"/>
    <cellStyle name="Normal 6 12 2 2 2" xfId="10668" xr:uid="{9E0A3FF8-AAD7-45F5-A2CD-0534C4102225}"/>
    <cellStyle name="Normal 6 12 2 2 2 2" xfId="33154" xr:uid="{2DCE7D39-EC61-490D-8C56-86849FE81600}"/>
    <cellStyle name="Normal 6 12 2 2 3" xfId="26971" xr:uid="{4A1C744F-10A5-4160-9E4D-86E7D34AE5DB}"/>
    <cellStyle name="Normal 6 12 2 3" xfId="8681" xr:uid="{EDFE2233-C489-4AD7-A5CF-7D7CEC40AAEC}"/>
    <cellStyle name="Normal 6 12 2 3 2" xfId="31266" xr:uid="{BD514FBB-745F-4A5F-8E06-026B268C8B71}"/>
    <cellStyle name="Normal 6 12 2 4" xfId="25081" xr:uid="{3866B7C5-E5A3-4453-B82E-98B258159EF2}"/>
    <cellStyle name="Normal 6 12 3" xfId="2613" xr:uid="{00000000-0005-0000-0000-0000E7060000}"/>
    <cellStyle name="Normal 6 12 3 2" xfId="9522" xr:uid="{EBB8F63A-A1A6-49C8-935F-E090246E830D}"/>
    <cellStyle name="Normal 6 12 3 2 2" xfId="32074" xr:uid="{D12B042F-8859-4519-B39E-6DD48D391534}"/>
    <cellStyle name="Normal 6 12 3 3" xfId="25934" xr:uid="{E0EA9DED-CD8D-460A-8485-66A724E7DB71}"/>
    <cellStyle name="Normal 6 12 4" xfId="7607" xr:uid="{21555CF2-7FB6-4303-8191-FE93937629D7}"/>
    <cellStyle name="Normal 6 12 4 2" xfId="30268" xr:uid="{76A33661-2700-46E9-B992-AB2D652F4DEC}"/>
    <cellStyle name="Normal 6 12 5" xfId="23996" xr:uid="{3A2CB34F-97AF-47FF-B6B8-F9B61E85712E}"/>
    <cellStyle name="Normal 6 13" xfId="685" xr:uid="{00000000-0005-0000-0000-0000EB060000}"/>
    <cellStyle name="Normal 6 13 2" xfId="1763" xr:uid="{00000000-0005-0000-0000-0000EC060000}"/>
    <cellStyle name="Normal 6 13 2 2" xfId="3861" xr:uid="{00000000-0005-0000-0000-0000EA060000}"/>
    <cellStyle name="Normal 6 13 2 2 2" xfId="10765" xr:uid="{8498C7BE-4135-401A-8FAB-73E446AAD0F5}"/>
    <cellStyle name="Normal 6 13 2 2 2 2" xfId="33251" xr:uid="{1BBECA80-84ED-40E5-875B-E7D77B5B6148}"/>
    <cellStyle name="Normal 6 13 2 2 3" xfId="27060" xr:uid="{BDD1A3F2-9BCF-49B3-A3AE-ACAD626FE307}"/>
    <cellStyle name="Normal 6 13 2 3" xfId="8763" xr:uid="{AC1AB3AD-CF3A-46F5-823A-1FA86DAF855F}"/>
    <cellStyle name="Normal 6 13 2 3 2" xfId="31346" xr:uid="{9634CF9F-A519-4268-925F-308912BC5991}"/>
    <cellStyle name="Normal 6 13 2 4" xfId="25169" xr:uid="{35B70F57-C7F9-45E0-96A2-423BC8996366}"/>
    <cellStyle name="Normal 6 13 3" xfId="2827" xr:uid="{00000000-0005-0000-0000-0000E9060000}"/>
    <cellStyle name="Normal 6 13 3 2" xfId="9736" xr:uid="{3CD22654-E800-49CB-84FD-F937F68BD35A}"/>
    <cellStyle name="Normal 6 13 3 2 2" xfId="32274" xr:uid="{4234550F-764D-4EC0-888A-BCCC9EC6DEEA}"/>
    <cellStyle name="Normal 6 13 3 3" xfId="26122" xr:uid="{71166BAF-8DC4-4C80-AD1F-30FBEB27A7EA}"/>
    <cellStyle name="Normal 6 13 4" xfId="7809" xr:uid="{359993D5-5695-4B2F-83EC-02C1C86752FE}"/>
    <cellStyle name="Normal 6 13 4 2" xfId="30445" xr:uid="{69FFCB8F-6D46-4F38-9ADA-B2A8EB03988D}"/>
    <cellStyle name="Normal 6 13 5" xfId="24196" xr:uid="{0B417362-A02C-4250-9874-B857191E7EA1}"/>
    <cellStyle name="Normal 6 14" xfId="877" xr:uid="{00000000-0005-0000-0000-0000ED060000}"/>
    <cellStyle name="Normal 6 14 2" xfId="1852" xr:uid="{00000000-0005-0000-0000-0000EE060000}"/>
    <cellStyle name="Normal 6 14 2 2" xfId="3950" xr:uid="{00000000-0005-0000-0000-0000EC060000}"/>
    <cellStyle name="Normal 6 14 2 2 2" xfId="10854" xr:uid="{D8E2382B-E030-48E1-B4C0-21078505DA0D}"/>
    <cellStyle name="Normal 6 14 2 2 2 2" xfId="33340" xr:uid="{A65E95A7-D43F-4483-9C2F-200EC6F47F2B}"/>
    <cellStyle name="Normal 6 14 2 2 3" xfId="27141" xr:uid="{2B15397F-2189-4368-85C4-2FE6ED922CC8}"/>
    <cellStyle name="Normal 6 14 2 3" xfId="8835" xr:uid="{A3B8F8FA-48A5-4005-A1A5-FAFD852FA2F4}"/>
    <cellStyle name="Normal 6 14 2 3 2" xfId="31416" xr:uid="{9BF99704-D9B2-4AFF-B9C4-19FE425FE276}"/>
    <cellStyle name="Normal 6 14 2 4" xfId="25248" xr:uid="{7EAE4231-8658-4B76-9D59-B1830B3F9885}"/>
    <cellStyle name="Normal 6 14 3" xfId="3007" xr:uid="{00000000-0005-0000-0000-0000EB060000}"/>
    <cellStyle name="Normal 6 14 3 2" xfId="9916" xr:uid="{926D9056-C191-4C86-9597-24FD5038C4C5}"/>
    <cellStyle name="Normal 6 14 3 2 2" xfId="32437" xr:uid="{6D4FB818-5009-46F9-BB3C-8828E78DDC27}"/>
    <cellStyle name="Normal 6 14 3 3" xfId="26275" xr:uid="{3F2C5B85-BBBB-4A72-AE50-F909823ADA01}"/>
    <cellStyle name="Normal 6 14 4" xfId="7980" xr:uid="{F6030E56-0BDE-4174-8BED-15D392055938}"/>
    <cellStyle name="Normal 6 14 4 2" xfId="30602" xr:uid="{C49982B1-DC34-49FD-AA81-5EA4309A6005}"/>
    <cellStyle name="Normal 6 14 5" xfId="24361" xr:uid="{6F82D7F5-C54C-45A5-A5F4-BCE0E027B537}"/>
    <cellStyle name="Normal 6 15" xfId="1058" xr:uid="{00000000-0005-0000-0000-0000EF060000}"/>
    <cellStyle name="Normal 6 15 2" xfId="1947" xr:uid="{00000000-0005-0000-0000-0000F0060000}"/>
    <cellStyle name="Normal 6 15 2 2" xfId="4043" xr:uid="{00000000-0005-0000-0000-0000EE060000}"/>
    <cellStyle name="Normal 6 15 2 2 2" xfId="10947" xr:uid="{63BDB8C4-48D2-4CBF-AE80-8D931C9BA775}"/>
    <cellStyle name="Normal 6 15 2 2 2 2" xfId="33433" xr:uid="{A56BCB72-04B6-4C66-B57E-BAB600A22A44}"/>
    <cellStyle name="Normal 6 15 2 2 3" xfId="27228" xr:uid="{65947869-B182-40A5-ACFD-8ABFDB5BE720}"/>
    <cellStyle name="Normal 6 15 2 3" xfId="8905" xr:uid="{E5E7F1EB-3627-4B1B-BF13-8C9CED194FF7}"/>
    <cellStyle name="Normal 6 15 2 3 2" xfId="31484" xr:uid="{E4B67B0B-DEFB-4AAA-8F8D-CB71BDF12D28}"/>
    <cellStyle name="Normal 6 15 2 4" xfId="25333" xr:uid="{3E377AAC-E6E5-4418-BFFF-5C708AF7D35F}"/>
    <cellStyle name="Normal 6 15 3" xfId="3178" xr:uid="{00000000-0005-0000-0000-0000ED060000}"/>
    <cellStyle name="Normal 6 15 3 2" xfId="10087" xr:uid="{4D7DF265-F94D-4318-B848-3595B50290B2}"/>
    <cellStyle name="Normal 6 15 3 2 2" xfId="32594" xr:uid="{5C62AB9E-134E-4C0D-AD65-FC07A586582B}"/>
    <cellStyle name="Normal 6 15 3 3" xfId="26427" xr:uid="{E451785B-1806-4443-96F7-1ED4A3471D91}"/>
    <cellStyle name="Normal 6 15 4" xfId="8141" xr:uid="{1127734E-6747-4B65-90E6-525D35476B9F}"/>
    <cellStyle name="Normal 6 15 4 2" xfId="30753" xr:uid="{788F8C51-8F4C-4E5D-B33A-9556F4397E1E}"/>
    <cellStyle name="Normal 6 15 5" xfId="24525" xr:uid="{E32374EB-4B7D-4DB6-A576-B2DEDFB41F1C}"/>
    <cellStyle name="Normal 6 16" xfId="1237" xr:uid="{00000000-0005-0000-0000-0000F1060000}"/>
    <cellStyle name="Normal 6 16 2" xfId="2037" xr:uid="{00000000-0005-0000-0000-0000F2060000}"/>
    <cellStyle name="Normal 6 16 2 2" xfId="4132" xr:uid="{00000000-0005-0000-0000-0000F0060000}"/>
    <cellStyle name="Normal 6 16 2 2 2" xfId="11036" xr:uid="{F7365D0C-7F3C-47BA-A8B7-7E1F0459D1EE}"/>
    <cellStyle name="Normal 6 16 2 2 2 2" xfId="33522" xr:uid="{72BF334A-A63A-4DD8-8919-0CA4401DC0F7}"/>
    <cellStyle name="Normal 6 16 2 2 3" xfId="27310" xr:uid="{FF7BD177-EE3E-4B10-8DC7-D8C469BF4CDE}"/>
    <cellStyle name="Normal 6 16 2 3" xfId="8976" xr:uid="{E7881D09-AEFD-44D5-91A8-D71CF965E0CC}"/>
    <cellStyle name="Normal 6 16 2 3 2" xfId="31554" xr:uid="{011D1824-C6B5-4BF1-9886-E71A0FA544B8}"/>
    <cellStyle name="Normal 6 16 2 4" xfId="25417" xr:uid="{8CB0D45B-CD7E-4ADD-BA2F-EA5481957DD0}"/>
    <cellStyle name="Normal 6 16 3" xfId="3347" xr:uid="{00000000-0005-0000-0000-0000EF060000}"/>
    <cellStyle name="Normal 6 16 3 2" xfId="10255" xr:uid="{5C322912-6D40-4499-9108-C0C0D4672FB2}"/>
    <cellStyle name="Normal 6 16 3 2 2" xfId="32749" xr:uid="{F54B67DF-FA9E-456D-A863-F49699E8924D}"/>
    <cellStyle name="Normal 6 16 3 3" xfId="26576" xr:uid="{54DABF75-C5FF-49CB-BA96-2C780BBE2F7A}"/>
    <cellStyle name="Normal 6 16 4" xfId="8305" xr:uid="{09221DD8-D255-4A49-B46D-00C383BB2BD8}"/>
    <cellStyle name="Normal 6 16 4 2" xfId="30904" xr:uid="{CC8241EF-5BF9-4F0F-89EC-FAABC737B29A}"/>
    <cellStyle name="Normal 6 16 5" xfId="24678" xr:uid="{1E27B58F-8DDA-4CDD-979A-5F61B8E865B8}"/>
    <cellStyle name="Normal 6 17" xfId="1436" xr:uid="{00000000-0005-0000-0000-0000F3060000}"/>
    <cellStyle name="Normal 6 17 2" xfId="2164" xr:uid="{00000000-0005-0000-0000-0000F4060000}"/>
    <cellStyle name="Normal 6 17 2 2" xfId="4257" xr:uid="{00000000-0005-0000-0000-0000F2060000}"/>
    <cellStyle name="Normal 6 17 2 2 2" xfId="11161" xr:uid="{8ED7578C-CC3B-457B-A23B-DD796CD1D03F}"/>
    <cellStyle name="Normal 6 17 2 2 2 2" xfId="33647" xr:uid="{4810DDD4-6BA4-4F37-9BCF-9C669981C161}"/>
    <cellStyle name="Normal 6 17 2 2 3" xfId="27429" xr:uid="{42DEBA77-8BE7-4779-9514-F454AD18816A}"/>
    <cellStyle name="Normal 6 17 2 3" xfId="9081" xr:uid="{9B58939A-A177-49C4-8854-9CE479ED1DF0}"/>
    <cellStyle name="Normal 6 17 2 3 2" xfId="31657" xr:uid="{9D12590B-85C5-4B88-A883-4073E46F0AA4}"/>
    <cellStyle name="Normal 6 17 2 4" xfId="25534" xr:uid="{2574E698-5663-4D25-8B6E-3223E22E01F6}"/>
    <cellStyle name="Normal 6 17 3" xfId="3537" xr:uid="{00000000-0005-0000-0000-0000F1060000}"/>
    <cellStyle name="Normal 6 17 3 2" xfId="10443" xr:uid="{5FFAC7CA-EE1A-4869-9E29-578763A91BAF}"/>
    <cellStyle name="Normal 6 17 3 2 2" xfId="32930" xr:uid="{F64185C6-AABE-45C1-91E8-3270AF482F18}"/>
    <cellStyle name="Normal 6 17 3 3" xfId="26750" xr:uid="{14138805-DB0B-48A7-B5A9-6CDE5C449F58}"/>
    <cellStyle name="Normal 6 17 4" xfId="8479" xr:uid="{A495FB67-1D85-4E31-929D-E5D976EAFCAC}"/>
    <cellStyle name="Normal 6 17 4 2" xfId="31066" xr:uid="{2196E74B-455D-4841-97A6-A16865ECDF5D}"/>
    <cellStyle name="Normal 6 17 5" xfId="24859" xr:uid="{AAA876C7-31B6-4261-97CD-669D5D4F00FB}"/>
    <cellStyle name="Normal 6 18" xfId="1467" xr:uid="{00000000-0005-0000-0000-0000F5060000}"/>
    <cellStyle name="Normal 6 18 2" xfId="2194" xr:uid="{00000000-0005-0000-0000-0000F6060000}"/>
    <cellStyle name="Normal 6 18 2 2" xfId="4287" xr:uid="{00000000-0005-0000-0000-0000F4060000}"/>
    <cellStyle name="Normal 6 18 2 2 2" xfId="11191" xr:uid="{774524B1-5113-4156-A907-252AC77BD8E3}"/>
    <cellStyle name="Normal 6 18 2 2 2 2" xfId="33677" xr:uid="{E4AE9021-2589-4BE7-BB9C-CC970FF3A615}"/>
    <cellStyle name="Normal 6 18 2 2 3" xfId="27459" xr:uid="{C24DF970-1717-41F2-9F3E-AAA2EC2AB3C8}"/>
    <cellStyle name="Normal 6 18 2 3" xfId="9107" xr:uid="{E9D0C295-BFDE-4CC0-81F0-29FF6CF082B5}"/>
    <cellStyle name="Normal 6 18 2 3 2" xfId="31683" xr:uid="{02683555-A219-4A36-AF63-5DD07F7C1C59}"/>
    <cellStyle name="Normal 6 18 2 4" xfId="25562" xr:uid="{03469949-E893-4134-B4FE-AB928C9CCED4}"/>
    <cellStyle name="Normal 6 18 3" xfId="3568" xr:uid="{00000000-0005-0000-0000-0000F3060000}"/>
    <cellStyle name="Normal 6 18 3 2" xfId="10473" xr:uid="{48F59E60-2907-4708-9854-577C5C9C51CD}"/>
    <cellStyle name="Normal 6 18 3 2 2" xfId="32960" xr:uid="{6BBB44E6-DB7B-4674-BF39-9047FD340DF9}"/>
    <cellStyle name="Normal 6 18 3 3" xfId="26781" xr:uid="{C90C96F5-1D48-439E-8567-9C0F63F5472E}"/>
    <cellStyle name="Normal 6 18 4" xfId="8509" xr:uid="{EB609ADF-16C7-4C09-8856-17F92DEBB90B}"/>
    <cellStyle name="Normal 6 18 4 2" xfId="31096" xr:uid="{71F4D804-A77E-4DA7-919D-1E069929066D}"/>
    <cellStyle name="Normal 6 18 5" xfId="24889" xr:uid="{11BCFB76-3114-4206-B56A-318681D0C0FF}"/>
    <cellStyle name="Normal 6 19" xfId="1525" xr:uid="{00000000-0005-0000-0000-0000F7060000}"/>
    <cellStyle name="Normal 6 19 2" xfId="3626" xr:uid="{00000000-0005-0000-0000-0000F5060000}"/>
    <cellStyle name="Normal 6 19 2 2" xfId="10530" xr:uid="{8AE6E447-14C7-4083-8F1F-05E855697DDD}"/>
    <cellStyle name="Normal 6 19 2 2 2" xfId="33016" xr:uid="{4BC12245-1641-487E-ABF2-7700DD060181}"/>
    <cellStyle name="Normal 6 19 2 3" xfId="26837" xr:uid="{0A6B103D-D5D3-407F-AE9E-17B6FB41A341}"/>
    <cellStyle name="Normal 6 19 3" xfId="8562" xr:uid="{64FF5A14-F350-4E25-BBA1-E163E80084E2}"/>
    <cellStyle name="Normal 6 19 3 2" xfId="31149" xr:uid="{68CA1C17-253D-4B60-890F-D798E20C2C52}"/>
    <cellStyle name="Normal 6 19 4" xfId="24947" xr:uid="{CCB06C8E-90D6-4AF8-9FB7-EAC0A2FB2933}"/>
    <cellStyle name="Normal 6 2" xfId="100" xr:uid="{00000000-0005-0000-0000-0000F8060000}"/>
    <cellStyle name="Normal 6 2 2" xfId="307" xr:uid="{00000000-0005-0000-0000-0000F9060000}"/>
    <cellStyle name="Normal 6 2 3" xfId="472" xr:uid="{00000000-0005-0000-0000-0000FA060000}"/>
    <cellStyle name="Normal 6 2 4" xfId="696" xr:uid="{00000000-0005-0000-0000-0000FB060000}"/>
    <cellStyle name="Normal 6 2 5" xfId="888" xr:uid="{00000000-0005-0000-0000-0000FC060000}"/>
    <cellStyle name="Normal 6 2 6" xfId="1070" xr:uid="{00000000-0005-0000-0000-0000FD060000}"/>
    <cellStyle name="Normal 6 2 7" xfId="1248" xr:uid="{00000000-0005-0000-0000-0000FE060000}"/>
    <cellStyle name="Normal 6 20" xfId="2301" xr:uid="{00000000-0005-0000-0000-0000E3060000}"/>
    <cellStyle name="Normal 6 20 2" xfId="9211" xr:uid="{B344932A-004F-47A9-8ABF-E96FEB7D6732}"/>
    <cellStyle name="Normal 6 20 2 2" xfId="31786" xr:uid="{F90C9B9B-2893-4A8F-AC91-DFF5AF484FAB}"/>
    <cellStyle name="Normal 6 20 3" xfId="25665" xr:uid="{F24E07FB-06DA-4CEE-BA07-6912FC8744DC}"/>
    <cellStyle name="Normal 6 21" xfId="7294" xr:uid="{3223AE97-008C-4C23-B566-F21C4A75BB88}"/>
    <cellStyle name="Normal 6 21 2" xfId="29982" xr:uid="{A59E29C9-E8A5-4E5E-9A57-80351BEAB8EA}"/>
    <cellStyle name="Normal 6 22" xfId="23674" xr:uid="{3820AC7A-9243-4651-9B04-CE70306A00D1}"/>
    <cellStyle name="Normal 6 3" xfId="105" xr:uid="{00000000-0005-0000-0000-0000FF060000}"/>
    <cellStyle name="Normal 6 3 2" xfId="312" xr:uid="{00000000-0005-0000-0000-000000070000}"/>
    <cellStyle name="Normal 6 3 3" xfId="477" xr:uid="{00000000-0005-0000-0000-000001070000}"/>
    <cellStyle name="Normal 6 3 4" xfId="701" xr:uid="{00000000-0005-0000-0000-000002070000}"/>
    <cellStyle name="Normal 6 3 5" xfId="893" xr:uid="{00000000-0005-0000-0000-000003070000}"/>
    <cellStyle name="Normal 6 3 6" xfId="1075" xr:uid="{00000000-0005-0000-0000-000004070000}"/>
    <cellStyle name="Normal 6 3 7" xfId="1253" xr:uid="{00000000-0005-0000-0000-000005070000}"/>
    <cellStyle name="Normal 6 4" xfId="101" xr:uid="{00000000-0005-0000-0000-000006070000}"/>
    <cellStyle name="Normal 6 4 2" xfId="308" xr:uid="{00000000-0005-0000-0000-000007070000}"/>
    <cellStyle name="Normal 6 4 3" xfId="473" xr:uid="{00000000-0005-0000-0000-000008070000}"/>
    <cellStyle name="Normal 6 4 4" xfId="697" xr:uid="{00000000-0005-0000-0000-000009070000}"/>
    <cellStyle name="Normal 6 4 5" xfId="889" xr:uid="{00000000-0005-0000-0000-00000A070000}"/>
    <cellStyle name="Normal 6 4 6" xfId="1071" xr:uid="{00000000-0005-0000-0000-00000B070000}"/>
    <cellStyle name="Normal 6 4 7" xfId="1249" xr:uid="{00000000-0005-0000-0000-00000C070000}"/>
    <cellStyle name="Normal 6 5" xfId="104" xr:uid="{00000000-0005-0000-0000-00000D070000}"/>
    <cellStyle name="Normal 6 5 2" xfId="311" xr:uid="{00000000-0005-0000-0000-00000E070000}"/>
    <cellStyle name="Normal 6 5 3" xfId="476" xr:uid="{00000000-0005-0000-0000-00000F070000}"/>
    <cellStyle name="Normal 6 5 4" xfId="700" xr:uid="{00000000-0005-0000-0000-000010070000}"/>
    <cellStyle name="Normal 6 5 5" xfId="892" xr:uid="{00000000-0005-0000-0000-000011070000}"/>
    <cellStyle name="Normal 6 5 6" xfId="1074" xr:uid="{00000000-0005-0000-0000-000012070000}"/>
    <cellStyle name="Normal 6 5 7" xfId="1252" xr:uid="{00000000-0005-0000-0000-000013070000}"/>
    <cellStyle name="Normal 6 6" xfId="102" xr:uid="{00000000-0005-0000-0000-000014070000}"/>
    <cellStyle name="Normal 6 6 2" xfId="309" xr:uid="{00000000-0005-0000-0000-000015070000}"/>
    <cellStyle name="Normal 6 6 3" xfId="474" xr:uid="{00000000-0005-0000-0000-000016070000}"/>
    <cellStyle name="Normal 6 6 4" xfId="698" xr:uid="{00000000-0005-0000-0000-000017070000}"/>
    <cellStyle name="Normal 6 6 5" xfId="890" xr:uid="{00000000-0005-0000-0000-000018070000}"/>
    <cellStyle name="Normal 6 6 6" xfId="1072" xr:uid="{00000000-0005-0000-0000-000019070000}"/>
    <cellStyle name="Normal 6 6 7" xfId="1250" xr:uid="{00000000-0005-0000-0000-00001A070000}"/>
    <cellStyle name="Normal 6 7" xfId="211" xr:uid="{00000000-0005-0000-0000-00001B070000}"/>
    <cellStyle name="Normal 6 8" xfId="214" xr:uid="{00000000-0005-0000-0000-00001C070000}"/>
    <cellStyle name="Normal 6 9" xfId="212" xr:uid="{00000000-0005-0000-0000-00001D070000}"/>
    <cellStyle name="Normal 7" xfId="94" xr:uid="{00000000-0005-0000-0000-00001E070000}"/>
    <cellStyle name="Normal 7 10" xfId="1528" xr:uid="{00000000-0005-0000-0000-00001F070000}"/>
    <cellStyle name="Normal 7 10 2" xfId="3629" xr:uid="{00000000-0005-0000-0000-00001D070000}"/>
    <cellStyle name="Normal 7 10 2 2" xfId="10533" xr:uid="{9EE69510-F583-4407-83C6-106A49069D50}"/>
    <cellStyle name="Normal 7 10 2 2 2" xfId="33019" xr:uid="{E79CA0F4-ECC7-4573-BB64-40E1C55CD492}"/>
    <cellStyle name="Normal 7 10 2 3" xfId="26840" xr:uid="{F8CDA0C0-8039-408E-A14E-2293E76B1FAC}"/>
    <cellStyle name="Normal 7 10 3" xfId="8565" xr:uid="{2B5F108C-6CD1-4C39-B8A1-827DFCC75821}"/>
    <cellStyle name="Normal 7 10 3 2" xfId="31152" xr:uid="{D5AD70F3-F36A-4DED-8D09-B05B24AD4BA4}"/>
    <cellStyle name="Normal 7 10 4" xfId="24950" xr:uid="{691270EA-01F9-4C9C-B60D-AF97F4CF3908}"/>
    <cellStyle name="Normal 7 11" xfId="2306" xr:uid="{00000000-0005-0000-0000-00001C070000}"/>
    <cellStyle name="Normal 7 11 2" xfId="9216" xr:uid="{72ED8F3D-8215-42D0-9D22-E01B7683EDD0}"/>
    <cellStyle name="Normal 7 11 2 2" xfId="31791" xr:uid="{48940418-0BEA-4699-BD8D-791171D0F7F9}"/>
    <cellStyle name="Normal 7 11 3" xfId="25669" xr:uid="{5277EA82-0A70-4E5B-B287-6A2DB083A9DA}"/>
    <cellStyle name="Normal 7 12" xfId="7298" xr:uid="{62F3BAB9-701B-42D0-B9C0-F271B493ABC8}"/>
    <cellStyle name="Normal 7 12 2" xfId="29986" xr:uid="{DFCFD6B9-04B1-489B-AAA6-6374274C6611}"/>
    <cellStyle name="Normal 7 13" xfId="23680" xr:uid="{FA9EAA3D-B7EE-473C-A6C0-61C8E59A0AF5}"/>
    <cellStyle name="Normal 7 2" xfId="301" xr:uid="{00000000-0005-0000-0000-000020070000}"/>
    <cellStyle name="Normal 7 2 2" xfId="1584" xr:uid="{00000000-0005-0000-0000-000021070000}"/>
    <cellStyle name="Normal 7 2 2 2" xfId="3685" xr:uid="{00000000-0005-0000-0000-00001F070000}"/>
    <cellStyle name="Normal 7 2 2 2 2" xfId="10589" xr:uid="{10B264FD-F764-4DBB-928E-A033638D314E}"/>
    <cellStyle name="Normal 7 2 2 2 2 2" xfId="33075" xr:uid="{41B869FF-97D7-4C02-9B67-9005C28F16CB}"/>
    <cellStyle name="Normal 7 2 2 2 3" xfId="26896" xr:uid="{0181F9D0-C1E7-4BC1-AD30-D11EAC5F47B8}"/>
    <cellStyle name="Normal 7 2 2 3" xfId="8619" xr:uid="{625F9433-CD40-4BBB-948B-3BDBE76227F0}"/>
    <cellStyle name="Normal 7 2 2 3 2" xfId="31205" xr:uid="{21C0587A-121F-4DCE-8D0F-3DECC1606CE1}"/>
    <cellStyle name="Normal 7 2 2 4" xfId="25005" xr:uid="{2053C18C-B094-4EFB-85FC-14C946063DB4}"/>
    <cellStyle name="Normal 7 2 3" xfId="2465" xr:uid="{00000000-0005-0000-0000-00001E070000}"/>
    <cellStyle name="Normal 7 2 3 2" xfId="9374" xr:uid="{41E71619-41E4-40E7-9245-014A3ADE2EF4}"/>
    <cellStyle name="Normal 7 2 3 2 2" xfId="31937" xr:uid="{029D0487-72B2-4140-8411-32B81F755C85}"/>
    <cellStyle name="Normal 7 2 3 3" xfId="25804" xr:uid="{91C0F22D-85D8-4162-AEAB-3178861FF9B8}"/>
    <cellStyle name="Normal 7 2 4" xfId="7466" xr:uid="{D089F251-97C1-401D-8043-91A73537A317}"/>
    <cellStyle name="Normal 7 2 4 2" xfId="30136" xr:uid="{955184F1-7227-4A6E-B0F3-40824AEC3376}"/>
    <cellStyle name="Normal 7 2 5" xfId="23860" xr:uid="{D5530E0E-EDBF-4495-B03B-33183EB78212}"/>
    <cellStyle name="Normal 7 3" xfId="466" xr:uid="{00000000-0005-0000-0000-000022070000}"/>
    <cellStyle name="Normal 7 3 2" xfId="1669" xr:uid="{00000000-0005-0000-0000-000023070000}"/>
    <cellStyle name="Normal 7 3 2 2" xfId="3767" xr:uid="{00000000-0005-0000-0000-000021070000}"/>
    <cellStyle name="Normal 7 3 2 2 2" xfId="10671" xr:uid="{01D6E68C-C4E8-4D47-8931-B8AA20D3BB2F}"/>
    <cellStyle name="Normal 7 3 2 2 2 2" xfId="33157" xr:uid="{2B556DA7-F598-4022-8D58-CE4D78324B7E}"/>
    <cellStyle name="Normal 7 3 2 2 3" xfId="26974" xr:uid="{22874B91-E5BF-49E3-85A6-8BAC800D8BDC}"/>
    <cellStyle name="Normal 7 3 2 3" xfId="8684" xr:uid="{6D263984-2365-40B2-A6FC-C5FCF25B25B1}"/>
    <cellStyle name="Normal 7 3 2 3 2" xfId="31269" xr:uid="{2C7D3C52-7592-45A3-A065-80C85A943CA1}"/>
    <cellStyle name="Normal 7 3 2 4" xfId="25084" xr:uid="{5ED6A7FF-8FF0-4DDA-BC3C-B7CB4772AD5D}"/>
    <cellStyle name="Normal 7 3 3" xfId="2618" xr:uid="{00000000-0005-0000-0000-000020070000}"/>
    <cellStyle name="Normal 7 3 3 2" xfId="9527" xr:uid="{A9CB4149-478A-4EDF-A330-F3F8869BECE2}"/>
    <cellStyle name="Normal 7 3 3 2 2" xfId="32078" xr:uid="{83F04733-AB7E-4BCC-ACB3-6CC1510704F5}"/>
    <cellStyle name="Normal 7 3 3 3" xfId="25938" xr:uid="{B24AAC21-D8BC-4BFB-B583-158849BA0FC1}"/>
    <cellStyle name="Normal 7 3 4" xfId="7612" xr:uid="{502E170B-D217-4068-BE21-F1DDE4D8AFF7}"/>
    <cellStyle name="Normal 7 3 4 2" xfId="30273" xr:uid="{73DF5FC3-9681-4504-A55A-3B9FE06FAA3B}"/>
    <cellStyle name="Normal 7 3 5" xfId="24000" xr:uid="{41AD945D-D9A6-4209-BC5F-F23EB3C4B7B4}"/>
    <cellStyle name="Normal 7 4" xfId="690" xr:uid="{00000000-0005-0000-0000-000024070000}"/>
    <cellStyle name="Normal 7 4 2" xfId="1766" xr:uid="{00000000-0005-0000-0000-000025070000}"/>
    <cellStyle name="Normal 7 4 2 2" xfId="3864" xr:uid="{00000000-0005-0000-0000-000023070000}"/>
    <cellStyle name="Normal 7 4 2 2 2" xfId="10768" xr:uid="{AB46FE72-805E-439B-BF32-28E4791AA3EE}"/>
    <cellStyle name="Normal 7 4 2 2 2 2" xfId="33254" xr:uid="{8A07558F-568C-4DBC-8D58-7B0DF07B068B}"/>
    <cellStyle name="Normal 7 4 2 2 3" xfId="27063" xr:uid="{04C73BC8-064F-46E1-8596-FF3CA62FFEE1}"/>
    <cellStyle name="Normal 7 4 2 3" xfId="8766" xr:uid="{CF48C4BE-85DD-4363-B194-4A0F47BA9FB3}"/>
    <cellStyle name="Normal 7 4 2 3 2" xfId="31349" xr:uid="{9E011ED3-F8FD-4D2A-8A82-D6B3CAB3B0FC}"/>
    <cellStyle name="Normal 7 4 2 4" xfId="25172" xr:uid="{096948DD-22C6-4E2D-84D1-4C6798646A4A}"/>
    <cellStyle name="Normal 7 4 3" xfId="2832" xr:uid="{00000000-0005-0000-0000-000022070000}"/>
    <cellStyle name="Normal 7 4 3 2" xfId="9741" xr:uid="{DCE50288-F4B5-48E4-9059-696FFEFF6A18}"/>
    <cellStyle name="Normal 7 4 3 2 2" xfId="32278" xr:uid="{8BAB0E1D-3C75-4425-82C2-8C01D082DAB0}"/>
    <cellStyle name="Normal 7 4 3 3" xfId="26127" xr:uid="{807D0559-8902-4AA4-88E7-4404F4C60D24}"/>
    <cellStyle name="Normal 7 4 4" xfId="7814" xr:uid="{9E40BD1D-FC84-43D2-984A-6014946FBA76}"/>
    <cellStyle name="Normal 7 4 4 2" xfId="30448" xr:uid="{3C16F9BB-3E26-467B-AAEA-4847269E7ADB}"/>
    <cellStyle name="Normal 7 4 5" xfId="24201" xr:uid="{0A79BDF7-DBB3-418A-937D-E946344B4001}"/>
    <cellStyle name="Normal 7 5" xfId="882" xr:uid="{00000000-0005-0000-0000-000026070000}"/>
    <cellStyle name="Normal 7 5 2" xfId="1855" xr:uid="{00000000-0005-0000-0000-000027070000}"/>
    <cellStyle name="Normal 7 5 2 2" xfId="3953" xr:uid="{00000000-0005-0000-0000-000025070000}"/>
    <cellStyle name="Normal 7 5 2 2 2" xfId="10857" xr:uid="{194D7736-B004-46BD-9573-4D99A5661D64}"/>
    <cellStyle name="Normal 7 5 2 2 2 2" xfId="33343" xr:uid="{EA9FE9CA-9F29-4D41-BACE-1E8412C0F5AE}"/>
    <cellStyle name="Normal 7 5 2 2 3" xfId="27144" xr:uid="{FCED9236-6181-45C2-B272-F1C14223DD30}"/>
    <cellStyle name="Normal 7 5 2 3" xfId="8838" xr:uid="{61ABC903-163E-455A-9743-A079668A1283}"/>
    <cellStyle name="Normal 7 5 2 3 2" xfId="31419" xr:uid="{FA11A95D-A2E8-4F3C-AC20-9EB86E217A05}"/>
    <cellStyle name="Normal 7 5 2 4" xfId="25251" xr:uid="{AC47CCCF-182F-4F1E-BD64-0FBA4EC83104}"/>
    <cellStyle name="Normal 7 5 3" xfId="3012" xr:uid="{00000000-0005-0000-0000-000024070000}"/>
    <cellStyle name="Normal 7 5 3 2" xfId="9921" xr:uid="{A2FD74E9-6030-4081-B62B-9085A878376F}"/>
    <cellStyle name="Normal 7 5 3 2 2" xfId="32441" xr:uid="{F456A2E1-E5EF-4EAB-8848-53C168190EE4}"/>
    <cellStyle name="Normal 7 5 3 3" xfId="26279" xr:uid="{ED70FFD7-9FA9-48C3-8D0E-019553DC83B1}"/>
    <cellStyle name="Normal 7 5 4" xfId="7985" xr:uid="{EA3C0B0C-EC97-4FCA-AB49-0A2E687E81CC}"/>
    <cellStyle name="Normal 7 5 4 2" xfId="30607" xr:uid="{6031A7F2-7D4C-43D8-A82D-661082FCFDB4}"/>
    <cellStyle name="Normal 7 5 5" xfId="24366" xr:uid="{25F25C9A-984B-4736-8524-544910CE7652}"/>
    <cellStyle name="Normal 7 6" xfId="1064" xr:uid="{00000000-0005-0000-0000-000028070000}"/>
    <cellStyle name="Normal 7 6 2" xfId="1950" xr:uid="{00000000-0005-0000-0000-000029070000}"/>
    <cellStyle name="Normal 7 6 2 2" xfId="4046" xr:uid="{00000000-0005-0000-0000-000027070000}"/>
    <cellStyle name="Normal 7 6 2 2 2" xfId="10950" xr:uid="{8D1EBDD6-E688-4D5B-9932-3194E2894E21}"/>
    <cellStyle name="Normal 7 6 2 2 2 2" xfId="33436" xr:uid="{2AEB8FF3-53B0-4E66-9051-C2C24F65CDC2}"/>
    <cellStyle name="Normal 7 6 2 2 3" xfId="27231" xr:uid="{7968A474-4D8A-4A92-8EC9-AAE866B2E65F}"/>
    <cellStyle name="Normal 7 6 2 3" xfId="8908" xr:uid="{BDD292A4-8283-4479-91C9-635EE68DA21B}"/>
    <cellStyle name="Normal 7 6 2 3 2" xfId="31487" xr:uid="{61027C42-027E-4578-9A94-BC8CD648F487}"/>
    <cellStyle name="Normal 7 6 2 4" xfId="25336" xr:uid="{62688927-6308-4356-A5CC-F19DE1055AC4}"/>
    <cellStyle name="Normal 7 6 3" xfId="3184" xr:uid="{00000000-0005-0000-0000-000026070000}"/>
    <cellStyle name="Normal 7 6 3 2" xfId="10093" xr:uid="{D2655321-B575-41A9-9D4A-0DF67B693357}"/>
    <cellStyle name="Normal 7 6 3 2 2" xfId="32600" xr:uid="{C0ED4FA4-EBA4-454A-B626-D8A0BC2D97A9}"/>
    <cellStyle name="Normal 7 6 3 3" xfId="26432" xr:uid="{8BCD1A50-8834-4008-9D0A-0185E213E20E}"/>
    <cellStyle name="Normal 7 6 4" xfId="8147" xr:uid="{78930DEA-65DE-4814-97E1-C87B96C9DBE7}"/>
    <cellStyle name="Normal 7 6 4 2" xfId="30759" xr:uid="{220CEDD0-0541-4B67-BED7-DF53C60425E3}"/>
    <cellStyle name="Normal 7 6 5" xfId="24530" xr:uid="{5C9FD640-618E-475D-B2C7-3EF1671CA68B}"/>
    <cellStyle name="Normal 7 7" xfId="1242" xr:uid="{00000000-0005-0000-0000-00002A070000}"/>
    <cellStyle name="Normal 7 7 2" xfId="2040" xr:uid="{00000000-0005-0000-0000-00002B070000}"/>
    <cellStyle name="Normal 7 7 2 2" xfId="4135" xr:uid="{00000000-0005-0000-0000-000029070000}"/>
    <cellStyle name="Normal 7 7 2 2 2" xfId="11039" xr:uid="{A08E7481-1AC6-4A4A-B827-141D3E0DB241}"/>
    <cellStyle name="Normal 7 7 2 2 2 2" xfId="33525" xr:uid="{D412288C-F812-4034-8406-4EFD7A0D2F22}"/>
    <cellStyle name="Normal 7 7 2 2 3" xfId="27313" xr:uid="{2845AF78-9BC5-4121-9D23-DC12F45806EC}"/>
    <cellStyle name="Normal 7 7 2 3" xfId="8979" xr:uid="{586F1A73-32CA-4C42-8E2F-926BD1F803A7}"/>
    <cellStyle name="Normal 7 7 2 3 2" xfId="31557" xr:uid="{8F05FA46-648D-4CB2-982E-6BD00FADBCDF}"/>
    <cellStyle name="Normal 7 7 2 4" xfId="25420" xr:uid="{07302237-533A-4C9B-ACFB-CC8B45550287}"/>
    <cellStyle name="Normal 7 7 3" xfId="3352" xr:uid="{00000000-0005-0000-0000-000028070000}"/>
    <cellStyle name="Normal 7 7 3 2" xfId="10260" xr:uid="{E60A9AB8-7110-475F-8571-BB3A3ADA439E}"/>
    <cellStyle name="Normal 7 7 3 2 2" xfId="32754" xr:uid="{EBB2F30C-8847-4D65-B41E-7D4E1344C091}"/>
    <cellStyle name="Normal 7 7 3 3" xfId="26581" xr:uid="{435E8C27-0948-4FB2-BAB3-955ACF406EB8}"/>
    <cellStyle name="Normal 7 7 4" xfId="8310" xr:uid="{CBC7178F-0480-4A60-AE12-6276F3AB08EC}"/>
    <cellStyle name="Normal 7 7 4 2" xfId="30908" xr:uid="{FC3A6788-F2E7-4D41-9A1A-9C5E6B0CEE77}"/>
    <cellStyle name="Normal 7 7 5" xfId="24682" xr:uid="{C00FCD58-2D40-4274-AC1C-17D80F4ACF69}"/>
    <cellStyle name="Normal 7 8" xfId="1449" xr:uid="{00000000-0005-0000-0000-00002C070000}"/>
    <cellStyle name="Normal 7 8 2" xfId="2177" xr:uid="{00000000-0005-0000-0000-00002D070000}"/>
    <cellStyle name="Normal 7 8 2 2" xfId="4270" xr:uid="{00000000-0005-0000-0000-00002B070000}"/>
    <cellStyle name="Normal 7 8 2 2 2" xfId="11174" xr:uid="{E2567813-7E51-4344-87BB-22F37FD859EE}"/>
    <cellStyle name="Normal 7 8 2 2 2 2" xfId="33660" xr:uid="{C2A96E60-D4E4-4CD6-BF53-F2BA4AF628ED}"/>
    <cellStyle name="Normal 7 8 2 2 3" xfId="27442" xr:uid="{F74665BA-D7D3-4FE9-91BB-4A5B6270717B}"/>
    <cellStyle name="Normal 7 8 2 3" xfId="9094" xr:uid="{88FBB1D0-3F97-4296-9DDE-FD400FB92D09}"/>
    <cellStyle name="Normal 7 8 2 3 2" xfId="31670" xr:uid="{08934EB8-C4D5-4D6E-B393-EB1977896E7E}"/>
    <cellStyle name="Normal 7 8 2 4" xfId="25547" xr:uid="{CB59EBD7-255A-4738-9F59-F6E5360A7A69}"/>
    <cellStyle name="Normal 7 8 3" xfId="3550" xr:uid="{00000000-0005-0000-0000-00002A070000}"/>
    <cellStyle name="Normal 7 8 3 2" xfId="10456" xr:uid="{519A9902-ABD1-4113-B707-CC9865B6412C}"/>
    <cellStyle name="Normal 7 8 3 2 2" xfId="32943" xr:uid="{68DC3F1D-2529-4480-AF1D-7B7EF347F26A}"/>
    <cellStyle name="Normal 7 8 3 3" xfId="26763" xr:uid="{85F88B87-D254-40AD-9DD5-362CCED7BB89}"/>
    <cellStyle name="Normal 7 8 4" xfId="8492" xr:uid="{5AE6CE65-CF95-4B4B-ADC9-F53E354189F5}"/>
    <cellStyle name="Normal 7 8 4 2" xfId="31079" xr:uid="{3AAC09E3-073C-4D9E-A8C8-E556CBDFA9A8}"/>
    <cellStyle name="Normal 7 8 5" xfId="24872" xr:uid="{C6A704F0-025A-4C95-A7B4-C44E85A1054B}"/>
    <cellStyle name="Normal 7 9" xfId="1470" xr:uid="{00000000-0005-0000-0000-00002E070000}"/>
    <cellStyle name="Normal 7 9 2" xfId="2197" xr:uid="{00000000-0005-0000-0000-00002F070000}"/>
    <cellStyle name="Normal 7 9 2 2" xfId="4290" xr:uid="{00000000-0005-0000-0000-00002D070000}"/>
    <cellStyle name="Normal 7 9 2 2 2" xfId="11194" xr:uid="{70D753BB-E3C8-4E29-8063-CE983D3246EA}"/>
    <cellStyle name="Normal 7 9 2 2 2 2" xfId="33680" xr:uid="{38065D5A-BF56-4A95-81F2-5A903241DB64}"/>
    <cellStyle name="Normal 7 9 2 2 3" xfId="27462" xr:uid="{261B4EB9-8CB1-49FF-B5B4-581DCEBFD821}"/>
    <cellStyle name="Normal 7 9 2 3" xfId="9110" xr:uid="{41F8ACAE-4AE9-4ACB-8090-649B25114B69}"/>
    <cellStyle name="Normal 7 9 2 3 2" xfId="31686" xr:uid="{AA2BFA33-8A9D-44B0-BE70-6D06B1E3D0CD}"/>
    <cellStyle name="Normal 7 9 2 4" xfId="25565" xr:uid="{0ADD8952-0C03-45E6-8C8C-3AF198E96CA9}"/>
    <cellStyle name="Normal 7 9 3" xfId="3571" xr:uid="{00000000-0005-0000-0000-00002C070000}"/>
    <cellStyle name="Normal 7 9 3 2" xfId="10476" xr:uid="{11B74929-2944-49A8-A31D-713D8CE744D0}"/>
    <cellStyle name="Normal 7 9 3 2 2" xfId="32963" xr:uid="{F8BB06C6-63A6-45DE-9EED-E7E0978AA8D1}"/>
    <cellStyle name="Normal 7 9 3 3" xfId="26784" xr:uid="{8B69F326-A0E9-4AA2-9566-6B4323C49F2A}"/>
    <cellStyle name="Normal 7 9 4" xfId="8512" xr:uid="{BB1FD77E-41CB-4A25-91A2-C0FF89D0EB8D}"/>
    <cellStyle name="Normal 7 9 4 2" xfId="31099" xr:uid="{D533385B-8570-42AF-9458-C473E73F4340}"/>
    <cellStyle name="Normal 7 9 5" xfId="24892" xr:uid="{63EFECC4-5779-4EBE-88B6-6B233356D149}"/>
    <cellStyle name="Normal 8" xfId="97" xr:uid="{00000000-0005-0000-0000-000030070000}"/>
    <cellStyle name="Normal 8 10" xfId="1531" xr:uid="{00000000-0005-0000-0000-000031070000}"/>
    <cellStyle name="Normal 8 10 2" xfId="3632" xr:uid="{00000000-0005-0000-0000-00002F070000}"/>
    <cellStyle name="Normal 8 10 2 2" xfId="10536" xr:uid="{0AAE23E7-71AC-4219-9475-800C2E415E0F}"/>
    <cellStyle name="Normal 8 10 2 2 2" xfId="33022" xr:uid="{AC8DFBC5-173C-4747-A983-B58FF2239762}"/>
    <cellStyle name="Normal 8 10 2 3" xfId="26843" xr:uid="{E3BD1C28-5696-4B6E-AA2C-68B9AB6D070D}"/>
    <cellStyle name="Normal 8 10 3" xfId="8568" xr:uid="{3FB2001E-575E-412E-9480-19CEBAA96A5E}"/>
    <cellStyle name="Normal 8 10 3 2" xfId="31155" xr:uid="{0EEE2B2E-A97E-4941-B20D-3D2204D9937F}"/>
    <cellStyle name="Normal 8 10 4" xfId="24953" xr:uid="{C5653BB7-44A4-422D-B7B4-3C3D00BB6B4E}"/>
    <cellStyle name="Normal 8 11" xfId="2309" xr:uid="{00000000-0005-0000-0000-00002E070000}"/>
    <cellStyle name="Normal 8 11 2" xfId="9219" xr:uid="{FE2BA49D-C3BF-4DCD-A5F8-27F2ACF1E2EB}"/>
    <cellStyle name="Normal 8 11 2 2" xfId="31794" xr:uid="{46F39CED-ABBD-47B7-B965-80A6BDA567E6}"/>
    <cellStyle name="Normal 8 11 3" xfId="25672" xr:uid="{3C09AB66-7CCA-42FC-8295-6A8B49645700}"/>
    <cellStyle name="Normal 8 12" xfId="7301" xr:uid="{56CDB563-3DAF-4C73-A74B-B1CAFC923BA0}"/>
    <cellStyle name="Normal 8 12 2" xfId="29989" xr:uid="{7D82DD42-E635-45C8-8148-B89A515EA22A}"/>
    <cellStyle name="Normal 8 13" xfId="23683" xr:uid="{CD40B658-39A8-40EE-8B99-840F5345AB99}"/>
    <cellStyle name="Normal 8 2" xfId="304" xr:uid="{00000000-0005-0000-0000-000032070000}"/>
    <cellStyle name="Normal 8 2 2" xfId="1587" xr:uid="{00000000-0005-0000-0000-000033070000}"/>
    <cellStyle name="Normal 8 2 2 2" xfId="3688" xr:uid="{00000000-0005-0000-0000-000031070000}"/>
    <cellStyle name="Normal 8 2 2 2 2" xfId="10592" xr:uid="{271CB0AF-BE6B-4897-993E-642336BF8D9F}"/>
    <cellStyle name="Normal 8 2 2 2 2 2" xfId="33078" xr:uid="{1354B4B7-5890-4292-95AF-412D82B01DDF}"/>
    <cellStyle name="Normal 8 2 2 2 3" xfId="26899" xr:uid="{7110EF20-3302-4314-B2B0-B4F3F92FE75E}"/>
    <cellStyle name="Normal 8 2 2 3" xfId="8622" xr:uid="{A781244C-AAF2-4477-AE8E-6D4661911CBA}"/>
    <cellStyle name="Normal 8 2 2 3 2" xfId="31208" xr:uid="{BAFBA42D-7A94-4146-9C4E-872A11F1C6E5}"/>
    <cellStyle name="Normal 8 2 2 4" xfId="25008" xr:uid="{C874A5CD-E4E0-4C3A-B3DE-2FA2D9E87960}"/>
    <cellStyle name="Normal 8 2 3" xfId="2468" xr:uid="{00000000-0005-0000-0000-000030070000}"/>
    <cellStyle name="Normal 8 2 3 2" xfId="9377" xr:uid="{2CEA4C4E-AB46-404D-8F4F-51F5737747FA}"/>
    <cellStyle name="Normal 8 2 3 2 2" xfId="31940" xr:uid="{C7A5FF55-C051-4229-BCC4-443FF0897079}"/>
    <cellStyle name="Normal 8 2 3 3" xfId="25807" xr:uid="{A9FAC95F-A926-48DA-8D0E-F15D60C7829C}"/>
    <cellStyle name="Normal 8 2 4" xfId="7469" xr:uid="{8ECDA366-7022-48B1-8B5D-B7B62A1128B3}"/>
    <cellStyle name="Normal 8 2 4 2" xfId="30139" xr:uid="{A0843FFD-25CF-46EE-80E3-460CA6C1F8C0}"/>
    <cellStyle name="Normal 8 2 5" xfId="23863" xr:uid="{12917600-690C-4577-9CCE-1766A9623159}"/>
    <cellStyle name="Normal 8 3" xfId="469" xr:uid="{00000000-0005-0000-0000-000034070000}"/>
    <cellStyle name="Normal 8 3 2" xfId="1672" xr:uid="{00000000-0005-0000-0000-000035070000}"/>
    <cellStyle name="Normal 8 3 2 2" xfId="3770" xr:uid="{00000000-0005-0000-0000-000033070000}"/>
    <cellStyle name="Normal 8 3 2 2 2" xfId="10674" xr:uid="{F559EF8D-78B5-4155-ACE5-1317D6D69A85}"/>
    <cellStyle name="Normal 8 3 2 2 2 2" xfId="33160" xr:uid="{6466A7A9-090A-44B3-885D-41561CFB033D}"/>
    <cellStyle name="Normal 8 3 2 2 3" xfId="26977" xr:uid="{50900670-05BE-4D8B-B4F6-7A40FAB5A621}"/>
    <cellStyle name="Normal 8 3 2 3" xfId="8687" xr:uid="{B2FB4DAF-C792-480A-8701-DFB50B761E53}"/>
    <cellStyle name="Normal 8 3 2 3 2" xfId="31272" xr:uid="{26AACCAA-E2A9-4DA0-B3A1-5DD0120DC843}"/>
    <cellStyle name="Normal 8 3 2 4" xfId="25087" xr:uid="{2016FAD8-BAFB-4992-80E9-C978E7C57CCA}"/>
    <cellStyle name="Normal 8 3 3" xfId="2621" xr:uid="{00000000-0005-0000-0000-000032070000}"/>
    <cellStyle name="Normal 8 3 3 2" xfId="9530" xr:uid="{53FE5CA9-147C-46F1-966D-81FF3B00BF4C}"/>
    <cellStyle name="Normal 8 3 3 2 2" xfId="32081" xr:uid="{F5EE2551-3336-4E7B-9675-8DB79717155D}"/>
    <cellStyle name="Normal 8 3 3 3" xfId="25941" xr:uid="{1C1CFF85-89F4-48EB-A9E8-059979CEBBD9}"/>
    <cellStyle name="Normal 8 3 4" xfId="7615" xr:uid="{9699D49D-DD52-42FA-A91F-611EA37C08A2}"/>
    <cellStyle name="Normal 8 3 4 2" xfId="30276" xr:uid="{2984A180-6AA9-4094-B30B-88B68A2FC2AB}"/>
    <cellStyle name="Normal 8 3 5" xfId="24003" xr:uid="{95ED95BA-6889-4526-96E2-FF007AA0279D}"/>
    <cellStyle name="Normal 8 4" xfId="693" xr:uid="{00000000-0005-0000-0000-000036070000}"/>
    <cellStyle name="Normal 8 4 2" xfId="1769" xr:uid="{00000000-0005-0000-0000-000037070000}"/>
    <cellStyle name="Normal 8 4 2 2" xfId="3867" xr:uid="{00000000-0005-0000-0000-000035070000}"/>
    <cellStyle name="Normal 8 4 2 2 2" xfId="10771" xr:uid="{B2793BB0-1155-48F0-B8C8-1F83C0AFAF05}"/>
    <cellStyle name="Normal 8 4 2 2 2 2" xfId="33257" xr:uid="{2FCC961A-F403-42B8-8650-5DC4E4B6457B}"/>
    <cellStyle name="Normal 8 4 2 2 3" xfId="27066" xr:uid="{A4CEB6B6-A8DD-4D38-B7CC-6B8BA6EE93B2}"/>
    <cellStyle name="Normal 8 4 2 3" xfId="8769" xr:uid="{0151820A-037F-4B8A-A734-ABDAA98CA5F2}"/>
    <cellStyle name="Normal 8 4 2 3 2" xfId="31352" xr:uid="{4CBB322C-D268-4DAB-953D-E5D0843954B5}"/>
    <cellStyle name="Normal 8 4 2 4" xfId="25175" xr:uid="{BC6785DA-22CD-4C23-BF03-CD3EE3EFDE30}"/>
    <cellStyle name="Normal 8 4 3" xfId="2835" xr:uid="{00000000-0005-0000-0000-000034070000}"/>
    <cellStyle name="Normal 8 4 3 2" xfId="9744" xr:uid="{609F9117-787F-429B-9FC1-C542B14338BD}"/>
    <cellStyle name="Normal 8 4 3 2 2" xfId="32281" xr:uid="{EA9E09A4-DE5A-4C2D-8D2E-90CE2D208984}"/>
    <cellStyle name="Normal 8 4 3 3" xfId="26130" xr:uid="{06737F10-37F4-4D36-B5F3-1773612B7528}"/>
    <cellStyle name="Normal 8 4 4" xfId="7817" xr:uid="{17E2BAFC-072E-4255-B203-EB18372E9102}"/>
    <cellStyle name="Normal 8 4 4 2" xfId="30451" xr:uid="{8A81F6F7-6B78-4DE2-95BD-5C9D8078496D}"/>
    <cellStyle name="Normal 8 4 5" xfId="24204" xr:uid="{8E81681F-92CB-4B4A-9089-87A20C8160A9}"/>
    <cellStyle name="Normal 8 5" xfId="885" xr:uid="{00000000-0005-0000-0000-000038070000}"/>
    <cellStyle name="Normal 8 5 2" xfId="1858" xr:uid="{00000000-0005-0000-0000-000039070000}"/>
    <cellStyle name="Normal 8 5 2 2" xfId="3956" xr:uid="{00000000-0005-0000-0000-000037070000}"/>
    <cellStyle name="Normal 8 5 2 2 2" xfId="10860" xr:uid="{255EF4EE-1191-40D9-87A5-32287B3DEB49}"/>
    <cellStyle name="Normal 8 5 2 2 2 2" xfId="33346" xr:uid="{28EDF386-3C45-4931-8253-67745D687DCB}"/>
    <cellStyle name="Normal 8 5 2 2 3" xfId="27147" xr:uid="{5CB78EEB-6D0C-44C7-9787-21BC3DA5FAF0}"/>
    <cellStyle name="Normal 8 5 2 3" xfId="8841" xr:uid="{D15AC105-49A3-4543-B0A6-A10EA288B984}"/>
    <cellStyle name="Normal 8 5 2 3 2" xfId="31422" xr:uid="{7DB37494-6A82-45EE-ACB0-91FBD03136AF}"/>
    <cellStyle name="Normal 8 5 2 4" xfId="25254" xr:uid="{C1ADB8B9-1D22-4C78-8F26-BEEF34BC28B8}"/>
    <cellStyle name="Normal 8 5 3" xfId="3015" xr:uid="{00000000-0005-0000-0000-000036070000}"/>
    <cellStyle name="Normal 8 5 3 2" xfId="9924" xr:uid="{A0E0F2A1-A1CE-498F-BB98-9A649DF8D372}"/>
    <cellStyle name="Normal 8 5 3 2 2" xfId="32444" xr:uid="{02946410-FFBB-429D-BD23-3008D5407D8D}"/>
    <cellStyle name="Normal 8 5 3 3" xfId="26282" xr:uid="{B0B43C87-8122-435B-A59B-7820EEF6B16F}"/>
    <cellStyle name="Normal 8 5 4" xfId="7988" xr:uid="{ADAFFD00-24DA-48A5-A750-7BB605D8076A}"/>
    <cellStyle name="Normal 8 5 4 2" xfId="30610" xr:uid="{CE602B00-396F-43CB-9F35-0D1786B98CC8}"/>
    <cellStyle name="Normal 8 5 5" xfId="24369" xr:uid="{D669C79D-2E8C-4E78-84B1-47E12EFDA05D}"/>
    <cellStyle name="Normal 8 6" xfId="1067" xr:uid="{00000000-0005-0000-0000-00003A070000}"/>
    <cellStyle name="Normal 8 6 2" xfId="1953" xr:uid="{00000000-0005-0000-0000-00003B070000}"/>
    <cellStyle name="Normal 8 6 2 2" xfId="4049" xr:uid="{00000000-0005-0000-0000-000039070000}"/>
    <cellStyle name="Normal 8 6 2 2 2" xfId="10953" xr:uid="{A3BE4E27-AC9D-42C8-B4FB-1E8B02B3985F}"/>
    <cellStyle name="Normal 8 6 2 2 2 2" xfId="33439" xr:uid="{90643C06-EEAF-4E01-A8A5-28D235E7E6AD}"/>
    <cellStyle name="Normal 8 6 2 2 3" xfId="27234" xr:uid="{50AD5AF2-D5A6-4786-B5CC-5AD9B742A0FE}"/>
    <cellStyle name="Normal 8 6 2 3" xfId="8911" xr:uid="{412D8129-8B3F-45A3-BBB7-C5F8241FA8B3}"/>
    <cellStyle name="Normal 8 6 2 3 2" xfId="31490" xr:uid="{51BB97A2-139C-4623-9F23-1AD7C51E478A}"/>
    <cellStyle name="Normal 8 6 2 4" xfId="25339" xr:uid="{B824D259-FF00-46D0-909E-8746C95BA9EA}"/>
    <cellStyle name="Normal 8 6 3" xfId="3187" xr:uid="{00000000-0005-0000-0000-000038070000}"/>
    <cellStyle name="Normal 8 6 3 2" xfId="10096" xr:uid="{9DB9978E-8F32-4D01-8504-7465548032F5}"/>
    <cellStyle name="Normal 8 6 3 2 2" xfId="32603" xr:uid="{4F6D703C-7849-4D0B-8123-873F7E61F81F}"/>
    <cellStyle name="Normal 8 6 3 3" xfId="26435" xr:uid="{46AD2A4A-287B-4DBB-B8D0-419C31D2C8F7}"/>
    <cellStyle name="Normal 8 6 4" xfId="8150" xr:uid="{81D2EA86-1AAC-4738-A8AD-A8EBFD46DACD}"/>
    <cellStyle name="Normal 8 6 4 2" xfId="30762" xr:uid="{8E0B06B4-1844-4F83-B8BB-3A53CFD1AE54}"/>
    <cellStyle name="Normal 8 6 5" xfId="24533" xr:uid="{BEEA4148-530E-4097-A991-7E90F9D2ADCA}"/>
    <cellStyle name="Normal 8 7" xfId="1245" xr:uid="{00000000-0005-0000-0000-00003C070000}"/>
    <cellStyle name="Normal 8 7 2" xfId="2043" xr:uid="{00000000-0005-0000-0000-00003D070000}"/>
    <cellStyle name="Normal 8 7 2 2" xfId="4138" xr:uid="{00000000-0005-0000-0000-00003B070000}"/>
    <cellStyle name="Normal 8 7 2 2 2" xfId="11042" xr:uid="{BD705979-4C20-4C04-8AF0-096A1C63DECC}"/>
    <cellStyle name="Normal 8 7 2 2 2 2" xfId="33528" xr:uid="{0F3235EE-3EAC-4D32-B060-58B018F916BD}"/>
    <cellStyle name="Normal 8 7 2 2 3" xfId="27316" xr:uid="{A2F56FAE-E345-40C1-8525-5FF79196DCA4}"/>
    <cellStyle name="Normal 8 7 2 3" xfId="8982" xr:uid="{70245F29-E2F1-4012-A4FD-2D6825A44803}"/>
    <cellStyle name="Normal 8 7 2 3 2" xfId="31560" xr:uid="{3E96344F-1AC0-4830-8C78-E6CE2C1B6161}"/>
    <cellStyle name="Normal 8 7 2 4" xfId="25423" xr:uid="{593D19BB-95C2-42EE-8837-8480BE56780B}"/>
    <cellStyle name="Normal 8 7 3" xfId="3355" xr:uid="{00000000-0005-0000-0000-00003A070000}"/>
    <cellStyle name="Normal 8 7 3 2" xfId="10263" xr:uid="{F2629525-66A7-448D-9CA0-FC807480D374}"/>
    <cellStyle name="Normal 8 7 3 2 2" xfId="32757" xr:uid="{CDAA3369-FC44-4A53-8423-0FC16E93A334}"/>
    <cellStyle name="Normal 8 7 3 3" xfId="26584" xr:uid="{FE922CAF-406B-4AEC-B96F-F7CB17A5782B}"/>
    <cellStyle name="Normal 8 7 4" xfId="8313" xr:uid="{E998F3A6-88F1-4D09-954A-DE09ECF8513B}"/>
    <cellStyle name="Normal 8 7 4 2" xfId="30911" xr:uid="{D0C0636E-BB1C-4F6C-9279-84B1EE127FEF}"/>
    <cellStyle name="Normal 8 7 5" xfId="24685" xr:uid="{A2664C5A-75C4-4939-AFF2-929505B4DBBF}"/>
    <cellStyle name="Normal 8 8" xfId="1420" xr:uid="{00000000-0005-0000-0000-00003E070000}"/>
    <cellStyle name="Normal 8 8 2" xfId="2149" xr:uid="{00000000-0005-0000-0000-00003F070000}"/>
    <cellStyle name="Normal 8 8 2 2" xfId="4242" xr:uid="{00000000-0005-0000-0000-00003D070000}"/>
    <cellStyle name="Normal 8 8 2 2 2" xfId="11146" xr:uid="{C30AFC96-C3EB-4F4A-8510-F1AFC192D5BF}"/>
    <cellStyle name="Normal 8 8 2 2 2 2" xfId="33632" xr:uid="{6F148F2D-9DAC-43CF-939E-07DCFCFC77F1}"/>
    <cellStyle name="Normal 8 8 2 2 3" xfId="27414" xr:uid="{D54BAAB0-8B4F-4960-BFC8-358F85C583F1}"/>
    <cellStyle name="Normal 8 8 2 3" xfId="9066" xr:uid="{E0EB33FD-339A-4F37-B15D-94A696B1DD34}"/>
    <cellStyle name="Normal 8 8 2 3 2" xfId="31642" xr:uid="{50D8AC99-8ECD-4C31-9665-C552F534C22F}"/>
    <cellStyle name="Normal 8 8 2 4" xfId="25519" xr:uid="{CB9D216C-EED8-434F-A9A8-737660256591}"/>
    <cellStyle name="Normal 8 8 3" xfId="3521" xr:uid="{00000000-0005-0000-0000-00003C070000}"/>
    <cellStyle name="Normal 8 8 3 2" xfId="10428" xr:uid="{C10985C2-E32E-410B-96D0-A9EDAD6680C3}"/>
    <cellStyle name="Normal 8 8 3 2 2" xfId="32915" xr:uid="{51225A22-85BF-4924-983A-9E83D02AB750}"/>
    <cellStyle name="Normal 8 8 3 3" xfId="26734" xr:uid="{BAFECAB0-27BF-4A50-97DA-161C828FDC52}"/>
    <cellStyle name="Normal 8 8 4" xfId="8463" xr:uid="{ABCA829C-A738-4DAB-B4EC-8A23519A6179}"/>
    <cellStyle name="Normal 8 8 4 2" xfId="31050" xr:uid="{CFA4955B-93F6-470C-BFE9-AA9B69ABFF4E}"/>
    <cellStyle name="Normal 8 8 5" xfId="24843" xr:uid="{0F769F7D-D337-4CFB-A6B2-E9A715A86C0A}"/>
    <cellStyle name="Normal 8 9" xfId="1473" xr:uid="{00000000-0005-0000-0000-000040070000}"/>
    <cellStyle name="Normal 8 9 2" xfId="2200" xr:uid="{00000000-0005-0000-0000-000041070000}"/>
    <cellStyle name="Normal 8 9 2 2" xfId="4293" xr:uid="{00000000-0005-0000-0000-00003F070000}"/>
    <cellStyle name="Normal 8 9 2 2 2" xfId="11197" xr:uid="{6415031D-32AA-46DA-A28F-AB50492B2DB9}"/>
    <cellStyle name="Normal 8 9 2 2 2 2" xfId="33683" xr:uid="{731792E9-B697-4200-86DE-C8BB78C97983}"/>
    <cellStyle name="Normal 8 9 2 2 3" xfId="27465" xr:uid="{745A27B5-6DAE-4AED-8B95-7AD6EC8C3168}"/>
    <cellStyle name="Normal 8 9 2 3" xfId="9113" xr:uid="{6ECE92E8-A527-45C8-9F60-7FA9BC2F66B5}"/>
    <cellStyle name="Normal 8 9 2 3 2" xfId="31689" xr:uid="{CA85B69D-A051-4C3B-947B-AD3A5ED9D308}"/>
    <cellStyle name="Normal 8 9 2 4" xfId="25568" xr:uid="{F37E3F19-4B89-4993-8692-A6666C9D1DCD}"/>
    <cellStyle name="Normal 8 9 3" xfId="3574" xr:uid="{00000000-0005-0000-0000-00003E070000}"/>
    <cellStyle name="Normal 8 9 3 2" xfId="10479" xr:uid="{E6DA109F-67A1-446D-A666-40B1D28D37B6}"/>
    <cellStyle name="Normal 8 9 3 2 2" xfId="32966" xr:uid="{5CE1186E-2B3A-423E-9B30-AB109CBAA456}"/>
    <cellStyle name="Normal 8 9 3 3" xfId="26787" xr:uid="{C9819B7C-61DF-4CD5-8ECE-2EDC8A4ACDF3}"/>
    <cellStyle name="Normal 8 9 4" xfId="8515" xr:uid="{DBF106B0-8C8A-47E8-B773-D48C8FE62A25}"/>
    <cellStyle name="Normal 8 9 4 2" xfId="31102" xr:uid="{4AAFDA91-F5FE-46DA-B34F-CD25D8AFBC6F}"/>
    <cellStyle name="Normal 8 9 5" xfId="24895" xr:uid="{D540C471-2EB1-4F6C-A113-F75B783BDC1B}"/>
    <cellStyle name="Normal 9" xfId="98" xr:uid="{00000000-0005-0000-0000-000042070000}"/>
    <cellStyle name="Normal 9 10" xfId="1532" xr:uid="{00000000-0005-0000-0000-000043070000}"/>
    <cellStyle name="Normal 9 10 2" xfId="3633" xr:uid="{00000000-0005-0000-0000-000041070000}"/>
    <cellStyle name="Normal 9 10 2 2" xfId="10537" xr:uid="{891DB1E2-90A4-4A8B-9766-F1FD37A81D4B}"/>
    <cellStyle name="Normal 9 10 2 2 2" xfId="33023" xr:uid="{7B5332A4-8D0A-44E1-AD1C-DCB253595841}"/>
    <cellStyle name="Normal 9 10 2 3" xfId="26844" xr:uid="{4BC925E7-4D64-45EE-BB7B-44DDEB3998F9}"/>
    <cellStyle name="Normal 9 10 3" xfId="8569" xr:uid="{6B044822-3BDB-4190-967A-F71D461907D8}"/>
    <cellStyle name="Normal 9 10 3 2" xfId="31156" xr:uid="{88CD2DE6-790C-4986-B881-E0191E9CFFF0}"/>
    <cellStyle name="Normal 9 10 4" xfId="24954" xr:uid="{10642A98-EBED-4AC5-B0CA-D2D6AF22CD00}"/>
    <cellStyle name="Normal 9 11" xfId="2310" xr:uid="{00000000-0005-0000-0000-000040070000}"/>
    <cellStyle name="Normal 9 11 2" xfId="9220" xr:uid="{21D95F61-FDC0-43A1-80D0-92CD599D9B7D}"/>
    <cellStyle name="Normal 9 11 2 2" xfId="31795" xr:uid="{F8A5D82D-4C44-4DF0-8C79-DDC9856BD0EE}"/>
    <cellStyle name="Normal 9 11 3" xfId="25673" xr:uid="{CFB71477-5829-4D7F-9413-B85161242C55}"/>
    <cellStyle name="Normal 9 12" xfId="7302" xr:uid="{F2218F85-A39C-4B80-876C-6D1DEB808DC6}"/>
    <cellStyle name="Normal 9 12 2" xfId="29990" xr:uid="{D029B5F8-1722-4026-B098-7E9224EB8525}"/>
    <cellStyle name="Normal 9 13" xfId="23684" xr:uid="{B366F024-941E-4EB3-9114-CF1F85E5E01E}"/>
    <cellStyle name="Normal 9 2" xfId="305" xr:uid="{00000000-0005-0000-0000-000044070000}"/>
    <cellStyle name="Normal 9 2 2" xfId="1588" xr:uid="{00000000-0005-0000-0000-000045070000}"/>
    <cellStyle name="Normal 9 2 2 2" xfId="3689" xr:uid="{00000000-0005-0000-0000-000043070000}"/>
    <cellStyle name="Normal 9 2 2 2 2" xfId="10593" xr:uid="{F3BDC944-C583-42E5-BE4F-B215F3786538}"/>
    <cellStyle name="Normal 9 2 2 2 2 2" xfId="33079" xr:uid="{97783912-ED44-493D-B987-1F8232892D15}"/>
    <cellStyle name="Normal 9 2 2 2 3" xfId="26900" xr:uid="{BEAD7B1A-85F2-4380-AE9C-B6AAFA8C9CCE}"/>
    <cellStyle name="Normal 9 2 2 3" xfId="8623" xr:uid="{66CAA407-CB90-4B5E-A75E-94900F516CA8}"/>
    <cellStyle name="Normal 9 2 2 3 2" xfId="31209" xr:uid="{2A1CF426-DA75-4873-8E8B-B3F961290926}"/>
    <cellStyle name="Normal 9 2 2 4" xfId="25009" xr:uid="{49D0C324-FF4B-4F48-91EF-4EFECF069FD8}"/>
    <cellStyle name="Normal 9 2 3" xfId="2469" xr:uid="{00000000-0005-0000-0000-000042070000}"/>
    <cellStyle name="Normal 9 2 3 2" xfId="9378" xr:uid="{240F64F6-FF15-45CD-8AE2-A4122C64014D}"/>
    <cellStyle name="Normal 9 2 3 2 2" xfId="31941" xr:uid="{E1DEEF7B-C3D3-4423-A996-A0A1402FF685}"/>
    <cellStyle name="Normal 9 2 3 3" xfId="25808" xr:uid="{88A8D51E-18B8-4178-9616-7837EB033350}"/>
    <cellStyle name="Normal 9 2 4" xfId="7470" xr:uid="{0BC801D8-7FAA-4D4E-9810-977939116011}"/>
    <cellStyle name="Normal 9 2 4 2" xfId="30140" xr:uid="{E54EAF4E-1D71-4A65-957D-1839A72C282F}"/>
    <cellStyle name="Normal 9 2 5" xfId="23864" xr:uid="{2275976A-4CF6-4478-A208-E5201BD9122C}"/>
    <cellStyle name="Normal 9 3" xfId="470" xr:uid="{00000000-0005-0000-0000-000046070000}"/>
    <cellStyle name="Normal 9 3 2" xfId="1673" xr:uid="{00000000-0005-0000-0000-000047070000}"/>
    <cellStyle name="Normal 9 3 2 2" xfId="3771" xr:uid="{00000000-0005-0000-0000-000045070000}"/>
    <cellStyle name="Normal 9 3 2 2 2" xfId="10675" xr:uid="{381F2471-709B-4E22-BF48-DEF5CCE96F9A}"/>
    <cellStyle name="Normal 9 3 2 2 2 2" xfId="33161" xr:uid="{C9A81EC0-ED5A-4F88-B143-08A572F6A82E}"/>
    <cellStyle name="Normal 9 3 2 2 3" xfId="26978" xr:uid="{48DEDDE8-F2A1-4DA9-A796-3D569776CFDE}"/>
    <cellStyle name="Normal 9 3 2 3" xfId="8688" xr:uid="{20850CB3-5F46-4C03-A6E9-BAC271A5B10A}"/>
    <cellStyle name="Normal 9 3 2 3 2" xfId="31273" xr:uid="{E4094463-94D8-4E51-B184-49BAFBBF59FD}"/>
    <cellStyle name="Normal 9 3 2 4" xfId="25088" xr:uid="{22A3FA2A-A832-46E0-BEA9-3195D0A820DC}"/>
    <cellStyle name="Normal 9 3 3" xfId="2622" xr:uid="{00000000-0005-0000-0000-000044070000}"/>
    <cellStyle name="Normal 9 3 3 2" xfId="9531" xr:uid="{3153437F-4F0D-426A-9EB1-C170BFF1F83B}"/>
    <cellStyle name="Normal 9 3 3 2 2" xfId="32082" xr:uid="{A58F6F48-BDBE-4B3F-9838-7A20A82DC563}"/>
    <cellStyle name="Normal 9 3 3 3" xfId="25942" xr:uid="{81D59D0A-CCB7-47FC-9F2C-58E2D38EA378}"/>
    <cellStyle name="Normal 9 3 4" xfId="7616" xr:uid="{C3CA837D-27BD-4A27-83B6-3EE0F6DD9709}"/>
    <cellStyle name="Normal 9 3 4 2" xfId="30277" xr:uid="{3AAA79BF-4841-4FED-B13E-EDE57440E3CE}"/>
    <cellStyle name="Normal 9 3 5" xfId="24004" xr:uid="{049656CB-58B2-43A4-805D-48DAF3127D72}"/>
    <cellStyle name="Normal 9 4" xfId="694" xr:uid="{00000000-0005-0000-0000-000048070000}"/>
    <cellStyle name="Normal 9 4 2" xfId="1770" xr:uid="{00000000-0005-0000-0000-000049070000}"/>
    <cellStyle name="Normal 9 4 2 2" xfId="3868" xr:uid="{00000000-0005-0000-0000-000047070000}"/>
    <cellStyle name="Normal 9 4 2 2 2" xfId="10772" xr:uid="{17B2312A-9F6B-4762-944F-1B9BA5C32362}"/>
    <cellStyle name="Normal 9 4 2 2 2 2" xfId="33258" xr:uid="{15DBA14E-D5FB-4823-AA16-8DE0278BC633}"/>
    <cellStyle name="Normal 9 4 2 2 3" xfId="27067" xr:uid="{319A5989-A0A8-4586-AE16-6898610317FD}"/>
    <cellStyle name="Normal 9 4 2 3" xfId="8770" xr:uid="{BF68026A-830E-4F59-9197-7E82610C082D}"/>
    <cellStyle name="Normal 9 4 2 3 2" xfId="31353" xr:uid="{0BB2CA16-BCFA-4C65-9261-0047E63B56BE}"/>
    <cellStyle name="Normal 9 4 2 4" xfId="25176" xr:uid="{9AB4B511-686D-4659-947A-47046500320F}"/>
    <cellStyle name="Normal 9 4 3" xfId="2836" xr:uid="{00000000-0005-0000-0000-000046070000}"/>
    <cellStyle name="Normal 9 4 3 2" xfId="9745" xr:uid="{80266412-EE56-4E7D-9CFA-8B39A2B839D7}"/>
    <cellStyle name="Normal 9 4 3 2 2" xfId="32282" xr:uid="{A4870C96-C484-4A10-A1A7-BCF85833ABB1}"/>
    <cellStyle name="Normal 9 4 3 3" xfId="26131" xr:uid="{6817BCAB-3DDA-4C05-9AB5-76D1F2E263E9}"/>
    <cellStyle name="Normal 9 4 4" xfId="7818" xr:uid="{1860F699-A7C0-4325-AD2E-ACE6A4D7D3AD}"/>
    <cellStyle name="Normal 9 4 4 2" xfId="30452" xr:uid="{E39BE0F5-0B24-4539-BD63-0FA8563B4E07}"/>
    <cellStyle name="Normal 9 4 5" xfId="24205" xr:uid="{68548E7E-1339-4945-8F97-2D044C6CF8AB}"/>
    <cellStyle name="Normal 9 5" xfId="886" xr:uid="{00000000-0005-0000-0000-00004A070000}"/>
    <cellStyle name="Normal 9 5 2" xfId="1859" xr:uid="{00000000-0005-0000-0000-00004B070000}"/>
    <cellStyle name="Normal 9 5 2 2" xfId="3957" xr:uid="{00000000-0005-0000-0000-000049070000}"/>
    <cellStyle name="Normal 9 5 2 2 2" xfId="10861" xr:uid="{DCC44E59-C16D-46CB-9C1F-6D08342E4A6E}"/>
    <cellStyle name="Normal 9 5 2 2 2 2" xfId="33347" xr:uid="{8C1C6C77-227E-4B54-B2E0-F3103125CF1A}"/>
    <cellStyle name="Normal 9 5 2 2 3" xfId="27148" xr:uid="{EF68E58D-D2C2-49C8-903D-9D77067AEBCD}"/>
    <cellStyle name="Normal 9 5 2 3" xfId="8842" xr:uid="{3EA1FC27-A161-4D5C-92FE-B8E1E6A8147A}"/>
    <cellStyle name="Normal 9 5 2 3 2" xfId="31423" xr:uid="{9E077D09-25FC-48A5-B294-FBB1A21195B4}"/>
    <cellStyle name="Normal 9 5 2 4" xfId="25255" xr:uid="{AF4CA3D6-3D2C-4FFB-BD03-4788C20CB37C}"/>
    <cellStyle name="Normal 9 5 3" xfId="3016" xr:uid="{00000000-0005-0000-0000-000048070000}"/>
    <cellStyle name="Normal 9 5 3 2" xfId="9925" xr:uid="{4A6F684A-4E86-43BF-8CE9-44949BAE829B}"/>
    <cellStyle name="Normal 9 5 3 2 2" xfId="32445" xr:uid="{5C4A49EB-040A-44B9-88AC-B234E1B0CA29}"/>
    <cellStyle name="Normal 9 5 3 3" xfId="26283" xr:uid="{2CBC2EA5-9335-48BF-9B14-C62B2435334B}"/>
    <cellStyle name="Normal 9 5 4" xfId="7989" xr:uid="{358FA8FA-8334-45AF-B3CA-6186C6155B0C}"/>
    <cellStyle name="Normal 9 5 4 2" xfId="30611" xr:uid="{DFCF39CD-EEFB-48B9-9FF3-DE6DDD0B4B76}"/>
    <cellStyle name="Normal 9 5 5" xfId="24370" xr:uid="{BF48C8A7-2B67-47F0-B0D1-8ADA69B03B84}"/>
    <cellStyle name="Normal 9 6" xfId="1068" xr:uid="{00000000-0005-0000-0000-00004C070000}"/>
    <cellStyle name="Normal 9 6 2" xfId="1954" xr:uid="{00000000-0005-0000-0000-00004D070000}"/>
    <cellStyle name="Normal 9 6 2 2" xfId="4050" xr:uid="{00000000-0005-0000-0000-00004B070000}"/>
    <cellStyle name="Normal 9 6 2 2 2" xfId="10954" xr:uid="{5AB2025D-4DE0-421E-A518-A7E3B2011E04}"/>
    <cellStyle name="Normal 9 6 2 2 2 2" xfId="33440" xr:uid="{76042356-DFC9-4DEE-B2F6-023CB83F97C2}"/>
    <cellStyle name="Normal 9 6 2 2 3" xfId="27235" xr:uid="{3CC6C0A3-8A35-4454-97C1-229183B65B36}"/>
    <cellStyle name="Normal 9 6 2 3" xfId="8912" xr:uid="{54EFD2BA-2BDA-4E34-B7A3-5013844D23BC}"/>
    <cellStyle name="Normal 9 6 2 3 2" xfId="31491" xr:uid="{8B5FFE1F-9A0E-4E35-9B4E-4C54D31DF9E2}"/>
    <cellStyle name="Normal 9 6 2 4" xfId="25340" xr:uid="{E75E52CA-BA2D-4A25-8425-4DAD4964DBC8}"/>
    <cellStyle name="Normal 9 6 3" xfId="3188" xr:uid="{00000000-0005-0000-0000-00004A070000}"/>
    <cellStyle name="Normal 9 6 3 2" xfId="10097" xr:uid="{E282A1E6-B423-4F76-8162-EAA90565B6AF}"/>
    <cellStyle name="Normal 9 6 3 2 2" xfId="32604" xr:uid="{2D665CBB-C593-47AA-95DA-D823A2DDADB9}"/>
    <cellStyle name="Normal 9 6 3 3" xfId="26436" xr:uid="{A2D85AF8-E9D2-4034-81A4-4FA3EBFC67B8}"/>
    <cellStyle name="Normal 9 6 4" xfId="8151" xr:uid="{5F49C637-A5CE-4CDD-B47D-CEBCE0A80324}"/>
    <cellStyle name="Normal 9 6 4 2" xfId="30763" xr:uid="{31F03BD7-635B-4B7E-976D-C9B8F33FA87D}"/>
    <cellStyle name="Normal 9 6 5" xfId="24534" xr:uid="{035D4D88-2E5A-478C-98C2-9DCCFD8B1443}"/>
    <cellStyle name="Normal 9 7" xfId="1246" xr:uid="{00000000-0005-0000-0000-00004E070000}"/>
    <cellStyle name="Normal 9 7 2" xfId="2044" xr:uid="{00000000-0005-0000-0000-00004F070000}"/>
    <cellStyle name="Normal 9 7 2 2" xfId="4139" xr:uid="{00000000-0005-0000-0000-00004D070000}"/>
    <cellStyle name="Normal 9 7 2 2 2" xfId="11043" xr:uid="{028BCFCE-510A-4FC5-9B13-BEA2D44E3D49}"/>
    <cellStyle name="Normal 9 7 2 2 2 2" xfId="33529" xr:uid="{15C7832C-FC82-44A1-8EA0-29CF88528A0C}"/>
    <cellStyle name="Normal 9 7 2 2 3" xfId="27317" xr:uid="{593A8BD4-0668-45F0-83DE-365D7A72E7D0}"/>
    <cellStyle name="Normal 9 7 2 3" xfId="8983" xr:uid="{E6BD4E89-6CCB-46A9-82B0-9C13E313D0E4}"/>
    <cellStyle name="Normal 9 7 2 3 2" xfId="31561" xr:uid="{7ADD6D12-8391-4252-93ED-10BF7AA0CAFF}"/>
    <cellStyle name="Normal 9 7 2 4" xfId="25424" xr:uid="{F355D8D6-EC40-4DDE-8936-663C818526EC}"/>
    <cellStyle name="Normal 9 7 3" xfId="3356" xr:uid="{00000000-0005-0000-0000-00004C070000}"/>
    <cellStyle name="Normal 9 7 3 2" xfId="10264" xr:uid="{B4DEBAFC-4395-47BB-9FB5-FBBDAE4751A2}"/>
    <cellStyle name="Normal 9 7 3 2 2" xfId="32758" xr:uid="{892E24A8-D48E-45EE-95ED-59B711357ADA}"/>
    <cellStyle name="Normal 9 7 3 3" xfId="26585" xr:uid="{BCC616B6-F5CF-4657-80F2-F2208F2D126C}"/>
    <cellStyle name="Normal 9 7 4" xfId="8314" xr:uid="{949DA61D-9162-4F04-82F1-0AC2657D57A7}"/>
    <cellStyle name="Normal 9 7 4 2" xfId="30912" xr:uid="{38A876E3-A01C-48EC-A0B8-A6238BA40A25}"/>
    <cellStyle name="Normal 9 7 5" xfId="24686" xr:uid="{64BCD8AE-1C6C-4A6D-9DDA-388089F2EEFC}"/>
    <cellStyle name="Normal 9 8" xfId="1413" xr:uid="{00000000-0005-0000-0000-000050070000}"/>
    <cellStyle name="Normal 9 8 2" xfId="2142" xr:uid="{00000000-0005-0000-0000-000051070000}"/>
    <cellStyle name="Normal 9 8 2 2" xfId="4235" xr:uid="{00000000-0005-0000-0000-00004F070000}"/>
    <cellStyle name="Normal 9 8 2 2 2" xfId="11139" xr:uid="{6C648DBA-5E1C-4D27-8FFD-ABAD201928D3}"/>
    <cellStyle name="Normal 9 8 2 2 2 2" xfId="33625" xr:uid="{CACFDA88-7A02-4EAE-8912-13B6BC4BC303}"/>
    <cellStyle name="Normal 9 8 2 2 3" xfId="27407" xr:uid="{45F2D8BA-B071-4F30-89BC-C9C500773B71}"/>
    <cellStyle name="Normal 9 8 2 3" xfId="9059" xr:uid="{462E23CF-B021-40C4-8271-8A46F191A41A}"/>
    <cellStyle name="Normal 9 8 2 3 2" xfId="31635" xr:uid="{1420DDD2-337E-46D6-944D-70594D5E81BE}"/>
    <cellStyle name="Normal 9 8 2 4" xfId="25512" xr:uid="{2B7A2876-D114-4229-A53C-8F5013FA6998}"/>
    <cellStyle name="Normal 9 8 3" xfId="3514" xr:uid="{00000000-0005-0000-0000-00004E070000}"/>
    <cellStyle name="Normal 9 8 3 2" xfId="10421" xr:uid="{F8CE302F-40ED-4DF6-85E1-AEE3D24B382C}"/>
    <cellStyle name="Normal 9 8 3 2 2" xfId="32908" xr:uid="{5E97EB28-F572-4986-AF6E-0D8A95833A14}"/>
    <cellStyle name="Normal 9 8 3 3" xfId="26727" xr:uid="{9F427DFF-DA38-4D06-9E44-29F1E7C536E7}"/>
    <cellStyle name="Normal 9 8 4" xfId="8456" xr:uid="{6D871A06-FFF5-4A88-AC5C-660749CEBFBE}"/>
    <cellStyle name="Normal 9 8 4 2" xfId="31043" xr:uid="{0F937DEE-4181-4351-A60A-56BE7B106FE7}"/>
    <cellStyle name="Normal 9 8 5" xfId="24836" xr:uid="{F6C8B024-3650-4707-92D2-29B81D16A2BB}"/>
    <cellStyle name="Normal 9 9" xfId="1474" xr:uid="{00000000-0005-0000-0000-000052070000}"/>
    <cellStyle name="Normal 9 9 2" xfId="2201" xr:uid="{00000000-0005-0000-0000-000053070000}"/>
    <cellStyle name="Normal 9 9 2 2" xfId="4294" xr:uid="{00000000-0005-0000-0000-000051070000}"/>
    <cellStyle name="Normal 9 9 2 2 2" xfId="11198" xr:uid="{D87807C4-5EC7-4946-8B2E-F01DF5CA3F50}"/>
    <cellStyle name="Normal 9 9 2 2 2 2" xfId="33684" xr:uid="{1ABC7ADF-A107-42DA-A108-2B35C3009268}"/>
    <cellStyle name="Normal 9 9 2 2 3" xfId="27466" xr:uid="{4EDE8C6A-7A0A-4F03-8052-7E7752D9DBA0}"/>
    <cellStyle name="Normal 9 9 2 3" xfId="9114" xr:uid="{5E8F4E8A-3ECB-415E-AFDE-4F87619E7A4E}"/>
    <cellStyle name="Normal 9 9 2 3 2" xfId="31690" xr:uid="{2F1F4E2F-3FD3-4347-AF67-0AE9FE55EBB6}"/>
    <cellStyle name="Normal 9 9 2 4" xfId="25569" xr:uid="{46706604-0B9C-40E3-90AE-3D0E2F940104}"/>
    <cellStyle name="Normal 9 9 3" xfId="3575" xr:uid="{00000000-0005-0000-0000-000050070000}"/>
    <cellStyle name="Normal 9 9 3 2" xfId="10480" xr:uid="{DAD50B62-86C5-4FB1-877E-FC018B08C263}"/>
    <cellStyle name="Normal 9 9 3 2 2" xfId="32967" xr:uid="{9691EBA6-919A-4C28-AB5E-80A472C3981D}"/>
    <cellStyle name="Normal 9 9 3 3" xfId="26788" xr:uid="{19CDEBFE-1BFC-4FEF-992B-926D3E74B7D6}"/>
    <cellStyle name="Normal 9 9 4" xfId="8516" xr:uid="{59B7D9A3-7E67-4DC3-AD50-71BA66C2DE8D}"/>
    <cellStyle name="Normal 9 9 4 2" xfId="31103" xr:uid="{8CD4E3A6-2B3F-4EEB-AEC0-1E2299AD3F03}"/>
    <cellStyle name="Normal 9 9 5" xfId="24896" xr:uid="{66E7E923-97BD-4FDF-AD2F-A45CE0094BFC}"/>
    <cellStyle name="Note 2" xfId="82" xr:uid="{00000000-0005-0000-0000-000054070000}"/>
    <cellStyle name="Note 2 10" xfId="293" xr:uid="{00000000-0005-0000-0000-000055070000}"/>
    <cellStyle name="Note 2 10 10" xfId="53285" xr:uid="{2A23AE1E-2589-4A5C-9B4B-23B3CBD387E4}"/>
    <cellStyle name="Note 2 10 2" xfId="1578" xr:uid="{00000000-0005-0000-0000-000056070000}"/>
    <cellStyle name="Note 2 10 2 10" xfId="14315" xr:uid="{FA1BA3E1-FBA2-48F7-8528-E645969E9341}"/>
    <cellStyle name="Note 2 10 2 10 2" xfId="36784" xr:uid="{31692FFC-2D03-4847-B023-842B0D3B4875}"/>
    <cellStyle name="Note 2 10 2 10 3" xfId="29307" xr:uid="{9A0FB868-C92B-447E-8A48-B5F8CD615BE1}"/>
    <cellStyle name="Note 2 10 2 11" xfId="20973" xr:uid="{61022375-6968-4832-A2D7-73598BDEE842}"/>
    <cellStyle name="Note 2 10 2 11 2" xfId="43227" xr:uid="{F5561E04-8955-4229-B2D0-45C1CFEE2FCD}"/>
    <cellStyle name="Note 2 10 2 11 3" xfId="49313" xr:uid="{0BE71A4D-1B46-4A0B-BA08-BA23171C4807}"/>
    <cellStyle name="Note 2 10 2 12" xfId="19823" xr:uid="{6053DEAF-C08D-44A9-977F-722B516FD1AD}"/>
    <cellStyle name="Note 2 10 2 12 2" xfId="26475" xr:uid="{CD5738D3-B9E9-44C7-A36F-4E25C5A8D90E}"/>
    <cellStyle name="Note 2 10 2 13" xfId="29711" xr:uid="{103A9A06-8B39-493F-B1C4-409B5C8FFA27}"/>
    <cellStyle name="Note 2 10 2 2" xfId="3679" xr:uid="{00000000-0005-0000-0000-000054070000}"/>
    <cellStyle name="Note 2 10 2 2 2" xfId="10583" xr:uid="{690F5FB1-B966-43FA-AB07-50638D07056B}"/>
    <cellStyle name="Note 2 10 2 2 2 2" xfId="33069" xr:uid="{884CB994-FA79-4CD2-BF30-B6B06E906523}"/>
    <cellStyle name="Note 2 10 2 2 2 3" xfId="47020" xr:uid="{616EDDCF-51C8-4204-9CD7-FF274AAC37B3}"/>
    <cellStyle name="Note 2 10 2 2 3" xfId="15784" xr:uid="{6DDDFED1-131B-45DF-AE92-F2186E46CC66}"/>
    <cellStyle name="Note 2 10 2 2 3 2" xfId="38194" xr:uid="{0B4111B3-EDAA-44ED-ADEC-7F0A0A61C16F}"/>
    <cellStyle name="Note 2 10 2 2 3 3" xfId="46715" xr:uid="{5FD514DF-7682-4F08-BC23-654FF98F958D}"/>
    <cellStyle name="Note 2 10 2 2 4" xfId="19775" xr:uid="{0B770244-7979-4E35-B6F2-B70382CAD79C}"/>
    <cellStyle name="Note 2 10 2 2 4 2" xfId="42366" xr:uid="{ACF9648E-B305-43E5-A1E9-907FBDC432A0}"/>
    <cellStyle name="Note 2 10 2 2 5" xfId="42992" xr:uid="{EE75DA83-9109-4A88-B926-0F9EA926B8ED}"/>
    <cellStyle name="Note 2 10 2 3" xfId="5130" xr:uid="{00000000-0005-0000-0000-000054070000}"/>
    <cellStyle name="Note 2 10 2 3 2" xfId="12023" xr:uid="{166D380A-91FD-4C08-A1BC-B2C4C32D1C23}"/>
    <cellStyle name="Note 2 10 2 3 2 2" xfId="34509" xr:uid="{74BA1E2F-8236-4F5C-909B-CAC92C65B302}"/>
    <cellStyle name="Note 2 10 2 3 2 3" xfId="23806" xr:uid="{1B66ABCE-4304-4AC0-BF55-36462B6B633A}"/>
    <cellStyle name="Note 2 10 2 3 3" xfId="17067" xr:uid="{C87A4A6A-477A-4EA2-A76F-7437667C5B47}"/>
    <cellStyle name="Note 2 10 2 3 3 2" xfId="39457" xr:uid="{27212C34-1947-46AD-96CD-1851C3555297}"/>
    <cellStyle name="Note 2 10 2 3 3 3" xfId="44254" xr:uid="{3101C1AD-BAB8-4144-9869-283582BC184F}"/>
    <cellStyle name="Note 2 10 2 3 4" xfId="21491" xr:uid="{3956F20F-01B3-409D-82C4-D6FF759418EF}"/>
    <cellStyle name="Note 2 10 2 3 4 2" xfId="47366" xr:uid="{439EB507-7EE1-407D-9FFD-60FDFA92B37F}"/>
    <cellStyle name="Note 2 10 2 3 5" xfId="47821" xr:uid="{45374C65-81A4-47C1-889F-030C39FD98D1}"/>
    <cellStyle name="Note 2 10 2 4" xfId="4386" xr:uid="{00000000-0005-0000-0000-000054070000}"/>
    <cellStyle name="Note 2 10 2 4 2" xfId="11288" xr:uid="{339E33A7-7DBC-4B34-B42E-4ABBF5BC62E9}"/>
    <cellStyle name="Note 2 10 2 4 2 2" xfId="33774" xr:uid="{E9977FF8-3E1E-4F25-85EB-0E48B86FE40B}"/>
    <cellStyle name="Note 2 10 2 4 2 3" xfId="45581" xr:uid="{97CEC737-80A1-497B-B076-F11CC7CBE1F0}"/>
    <cellStyle name="Note 2 10 2 4 3" xfId="16323" xr:uid="{8BC8C720-0E49-46C4-9F7D-F7F788088ABE}"/>
    <cellStyle name="Note 2 10 2 4 3 2" xfId="38713" xr:uid="{76E35007-9058-41EF-BE0A-7CDF96E4EF69}"/>
    <cellStyle name="Note 2 10 2 4 3 3" xfId="24677" xr:uid="{50BE9AC0-D1E2-4C0C-BEBF-A29A71587FA8}"/>
    <cellStyle name="Note 2 10 2 4 4" xfId="19373" xr:uid="{305406B6-ADE7-45DE-B470-C2E0BC63A4C8}"/>
    <cellStyle name="Note 2 10 2 4 4 2" xfId="29884" xr:uid="{F7521E49-F2AA-4941-9FD3-80CF3E4FC8BF}"/>
    <cellStyle name="Note 2 10 2 4 5" xfId="47116" xr:uid="{53F0722D-44ED-4A8D-B7BD-1D34A2F1E652}"/>
    <cellStyle name="Note 2 10 2 5" xfId="5119" xr:uid="{00000000-0005-0000-0000-000054070000}"/>
    <cellStyle name="Note 2 10 2 5 2" xfId="12012" xr:uid="{F208F78B-0D81-4111-AC33-31951E9CEC50}"/>
    <cellStyle name="Note 2 10 2 5 2 2" xfId="34498" xr:uid="{98CD9908-00BD-4123-89C9-DC6FCE7FDACF}"/>
    <cellStyle name="Note 2 10 2 5 2 3" xfId="24377" xr:uid="{B8790BAF-C42A-475E-8EDB-BF54401865D9}"/>
    <cellStyle name="Note 2 10 2 5 3" xfId="17056" xr:uid="{932C5ADB-8FB6-4AD5-9628-95B54E28B0E3}"/>
    <cellStyle name="Note 2 10 2 5 3 2" xfId="39446" xr:uid="{15BB822E-54C7-4004-B4BF-536AE997E5E4}"/>
    <cellStyle name="Note 2 10 2 5 3 3" xfId="45016" xr:uid="{16F4C4E1-78DF-4449-BEA7-FDA970AB62C6}"/>
    <cellStyle name="Note 2 10 2 5 4" xfId="21480" xr:uid="{CA48E7F9-1AED-448D-A916-0BBDA6116BBE}"/>
    <cellStyle name="Note 2 10 2 5 4 2" xfId="44619" xr:uid="{AAF98E23-BD2B-44FC-A4ED-E0560C9518AE}"/>
    <cellStyle name="Note 2 10 2 5 5" xfId="52076" xr:uid="{4CF103CA-7861-4862-8222-720176E2227F}"/>
    <cellStyle name="Note 2 10 2 6" xfId="5141" xr:uid="{00000000-0005-0000-0000-000054070000}"/>
    <cellStyle name="Note 2 10 2 6 2" xfId="12034" xr:uid="{E9A958B7-D626-49C7-9EFF-7DC702F1BC64}"/>
    <cellStyle name="Note 2 10 2 6 2 2" xfId="34520" xr:uid="{86CDEB1E-7879-424E-92A1-7E1DA60D60AF}"/>
    <cellStyle name="Note 2 10 2 6 2 3" xfId="45005" xr:uid="{6E550D8D-66C1-430C-9944-776BFE2A962C}"/>
    <cellStyle name="Note 2 10 2 6 3" xfId="17078" xr:uid="{9B148DAF-5D27-4B13-9949-EE1F17720863}"/>
    <cellStyle name="Note 2 10 2 6 3 2" xfId="39468" xr:uid="{F1BA60B0-E45D-4101-BE69-73FF43D4DA6A}"/>
    <cellStyle name="Note 2 10 2 6 3 3" xfId="27614" xr:uid="{926A9E1C-167F-44F3-A7B6-14E764066BE8}"/>
    <cellStyle name="Note 2 10 2 6 4" xfId="21502" xr:uid="{D5B557B3-9349-4469-8268-D4B7E589793F}"/>
    <cellStyle name="Note 2 10 2 6 4 2" xfId="49569" xr:uid="{C2F47913-EF7A-4672-BC9D-571EFB251043}"/>
    <cellStyle name="Note 2 10 2 6 5" xfId="52816" xr:uid="{7840AEDD-B8F6-4CD2-9B17-0A68B0EB7A86}"/>
    <cellStyle name="Note 2 10 2 7" xfId="6187" xr:uid="{00000000-0005-0000-0000-000054070000}"/>
    <cellStyle name="Note 2 10 2 7 2" xfId="13062" xr:uid="{58ADE23F-A605-408D-9543-76A33CC0D2ED}"/>
    <cellStyle name="Note 2 10 2 7 2 2" xfId="35546" xr:uid="{2792A603-42E4-4C8E-9FD5-A6186AE60B87}"/>
    <cellStyle name="Note 2 10 2 7 2 3" xfId="51938" xr:uid="{54A9B12F-969A-4479-8B28-55AD3D490109}"/>
    <cellStyle name="Note 2 10 2 7 3" xfId="18124" xr:uid="{A6DFBA99-AF43-4CDB-9316-030474845C18}"/>
    <cellStyle name="Note 2 10 2 7 3 2" xfId="40514" xr:uid="{C3CAB002-7EBE-472B-AA23-C7C51741555D}"/>
    <cellStyle name="Note 2 10 2 7 3 3" xfId="29349" xr:uid="{FC88A3AE-BAB4-48C5-8028-01D91EE7B4A1}"/>
    <cellStyle name="Note 2 10 2 7 4" xfId="22548" xr:uid="{1DB5C070-C228-409F-910F-288C71D9A63A}"/>
    <cellStyle name="Note 2 10 2 7 4 2" xfId="27792" xr:uid="{59F66DE5-4631-4496-B5D3-55B0E0CC4D5E}"/>
    <cellStyle name="Note 2 10 2 7 5" xfId="43790" xr:uid="{737F209D-FFB9-4E00-A764-FC7508053546}"/>
    <cellStyle name="Note 2 10 2 8" xfId="6617" xr:uid="{00000000-0005-0000-0000-000054070000}"/>
    <cellStyle name="Note 2 10 2 8 2" xfId="13483" xr:uid="{DFD7D678-37B4-4E7B-81DF-C25235E4FFBC}"/>
    <cellStyle name="Note 2 10 2 8 2 2" xfId="35967" xr:uid="{2D4BFBC8-DD01-4524-8448-B24F6A0DBB00}"/>
    <cellStyle name="Note 2 10 2 8 2 3" xfId="52811" xr:uid="{8AEDAC54-9887-4DF4-8C7D-C1C9CA0C2BA5}"/>
    <cellStyle name="Note 2 10 2 8 3" xfId="18554" xr:uid="{A9FE02CA-3836-4C52-A7F0-D1E0226F9DCA}"/>
    <cellStyle name="Note 2 10 2 8 3 2" xfId="40944" xr:uid="{6579E549-54B6-489C-8FB3-1B6DF07ED2DC}"/>
    <cellStyle name="Note 2 10 2 8 3 3" xfId="26549" xr:uid="{9C05C0A9-1401-42EB-A487-179E6E16EB5A}"/>
    <cellStyle name="Note 2 10 2 8 4" xfId="22978" xr:uid="{7798339D-5AC1-4736-B369-6FA7E6DEEE72}"/>
    <cellStyle name="Note 2 10 2 8 4 2" xfId="25750" xr:uid="{2127A680-1C20-4FEE-83D3-1EAE488103E5}"/>
    <cellStyle name="Note 2 10 2 8 5" xfId="50447" xr:uid="{3B420ED6-88CB-454F-BCD5-0140C229CD0D}"/>
    <cellStyle name="Note 2 10 2 9" xfId="6742" xr:uid="{00000000-0005-0000-0000-000054070000}"/>
    <cellStyle name="Note 2 10 2 9 2" xfId="18679" xr:uid="{A11C7A8D-7CA8-4261-BC12-612B7EA22158}"/>
    <cellStyle name="Note 2 10 2 9 2 2" xfId="41069" xr:uid="{978D2D96-BDF1-431B-8343-03797113D5DD}"/>
    <cellStyle name="Note 2 10 2 9 2 3" xfId="29764" xr:uid="{340CDA0D-B9A0-496C-8350-80CF7E12ADC8}"/>
    <cellStyle name="Note 2 10 2 9 3" xfId="23103" xr:uid="{473D1418-3611-408B-894A-0541D3CA6B83}"/>
    <cellStyle name="Note 2 10 2 9 3 2" xfId="49339" xr:uid="{5F498BAE-A59E-40D9-8CDE-991B91FC4D4E}"/>
    <cellStyle name="Note 2 10 2 9 4" xfId="52426" xr:uid="{29CD50E6-9DA8-4801-9081-A05FC4B13C86}"/>
    <cellStyle name="Note 2 10 3" xfId="2292" xr:uid="{00000000-0005-0000-0000-000053070000}"/>
    <cellStyle name="Note 2 10 3 2" xfId="9203" xr:uid="{7520A15E-754F-4908-9DA9-9BB655A2BFA3}"/>
    <cellStyle name="Note 2 10 3 2 2" xfId="31778" xr:uid="{D883835A-5630-4F09-B655-BD459B1EA281}"/>
    <cellStyle name="Note 2 10 3 2 3" xfId="51622" xr:uid="{3EBC3EF0-2538-43CA-B1DC-DF50F5DD26A5}"/>
    <cellStyle name="Note 2 10 3 3" xfId="14859" xr:uid="{1E12438B-623F-4A9F-93B6-E7DFD639132C}"/>
    <cellStyle name="Note 2 10 3 3 2" xfId="37313" xr:uid="{51EC459B-D55E-472F-A2B8-7429A261EBF9}"/>
    <cellStyle name="Note 2 10 3 3 3" xfId="53666" xr:uid="{7D086CDE-8F33-490F-90A0-6254972C8059}"/>
    <cellStyle name="Note 2 10 3 4" xfId="21048" xr:uid="{B4201EB2-2F01-4E20-B97C-8C904D8ACF46}"/>
    <cellStyle name="Note 2 10 3 4 2" xfId="53742" xr:uid="{E4B053CE-D56D-4E4B-B55C-5A6A1B1F2D5C}"/>
    <cellStyle name="Note 2 10 3 5" xfId="47031" xr:uid="{05B7FB2E-04D7-490D-839B-446AA0C899BE}"/>
    <cellStyle name="Note 2 10 4" xfId="2838" xr:uid="{00000000-0005-0000-0000-000053070000}"/>
    <cellStyle name="Note 2 10 4 2" xfId="9747" xr:uid="{498E7013-DE2E-4155-9F3A-14F4EBE1B53F}"/>
    <cellStyle name="Note 2 10 4 2 2" xfId="32284" xr:uid="{BC046315-184A-41EB-A2C2-237B3D1B47C8}"/>
    <cellStyle name="Note 2 10 4 2 3" xfId="46309" xr:uid="{529485E5-E6B3-4CA3-BC49-924B512E7ED1}"/>
    <cellStyle name="Note 2 10 4 3" xfId="15232" xr:uid="{B7B52C6F-EB52-4F6D-817D-B9A36277EFD5}"/>
    <cellStyle name="Note 2 10 4 3 2" xfId="37668" xr:uid="{3589F4AB-206A-476B-8C9F-692B92F0B721}"/>
    <cellStyle name="Note 2 10 4 3 3" xfId="53062" xr:uid="{B914593B-A274-46E2-8AEE-3ACCD46859BB}"/>
    <cellStyle name="Note 2 10 4 4" xfId="21027" xr:uid="{D7293523-D2AF-4F24-B14A-DC9AE65971EA}"/>
    <cellStyle name="Note 2 10 4 4 2" xfId="46166" xr:uid="{764AD68C-C362-4082-B078-DEBBBA1901EE}"/>
    <cellStyle name="Note 2 10 4 5" xfId="32481" xr:uid="{34ECB762-E351-4131-82DE-7500B6B4B17B}"/>
    <cellStyle name="Note 2 10 5" xfId="4653" xr:uid="{00000000-0005-0000-0000-000053070000}"/>
    <cellStyle name="Note 2 10 5 2" xfId="11553" xr:uid="{EE470926-6D08-44B8-B85F-7EA9A17141A2}"/>
    <cellStyle name="Note 2 10 5 2 2" xfId="34039" xr:uid="{3E0A0783-C4D6-4B9C-9324-52931080C40D}"/>
    <cellStyle name="Note 2 10 5 2 3" xfId="45607" xr:uid="{E6B83F0F-F525-453A-A0B1-FCCF4328A141}"/>
    <cellStyle name="Note 2 10 5 3" xfId="16590" xr:uid="{1BDAF983-8C49-4FAC-A8F9-13493CE9F01B}"/>
    <cellStyle name="Note 2 10 5 3 2" xfId="38980" xr:uid="{C96AF5BA-63CA-4DB3-A21F-F5DC0629DF8B}"/>
    <cellStyle name="Note 2 10 5 3 3" xfId="27044" xr:uid="{4E17B93F-B171-4132-9085-FD9FCB96BAEC}"/>
    <cellStyle name="Note 2 10 5 4" xfId="19482" xr:uid="{8A328FD9-11DE-49FB-B6EA-284C00195495}"/>
    <cellStyle name="Note 2 10 5 4 2" xfId="28033" xr:uid="{9446A984-4FDA-4481-AC32-282EE1153295}"/>
    <cellStyle name="Note 2 10 5 5" xfId="51900" xr:uid="{9AF17C50-D2EA-4B6F-8E32-A82083AFF624}"/>
    <cellStyle name="Note 2 10 6" xfId="6727" xr:uid="{00000000-0005-0000-0000-000053070000}"/>
    <cellStyle name="Note 2 10 6 2" xfId="13586" xr:uid="{B2E6D6EB-693D-4E6B-9591-758F0A58074A}"/>
    <cellStyle name="Note 2 10 6 2 2" xfId="36070" xr:uid="{B85D1327-2B9C-4C00-AB85-F6677D689356}"/>
    <cellStyle name="Note 2 10 6 2 3" xfId="46690" xr:uid="{374C16C4-3599-47EE-A2B5-136335E86C42}"/>
    <cellStyle name="Note 2 10 6 3" xfId="18664" xr:uid="{6F350E05-D344-48DD-ABB9-FA5566B046D1}"/>
    <cellStyle name="Note 2 10 6 3 2" xfId="41054" xr:uid="{7EBDDC29-52C9-4624-976B-3A26CCE4D8BC}"/>
    <cellStyle name="Note 2 10 6 3 3" xfId="43240" xr:uid="{BBBC775B-65EE-4435-A7AC-E67EBAE1B9BF}"/>
    <cellStyle name="Note 2 10 6 4" xfId="23088" xr:uid="{76F72A4F-B3ED-4475-BE17-C69A0F1B3C57}"/>
    <cellStyle name="Note 2 10 6 4 2" xfId="27796" xr:uid="{E75B2A48-270E-48B2-83B6-C38EADAF6D72}"/>
    <cellStyle name="Note 2 10 6 5" xfId="24169" xr:uid="{37AE2675-9FAB-4AD4-BDB9-8C1FAECCFCC9}"/>
    <cellStyle name="Note 2 10 7" xfId="8966" xr:uid="{BC139418-83B3-4633-BCB0-68F1505DCEE3}"/>
    <cellStyle name="Note 2 10 7 2" xfId="31545" xr:uid="{AD507B3C-FA40-4F9A-A447-E3A8EF8DC980}"/>
    <cellStyle name="Note 2 10 7 3" xfId="27737" xr:uid="{A1A795C3-369B-442E-BE9C-3A6828DA2C41}"/>
    <cellStyle name="Note 2 10 8" xfId="8817" xr:uid="{709E7957-6992-441A-8B3F-DADBCD983662}"/>
    <cellStyle name="Note 2 10 8 2" xfId="31398" xr:uid="{87EC7C43-AB42-4200-B937-ACBE4CDE7AFD}"/>
    <cellStyle name="Note 2 10 8 3" xfId="44366" xr:uid="{860FA57E-FF89-420E-8F52-79DFBCF3CE03}"/>
    <cellStyle name="Note 2 10 9" xfId="8299" xr:uid="{4FD09EDB-610D-4BD7-A75C-D2A72AFD1C51}"/>
    <cellStyle name="Note 2 10 9 2" xfId="52172" xr:uid="{C6BF1F3A-1724-4EE2-BC87-730668B5CC85}"/>
    <cellStyle name="Note 2 11" xfId="681" xr:uid="{00000000-0005-0000-0000-000057070000}"/>
    <cellStyle name="Note 2 11 10" xfId="43049" xr:uid="{C960846B-C702-4CA0-A535-458339308A8D}"/>
    <cellStyle name="Note 2 11 2" xfId="1759" xr:uid="{00000000-0005-0000-0000-000058070000}"/>
    <cellStyle name="Note 2 11 2 10" xfId="14457" xr:uid="{F10A4862-1CF3-4956-92D5-4440DB482A42}"/>
    <cellStyle name="Note 2 11 2 10 2" xfId="36922" xr:uid="{89502AA7-AF3F-4E22-95D9-CAC72A4F13B0}"/>
    <cellStyle name="Note 2 11 2 10 3" xfId="53620" xr:uid="{CF62F9B0-A88D-4E59-9AF6-02C864F0DFD2}"/>
    <cellStyle name="Note 2 11 2 11" xfId="19803" xr:uid="{406E9561-EFE8-4A1F-9B99-746C299BCA76}"/>
    <cellStyle name="Note 2 11 2 11 2" xfId="42141" xr:uid="{19435389-C753-45AF-94E7-71BDF2E46CEA}"/>
    <cellStyle name="Note 2 11 2 11 3" xfId="30920" xr:uid="{A815C488-0D5C-46B6-AB06-CE90847BC78E}"/>
    <cellStyle name="Note 2 11 2 12" xfId="14037" xr:uid="{3672FF6B-91A3-4E61-9779-3CE4D9732978}"/>
    <cellStyle name="Note 2 11 2 12 2" xfId="51085" xr:uid="{67FA8BB4-AE81-401E-AEC4-54ACEBAF82C6}"/>
    <cellStyle name="Note 2 11 2 13" xfId="51523" xr:uid="{583DB88A-4528-4E30-BA1A-A42D565C21A1}"/>
    <cellStyle name="Note 2 11 2 2" xfId="3857" xr:uid="{00000000-0005-0000-0000-000056070000}"/>
    <cellStyle name="Note 2 11 2 2 2" xfId="10761" xr:uid="{36D3DA3E-00D4-4EC9-A582-CF256065A2FE}"/>
    <cellStyle name="Note 2 11 2 2 2 2" xfId="33247" xr:uid="{84E691BE-0B33-4996-AB0A-3A7D7AFD2DC6}"/>
    <cellStyle name="Note 2 11 2 2 2 3" xfId="32161" xr:uid="{CC9CF6C3-6938-41FF-B00F-5768026CC0F2}"/>
    <cellStyle name="Note 2 11 2 2 3" xfId="15913" xr:uid="{DE2C3882-D774-4214-A4BD-D7D12063D2E4}"/>
    <cellStyle name="Note 2 11 2 2 3 2" xfId="38319" xr:uid="{9E74FE1C-A8AE-4DE8-A73B-04B8D18E1EC4}"/>
    <cellStyle name="Note 2 11 2 2 3 3" xfId="44479" xr:uid="{92A1E098-50DA-4EEB-985D-8E449BBF5922}"/>
    <cellStyle name="Note 2 11 2 2 4" xfId="20470" xr:uid="{64427746-92E7-496F-9A17-B92920F20E1B}"/>
    <cellStyle name="Note 2 11 2 2 4 2" xfId="52872" xr:uid="{38106510-3DC2-487B-B9E1-B51864F36607}"/>
    <cellStyle name="Note 2 11 2 2 5" xfId="27573" xr:uid="{6A9A40F1-06F8-4C0F-B8A7-30B7BA4FD523}"/>
    <cellStyle name="Note 2 11 2 3" xfId="5271" xr:uid="{00000000-0005-0000-0000-000056070000}"/>
    <cellStyle name="Note 2 11 2 3 2" xfId="12163" xr:uid="{BFBC4BF8-ED24-48EB-8E13-4ED7C333B3C3}"/>
    <cellStyle name="Note 2 11 2 3 2 2" xfId="34648" xr:uid="{652A2CE8-16B2-4B5D-B9CA-D318B33C8E28}"/>
    <cellStyle name="Note 2 11 2 3 2 3" xfId="44669" xr:uid="{146BC307-8D56-4170-BD12-1AA1C31CB481}"/>
    <cellStyle name="Note 2 11 2 3 3" xfId="17208" xr:uid="{C29D43F8-5CA3-4B4C-BD59-229CC5627AEA}"/>
    <cellStyle name="Note 2 11 2 3 3 2" xfId="39598" xr:uid="{1A89DD9F-DEE1-4ADE-9BA5-DEAFB46BFCDC}"/>
    <cellStyle name="Note 2 11 2 3 3 3" xfId="26697" xr:uid="{0C43F250-F213-46A6-9773-19430A20BAF6}"/>
    <cellStyle name="Note 2 11 2 3 4" xfId="21632" xr:uid="{7D0C6536-F48A-4535-840B-215F6B872B11}"/>
    <cellStyle name="Note 2 11 2 3 4 2" xfId="47586" xr:uid="{3F3036ED-2C32-4CFF-94A0-2CA23099C7D0}"/>
    <cellStyle name="Note 2 11 2 3 5" xfId="51810" xr:uid="{240A7205-28D6-4D91-9CB5-4984ED4A48D9}"/>
    <cellStyle name="Note 2 11 2 4" xfId="5681" xr:uid="{00000000-0005-0000-0000-000056070000}"/>
    <cellStyle name="Note 2 11 2 4 2" xfId="12565" xr:uid="{CEF2301B-8979-4A00-89B2-25A90FB09237}"/>
    <cellStyle name="Note 2 11 2 4 2 2" xfId="35050" xr:uid="{E5B35DE1-56CE-43AC-9DA0-0A19F4901277}"/>
    <cellStyle name="Note 2 11 2 4 2 3" xfId="29539" xr:uid="{EDC85EDD-4FF9-4CD1-93F7-36FD2305D8D2}"/>
    <cellStyle name="Note 2 11 2 4 3" xfId="17618" xr:uid="{8BA77DF4-3C3F-4245-A39F-9A171C92FE50}"/>
    <cellStyle name="Note 2 11 2 4 3 2" xfId="40008" xr:uid="{DB26D5F9-1D04-4B29-9B7B-660F1234A703}"/>
    <cellStyle name="Note 2 11 2 4 3 3" xfId="44295" xr:uid="{C520705A-E976-4D83-82CD-859407C017E5}"/>
    <cellStyle name="Note 2 11 2 4 4" xfId="22042" xr:uid="{2E764538-65CE-4FDA-93CE-8A55B6E9EF6F}"/>
    <cellStyle name="Note 2 11 2 4 4 2" xfId="53821" xr:uid="{745C1945-AADC-4D4E-BCE8-EF3E4367C2C1}"/>
    <cellStyle name="Note 2 11 2 4 5" xfId="50473" xr:uid="{B6191C5B-5108-44F5-8E95-465057E3FDF0}"/>
    <cellStyle name="Note 2 11 2 5" xfId="6042" xr:uid="{00000000-0005-0000-0000-000056070000}"/>
    <cellStyle name="Note 2 11 2 5 2" xfId="12921" xr:uid="{70A669C4-85F5-4896-8E37-CB137F2BDC9E}"/>
    <cellStyle name="Note 2 11 2 5 2 2" xfId="35405" xr:uid="{2651C1A3-658C-477C-9BC5-6D65F7F5FA72}"/>
    <cellStyle name="Note 2 11 2 5 2 3" xfId="29103" xr:uid="{CBD18520-EC7E-4319-A12C-82252182C72C}"/>
    <cellStyle name="Note 2 11 2 5 3" xfId="17979" xr:uid="{9522061D-7CFA-4404-A3A7-2463560BEE70}"/>
    <cellStyle name="Note 2 11 2 5 3 2" xfId="40369" xr:uid="{DEFC6F6B-569E-4CDC-893B-80512874064C}"/>
    <cellStyle name="Note 2 11 2 5 3 3" xfId="26608" xr:uid="{606B35C2-2280-4A01-8DD6-F1F809842C67}"/>
    <cellStyle name="Note 2 11 2 5 4" xfId="22403" xr:uid="{95E61291-4882-4B19-9419-ADE3001961AB}"/>
    <cellStyle name="Note 2 11 2 5 4 2" xfId="53470" xr:uid="{886140D1-76F0-43A4-B11A-EDF51F60E2F1}"/>
    <cellStyle name="Note 2 11 2 5 5" xfId="47160" xr:uid="{8B2444F9-C4CA-4FD9-AACE-A6066AE98916}"/>
    <cellStyle name="Note 2 11 2 6" xfId="6420" xr:uid="{00000000-0005-0000-0000-000056070000}"/>
    <cellStyle name="Note 2 11 2 6 2" xfId="13292" xr:uid="{2D334A3A-348E-4D5E-A264-80EACD799110}"/>
    <cellStyle name="Note 2 11 2 6 2 2" xfId="35776" xr:uid="{E8C96A0A-F6F7-472C-BFC3-68B4D997732E}"/>
    <cellStyle name="Note 2 11 2 6 2 3" xfId="28777" xr:uid="{1508A1FF-0B18-4062-BC1D-777FCA7D9CF6}"/>
    <cellStyle name="Note 2 11 2 6 3" xfId="18357" xr:uid="{51A52D0E-23FA-44FD-86CB-5DBF727EB73A}"/>
    <cellStyle name="Note 2 11 2 6 3 2" xfId="40747" xr:uid="{606D5ADB-671D-488A-8277-C09475C12DF7}"/>
    <cellStyle name="Note 2 11 2 6 3 3" xfId="32625" xr:uid="{29163228-9E30-4836-B4F0-F7D66F3FADA4}"/>
    <cellStyle name="Note 2 11 2 6 4" xfId="22781" xr:uid="{75DDC6B0-6F1C-4903-81B6-02AC0B19072B}"/>
    <cellStyle name="Note 2 11 2 6 4 2" xfId="49690" xr:uid="{69B37B70-B1A3-49F5-8760-B6F764AF6897}"/>
    <cellStyle name="Note 2 11 2 6 5" xfId="51884" xr:uid="{D5FC9F60-179A-4CAB-8C8D-6AEC37B0FB01}"/>
    <cellStyle name="Note 2 11 2 7" xfId="4334" xr:uid="{00000000-0005-0000-0000-000056070000}"/>
    <cellStyle name="Note 2 11 2 7 2" xfId="11238" xr:uid="{EA6A21E7-1D1A-40CB-9DC6-AABEF6F842E6}"/>
    <cellStyle name="Note 2 11 2 7 2 2" xfId="33724" xr:uid="{BE646F92-D6B4-4058-A1FB-D953EB310EC0}"/>
    <cellStyle name="Note 2 11 2 7 2 3" xfId="28855" xr:uid="{6BA75D50-3167-48EF-A0F6-3A8AE6E17439}"/>
    <cellStyle name="Note 2 11 2 7 3" xfId="16275" xr:uid="{3B8BF659-1164-4E33-AC02-49845817AA39}"/>
    <cellStyle name="Note 2 11 2 7 3 2" xfId="38666" xr:uid="{7090933C-2DAC-42D6-9D16-14EA68CEF410}"/>
    <cellStyle name="Note 2 11 2 7 3 3" xfId="38021" xr:uid="{0D61B853-1EC7-49E2-B779-7F8FE9584643}"/>
    <cellStyle name="Note 2 11 2 7 4" xfId="15858" xr:uid="{5C8C7663-B6A7-48F6-BB4B-58F0CAB64CF9}"/>
    <cellStyle name="Note 2 11 2 7 4 2" xfId="50928" xr:uid="{09E8F272-1075-436D-B0B8-68628B2CD9BA}"/>
    <cellStyle name="Note 2 11 2 7 5" xfId="44947" xr:uid="{8D0C5EF1-4365-4051-80F7-CD19F22DB1FB}"/>
    <cellStyle name="Note 2 11 2 8" xfId="6933" xr:uid="{00000000-0005-0000-0000-000056070000}"/>
    <cellStyle name="Note 2 11 2 8 2" xfId="13771" xr:uid="{5CAEA206-4010-445F-852B-5BFAB9BD8DFF}"/>
    <cellStyle name="Note 2 11 2 8 2 2" xfId="36255" xr:uid="{77E80BB3-6020-4BBA-845F-124E5525EA6D}"/>
    <cellStyle name="Note 2 11 2 8 2 3" xfId="48082" xr:uid="{385FB6D8-3493-4BE1-98F2-93480E829034}"/>
    <cellStyle name="Note 2 11 2 8 3" xfId="18870" xr:uid="{0B3F5704-983D-451F-A653-01E448F78FF2}"/>
    <cellStyle name="Note 2 11 2 8 3 2" xfId="41260" xr:uid="{D25C897A-3218-4FE4-837E-67968B7AC723}"/>
    <cellStyle name="Note 2 11 2 8 3 3" xfId="26210" xr:uid="{9C0C5CC0-49A4-4D6A-87CD-54439AB57729}"/>
    <cellStyle name="Note 2 11 2 8 4" xfId="23294" xr:uid="{4B213EA3-772C-486D-BA40-B47BCC53ABD6}"/>
    <cellStyle name="Note 2 11 2 8 4 2" xfId="53424" xr:uid="{978346C3-8F9F-4570-B79F-602F402FD07E}"/>
    <cellStyle name="Note 2 11 2 8 5" xfId="49526" xr:uid="{51CE4975-08D4-461A-8D4F-52EA08C1C3E4}"/>
    <cellStyle name="Note 2 11 2 9" xfId="6740" xr:uid="{00000000-0005-0000-0000-000056070000}"/>
    <cellStyle name="Note 2 11 2 9 2" xfId="18677" xr:uid="{A0CA3B67-22D1-45E1-87FC-65D311EE48DA}"/>
    <cellStyle name="Note 2 11 2 9 2 2" xfId="41067" xr:uid="{2369A1B7-1979-40AB-B076-444D05667121}"/>
    <cellStyle name="Note 2 11 2 9 2 3" xfId="45656" xr:uid="{2167ED6E-DE68-41E1-A1CD-3D6F11AC2AAD}"/>
    <cellStyle name="Note 2 11 2 9 3" xfId="23101" xr:uid="{69C83651-9EA1-4785-96F1-7B75E05183D4}"/>
    <cellStyle name="Note 2 11 2 9 3 2" xfId="44162" xr:uid="{F070C292-4C5B-4CED-9A5C-18A88525F0B5}"/>
    <cellStyle name="Note 2 11 2 9 4" xfId="25691" xr:uid="{A3006793-2325-42E2-99DF-590A05D2FA60}"/>
    <cellStyle name="Note 2 11 3" xfId="4588" xr:uid="{00000000-0005-0000-0000-000055070000}"/>
    <cellStyle name="Note 2 11 3 2" xfId="11490" xr:uid="{0DC464E1-59CA-4EF0-80F8-2218FD8C0DD5}"/>
    <cellStyle name="Note 2 11 3 2 2" xfId="33976" xr:uid="{24D605C5-1733-406E-9653-19CC988A2848}"/>
    <cellStyle name="Note 2 11 3 2 3" xfId="28334" xr:uid="{ACCE9EDA-D1A3-4DAA-92BE-2C214D1D5A28}"/>
    <cellStyle name="Note 2 11 3 3" xfId="16525" xr:uid="{6B5B55DE-C91B-41D3-BD69-D8389E96F822}"/>
    <cellStyle name="Note 2 11 3 3 2" xfId="38915" xr:uid="{9019A590-593D-4C74-B575-260E00510C7A}"/>
    <cellStyle name="Note 2 11 3 3 3" xfId="26521" xr:uid="{DC2ABA87-2644-4A2C-838D-06DC780D151F}"/>
    <cellStyle name="Note 2 11 3 4" xfId="14050" xr:uid="{543937A3-8CA6-49AC-98BC-F4C4361247E5}"/>
    <cellStyle name="Note 2 11 3 4 2" xfId="47123" xr:uid="{FAB17966-1F80-4AEA-8DC5-600C43158935}"/>
    <cellStyle name="Note 2 11 3 5" xfId="50990" xr:uid="{1897E4FA-FEC2-433C-8D60-6B9631D2D07E}"/>
    <cellStyle name="Note 2 11 4" xfId="5362" xr:uid="{00000000-0005-0000-0000-000055070000}"/>
    <cellStyle name="Note 2 11 4 2" xfId="12254" xr:uid="{8EE5B044-07A1-4604-81FF-2C2FB8BE36F6}"/>
    <cellStyle name="Note 2 11 4 2 2" xfId="34739" xr:uid="{67FB2123-0FDF-4285-9098-438744BAD080}"/>
    <cellStyle name="Note 2 11 4 2 3" xfId="41738" xr:uid="{A2E7E940-BD7E-445E-9DDC-A7EE917C02B8}"/>
    <cellStyle name="Note 2 11 4 3" xfId="17299" xr:uid="{B64FEAB0-4367-42AB-A8BD-D7DEB27F20B1}"/>
    <cellStyle name="Note 2 11 4 3 2" xfId="39689" xr:uid="{8F7A2014-9F7F-4993-AF16-56B25C1EE831}"/>
    <cellStyle name="Note 2 11 4 3 3" xfId="27982" xr:uid="{983D8993-8E21-4EE7-8E28-269073B5D58E}"/>
    <cellStyle name="Note 2 11 4 4" xfId="21723" xr:uid="{42C6FB77-F5FC-45DE-B4F9-C06757C0D1DF}"/>
    <cellStyle name="Note 2 11 4 4 2" xfId="52553" xr:uid="{51EFCF53-1F23-473A-89ED-FD257C650FD3}"/>
    <cellStyle name="Note 2 11 4 5" xfId="48688" xr:uid="{6E904629-46E6-4BE4-B4E1-153E57152F33}"/>
    <cellStyle name="Note 2 11 5" xfId="6113" xr:uid="{00000000-0005-0000-0000-000055070000}"/>
    <cellStyle name="Note 2 11 5 2" xfId="12991" xr:uid="{A9442395-1029-4BBC-A526-F47C159343B3}"/>
    <cellStyle name="Note 2 11 5 2 2" xfId="35475" xr:uid="{2543EC09-21EA-430E-8D06-96E536FC1989}"/>
    <cellStyle name="Note 2 11 5 2 3" xfId="50238" xr:uid="{2E3F13AE-B500-4191-8A08-F2077E0E8DA7}"/>
    <cellStyle name="Note 2 11 5 3" xfId="18050" xr:uid="{E54F91C2-D3C0-4938-B15D-E61D8249397B}"/>
    <cellStyle name="Note 2 11 5 3 2" xfId="40440" xr:uid="{CB90B584-959E-4DB0-AB63-4E327A4868CC}"/>
    <cellStyle name="Note 2 11 5 3 3" xfId="25640" xr:uid="{658D72AD-BB09-4955-B397-6358DCED9611}"/>
    <cellStyle name="Note 2 11 5 4" xfId="22474" xr:uid="{A0114211-F559-4660-8C11-F377CFABFF13}"/>
    <cellStyle name="Note 2 11 5 4 2" xfId="46974" xr:uid="{CFE820C4-A3B8-43D2-AAA5-BE4C72EE9A21}"/>
    <cellStyle name="Note 2 11 5 5" xfId="50490" xr:uid="{36E605BF-22AE-4806-8B1C-695A210D5EC1}"/>
    <cellStyle name="Note 2 11 6" xfId="6687" xr:uid="{00000000-0005-0000-0000-000055070000}"/>
    <cellStyle name="Note 2 11 6 2" xfId="13553" xr:uid="{A145A096-03EE-4B3B-8603-DD9E302FF52F}"/>
    <cellStyle name="Note 2 11 6 2 2" xfId="36037" xr:uid="{07B92F6C-761B-4018-84F7-02A3720729A3}"/>
    <cellStyle name="Note 2 11 6 2 3" xfId="52625" xr:uid="{CA448C07-11F5-44B5-84E9-BF1340CBC0AD}"/>
    <cellStyle name="Note 2 11 6 3" xfId="18624" xr:uid="{42A43CFB-FC1B-4BCD-B0BA-49436CC15437}"/>
    <cellStyle name="Note 2 11 6 3 2" xfId="41014" xr:uid="{4F4A3590-FDA2-43C4-B8F7-89C29905E59E}"/>
    <cellStyle name="Note 2 11 6 3 3" xfId="36468" xr:uid="{C9280250-D16D-4873-B53F-BC584FDE5399}"/>
    <cellStyle name="Note 2 11 6 4" xfId="23048" xr:uid="{64086EFB-FAB1-419D-9A70-40DD30A828BD}"/>
    <cellStyle name="Note 2 11 6 4 2" xfId="46188" xr:uid="{FD436E6B-E438-40FC-AD53-C5D7D2A596F5}"/>
    <cellStyle name="Note 2 11 6 5" xfId="52858" xr:uid="{FCFB06A6-FCDB-4A33-8023-95DCA938611E}"/>
    <cellStyle name="Note 2 11 7" xfId="8813" xr:uid="{126C30BD-7DD0-472A-B190-3E8C062AABF9}"/>
    <cellStyle name="Note 2 11 7 2" xfId="31394" xr:uid="{BFAF0843-B58B-4967-B887-F4139BCC50A5}"/>
    <cellStyle name="Note 2 11 7 3" xfId="44766" xr:uid="{A8FCCAFE-7E39-4D52-A845-67FE6BB0F063}"/>
    <cellStyle name="Note 2 11 8" xfId="20944" xr:uid="{D14B9B02-7AFC-4B8C-99A1-33AF658166F5}"/>
    <cellStyle name="Note 2 11 8 2" xfId="43202" xr:uid="{C6DA1A8F-335A-4562-B74D-E938ED231135}"/>
    <cellStyle name="Note 2 11 8 3" xfId="46527" xr:uid="{F5D2F04B-B3CC-456F-9A11-BC942A9EA2D4}"/>
    <cellStyle name="Note 2 11 9" xfId="8105" xr:uid="{6F2F68B6-0542-41DC-BFA5-6512166D2478}"/>
    <cellStyle name="Note 2 11 9 2" xfId="49304" xr:uid="{A8DA33B0-781A-4B76-AA80-AEC7471915BC}"/>
    <cellStyle name="Note 2 12" xfId="873" xr:uid="{00000000-0005-0000-0000-000059070000}"/>
    <cellStyle name="Note 2 12 10" xfId="50912" xr:uid="{E3BEF105-2686-4C7B-AD91-E59C3D760233}"/>
    <cellStyle name="Note 2 12 2" xfId="1849" xr:uid="{00000000-0005-0000-0000-00005A070000}"/>
    <cellStyle name="Note 2 12 2 10" xfId="14533" xr:uid="{2E933B39-8AFA-4C12-91CE-11E4105F2150}"/>
    <cellStyle name="Note 2 12 2 10 2" xfId="36994" xr:uid="{ACC727B7-1653-4408-B723-97F7B998FA07}"/>
    <cellStyle name="Note 2 12 2 10 3" xfId="49005" xr:uid="{64262CA6-AE3E-4E21-AAAD-FA822AB32E5A}"/>
    <cellStyle name="Note 2 12 2 11" xfId="20157" xr:uid="{FA4CE193-EAFB-464C-949A-E9973F440C9D}"/>
    <cellStyle name="Note 2 12 2 11 2" xfId="42468" xr:uid="{A63D0082-F488-461D-A564-5584EE8D4A39}"/>
    <cellStyle name="Note 2 12 2 11 3" xfId="28306" xr:uid="{67A0F234-6B3D-4B29-8012-2CC9D27B05A6}"/>
    <cellStyle name="Note 2 12 2 12" xfId="20240" xr:uid="{0C0A7707-4463-4F21-86EB-885D350B2966}"/>
    <cellStyle name="Note 2 12 2 12 2" xfId="43253" xr:uid="{11C6D118-D0D5-47E9-893D-2A7F3210F54C}"/>
    <cellStyle name="Note 2 12 2 13" xfId="27647" xr:uid="{B81A2FC7-1942-4E53-B6F0-D35E702030B8}"/>
    <cellStyle name="Note 2 12 2 2" xfId="3947" xr:uid="{00000000-0005-0000-0000-000058070000}"/>
    <cellStyle name="Note 2 12 2 2 2" xfId="10851" xr:uid="{12B3688D-F154-4F32-AA8D-04EE24195A3C}"/>
    <cellStyle name="Note 2 12 2 2 2 2" xfId="33337" xr:uid="{FC5622D7-5427-433B-801B-3E4A65E0B27D}"/>
    <cellStyle name="Note 2 12 2 2 2 3" xfId="47909" xr:uid="{D299720A-B155-42F7-AC95-FE6878AEFA12}"/>
    <cellStyle name="Note 2 12 2 2 3" xfId="15989" xr:uid="{275F5F61-5BB5-4466-8187-63C1D90AEF79}"/>
    <cellStyle name="Note 2 12 2 2 3 2" xfId="38392" xr:uid="{C8C06089-643E-4E7F-AAAD-9BA785012BD9}"/>
    <cellStyle name="Note 2 12 2 2 3 3" xfId="46073" xr:uid="{2936AECF-1AA2-4633-B9D9-A829F88C7D48}"/>
    <cellStyle name="Note 2 12 2 2 4" xfId="20721" xr:uid="{B727FFE7-AC66-4524-B72A-A19D9D362B8B}"/>
    <cellStyle name="Note 2 12 2 2 4 2" xfId="47829" xr:uid="{13840752-9966-49B1-9FE7-7FCBC6E47BB1}"/>
    <cellStyle name="Note 2 12 2 2 5" xfId="48055" xr:uid="{64B82D99-2BE5-4376-A343-E5C2AF5A9F7D}"/>
    <cellStyle name="Note 2 12 2 3" xfId="5341" xr:uid="{00000000-0005-0000-0000-000058070000}"/>
    <cellStyle name="Note 2 12 2 3 2" xfId="12233" xr:uid="{B6463033-0DA8-404E-919E-44FD5E676D8C}"/>
    <cellStyle name="Note 2 12 2 3 2 2" xfId="34718" xr:uid="{AA08595F-8801-4254-B4D9-86C8ECB160AB}"/>
    <cellStyle name="Note 2 12 2 3 2 3" xfId="28082" xr:uid="{DD437EC8-C9A0-431E-B842-E7077B032D9B}"/>
    <cellStyle name="Note 2 12 2 3 3" xfId="17278" xr:uid="{EBF7969B-00F6-4D02-89D5-2E0C5B43742F}"/>
    <cellStyle name="Note 2 12 2 3 3 2" xfId="39668" xr:uid="{C3E3A1AC-A91A-412C-8121-17700CC4DF2E}"/>
    <cellStyle name="Note 2 12 2 3 3 3" xfId="28857" xr:uid="{22357963-46E0-409A-B5E9-2B3D56BC299C}"/>
    <cellStyle name="Note 2 12 2 3 4" xfId="21702" xr:uid="{29184E28-8AF9-4FD0-A2B9-7E1BBD916C6C}"/>
    <cellStyle name="Note 2 12 2 3 4 2" xfId="27836" xr:uid="{11EAAA76-E2FB-4C94-8B36-97E6824780E4}"/>
    <cellStyle name="Note 2 12 2 3 5" xfId="48087" xr:uid="{776E5926-1FA3-4DDB-A184-F1EFAB59321C}"/>
    <cellStyle name="Note 2 12 2 4" xfId="5752" xr:uid="{00000000-0005-0000-0000-000058070000}"/>
    <cellStyle name="Note 2 12 2 4 2" xfId="12636" xr:uid="{51096BEF-85E4-4082-8372-5240D3E44955}"/>
    <cellStyle name="Note 2 12 2 4 2 2" xfId="35121" xr:uid="{E023020D-55F2-4923-9375-E36AA4971E96}"/>
    <cellStyle name="Note 2 12 2 4 2 3" xfId="30155" xr:uid="{E946FC77-BC87-40ED-BD2D-61FCDB001146}"/>
    <cellStyle name="Note 2 12 2 4 3" xfId="17689" xr:uid="{73C5BFBE-46CC-46B7-A9E0-0459A91A50D9}"/>
    <cellStyle name="Note 2 12 2 4 3 2" xfId="40079" xr:uid="{01C68C2E-D141-42AE-B5E8-46FC7C05B825}"/>
    <cellStyle name="Note 2 12 2 4 3 3" xfId="31999" xr:uid="{45499C81-74E3-4A3E-9F54-8CBF3C52FA9B}"/>
    <cellStyle name="Note 2 12 2 4 4" xfId="22113" xr:uid="{5325EE4D-79F4-456E-895E-72085E0E09B4}"/>
    <cellStyle name="Note 2 12 2 4 4 2" xfId="44836" xr:uid="{5FA0C587-E0EA-433C-B312-1CA607FF645E}"/>
    <cellStyle name="Note 2 12 2 4 5" xfId="49115" xr:uid="{29D81C50-3288-4C4C-A25C-F16FE76B8C3C}"/>
    <cellStyle name="Note 2 12 2 5" xfId="6106" xr:uid="{00000000-0005-0000-0000-000058070000}"/>
    <cellStyle name="Note 2 12 2 5 2" xfId="12984" xr:uid="{AA2E59DA-8D0B-4282-B93E-9AC8ED432BD4}"/>
    <cellStyle name="Note 2 12 2 5 2 2" xfId="35468" xr:uid="{D5234903-66DA-44CE-BAF4-F80598A82374}"/>
    <cellStyle name="Note 2 12 2 5 2 3" xfId="47338" xr:uid="{E679DEC5-69C0-4DB6-97FF-3C7F53203525}"/>
    <cellStyle name="Note 2 12 2 5 3" xfId="18043" xr:uid="{3E011B6E-92DE-4F04-860E-525E4C741A8C}"/>
    <cellStyle name="Note 2 12 2 5 3 2" xfId="40433" xr:uid="{3B09E258-B993-491D-ACE7-10468CBB07F7}"/>
    <cellStyle name="Note 2 12 2 5 3 3" xfId="27724" xr:uid="{4F87B10E-9473-431D-904A-6BCD04D5675E}"/>
    <cellStyle name="Note 2 12 2 5 4" xfId="22467" xr:uid="{CD0857BA-F9DD-417F-A569-7ACA5B0AA0B1}"/>
    <cellStyle name="Note 2 12 2 5 4 2" xfId="29706" xr:uid="{DD9D9FBA-B8B7-4FD6-BD44-7A3F9945176C}"/>
    <cellStyle name="Note 2 12 2 5 5" xfId="53656" xr:uid="{2D4656A1-8722-4D66-B4A2-7D19AC58D580}"/>
    <cellStyle name="Note 2 12 2 6" xfId="6481" xr:uid="{00000000-0005-0000-0000-000058070000}"/>
    <cellStyle name="Note 2 12 2 6 2" xfId="13351" xr:uid="{6E523E5D-3363-4CD0-ADA5-4CC95E94C2D2}"/>
    <cellStyle name="Note 2 12 2 6 2 2" xfId="35835" xr:uid="{423EAFEA-90A6-4675-AD6D-2255931DA2E1}"/>
    <cellStyle name="Note 2 12 2 6 2 3" xfId="43531" xr:uid="{29FB9C34-E66A-49BD-9457-457946EFB156}"/>
    <cellStyle name="Note 2 12 2 6 3" xfId="18418" xr:uid="{BDD7A960-42FB-4898-8943-40016DFE52DA}"/>
    <cellStyle name="Note 2 12 2 6 3 2" xfId="40808" xr:uid="{560D99A6-4237-4FF6-B47F-13C3FBE36E7C}"/>
    <cellStyle name="Note 2 12 2 6 3 3" xfId="28532" xr:uid="{166AA9C8-2A14-467C-B0EB-478618E338BA}"/>
    <cellStyle name="Note 2 12 2 6 4" xfId="22842" xr:uid="{E09BEF62-8D91-4066-9BC6-B9DD383333EF}"/>
    <cellStyle name="Note 2 12 2 6 4 2" xfId="50335" xr:uid="{AF02B7ED-9807-4997-9CD3-581F76B4C16D}"/>
    <cellStyle name="Note 2 12 2 6 5" xfId="52934" xr:uid="{4F6085B4-22BC-44A4-9732-57FFA30789FC}"/>
    <cellStyle name="Note 2 12 2 7" xfId="6784" xr:uid="{00000000-0005-0000-0000-000058070000}"/>
    <cellStyle name="Note 2 12 2 7 2" xfId="13634" xr:uid="{5C2045E8-0372-42B2-A73C-35B832E74B52}"/>
    <cellStyle name="Note 2 12 2 7 2 2" xfId="36118" xr:uid="{9F5160EE-3B9F-4921-8295-865D19DEFDB7}"/>
    <cellStyle name="Note 2 12 2 7 2 3" xfId="28760" xr:uid="{FC15FBF6-2BF8-49FD-AAAA-7B2D634794A2}"/>
    <cellStyle name="Note 2 12 2 7 3" xfId="18721" xr:uid="{81400B82-CE90-497F-98FF-B5FDE0BDECDF}"/>
    <cellStyle name="Note 2 12 2 7 3 2" xfId="41111" xr:uid="{EC3632EE-8ED3-40A3-9E8A-A07DBA0AD6AE}"/>
    <cellStyle name="Note 2 12 2 7 3 3" xfId="45070" xr:uid="{FF465481-3A18-420E-A963-2C832EF86ECE}"/>
    <cellStyle name="Note 2 12 2 7 4" xfId="23145" xr:uid="{1BF96983-B8E8-4033-825C-5C73D29529B4}"/>
    <cellStyle name="Note 2 12 2 7 4 2" xfId="43041" xr:uid="{30D838A3-9A82-4B5C-B771-AFADC55DE81D}"/>
    <cellStyle name="Note 2 12 2 7 5" xfId="28630" xr:uid="{A7A821C0-A8B9-4C3C-B3C9-6748445A5B70}"/>
    <cellStyle name="Note 2 12 2 8" xfId="6980" xr:uid="{00000000-0005-0000-0000-000058070000}"/>
    <cellStyle name="Note 2 12 2 8 2" xfId="13817" xr:uid="{B79B76AE-1003-4595-9FCD-B345C7079FFD}"/>
    <cellStyle name="Note 2 12 2 8 2 2" xfId="36301" xr:uid="{C3D34C62-44FD-46DB-90CE-7E6F32105752}"/>
    <cellStyle name="Note 2 12 2 8 2 3" xfId="50136" xr:uid="{E81D875C-CE0E-43C7-B474-291BBE404093}"/>
    <cellStyle name="Note 2 12 2 8 3" xfId="18917" xr:uid="{D6961823-3AA5-4966-A74C-32F37CBAF451}"/>
    <cellStyle name="Note 2 12 2 8 3 2" xfId="41307" xr:uid="{67BB9298-6E29-4251-8AA3-DB45C9CDAE87}"/>
    <cellStyle name="Note 2 12 2 8 3 3" xfId="42228" xr:uid="{7FB4B321-07AC-4E04-AC84-D03E418D7EE4}"/>
    <cellStyle name="Note 2 12 2 8 4" xfId="23341" xr:uid="{68B51219-0AE0-4A8C-88DA-FE224564C732}"/>
    <cellStyle name="Note 2 12 2 8 4 2" xfId="48351" xr:uid="{C1A35357-502C-4124-A33B-805EB4B57F70}"/>
    <cellStyle name="Note 2 12 2 8 5" xfId="53169" xr:uid="{565868C5-2F68-4E8A-BFC7-95E29B769067}"/>
    <cellStyle name="Note 2 12 2 9" xfId="6431" xr:uid="{00000000-0005-0000-0000-000058070000}"/>
    <cellStyle name="Note 2 12 2 9 2" xfId="18368" xr:uid="{197C7E02-C5E3-49BB-84F4-D21F6F4A4A7F}"/>
    <cellStyle name="Note 2 12 2 9 2 2" xfId="40758" xr:uid="{E27CB788-62B9-4F92-A7A6-BE8150D5BA71}"/>
    <cellStyle name="Note 2 12 2 9 2 3" xfId="29910" xr:uid="{1CA8C031-7A46-4B5D-AD90-8872086552B1}"/>
    <cellStyle name="Note 2 12 2 9 3" xfId="22792" xr:uid="{A32B79A9-8D7B-44DE-BCE7-EBC46C61E341}"/>
    <cellStyle name="Note 2 12 2 9 3 2" xfId="49250" xr:uid="{8F2BF753-7109-4DD0-96E1-BE600E80D22F}"/>
    <cellStyle name="Note 2 12 2 9 4" xfId="24646" xr:uid="{91D19FFC-997E-4B87-8BDE-97FEC7C2F8CC}"/>
    <cellStyle name="Note 2 12 3" xfId="4711" xr:uid="{00000000-0005-0000-0000-000057070000}"/>
    <cellStyle name="Note 2 12 3 2" xfId="11609" xr:uid="{BA38B399-0BEE-4D3B-9311-8904E1A33C10}"/>
    <cellStyle name="Note 2 12 3 2 2" xfId="34095" xr:uid="{7A1CD6E7-C4D7-40FF-AEB2-A9065DAE1FF9}"/>
    <cellStyle name="Note 2 12 3 2 3" xfId="45746" xr:uid="{8DDE33FC-0124-4228-8D79-03B3001EB340}"/>
    <cellStyle name="Note 2 12 3 3" xfId="16648" xr:uid="{4A1FABB3-924B-4E88-8AC4-7251FE26CD7D}"/>
    <cellStyle name="Note 2 12 3 3 2" xfId="39038" xr:uid="{856CA03C-97C7-448C-9EEC-19DA4636B8B0}"/>
    <cellStyle name="Note 2 12 3 3 3" xfId="30406" xr:uid="{E28F64ED-6977-42FE-AB05-80351014983F}"/>
    <cellStyle name="Note 2 12 3 4" xfId="14260" xr:uid="{882C468A-1C29-4B90-8074-C9A85660E760}"/>
    <cellStyle name="Note 2 12 3 4 2" xfId="27962" xr:uid="{9F4447EF-78A2-4F72-A3CE-A6F3DDBD3A02}"/>
    <cellStyle name="Note 2 12 3 5" xfId="50184" xr:uid="{0B0B79EE-8309-4ADE-B54B-0D7EC90A0BA1}"/>
    <cellStyle name="Note 2 12 4" xfId="5570" xr:uid="{00000000-0005-0000-0000-000057070000}"/>
    <cellStyle name="Note 2 12 4 2" xfId="12455" xr:uid="{C6B0AC96-7A05-433E-885B-A4768701D7A4}"/>
    <cellStyle name="Note 2 12 4 2 2" xfId="34940" xr:uid="{6D524D3C-D265-46DC-BC4F-C614328F0F17}"/>
    <cellStyle name="Note 2 12 4 2 3" xfId="28421" xr:uid="{4845172D-C0FF-47AC-8EE3-444D8CE7967A}"/>
    <cellStyle name="Note 2 12 4 3" xfId="17507" xr:uid="{24E9DABF-54A0-44AE-9441-CA4C83998CC1}"/>
    <cellStyle name="Note 2 12 4 3 2" xfId="39897" xr:uid="{36B476CE-E6DA-40F3-B665-D0F85EB8718A}"/>
    <cellStyle name="Note 2 12 4 3 3" xfId="45316" xr:uid="{6073FCB7-9F44-4A05-8F4E-7D600AEF7E6D}"/>
    <cellStyle name="Note 2 12 4 4" xfId="21931" xr:uid="{3AB165C2-C380-4123-A2D9-9432C1F2017F}"/>
    <cellStyle name="Note 2 12 4 4 2" xfId="47555" xr:uid="{2063D4BA-6A85-401A-9957-84A14932EC5C}"/>
    <cellStyle name="Note 2 12 4 5" xfId="49324" xr:uid="{AC0F89B4-EAC9-41E5-A5F3-1C3334C684B5}"/>
    <cellStyle name="Note 2 12 5" xfId="5359" xr:uid="{00000000-0005-0000-0000-000057070000}"/>
    <cellStyle name="Note 2 12 5 2" xfId="12251" xr:uid="{A3F9653D-4B1A-462E-AF9A-44FF9F390D57}"/>
    <cellStyle name="Note 2 12 5 2 2" xfId="34736" xr:uid="{A6FD9C19-DA9C-4B97-BC10-45E491F55997}"/>
    <cellStyle name="Note 2 12 5 2 3" xfId="29516" xr:uid="{1E4D8FB5-1479-4574-8945-266F21016806}"/>
    <cellStyle name="Note 2 12 5 3" xfId="17296" xr:uid="{6FCA94D4-104D-4073-A89F-0A30019F2DE6}"/>
    <cellStyle name="Note 2 12 5 3 2" xfId="39686" xr:uid="{9A66500D-CA9B-4C55-94A4-B3738B2B7AB8}"/>
    <cellStyle name="Note 2 12 5 3 3" xfId="29145" xr:uid="{BC1E2542-406E-4BBA-899E-AE4DF51E15EE}"/>
    <cellStyle name="Note 2 12 5 4" xfId="21720" xr:uid="{FAEF2011-209C-4B7A-929A-143CD2B3D26B}"/>
    <cellStyle name="Note 2 12 5 4 2" xfId="51329" xr:uid="{51502753-9C4A-49C1-9AA8-8152DC58BBD8}"/>
    <cellStyle name="Note 2 12 5 5" xfId="49688" xr:uid="{B06BF763-1BF8-450B-A4B1-306F05F9A899}"/>
    <cellStyle name="Note 2 12 6" xfId="5992" xr:uid="{00000000-0005-0000-0000-000057070000}"/>
    <cellStyle name="Note 2 12 6 2" xfId="12873" xr:uid="{0A996253-D7FB-423A-878B-FF30926491C1}"/>
    <cellStyle name="Note 2 12 6 2 2" xfId="35357" xr:uid="{29985BE0-7F3B-4926-8482-7B0BCF520BAB}"/>
    <cellStyle name="Note 2 12 6 2 3" xfId="50342" xr:uid="{D013FEBA-ACCF-454C-8505-F2D2545EACCC}"/>
    <cellStyle name="Note 2 12 6 3" xfId="17929" xr:uid="{8BA3603E-02DA-4AE2-A9CE-06F8A31EC3F3}"/>
    <cellStyle name="Note 2 12 6 3 2" xfId="40319" xr:uid="{67AF4429-2021-4CA7-806E-9D543C492377}"/>
    <cellStyle name="Note 2 12 6 3 3" xfId="28079" xr:uid="{782653E1-6A64-4C13-B199-44D67FA3EBFA}"/>
    <cellStyle name="Note 2 12 6 4" xfId="22353" xr:uid="{EEA33159-E969-4C9D-B811-10FE666F3E7B}"/>
    <cellStyle name="Note 2 12 6 4 2" xfId="24207" xr:uid="{BD300FB0-E6E3-47E8-8A99-86CD8F5990BA}"/>
    <cellStyle name="Note 2 12 6 5" xfId="42136" xr:uid="{93B5711A-9043-4889-8B18-F61145564005}"/>
    <cellStyle name="Note 2 12 7" xfId="7368" xr:uid="{D6EE0532-2081-4F6F-BB20-703E540EB52A}"/>
    <cellStyle name="Note 2 12 7 2" xfId="30053" xr:uid="{9EE49F40-9E87-4090-9081-982316E8655C}"/>
    <cellStyle name="Note 2 12 7 3" xfId="48659" xr:uid="{FD878BA6-9538-4CF1-94C4-ABA7C75FBC03}"/>
    <cellStyle name="Note 2 12 8" xfId="8832" xr:uid="{631E29F1-F124-4247-B1BD-7BDC104F2EBB}"/>
    <cellStyle name="Note 2 12 8 2" xfId="31413" xr:uid="{6B89F02D-CF77-4AFE-AF90-71752A42010A}"/>
    <cellStyle name="Note 2 12 8 3" xfId="26251" xr:uid="{CE7F6638-6B50-4414-98D7-6314A6506B75}"/>
    <cellStyle name="Note 2 12 9" xfId="20961" xr:uid="{D34878C2-A2CB-4F2E-B3E9-7DD42BE3F9DB}"/>
    <cellStyle name="Note 2 12 9 2" xfId="47180" xr:uid="{98733DAF-E707-4ED8-B820-3BFBAA0FB85B}"/>
    <cellStyle name="Note 2 13" xfId="1054" xr:uid="{00000000-0005-0000-0000-00005B070000}"/>
    <cellStyle name="Note 2 13 10" xfId="48188" xr:uid="{3400491B-E48C-4383-85AE-06D898B8920C}"/>
    <cellStyle name="Note 2 13 2" xfId="1944" xr:uid="{00000000-0005-0000-0000-00005C070000}"/>
    <cellStyle name="Note 2 13 2 10" xfId="14611" xr:uid="{05486102-9982-4D93-AD1B-7103B2DBF49C}"/>
    <cellStyle name="Note 2 13 2 10 2" xfId="37072" xr:uid="{878A95ED-B42A-4813-B262-96AE3FFA15CA}"/>
    <cellStyle name="Note 2 13 2 10 3" xfId="48106" xr:uid="{6F22AEAE-3383-48EA-A0E2-B18A1711561E}"/>
    <cellStyle name="Note 2 13 2 11" xfId="21065" xr:uid="{B39BDF5A-A0ED-4B83-87BD-AC8F82BE9512}"/>
    <cellStyle name="Note 2 13 2 11 2" xfId="43313" xr:uid="{75DB01EC-D650-4947-808B-E1A4DE978112}"/>
    <cellStyle name="Note 2 13 2 11 3" xfId="49200" xr:uid="{A6F01C22-5AB7-4874-B833-C8F72657E068}"/>
    <cellStyle name="Note 2 13 2 12" xfId="14488" xr:uid="{BC826204-51DF-42FC-9333-37F3237033C6}"/>
    <cellStyle name="Note 2 13 2 12 2" xfId="29105" xr:uid="{E2EC6FB0-44E9-4014-BB3A-1BD6B61A6901}"/>
    <cellStyle name="Note 2 13 2 13" xfId="52096" xr:uid="{0133ADED-1F84-4147-9A82-48BEB95E86E5}"/>
    <cellStyle name="Note 2 13 2 2" xfId="4040" xr:uid="{00000000-0005-0000-0000-00005A070000}"/>
    <cellStyle name="Note 2 13 2 2 2" xfId="10944" xr:uid="{8B1364FE-2C38-4545-BDFF-018A10D6A3F3}"/>
    <cellStyle name="Note 2 13 2 2 2 2" xfId="33430" xr:uid="{DD96386D-FF15-46E5-9449-F1A97C7F4A89}"/>
    <cellStyle name="Note 2 13 2 2 2 3" xfId="46950" xr:uid="{1851AAA5-9558-403C-A5EF-852810862563}"/>
    <cellStyle name="Note 2 13 2 2 3" xfId="16061" xr:uid="{3659F819-32BB-472C-97A6-2CE29413E640}"/>
    <cellStyle name="Note 2 13 2 2 3 2" xfId="38462" xr:uid="{6CA0E877-4951-45DC-A759-395FD1A26407}"/>
    <cellStyle name="Note 2 13 2 2 3 3" xfId="51480" xr:uid="{69A1EE7D-25D8-41F4-A7DE-B19E4711D7F6}"/>
    <cellStyle name="Note 2 13 2 2 4" xfId="8277" xr:uid="{06F302FD-4CD6-4788-B325-829F2E946BC3}"/>
    <cellStyle name="Note 2 13 2 2 4 2" xfId="47662" xr:uid="{49941526-0C59-496D-AE0B-060DE452C86F}"/>
    <cellStyle name="Note 2 13 2 2 5" xfId="44747" xr:uid="{D7AE5028-987D-4D00-9B55-0E6B2D20011F}"/>
    <cellStyle name="Note 2 13 2 3" xfId="5413" xr:uid="{00000000-0005-0000-0000-00005A070000}"/>
    <cellStyle name="Note 2 13 2 3 2" xfId="12304" xr:uid="{9BF8395C-CD65-46C6-B1FB-C1AEAFD15494}"/>
    <cellStyle name="Note 2 13 2 3 2 2" xfId="34789" xr:uid="{D046FB00-B1CC-499F-83E3-7A63CD30C45E}"/>
    <cellStyle name="Note 2 13 2 3 2 3" xfId="45657" xr:uid="{674BFD17-34F7-4D8B-9FCA-8A76E3EA32E2}"/>
    <cellStyle name="Note 2 13 2 3 3" xfId="17350" xr:uid="{ECFEFBCD-1609-4B2C-B4C9-79C33804BF96}"/>
    <cellStyle name="Note 2 13 2 3 3 2" xfId="39740" xr:uid="{3815E237-5ED6-4C13-9F80-493142738998}"/>
    <cellStyle name="Note 2 13 2 3 3 3" xfId="28393" xr:uid="{D545F76B-4B5C-4E34-AAF3-2273D48F1BFE}"/>
    <cellStyle name="Note 2 13 2 3 4" xfId="21774" xr:uid="{189927D8-E4A6-4AE0-8BD0-ED01B3FD8C51}"/>
    <cellStyle name="Note 2 13 2 3 4 2" xfId="45786" xr:uid="{D078E2D4-9EF1-4CAF-8B40-29044B3E0E92}"/>
    <cellStyle name="Note 2 13 2 3 5" xfId="48034" xr:uid="{7029D7A6-ADF8-4FAA-AAD1-E34E53786C56}"/>
    <cellStyle name="Note 2 13 2 4" xfId="5825" xr:uid="{00000000-0005-0000-0000-00005A070000}"/>
    <cellStyle name="Note 2 13 2 4 2" xfId="12708" xr:uid="{E8E7DA8E-158B-49EC-BD9D-10DE1F0A7761}"/>
    <cellStyle name="Note 2 13 2 4 2 2" xfId="35193" xr:uid="{9B0B914B-38EA-45E9-8557-761448B3401E}"/>
    <cellStyle name="Note 2 13 2 4 2 3" xfId="24019" xr:uid="{747F5982-9AF3-403F-A1B4-6D0A39768EDC}"/>
    <cellStyle name="Note 2 13 2 4 3" xfId="17762" xr:uid="{54111475-668D-4F97-8034-355EEED48E15}"/>
    <cellStyle name="Note 2 13 2 4 3 2" xfId="40152" xr:uid="{BDDBCB44-CC82-4175-A594-D6D43167070F}"/>
    <cellStyle name="Note 2 13 2 4 3 3" xfId="32164" xr:uid="{FDA054AC-0276-4D46-A436-B418AD0A84A7}"/>
    <cellStyle name="Note 2 13 2 4 4" xfId="22186" xr:uid="{B8FAA783-AB6E-49A8-BEED-7D284257FD3F}"/>
    <cellStyle name="Note 2 13 2 4 4 2" xfId="49135" xr:uid="{383E93DA-FD9C-45CE-B102-1512EBA7460A}"/>
    <cellStyle name="Note 2 13 2 4 5" xfId="50085" xr:uid="{1B85AC81-43D2-4438-B844-A8BF60977498}"/>
    <cellStyle name="Note 2 13 2 5" xfId="6171" xr:uid="{00000000-0005-0000-0000-00005A070000}"/>
    <cellStyle name="Note 2 13 2 5 2" xfId="13048" xr:uid="{B7D70C11-8B43-409A-B319-CE09153F50F5}"/>
    <cellStyle name="Note 2 13 2 5 2 2" xfId="35532" xr:uid="{38C7ECBE-90E6-41C6-98DC-D41C3D9E438C}"/>
    <cellStyle name="Note 2 13 2 5 2 3" xfId="41992" xr:uid="{61220998-E1CC-48D4-B986-455066D88C1A}"/>
    <cellStyle name="Note 2 13 2 5 3" xfId="18108" xr:uid="{1EB7A0CA-6A65-4CD3-99DF-CB3391C47682}"/>
    <cellStyle name="Note 2 13 2 5 3 2" xfId="40498" xr:uid="{D2A80937-264D-4266-B40A-55B4C9023BD3}"/>
    <cellStyle name="Note 2 13 2 5 3 3" xfId="29343" xr:uid="{04E93307-BC9F-4BCB-8EB7-23C68FEA3372}"/>
    <cellStyle name="Note 2 13 2 5 4" xfId="22532" xr:uid="{EF8889A1-D3C8-4E44-9189-5416C2EB03EC}"/>
    <cellStyle name="Note 2 13 2 5 4 2" xfId="50292" xr:uid="{D5043AD2-B8B5-4F25-B383-7D0CAA64C00E}"/>
    <cellStyle name="Note 2 13 2 5 5" xfId="47633" xr:uid="{5EF5D881-C796-41C5-9BC0-E8E268F0E299}"/>
    <cellStyle name="Note 2 13 2 6" xfId="6542" xr:uid="{00000000-0005-0000-0000-00005A070000}"/>
    <cellStyle name="Note 2 13 2 6 2" xfId="13411" xr:uid="{C3B33AD3-3F6D-4223-AD94-72348DD6E589}"/>
    <cellStyle name="Note 2 13 2 6 2 2" xfId="35895" xr:uid="{C237C836-F6F8-432F-A59A-FE027F507DE0}"/>
    <cellStyle name="Note 2 13 2 6 2 3" xfId="51593" xr:uid="{2DB9E5FF-F85E-4496-B6CA-898C61758D95}"/>
    <cellStyle name="Note 2 13 2 6 3" xfId="18479" xr:uid="{24FB10CF-FB8D-44D7-8975-4241A9A568E0}"/>
    <cellStyle name="Note 2 13 2 6 3 2" xfId="40869" xr:uid="{98006839-075A-4296-B05B-681A6AD3672D}"/>
    <cellStyle name="Note 2 13 2 6 3 3" xfId="43615" xr:uid="{C993977B-8CC8-45E0-BDB5-C8D7B48BB946}"/>
    <cellStyle name="Note 2 13 2 6 4" xfId="22903" xr:uid="{94CA5251-6B05-4D2F-9B59-24B0773EDAA7}"/>
    <cellStyle name="Note 2 13 2 6 4 2" xfId="27213" xr:uid="{CF3F7B88-69D3-4656-B57E-129B85C5412F}"/>
    <cellStyle name="Note 2 13 2 6 5" xfId="43564" xr:uid="{680C5BA2-A3ED-4CF9-9EB8-0A215F397CFC}"/>
    <cellStyle name="Note 2 13 2 7" xfId="6496" xr:uid="{00000000-0005-0000-0000-00005A070000}"/>
    <cellStyle name="Note 2 13 2 7 2" xfId="13365" xr:uid="{DCFCD91F-023C-4170-AAF0-1364091B8FA3}"/>
    <cellStyle name="Note 2 13 2 7 2 2" xfId="35849" xr:uid="{2A71F4B6-3284-4246-8B42-28383BB906B5}"/>
    <cellStyle name="Note 2 13 2 7 2 3" xfId="50884" xr:uid="{10B81246-273F-4E88-A4F0-32CE7B226353}"/>
    <cellStyle name="Note 2 13 2 7 3" xfId="18433" xr:uid="{AA798682-09BC-4099-BFC6-096B6DB21BB4}"/>
    <cellStyle name="Note 2 13 2 7 3 2" xfId="40823" xr:uid="{873C9492-A6B3-4176-889A-2004AF3B7470}"/>
    <cellStyle name="Note 2 13 2 7 3 3" xfId="38561" xr:uid="{48870581-7F24-4BA3-B12B-FECAC7532125}"/>
    <cellStyle name="Note 2 13 2 7 4" xfId="22857" xr:uid="{F52C610C-A05D-49C0-9968-FDC92DFFA780}"/>
    <cellStyle name="Note 2 13 2 7 4 2" xfId="51400" xr:uid="{BC8DB282-BBF8-4C43-8FA4-EE52F86B82DB}"/>
    <cellStyle name="Note 2 13 2 7 5" xfId="24328" xr:uid="{668B7DB0-93AE-4C24-A86F-0DFA85F7D2C1}"/>
    <cellStyle name="Note 2 13 2 8" xfId="7026" xr:uid="{00000000-0005-0000-0000-00005A070000}"/>
    <cellStyle name="Note 2 13 2 8 2" xfId="13863" xr:uid="{4D7F43B3-2A13-48C0-AF4F-33655EEE0BF8}"/>
    <cellStyle name="Note 2 13 2 8 2 2" xfId="36347" xr:uid="{37356689-2DFB-4DE9-BD37-3B493F9C9D94}"/>
    <cellStyle name="Note 2 13 2 8 2 3" xfId="47482" xr:uid="{895F82D7-7A22-4A63-BB9F-993FF5834AED}"/>
    <cellStyle name="Note 2 13 2 8 3" xfId="18963" xr:uid="{EA6D39B9-BD47-471D-9E8E-035FE42BB423}"/>
    <cellStyle name="Note 2 13 2 8 3 2" xfId="41353" xr:uid="{790FABBF-9054-46F2-A934-C995BF2DF409}"/>
    <cellStyle name="Note 2 13 2 8 3 3" xfId="24347" xr:uid="{A5A2968F-A1FA-4E54-8ADD-B0C2047DC3FA}"/>
    <cellStyle name="Note 2 13 2 8 4" xfId="23387" xr:uid="{EE3CD638-3C24-45C2-B4B3-7E53409658B7}"/>
    <cellStyle name="Note 2 13 2 8 4 2" xfId="27368" xr:uid="{950E14E2-38B7-4AD2-A60D-E003942AC954}"/>
    <cellStyle name="Note 2 13 2 8 5" xfId="44210" xr:uid="{43DE9D26-F4A7-48D5-A7FD-226A2EB1887A}"/>
    <cellStyle name="Note 2 13 2 9" xfId="7142" xr:uid="{00000000-0005-0000-0000-00005A070000}"/>
    <cellStyle name="Note 2 13 2 9 2" xfId="19079" xr:uid="{1C4EC6E8-28AF-4222-B069-5BBDBA1355B9}"/>
    <cellStyle name="Note 2 13 2 9 2 2" xfId="41469" xr:uid="{C45B5553-8A43-49E7-92E0-C54F6C3E9CE3}"/>
    <cellStyle name="Note 2 13 2 9 2 3" xfId="45739" xr:uid="{81FCBEB3-3B80-4C75-98D6-6787116E4A77}"/>
    <cellStyle name="Note 2 13 2 9 3" xfId="23503" xr:uid="{C28E8BC5-50E8-4FFE-8AE7-0E88E10D3E74}"/>
    <cellStyle name="Note 2 13 2 9 3 2" xfId="52174" xr:uid="{C4731EC7-84E3-42AA-98B3-BF941394F95B}"/>
    <cellStyle name="Note 2 13 2 9 4" xfId="44059" xr:uid="{FED10F06-BAC5-4F6F-A2C5-EBC07EF93ADC}"/>
    <cellStyle name="Note 2 13 3" xfId="4827" xr:uid="{00000000-0005-0000-0000-000059070000}"/>
    <cellStyle name="Note 2 13 3 2" xfId="11724" xr:uid="{CABEAD02-8908-448B-BAF2-9C85CE1A2E3E}"/>
    <cellStyle name="Note 2 13 3 2 2" xfId="34210" xr:uid="{57BD9F84-1285-46FC-B554-78ADEF4B83C0}"/>
    <cellStyle name="Note 2 13 3 2 3" xfId="29584" xr:uid="{929A37D2-B7B4-4981-8E69-55EB1AFC50C4}"/>
    <cellStyle name="Note 2 13 3 3" xfId="16764" xr:uid="{6D7CA716-2E7F-4864-97EB-760726DFCADF}"/>
    <cellStyle name="Note 2 13 3 3 2" xfId="39154" xr:uid="{A25FC663-2F14-47AF-8BA5-97F5F7215410}"/>
    <cellStyle name="Note 2 13 3 3 3" xfId="27942" xr:uid="{F265831E-87AA-4B98-AD1D-3F1133DCDDC6}"/>
    <cellStyle name="Note 2 13 3 4" xfId="14895" xr:uid="{44B9495E-A0FB-4DCD-BBBE-902EABE49BFA}"/>
    <cellStyle name="Note 2 13 3 4 2" xfId="43888" xr:uid="{ABF76ED0-E0C3-4663-8045-5615A0C0EB76}"/>
    <cellStyle name="Note 2 13 3 5" xfId="49965" xr:uid="{0D1B22E4-18CE-4089-8F5D-EBEC6ECC4597}"/>
    <cellStyle name="Note 2 13 4" xfId="5355" xr:uid="{00000000-0005-0000-0000-000059070000}"/>
    <cellStyle name="Note 2 13 4 2" xfId="12247" xr:uid="{0EB456DC-1DE4-479A-916D-02E379A921D4}"/>
    <cellStyle name="Note 2 13 4 2 2" xfId="34732" xr:uid="{901FEC71-2509-43DC-BECD-37B8ADBB7157}"/>
    <cellStyle name="Note 2 13 4 2 3" xfId="23726" xr:uid="{002C85BF-8FE9-4758-95EA-7A4A4DA63687}"/>
    <cellStyle name="Note 2 13 4 3" xfId="17292" xr:uid="{295F7C11-073F-45F2-9452-36E570A478C0}"/>
    <cellStyle name="Note 2 13 4 3 2" xfId="39682" xr:uid="{6A474A61-F00B-4D93-A341-267459DC3317}"/>
    <cellStyle name="Note 2 13 4 3 3" xfId="27706" xr:uid="{ACCBB6DE-26F2-4C99-83AD-276C92DD09B6}"/>
    <cellStyle name="Note 2 13 4 4" xfId="21716" xr:uid="{33A8C1A1-94D9-4F68-A9CC-12BC36C7D44D}"/>
    <cellStyle name="Note 2 13 4 4 2" xfId="48968" xr:uid="{EFD032F4-BA09-4045-8E2D-799634026FEB}"/>
    <cellStyle name="Note 2 13 4 5" xfId="46287" xr:uid="{15D6B835-3AC9-4761-88C1-3FCCAE5C49D6}"/>
    <cellStyle name="Note 2 13 5" xfId="5571" xr:uid="{00000000-0005-0000-0000-000059070000}"/>
    <cellStyle name="Note 2 13 5 2" xfId="12456" xr:uid="{FE1A8FD0-73A6-492E-8F1B-6F3717CD7719}"/>
    <cellStyle name="Note 2 13 5 2 2" xfId="34941" xr:uid="{B572FBCF-9043-41CC-BA30-83CB30139834}"/>
    <cellStyle name="Note 2 13 5 2 3" xfId="24355" xr:uid="{8ABAEF75-8F76-4F24-9FC2-A770A44B3328}"/>
    <cellStyle name="Note 2 13 5 3" xfId="17508" xr:uid="{4EF75147-CB20-4D4E-ABD1-41B4DE0E7324}"/>
    <cellStyle name="Note 2 13 5 3 2" xfId="39898" xr:uid="{5D12D248-BD1C-4AE9-B576-C1D1798A65F2}"/>
    <cellStyle name="Note 2 13 5 3 3" xfId="25151" xr:uid="{75DED517-33B2-40B7-BDA5-D06B5219B438}"/>
    <cellStyle name="Note 2 13 5 4" xfId="21932" xr:uid="{E47B270B-7547-4843-9621-98E3F7C3884A}"/>
    <cellStyle name="Note 2 13 5 4 2" xfId="24414" xr:uid="{AD85B9F0-ACCD-4BDF-BBAE-9642ECA9E2F4}"/>
    <cellStyle name="Note 2 13 5 5" xfId="45978" xr:uid="{A25A7629-379B-4B76-8685-45C263836268}"/>
    <cellStyle name="Note 2 13 6" xfId="6317" xr:uid="{00000000-0005-0000-0000-000059070000}"/>
    <cellStyle name="Note 2 13 6 2" xfId="13189" xr:uid="{0EB7C6F0-015C-4573-9D5A-25BEC2D4641F}"/>
    <cellStyle name="Note 2 13 6 2 2" xfId="35673" xr:uid="{72CF1E09-8079-4B34-8B71-B210327D490C}"/>
    <cellStyle name="Note 2 13 6 2 3" xfId="46667" xr:uid="{EBB62405-46AE-4B70-B101-AB440C7C5F3F}"/>
    <cellStyle name="Note 2 13 6 3" xfId="18254" xr:uid="{55F4352A-726A-4393-8AA7-43372D6215C8}"/>
    <cellStyle name="Note 2 13 6 3 2" xfId="40644" xr:uid="{6716D076-C45A-4EC8-89E3-120474054D90}"/>
    <cellStyle name="Note 2 13 6 3 3" xfId="23705" xr:uid="{A5318782-A82A-4142-8EA5-24D1B6B14CCC}"/>
    <cellStyle name="Note 2 13 6 4" xfId="22678" xr:uid="{10294174-8513-4E03-94AB-714ACE43D8C7}"/>
    <cellStyle name="Note 2 13 6 4 2" xfId="49513" xr:uid="{7FBC8A3E-98E5-4A61-BD64-97D0EDCFF4B7}"/>
    <cellStyle name="Note 2 13 6 5" xfId="46255" xr:uid="{4A89F15A-B5DB-43E8-9445-05DB857D8074}"/>
    <cellStyle name="Note 2 13 7" xfId="8663" xr:uid="{00687941-212F-4BB1-A119-788C7C8DA94D}"/>
    <cellStyle name="Note 2 13 7 2" xfId="31249" xr:uid="{DB779631-679E-4555-B95B-837599F10E10}"/>
    <cellStyle name="Note 2 13 7 3" xfId="25767" xr:uid="{F5A2F66D-13FF-4CAF-AC2C-52456E87E9CA}"/>
    <cellStyle name="Note 2 13 8" xfId="20395" xr:uid="{1F4F1176-7107-4466-8175-1E883E4BC818}"/>
    <cellStyle name="Note 2 13 8 2" xfId="42690" xr:uid="{1C5E50A0-93B1-4C9F-ACDF-CD9A17BAF463}"/>
    <cellStyle name="Note 2 13 8 3" xfId="51550" xr:uid="{1212B4B2-245B-4B2D-90E6-53926EF7E87B}"/>
    <cellStyle name="Note 2 13 9" xfId="19226" xr:uid="{21FFC737-26A1-4D75-98FE-152020D12E88}"/>
    <cellStyle name="Note 2 13 9 2" xfId="27838" xr:uid="{E43C8D47-85FB-4687-9F9C-69AF9FFE37BE}"/>
    <cellStyle name="Note 2 14" xfId="1234" xr:uid="{00000000-0005-0000-0000-00005D070000}"/>
    <cellStyle name="Note 2 14 10" xfId="52443" xr:uid="{948A4D67-4BAC-4AF0-8F2C-C066D77101DC}"/>
    <cellStyle name="Note 2 14 2" xfId="2034" xr:uid="{00000000-0005-0000-0000-00005E070000}"/>
    <cellStyle name="Note 2 14 2 10" xfId="14682" xr:uid="{0C88C0F5-2693-4DAD-AF97-90AE411B02D8}"/>
    <cellStyle name="Note 2 14 2 10 2" xfId="37142" xr:uid="{757E91DF-BF7C-4551-BFE9-CEAF58377C66}"/>
    <cellStyle name="Note 2 14 2 10 3" xfId="54093" xr:uid="{939ACB98-F2CF-4ECE-8C26-FE82D6763719}"/>
    <cellStyle name="Note 2 14 2 11" xfId="20467" xr:uid="{44766DE3-EEAF-4798-A370-C7130D2C64DD}"/>
    <cellStyle name="Note 2 14 2 11 2" xfId="42756" xr:uid="{00C28A93-A13B-4561-9423-332C5A31F3F6}"/>
    <cellStyle name="Note 2 14 2 11 3" xfId="50236" xr:uid="{1033AA1E-4065-43BA-873E-F83851CD38D5}"/>
    <cellStyle name="Note 2 14 2 12" xfId="20566" xr:uid="{A718E536-7A44-40C1-9B27-7DFEE54AA226}"/>
    <cellStyle name="Note 2 14 2 12 2" xfId="50957" xr:uid="{BB783F8A-859F-4B42-BDCB-97BAFF5EE089}"/>
    <cellStyle name="Note 2 14 2 13" xfId="25461" xr:uid="{B0D3A5A1-0BB4-42CA-919C-ACD6CA7286BC}"/>
    <cellStyle name="Note 2 14 2 2" xfId="4129" xr:uid="{00000000-0005-0000-0000-00005C070000}"/>
    <cellStyle name="Note 2 14 2 2 2" xfId="11033" xr:uid="{F2C768BB-0BE6-4833-B70A-EE5BB9D98CDD}"/>
    <cellStyle name="Note 2 14 2 2 2 2" xfId="33519" xr:uid="{45CEBA55-3D07-4290-A99F-60027536491D}"/>
    <cellStyle name="Note 2 14 2 2 2 3" xfId="53594" xr:uid="{046C2FCA-1B88-4280-823E-80729B89A04E}"/>
    <cellStyle name="Note 2 14 2 2 3" xfId="16133" xr:uid="{CAF95723-3140-4A29-AB30-45D1CCEB3C00}"/>
    <cellStyle name="Note 2 14 2 2 3 2" xfId="38533" xr:uid="{A735066E-EC4A-4198-8AF2-C20CD1900A96}"/>
    <cellStyle name="Note 2 14 2 2 3 3" xfId="27027" xr:uid="{22CFEC24-5C20-4FBB-BF77-F5BA61AE9C0D}"/>
    <cellStyle name="Note 2 14 2 2 4" xfId="20966" xr:uid="{9730A987-89CB-4C9B-BFB0-3F8A83AEA17D}"/>
    <cellStyle name="Note 2 14 2 2 4 2" xfId="41653" xr:uid="{C586BEFD-F0BA-4238-917D-EDD546A133F8}"/>
    <cellStyle name="Note 2 14 2 2 5" xfId="28015" xr:uid="{75775A3F-9561-4F86-B888-CFDF1631F294}"/>
    <cellStyle name="Note 2 14 2 3" xfId="5474" xr:uid="{00000000-0005-0000-0000-00005C070000}"/>
    <cellStyle name="Note 2 14 2 3 2" xfId="12363" xr:uid="{B64278B4-97FF-4DC1-B41B-3E9DA6173ADD}"/>
    <cellStyle name="Note 2 14 2 3 2 2" xfId="34848" xr:uid="{E375415D-7740-4B4A-A951-EB3866FD5FBB}"/>
    <cellStyle name="Note 2 14 2 3 2 3" xfId="23773" xr:uid="{8A808DB0-1B75-4CA5-A176-2512E833496D}"/>
    <cellStyle name="Note 2 14 2 3 3" xfId="17411" xr:uid="{AB0C16FC-457C-4F72-86F1-9BAFAAA3FAF3}"/>
    <cellStyle name="Note 2 14 2 3 3 2" xfId="39801" xr:uid="{8C7E7A03-7902-45D8-92FC-A292931C2FE4}"/>
    <cellStyle name="Note 2 14 2 3 3 3" xfId="42296" xr:uid="{3545F733-3616-4274-BAEE-5F889ACEAEFB}"/>
    <cellStyle name="Note 2 14 2 3 4" xfId="21835" xr:uid="{534FFF20-52CD-4BB8-BDE1-F8EAFBB9E3C7}"/>
    <cellStyle name="Note 2 14 2 3 4 2" xfId="47567" xr:uid="{228D2492-0102-4D24-AEC2-CF7446165857}"/>
    <cellStyle name="Note 2 14 2 3 5" xfId="25293" xr:uid="{CC9A9492-B581-44BB-AD66-64B567DD9C35}"/>
    <cellStyle name="Note 2 14 2 4" xfId="5898" xr:uid="{00000000-0005-0000-0000-00005C070000}"/>
    <cellStyle name="Note 2 14 2 4 2" xfId="12780" xr:uid="{A755162D-35CB-4429-A246-2AB8BDA68C02}"/>
    <cellStyle name="Note 2 14 2 4 2 2" xfId="35264" xr:uid="{A25C645A-AD96-4960-A899-E10D0A9D5B56}"/>
    <cellStyle name="Note 2 14 2 4 2 3" xfId="32114" xr:uid="{C6B23FF0-13E4-4B9C-9DDC-55DA91ACBBCC}"/>
    <cellStyle name="Note 2 14 2 4 3" xfId="17835" xr:uid="{8736463A-4E00-4C3D-9EF3-8BE9CA9B2C10}"/>
    <cellStyle name="Note 2 14 2 4 3 2" xfId="40225" xr:uid="{336B4E88-157F-46B5-B727-9AA4A6C373C1}"/>
    <cellStyle name="Note 2 14 2 4 3 3" xfId="44962" xr:uid="{0DC337C4-BA08-4EC3-B462-E3AA68597DD2}"/>
    <cellStyle name="Note 2 14 2 4 4" xfId="22259" xr:uid="{17E5E255-E4DC-4F84-B3DF-3D2F7356F4ED}"/>
    <cellStyle name="Note 2 14 2 4 4 2" xfId="45346" xr:uid="{5D0F38D1-6310-4042-8B00-5926E896B5FF}"/>
    <cellStyle name="Note 2 14 2 4 5" xfId="51799" xr:uid="{501CD85C-0550-4283-B30F-0D2C07F1D094}"/>
    <cellStyle name="Note 2 14 2 5" xfId="6236" xr:uid="{00000000-0005-0000-0000-00005C070000}"/>
    <cellStyle name="Note 2 14 2 5 2" xfId="13111" xr:uid="{1AD3F621-8C0D-4E99-9438-76D521A5CE00}"/>
    <cellStyle name="Note 2 14 2 5 2 2" xfId="35595" xr:uid="{F433B4BA-6C63-4843-9457-6D3FCE19EBAB}"/>
    <cellStyle name="Note 2 14 2 5 2 3" xfId="28452" xr:uid="{512AACC0-2F48-45E6-AB5C-537AED881B42}"/>
    <cellStyle name="Note 2 14 2 5 3" xfId="18173" xr:uid="{014D366B-CC1A-4E21-BD28-2A63A30ED696}"/>
    <cellStyle name="Note 2 14 2 5 3 2" xfId="40563" xr:uid="{D7C88084-BE6B-421F-9246-AED86D909714}"/>
    <cellStyle name="Note 2 14 2 5 3 3" xfId="44309" xr:uid="{604517AB-3C89-48CA-9E40-D2B3014E3AFB}"/>
    <cellStyle name="Note 2 14 2 5 4" xfId="22597" xr:uid="{466BE814-D255-45BB-B652-101872444A79}"/>
    <cellStyle name="Note 2 14 2 5 4 2" xfId="24121" xr:uid="{ACA6AAEC-5B49-47EE-AF8B-AC2102F3E28E}"/>
    <cellStyle name="Note 2 14 2 5 5" xfId="53523" xr:uid="{CE56D6CB-1470-4547-AE9F-B3EA972A3CF5}"/>
    <cellStyle name="Note 2 14 2 6" xfId="6601" xr:uid="{00000000-0005-0000-0000-00005C070000}"/>
    <cellStyle name="Note 2 14 2 6 2" xfId="13467" xr:uid="{C0880096-02C3-4FA7-9BB4-8B520A7E26D1}"/>
    <cellStyle name="Note 2 14 2 6 2 2" xfId="35951" xr:uid="{21F131F7-371C-4711-AA40-7F9218ADFCAC}"/>
    <cellStyle name="Note 2 14 2 6 2 3" xfId="49872" xr:uid="{5E4222BA-6E00-496A-BD4F-12F15EF7E141}"/>
    <cellStyle name="Note 2 14 2 6 3" xfId="18538" xr:uid="{841EA988-2EF8-4ED6-88DD-D1FFE1F2EC0B}"/>
    <cellStyle name="Note 2 14 2 6 3 2" xfId="40928" xr:uid="{62960731-706C-42CE-AC54-99ADB021922B}"/>
    <cellStyle name="Note 2 14 2 6 3 3" xfId="27197" xr:uid="{113D67FE-1DAD-4CCB-A614-85D28D0C4A9B}"/>
    <cellStyle name="Note 2 14 2 6 4" xfId="22962" xr:uid="{EAED21F6-235F-4F87-BA20-EEDF91C78D35}"/>
    <cellStyle name="Note 2 14 2 6 4 2" xfId="29814" xr:uid="{C9F858D9-5E5B-4443-A91A-663677114BF2}"/>
    <cellStyle name="Note 2 14 2 6 5" xfId="51742" xr:uid="{6F21EC24-92BA-43E5-8D79-EEA3CA432052}"/>
    <cellStyle name="Note 2 14 2 7" xfId="4397" xr:uid="{00000000-0005-0000-0000-00005C070000}"/>
    <cellStyle name="Note 2 14 2 7 2" xfId="11299" xr:uid="{1809D80E-FC6B-4714-8233-EB5F92FFB6ED}"/>
    <cellStyle name="Note 2 14 2 7 2 2" xfId="33785" xr:uid="{E5D71CA7-1059-47B7-86F0-CF682DEE025D}"/>
    <cellStyle name="Note 2 14 2 7 2 3" xfId="45047" xr:uid="{C3FE6D67-1B0D-4C1B-A34D-4BE3DF061018}"/>
    <cellStyle name="Note 2 14 2 7 3" xfId="16334" xr:uid="{5DABA996-0050-4128-9DEA-9CD8A7F3BB12}"/>
    <cellStyle name="Note 2 14 2 7 3 2" xfId="38724" xr:uid="{B45082BC-2A51-414B-995F-E3802F0D0777}"/>
    <cellStyle name="Note 2 14 2 7 3 3" xfId="44799" xr:uid="{AB4E24D2-B5A8-4E07-86B6-350DED5C3E61}"/>
    <cellStyle name="Note 2 14 2 7 4" xfId="15354" xr:uid="{AFF2F5BC-A823-40C3-B4F2-038D12A8F79A}"/>
    <cellStyle name="Note 2 14 2 7 4 2" xfId="48727" xr:uid="{A87733A6-59E0-47E3-8697-BE8FD044A3AB}"/>
    <cellStyle name="Note 2 14 2 7 5" xfId="44443" xr:uid="{6786E00C-CAE0-4C4D-A0EE-C4E0E928CE14}"/>
    <cellStyle name="Note 2 14 2 8" xfId="7071" xr:uid="{00000000-0005-0000-0000-00005C070000}"/>
    <cellStyle name="Note 2 14 2 8 2" xfId="13907" xr:uid="{DE5A71C3-1E4E-4E24-9073-734932664C4D}"/>
    <cellStyle name="Note 2 14 2 8 2 2" xfId="36391" xr:uid="{E13044E9-3407-4A5A-A700-FD127122FCF8}"/>
    <cellStyle name="Note 2 14 2 8 2 3" xfId="52641" xr:uid="{881DF983-63CF-4C98-9D6A-D2FB296C30CA}"/>
    <cellStyle name="Note 2 14 2 8 3" xfId="19008" xr:uid="{DD09B5AA-5A72-40AF-9769-0975B3E77302}"/>
    <cellStyle name="Note 2 14 2 8 3 2" xfId="41398" xr:uid="{673C9204-47BE-4771-A6F0-28B6E3D57EBA}"/>
    <cellStyle name="Note 2 14 2 8 3 3" xfId="27129" xr:uid="{9881BA41-E3ED-4567-B757-5DA200123420}"/>
    <cellStyle name="Note 2 14 2 8 4" xfId="23432" xr:uid="{9A774A3E-0199-4742-B18C-8C93931670D3}"/>
    <cellStyle name="Note 2 14 2 8 4 2" xfId="50210" xr:uid="{FDE140F8-343F-4D9A-8874-A3F1D3728E45}"/>
    <cellStyle name="Note 2 14 2 8 5" xfId="51677" xr:uid="{3C2B4862-2C8E-435C-A425-CDCF103BBE5B}"/>
    <cellStyle name="Note 2 14 2 9" xfId="7186" xr:uid="{00000000-0005-0000-0000-00005C070000}"/>
    <cellStyle name="Note 2 14 2 9 2" xfId="19123" xr:uid="{344A6FA9-DE92-4B7B-BF5F-8F03EE408FD1}"/>
    <cellStyle name="Note 2 14 2 9 2 2" xfId="41513" xr:uid="{4C17B584-0810-4DE7-ACD2-76935D8F6F51}"/>
    <cellStyle name="Note 2 14 2 9 2 3" xfId="26767" xr:uid="{598AAD82-744B-4306-A902-E15CDBA61EC1}"/>
    <cellStyle name="Note 2 14 2 9 3" xfId="23547" xr:uid="{29F83F59-5274-4F7B-A64D-7B2B8582C63B}"/>
    <cellStyle name="Note 2 14 2 9 3 2" xfId="46050" xr:uid="{3484E9C0-2CB1-4A0F-8BD9-C43C5154F288}"/>
    <cellStyle name="Note 2 14 2 9 4" xfId="44708" xr:uid="{EB2F6CB5-D7CF-4435-B0B2-EBB8AD0A96F7}"/>
    <cellStyle name="Note 2 14 3" xfId="4934" xr:uid="{00000000-0005-0000-0000-00005B070000}"/>
    <cellStyle name="Note 2 14 3 2" xfId="11829" xr:uid="{2F832A33-CE55-4E0D-9C69-BC93CB357B23}"/>
    <cellStyle name="Note 2 14 3 2 2" xfId="34315" xr:uid="{7C91D5E3-39FA-4294-BD5E-E66AA5335DC6}"/>
    <cellStyle name="Note 2 14 3 2 3" xfId="30198" xr:uid="{1033BF09-138E-4F9E-94AA-C6C12401E141}"/>
    <cellStyle name="Note 2 14 3 3" xfId="16871" xr:uid="{5BBEA09C-ACAE-423D-83C0-389433EC6D51}"/>
    <cellStyle name="Note 2 14 3 3 2" xfId="39261" xr:uid="{DF73C415-75A5-4F35-A6F6-C068BDE055C4}"/>
    <cellStyle name="Note 2 14 3 3 3" xfId="29676" xr:uid="{F5AB6E75-74F5-48B5-B886-7ABC67535ABD}"/>
    <cellStyle name="Note 2 14 3 4" xfId="21295" xr:uid="{EE236275-AE2D-45E8-8397-80C705BA6A58}"/>
    <cellStyle name="Note 2 14 3 4 2" xfId="28396" xr:uid="{E58CEB75-D762-4B2C-8475-C6169F7AF1FA}"/>
    <cellStyle name="Note 2 14 3 5" xfId="29049" xr:uid="{180C54A9-AC15-4A91-8564-BE1BE7F37E3D}"/>
    <cellStyle name="Note 2 14 4" xfId="2960" xr:uid="{00000000-0005-0000-0000-00005B070000}"/>
    <cellStyle name="Note 2 14 4 2" xfId="9869" xr:uid="{769F62DF-65DE-4B19-A89B-0C4613ECE1AF}"/>
    <cellStyle name="Note 2 14 4 2 2" xfId="32392" xr:uid="{00DA6CD7-A039-4472-823F-98B03B9879F0}"/>
    <cellStyle name="Note 2 14 4 2 3" xfId="32348" xr:uid="{D2C12822-6039-4D8E-AF92-C9980C604B48}"/>
    <cellStyle name="Note 2 14 4 3" xfId="15308" xr:uid="{766E4802-0575-4489-8DD5-77C053EB0199}"/>
    <cellStyle name="Note 2 14 4 3 2" xfId="37740" xr:uid="{D35A2592-421A-4DF6-A417-A2536B3FA578}"/>
    <cellStyle name="Note 2 14 4 3 3" xfId="51291" xr:uid="{BF4D3F75-CDF1-4BD3-ADE4-110B286AAAC0}"/>
    <cellStyle name="Note 2 14 4 4" xfId="20675" xr:uid="{22EAB79E-70F2-4F76-8F6E-E7DF5C487B4F}"/>
    <cellStyle name="Note 2 14 4 4 2" xfId="52640" xr:uid="{3927D678-F218-4335-B031-CE6419284340}"/>
    <cellStyle name="Note 2 14 4 5" xfId="26140" xr:uid="{784350CE-8639-4271-B64B-A5AED2B7BC6E}"/>
    <cellStyle name="Note 2 14 5" xfId="4987" xr:uid="{00000000-0005-0000-0000-00005B070000}"/>
    <cellStyle name="Note 2 14 5 2" xfId="11881" xr:uid="{DD41E969-EDD7-4534-A47E-D848AC9A6465}"/>
    <cellStyle name="Note 2 14 5 2 2" xfId="34367" xr:uid="{93C52F3F-8418-49D8-BFB5-26E89C6CA062}"/>
    <cellStyle name="Note 2 14 5 2 3" xfId="45855" xr:uid="{DCF54AA6-C110-4489-A2E3-F900E4DA90E0}"/>
    <cellStyle name="Note 2 14 5 3" xfId="16924" xr:uid="{F357B35D-4EC0-4E35-92D9-E478CFA1BBF7}"/>
    <cellStyle name="Note 2 14 5 3 2" xfId="39314" xr:uid="{8B76C3DA-78A4-45E9-92C2-3C9D6742F05B}"/>
    <cellStyle name="Note 2 14 5 3 3" xfId="43173" xr:uid="{990C5F3D-04AB-4F5A-8DEC-F57D929B669F}"/>
    <cellStyle name="Note 2 14 5 4" xfId="21348" xr:uid="{F66BF910-8211-4898-9847-59839411C537}"/>
    <cellStyle name="Note 2 14 5 4 2" xfId="29926" xr:uid="{2B548822-BEDB-4FB2-83F8-F86BF0C64BD7}"/>
    <cellStyle name="Note 2 14 5 5" xfId="32429" xr:uid="{3607D9E0-227A-4F94-B7F1-61198E12193F}"/>
    <cellStyle name="Note 2 14 6" xfId="6486" xr:uid="{00000000-0005-0000-0000-00005B070000}"/>
    <cellStyle name="Note 2 14 6 2" xfId="13356" xr:uid="{C4DBCE42-A455-44F4-96EA-4E7ED5BB018A}"/>
    <cellStyle name="Note 2 14 6 2 2" xfId="35840" xr:uid="{560221CF-342D-4C3E-90AE-4CF26918361A}"/>
    <cellStyle name="Note 2 14 6 2 3" xfId="47944" xr:uid="{1740D265-73FF-4707-AFC7-FCD26995AF77}"/>
    <cellStyle name="Note 2 14 6 3" xfId="18423" xr:uid="{B9E52661-D63F-4602-8932-F29E68D3909A}"/>
    <cellStyle name="Note 2 14 6 3 2" xfId="40813" xr:uid="{FCF4749F-46FF-4295-A8B3-0A64B9D5F6BF}"/>
    <cellStyle name="Note 2 14 6 3 3" xfId="26594" xr:uid="{D51AF229-AAC6-402C-A6B6-B334386D0484}"/>
    <cellStyle name="Note 2 14 6 4" xfId="22847" xr:uid="{3607FF4A-4C08-4599-AE0F-EF429DD8CBDD}"/>
    <cellStyle name="Note 2 14 6 4 2" xfId="46680" xr:uid="{38A4E15A-F354-44FE-AE34-6FF9A2AECC80}"/>
    <cellStyle name="Note 2 14 6 5" xfId="51794" xr:uid="{EC59DE57-B367-4FCC-A0FC-2A2509BB71A2}"/>
    <cellStyle name="Note 2 14 7" xfId="14109" xr:uid="{BACCF97D-EAEC-4C7A-B362-205CAA006632}"/>
    <cellStyle name="Note 2 14 7 2" xfId="36587" xr:uid="{C25DA65F-B82D-46DE-8C9B-329D5D94397E}"/>
    <cellStyle name="Note 2 14 7 3" xfId="47081" xr:uid="{CD443975-E61A-4AD8-A8BC-09DEF0890309}"/>
    <cellStyle name="Note 2 14 8" xfId="20390" xr:uid="{830FC21B-1C86-48E2-8619-42550CCA96BE}"/>
    <cellStyle name="Note 2 14 8 2" xfId="42685" xr:uid="{6DFFE8FB-2E78-478F-AB32-F9C8F8C77C75}"/>
    <cellStyle name="Note 2 14 8 3" xfId="24460" xr:uid="{6AE94D82-C90B-4D2A-B9E0-19A232456281}"/>
    <cellStyle name="Note 2 14 9" xfId="14558" xr:uid="{730F8993-94F3-446A-A290-A75460622E5D}"/>
    <cellStyle name="Note 2 14 9 2" xfId="47776" xr:uid="{369B6C7B-DC69-48FE-A7FC-DFCEC8E1B6BC}"/>
    <cellStyle name="Note 2 15" xfId="1412" xr:uid="{00000000-0005-0000-0000-00005F070000}"/>
    <cellStyle name="Note 2 15 10" xfId="51639" xr:uid="{D120AED2-6F22-4211-B735-732B503B1E7B}"/>
    <cellStyle name="Note 2 15 2" xfId="2141" xr:uid="{00000000-0005-0000-0000-000060070000}"/>
    <cellStyle name="Note 2 15 2 10" xfId="14760" xr:uid="{A88A0986-D79D-4E1E-BCC6-1DADB0BF88E9}"/>
    <cellStyle name="Note 2 15 2 10 2" xfId="37218" xr:uid="{804A16A1-454E-4603-82DA-0A27CA7F4A18}"/>
    <cellStyle name="Note 2 15 2 10 3" xfId="53172" xr:uid="{2EC22945-A5D9-47F5-A4F6-49D14641B679}"/>
    <cellStyle name="Note 2 15 2 11" xfId="20229" xr:uid="{9E422CF6-95D8-4DAA-9581-2A274CB99449}"/>
    <cellStyle name="Note 2 15 2 11 2" xfId="42534" xr:uid="{0A5AEEE4-BC9D-4D55-B052-6D7A6EA45EEB}"/>
    <cellStyle name="Note 2 15 2 11 3" xfId="28133" xr:uid="{CB73A945-13EE-401D-B6B2-85C23DEFFAED}"/>
    <cellStyle name="Note 2 15 2 12" xfId="14324" xr:uid="{451E9A56-5764-4BE7-8E4F-0B586159846D}"/>
    <cellStyle name="Note 2 15 2 12 2" xfId="26299" xr:uid="{4D6E7C26-6ECB-489A-A390-1DA0CEEA9FD6}"/>
    <cellStyle name="Note 2 15 2 13" xfId="53471" xr:uid="{D223BF6F-9536-4827-976E-507F90A91211}"/>
    <cellStyle name="Note 2 15 2 2" xfId="4234" xr:uid="{00000000-0005-0000-0000-00005E070000}"/>
    <cellStyle name="Note 2 15 2 2 2" xfId="11138" xr:uid="{89015826-B35D-4028-9A73-D4027A5F64FF}"/>
    <cellStyle name="Note 2 15 2 2 2 2" xfId="33624" xr:uid="{27FA7743-65E6-4B2E-B43B-CF1A7C99AD2B}"/>
    <cellStyle name="Note 2 15 2 2 2 3" xfId="44402" xr:uid="{737BA586-A21A-47F9-9505-CA825FC4317D}"/>
    <cellStyle name="Note 2 15 2 2 3" xfId="16218" xr:uid="{97293D35-24DF-48CE-BDDA-237C7C2EA322}"/>
    <cellStyle name="Note 2 15 2 2 3 2" xfId="38616" xr:uid="{AA8EDCEA-AF5F-4BC2-BAD4-A33D1A2B5246}"/>
    <cellStyle name="Note 2 15 2 2 3 3" xfId="28093" xr:uid="{C8CFE259-0CD3-46DA-A22D-24D1919D85F2}"/>
    <cellStyle name="Note 2 15 2 2 4" xfId="8130" xr:uid="{BACF5D12-50C4-4CF6-87F9-20B1EA327889}"/>
    <cellStyle name="Note 2 15 2 2 4 2" xfId="28353" xr:uid="{ABB2977F-EE50-454B-88D9-EBA33FC8ED5E}"/>
    <cellStyle name="Note 2 15 2 2 5" xfId="53732" xr:uid="{298B66ED-EB9A-4838-BAB6-853ED9FD86A8}"/>
    <cellStyle name="Note 2 15 2 3" xfId="5554" xr:uid="{00000000-0005-0000-0000-00005E070000}"/>
    <cellStyle name="Note 2 15 2 3 2" xfId="12442" xr:uid="{F7BBCD17-AF77-48B0-8AB2-475D3F07981C}"/>
    <cellStyle name="Note 2 15 2 3 2 2" xfId="34927" xr:uid="{B43F0ED3-C7C3-418C-A25D-32A4A331229F}"/>
    <cellStyle name="Note 2 15 2 3 2 3" xfId="43549" xr:uid="{DAC8D5F3-8B58-44A4-B242-DDC3517D1B7B}"/>
    <cellStyle name="Note 2 15 2 3 3" xfId="17491" xr:uid="{276E9325-FAA9-4123-A852-4E666E47C447}"/>
    <cellStyle name="Note 2 15 2 3 3 2" xfId="39881" xr:uid="{BE7C1022-E087-452E-9204-7B248646FEFA}"/>
    <cellStyle name="Note 2 15 2 3 3 3" xfId="29150" xr:uid="{8A611AAB-984B-41FA-90BE-6596E2986A8E}"/>
    <cellStyle name="Note 2 15 2 3 4" xfId="21915" xr:uid="{547E49F2-AA0D-4191-8098-288806F2B9C3}"/>
    <cellStyle name="Note 2 15 2 3 4 2" xfId="49502" xr:uid="{99820A10-F39A-4647-B51E-F6F8BEC8022E}"/>
    <cellStyle name="Note 2 15 2 3 5" xfId="43800" xr:uid="{35170B06-EE0E-43A3-B3FE-9DDD06850080}"/>
    <cellStyle name="Note 2 15 2 4" xfId="5976" xr:uid="{00000000-0005-0000-0000-00005E070000}"/>
    <cellStyle name="Note 2 15 2 4 2" xfId="12857" xr:uid="{CD8F9924-3113-4419-A027-E4F64062309F}"/>
    <cellStyle name="Note 2 15 2 4 2 2" xfId="35341" xr:uid="{C5A60A0F-CF34-4B91-918B-9932D3203DE6}"/>
    <cellStyle name="Note 2 15 2 4 2 3" xfId="51126" xr:uid="{2FC6F48D-E219-4B8C-968A-649251C24B87}"/>
    <cellStyle name="Note 2 15 2 4 3" xfId="17913" xr:uid="{25C6EB15-B067-451A-A31D-B7977DF9902B}"/>
    <cellStyle name="Note 2 15 2 4 3 2" xfId="40303" xr:uid="{85BD979B-50D9-473F-8AAB-E668BF30F48F}"/>
    <cellStyle name="Note 2 15 2 4 3 3" xfId="32822" xr:uid="{EB7DDA02-9570-4069-B488-893AA52029FA}"/>
    <cellStyle name="Note 2 15 2 4 4" xfId="22337" xr:uid="{6407EDE9-7487-45A5-9374-55585E400B3D}"/>
    <cellStyle name="Note 2 15 2 4 4 2" xfId="44299" xr:uid="{E5235A37-0211-4426-BFCB-D9899E4E66DB}"/>
    <cellStyle name="Note 2 15 2 4 5" xfId="27854" xr:uid="{46B96132-9CFA-4901-91DD-621286B4AA35}"/>
    <cellStyle name="Note 2 15 2 5" xfId="6315" xr:uid="{00000000-0005-0000-0000-00005E070000}"/>
    <cellStyle name="Note 2 15 2 5 2" xfId="13187" xr:uid="{2F4FB7F2-5250-41F2-BEE0-C8B66BE4552A}"/>
    <cellStyle name="Note 2 15 2 5 2 2" xfId="35671" xr:uid="{D0642B86-BB2C-46A3-965D-4F750A3A0782}"/>
    <cellStyle name="Note 2 15 2 5 2 3" xfId="52947" xr:uid="{60B2E418-0AD3-433A-B14C-A4B8E8CF1C80}"/>
    <cellStyle name="Note 2 15 2 5 3" xfId="18252" xr:uid="{0BF831C2-A66C-4A1A-AF30-C61D76D2015B}"/>
    <cellStyle name="Note 2 15 2 5 3 2" xfId="40642" xr:uid="{D1E93006-1E13-47E1-B80B-AA3E7A3AAA00}"/>
    <cellStyle name="Note 2 15 2 5 3 3" xfId="27120" xr:uid="{16B2161B-7748-4156-955B-470555042A6E}"/>
    <cellStyle name="Note 2 15 2 5 4" xfId="22676" xr:uid="{398F2261-1DF6-4EED-91E7-C9B5E316B5FE}"/>
    <cellStyle name="Note 2 15 2 5 4 2" xfId="29620" xr:uid="{1B44890B-0F2A-437D-B441-56CB64BBA853}"/>
    <cellStyle name="Note 2 15 2 5 5" xfId="48483" xr:uid="{BE578725-F484-4FED-82A7-46041B489CBE}"/>
    <cellStyle name="Note 2 15 2 6" xfId="6663" xr:uid="{00000000-0005-0000-0000-00005E070000}"/>
    <cellStyle name="Note 2 15 2 6 2" xfId="13529" xr:uid="{AC29D500-6429-4C57-B370-373B91D9CBFD}"/>
    <cellStyle name="Note 2 15 2 6 2 2" xfId="36013" xr:uid="{BB1D7B56-31B5-4F39-B972-48895DF9F6CC}"/>
    <cellStyle name="Note 2 15 2 6 2 3" xfId="46463" xr:uid="{A76A08AA-2CDC-4870-A65C-866E696B5D76}"/>
    <cellStyle name="Note 2 15 2 6 3" xfId="18600" xr:uid="{0BD7B46F-E662-4205-8FDE-BC87C2E2C8ED}"/>
    <cellStyle name="Note 2 15 2 6 3 2" xfId="40990" xr:uid="{D6EA3A19-E4E4-45ED-88D2-F5586910FCE8}"/>
    <cellStyle name="Note 2 15 2 6 3 3" xfId="43950" xr:uid="{FEDE8C97-0D15-46D4-8C96-105FA52CB6E6}"/>
    <cellStyle name="Note 2 15 2 6 4" xfId="23024" xr:uid="{3E17D84B-8CC9-43F8-83FC-DAF331242D1D}"/>
    <cellStyle name="Note 2 15 2 6 4 2" xfId="46557" xr:uid="{88E05339-0F5F-408E-A1F4-08475963FB69}"/>
    <cellStyle name="Note 2 15 2 6 5" xfId="47844" xr:uid="{22B8B4FF-A43C-4DFD-AA7E-C838AAADF813}"/>
    <cellStyle name="Note 2 15 2 7" xfId="6729" xr:uid="{00000000-0005-0000-0000-00005E070000}"/>
    <cellStyle name="Note 2 15 2 7 2" xfId="13588" xr:uid="{3A18ADED-0199-427B-A800-F4030F159B6F}"/>
    <cellStyle name="Note 2 15 2 7 2 2" xfId="36072" xr:uid="{0FDE1535-B8B3-49B3-8752-4714260A056E}"/>
    <cellStyle name="Note 2 15 2 7 2 3" xfId="25765" xr:uid="{86072EAF-8394-4368-B734-B81351C2D60E}"/>
    <cellStyle name="Note 2 15 2 7 3" xfId="18666" xr:uid="{97F6CD84-9488-43F6-A0BB-2641EB032B1F}"/>
    <cellStyle name="Note 2 15 2 7 3 2" xfId="41056" xr:uid="{33C1ECD6-33BF-43F5-B65E-CF0185DFB85A}"/>
    <cellStyle name="Note 2 15 2 7 3 3" xfId="31254" xr:uid="{87D9F60D-20E5-4B82-BEC5-A9912C8941AF}"/>
    <cellStyle name="Note 2 15 2 7 4" xfId="23090" xr:uid="{0C4C9E31-7BDA-4D76-93F2-150A4E2C2DE8}"/>
    <cellStyle name="Note 2 15 2 7 4 2" xfId="51795" xr:uid="{5263F9F3-2ECA-4F51-AD08-877EE92D1A7B}"/>
    <cellStyle name="Note 2 15 2 7 5" xfId="46852" xr:uid="{644EA540-7AFC-4BC2-B4DA-24F901ECD367}"/>
    <cellStyle name="Note 2 15 2 8" xfId="7120" xr:uid="{00000000-0005-0000-0000-00005E070000}"/>
    <cellStyle name="Note 2 15 2 8 2" xfId="13956" xr:uid="{BCED6BD1-8D42-460D-B506-4DCAA7E4CC48}"/>
    <cellStyle name="Note 2 15 2 8 2 2" xfId="36440" xr:uid="{E0BB7A8D-70FC-4D2B-8BD6-A20A39F246B4}"/>
    <cellStyle name="Note 2 15 2 8 2 3" xfId="47568" xr:uid="{95DA06E0-5536-422C-A8F8-0B5F1D9E5E5A}"/>
    <cellStyle name="Note 2 15 2 8 3" xfId="19057" xr:uid="{064FBC70-5030-4E94-8F9D-19B53D0A5823}"/>
    <cellStyle name="Note 2 15 2 8 3 2" xfId="41447" xr:uid="{17B98302-90D7-4A3D-B3AC-E101B6AAE8BC}"/>
    <cellStyle name="Note 2 15 2 8 3 3" xfId="28811" xr:uid="{5453A8D6-B45B-4979-B64B-7D7D03477B79}"/>
    <cellStyle name="Note 2 15 2 8 4" xfId="23481" xr:uid="{DD3E8ACC-7DD3-417C-93D5-5B52F05EBBAD}"/>
    <cellStyle name="Note 2 15 2 8 4 2" xfId="42022" xr:uid="{FA018B5C-FB31-4665-875C-6F2F95E803D6}"/>
    <cellStyle name="Note 2 15 2 8 5" xfId="51994" xr:uid="{5BF1C6AA-8D57-4FC9-A329-2019B761A2F4}"/>
    <cellStyle name="Note 2 15 2 9" xfId="7231" xr:uid="{00000000-0005-0000-0000-00005E070000}"/>
    <cellStyle name="Note 2 15 2 9 2" xfId="19168" xr:uid="{B5346760-6545-4F37-927D-535AB45A1F37}"/>
    <cellStyle name="Note 2 15 2 9 2 2" xfId="41558" xr:uid="{55475C86-D03C-4965-BD1B-7C4C88C25DFC}"/>
    <cellStyle name="Note 2 15 2 9 2 3" xfId="37425" xr:uid="{D2A3E6BF-4E57-434E-90FC-50E542B8DC35}"/>
    <cellStyle name="Note 2 15 2 9 3" xfId="23592" xr:uid="{8F1FC2BD-2E66-4A4E-9D16-157704645CD5}"/>
    <cellStyle name="Note 2 15 2 9 3 2" xfId="27383" xr:uid="{0BEDE5D7-FF39-481F-982E-F0D1E7B501EE}"/>
    <cellStyle name="Note 2 15 2 9 4" xfId="47878" xr:uid="{6EC410DD-ABD5-4091-B127-4AF015A11C80}"/>
    <cellStyle name="Note 2 15 3" xfId="5038" xr:uid="{00000000-0005-0000-0000-00005D070000}"/>
    <cellStyle name="Note 2 15 3 2" xfId="11932" xr:uid="{4AD8373A-6DCC-484E-B92E-538726BE151E}"/>
    <cellStyle name="Note 2 15 3 2 2" xfId="34418" xr:uid="{808EB2F4-AD4D-468D-A623-5003F5B83E2E}"/>
    <cellStyle name="Note 2 15 3 2 3" xfId="29019" xr:uid="{284C6793-5B12-46D3-A321-0EB59DDCC581}"/>
    <cellStyle name="Note 2 15 3 3" xfId="16975" xr:uid="{BEEF56C2-FB53-4320-B21F-C7723AF2D641}"/>
    <cellStyle name="Note 2 15 3 3 2" xfId="39365" xr:uid="{01FD1A02-A626-44EF-9273-75C4840AEB2D}"/>
    <cellStyle name="Note 2 15 3 3 3" xfId="36460" xr:uid="{FBE71319-E647-4673-84AC-FD293CE5FBFE}"/>
    <cellStyle name="Note 2 15 3 4" xfId="21399" xr:uid="{D284F3B2-486C-4716-A8F2-4311D9BBAE6D}"/>
    <cellStyle name="Note 2 15 3 4 2" xfId="50619" xr:uid="{ED9CAE4F-3D6A-4EF3-89EC-1810D2E63ED3}"/>
    <cellStyle name="Note 2 15 3 5" xfId="48650" xr:uid="{C2A9A839-51F7-452E-BBDB-2166C4F49C0C}"/>
    <cellStyle name="Note 2 15 4" xfId="5380" xr:uid="{00000000-0005-0000-0000-00005D070000}"/>
    <cellStyle name="Note 2 15 4 2" xfId="12271" xr:uid="{1E6BB9C1-6973-4188-A9A6-FD5011A0DD73}"/>
    <cellStyle name="Note 2 15 4 2 2" xfId="34756" xr:uid="{6D3B9C45-0ED8-4AC0-AF69-54451A1A5FF6}"/>
    <cellStyle name="Note 2 15 4 2 3" xfId="23715" xr:uid="{05C7CE81-DC95-4F35-8780-4417431AA6B0}"/>
    <cellStyle name="Note 2 15 4 3" xfId="17317" xr:uid="{F77AE5E4-03BD-447B-AAE5-80AED9046428}"/>
    <cellStyle name="Note 2 15 4 3 2" xfId="39707" xr:uid="{684D30D4-C895-489F-B69F-A2D2239CF4D4}"/>
    <cellStyle name="Note 2 15 4 3 3" xfId="29159" xr:uid="{74B7552F-D7D9-41F6-8F92-ADB500C0903C}"/>
    <cellStyle name="Note 2 15 4 4" xfId="21741" xr:uid="{9FC3D809-A2C7-4B61-B6CD-4E01892E6FF6}"/>
    <cellStyle name="Note 2 15 4 4 2" xfId="52478" xr:uid="{B1C5DEC0-F450-440F-B323-4F04D8515762}"/>
    <cellStyle name="Note 2 15 4 5" xfId="30283" xr:uid="{A28C6562-96F8-4A1B-BCFF-4F18D75582CE}"/>
    <cellStyle name="Note 2 15 5" xfId="5059" xr:uid="{00000000-0005-0000-0000-00005D070000}"/>
    <cellStyle name="Note 2 15 5 2" xfId="11952" xr:uid="{4E6A1609-4D76-4949-A07F-6DB0FE516678}"/>
    <cellStyle name="Note 2 15 5 2 2" xfId="34438" xr:uid="{42996DD2-6895-4958-9221-0B5783E1E7D7}"/>
    <cellStyle name="Note 2 15 5 2 3" xfId="32634" xr:uid="{CEC89128-0416-4850-8E0C-C3A93FD09825}"/>
    <cellStyle name="Note 2 15 5 3" xfId="16996" xr:uid="{5AC095AE-02AE-4BB7-8ABE-D201123F3C0C}"/>
    <cellStyle name="Note 2 15 5 3 2" xfId="39386" xr:uid="{AD09F2F3-CF85-4952-ADBF-92340EB08BA4}"/>
    <cellStyle name="Note 2 15 5 3 3" xfId="27653" xr:uid="{1FBC6545-89CE-4CD1-91B4-FA5438B991BD}"/>
    <cellStyle name="Note 2 15 5 4" xfId="21420" xr:uid="{35078268-4BB3-4E24-AFE2-34318DDB44E6}"/>
    <cellStyle name="Note 2 15 5 4 2" xfId="45767" xr:uid="{16F891DB-EAFD-4F2B-98F4-7866AC755F4F}"/>
    <cellStyle name="Note 2 15 5 5" xfId="26340" xr:uid="{2E60FB4D-3213-4826-9CF6-982E9F6778D1}"/>
    <cellStyle name="Note 2 15 6" xfId="5578" xr:uid="{00000000-0005-0000-0000-00005D070000}"/>
    <cellStyle name="Note 2 15 6 2" xfId="12463" xr:uid="{BAB1DB34-282C-475C-BAA5-6216EC073E74}"/>
    <cellStyle name="Note 2 15 6 2 2" xfId="34948" xr:uid="{C47AB589-0650-425D-A81F-E166B513060D}"/>
    <cellStyle name="Note 2 15 6 2 3" xfId="29318" xr:uid="{379F0D1A-EF63-43C5-A92E-FF83060D8E99}"/>
    <cellStyle name="Note 2 15 6 3" xfId="17515" xr:uid="{F0830B93-F972-4BD9-BFCA-AD06A27474D1}"/>
    <cellStyle name="Note 2 15 6 3 2" xfId="39905" xr:uid="{02E49400-D470-4644-B9D3-8540E1F10B8F}"/>
    <cellStyle name="Note 2 15 6 3 3" xfId="29169" xr:uid="{5C32F9AC-A715-40C4-B4CA-B3473A1115AD}"/>
    <cellStyle name="Note 2 15 6 4" xfId="21939" xr:uid="{C1412122-3393-4AF0-9AF2-0931F025E1B6}"/>
    <cellStyle name="Note 2 15 6 4 2" xfId="47083" xr:uid="{86C3ECAC-A205-417F-9E19-AE1287C65DE9}"/>
    <cellStyle name="Note 2 15 6 5" xfId="51512" xr:uid="{411A97A5-F915-4989-81EE-AA6D926CF80C}"/>
    <cellStyle name="Note 2 15 7" xfId="14222" xr:uid="{09D00404-A30A-46A1-B549-1D69EA11FB8C}"/>
    <cellStyle name="Note 2 15 7 2" xfId="36696" xr:uid="{DAD8A74A-2126-49E2-9A9D-F2A8594103D8}"/>
    <cellStyle name="Note 2 15 7 3" xfId="29312" xr:uid="{7D81AFEA-E4F4-440F-8DE3-865EF22E0940}"/>
    <cellStyle name="Note 2 15 8" xfId="20777" xr:uid="{FA8200C5-3FF6-4928-BB5A-C8960DBF25D7}"/>
    <cellStyle name="Note 2 15 8 2" xfId="43045" xr:uid="{21F5E8C8-416C-4647-89A1-3C8847175BF4}"/>
    <cellStyle name="Note 2 15 8 3" xfId="32765" xr:uid="{19ED3931-BAEB-453C-99CC-168003D9C50F}"/>
    <cellStyle name="Note 2 15 9" xfId="19699" xr:uid="{D2917883-6374-4EE7-8381-104C4F6962D1}"/>
    <cellStyle name="Note 2 15 9 2" xfId="23615" xr:uid="{F666114B-8731-4A5F-ACF2-E0FC57F66EFD}"/>
    <cellStyle name="Note 2 16" xfId="1465" xr:uid="{00000000-0005-0000-0000-000061070000}"/>
    <cellStyle name="Note 2 16 10" xfId="48865" xr:uid="{EFEED638-9430-4C66-9C8B-87073C1E7C06}"/>
    <cellStyle name="Note 2 16 2" xfId="2192" xr:uid="{00000000-0005-0000-0000-000062070000}"/>
    <cellStyle name="Note 2 16 2 10" xfId="14793" xr:uid="{A93B0234-DC4C-472D-BE61-F5AC530BF665}"/>
    <cellStyle name="Note 2 16 2 10 2" xfId="37249" xr:uid="{F9A394E6-0793-4E5E-9321-AB79DB822979}"/>
    <cellStyle name="Note 2 16 2 10 3" xfId="49490" xr:uid="{9B1BEB98-C02F-4DC6-99BE-D7BEA29207DA}"/>
    <cellStyle name="Note 2 16 2 11" xfId="20429" xr:uid="{C05A3478-3D05-41D0-A71A-3FF0445C41B4}"/>
    <cellStyle name="Note 2 16 2 11 2" xfId="42721" xr:uid="{D097DD7C-FAD2-43CA-A9CA-F4D04D89EB01}"/>
    <cellStyle name="Note 2 16 2 11 3" xfId="46553" xr:uid="{81C0CCFC-97FF-45AD-957A-99FFC76EC207}"/>
    <cellStyle name="Note 2 16 2 12" xfId="9033" xr:uid="{5AD48C1F-D2FB-426A-B0E0-FF2434FDF651}"/>
    <cellStyle name="Note 2 16 2 12 2" xfId="28628" xr:uid="{795797A3-42B6-4B91-B01C-4E6E748A2267}"/>
    <cellStyle name="Note 2 16 2 13" xfId="48164" xr:uid="{6CB43E11-BEAE-410B-8F19-705F3CE6F692}"/>
    <cellStyle name="Note 2 16 2 2" xfId="4285" xr:uid="{00000000-0005-0000-0000-000060070000}"/>
    <cellStyle name="Note 2 16 2 2 2" xfId="11189" xr:uid="{05035E9C-F426-4BB3-8CC3-E3966AFACD43}"/>
    <cellStyle name="Note 2 16 2 2 2 2" xfId="33675" xr:uid="{33F39164-28D6-497A-BF94-FBC3F9849FF8}"/>
    <cellStyle name="Note 2 16 2 2 2 3" xfId="29345" xr:uid="{F5AA0510-DB61-4CCF-80D1-A9A12F2EFBA8}"/>
    <cellStyle name="Note 2 16 2 2 3" xfId="16250" xr:uid="{9B5EF923-E95E-4758-8B51-DC9E07D2151A}"/>
    <cellStyle name="Note 2 16 2 2 3 2" xfId="38643" xr:uid="{8F720944-3A72-4AB8-966A-99F3544113D4}"/>
    <cellStyle name="Note 2 16 2 2 3 3" xfId="44765" xr:uid="{CA395468-9193-4D4C-BEEB-F0197A3089CD}"/>
    <cellStyle name="Note 2 16 2 2 4" xfId="15918" xr:uid="{C35D0D4F-9F00-4AC6-8158-4D4E09CD3A7C}"/>
    <cellStyle name="Note 2 16 2 2 4 2" xfId="47247" xr:uid="{65D0974C-C29B-41F3-BC68-4CBA55F421EF}"/>
    <cellStyle name="Note 2 16 2 2 5" xfId="46295" xr:uid="{339F518E-2887-417A-856E-25E87A4AC13E}"/>
    <cellStyle name="Note 2 16 2 3" xfId="5587" xr:uid="{00000000-0005-0000-0000-000060070000}"/>
    <cellStyle name="Note 2 16 2 3 2" xfId="12472" xr:uid="{E3B14424-8E52-4642-BCFA-FF6B6354208D}"/>
    <cellStyle name="Note 2 16 2 3 2 2" xfId="34957" xr:uid="{AFECF085-E6CD-445B-8A11-AEEBC58279C9}"/>
    <cellStyle name="Note 2 16 2 3 2 3" xfId="25884" xr:uid="{829232E0-E359-4005-9C64-61BFFF76605B}"/>
    <cellStyle name="Note 2 16 2 3 3" xfId="17524" xr:uid="{B9549EC8-CC55-418B-AF91-AB56AEF017AC}"/>
    <cellStyle name="Note 2 16 2 3 3 2" xfId="39914" xr:uid="{63F39908-3860-4364-88B6-9D582D9EEE2C}"/>
    <cellStyle name="Note 2 16 2 3 3 3" xfId="44444" xr:uid="{A21C6395-C043-4F1A-A998-94A07B03B0C6}"/>
    <cellStyle name="Note 2 16 2 3 4" xfId="21948" xr:uid="{AA3D129B-1EAA-4C21-B22D-2591C955744D}"/>
    <cellStyle name="Note 2 16 2 3 4 2" xfId="28972" xr:uid="{4D0D0AAA-67E5-4682-9D06-646A6B2AFAA3}"/>
    <cellStyle name="Note 2 16 2 3 5" xfId="29243" xr:uid="{CB67D2F8-EC2E-47BF-A713-A454CC2092FF}"/>
    <cellStyle name="Note 2 16 2 4" xfId="6003" xr:uid="{00000000-0005-0000-0000-000060070000}"/>
    <cellStyle name="Note 2 16 2 4 2" xfId="12884" xr:uid="{7C836D43-B966-4144-BCB8-FA33EE49887C}"/>
    <cellStyle name="Note 2 16 2 4 2 2" xfId="35368" xr:uid="{0F7B37CF-934E-43D5-ABF7-D478FF43B96C}"/>
    <cellStyle name="Note 2 16 2 4 2 3" xfId="52161" xr:uid="{C6708317-68B3-4217-A5F2-CF67470340DC}"/>
    <cellStyle name="Note 2 16 2 4 3" xfId="17940" xr:uid="{07CBB657-5D41-4540-9E29-97DE3F088C44}"/>
    <cellStyle name="Note 2 16 2 4 3 2" xfId="40330" xr:uid="{BADD4379-0CDF-4D44-BD0E-23A00B8A2952}"/>
    <cellStyle name="Note 2 16 2 4 3 3" xfId="44122" xr:uid="{B462F0F3-2D72-469C-9416-F9B89F4260C8}"/>
    <cellStyle name="Note 2 16 2 4 4" xfId="22364" xr:uid="{82537AA4-313E-439D-BFF8-EDD49E22C337}"/>
    <cellStyle name="Note 2 16 2 4 4 2" xfId="23648" xr:uid="{B1530B78-8A1A-47FE-A9DA-4BC08E4F7868}"/>
    <cellStyle name="Note 2 16 2 4 5" xfId="46384" xr:uid="{E9826148-08C0-4D02-919A-E074040D23B9}"/>
    <cellStyle name="Note 2 16 2 5" xfId="6340" xr:uid="{00000000-0005-0000-0000-000060070000}"/>
    <cellStyle name="Note 2 16 2 5 2" xfId="13212" xr:uid="{E2BDD83E-50FC-4D1F-91EE-031CDB45D5C9}"/>
    <cellStyle name="Note 2 16 2 5 2 2" xfId="35696" xr:uid="{1DDC4BF4-3A97-4CEA-BE76-387F9E198500}"/>
    <cellStyle name="Note 2 16 2 5 2 3" xfId="47725" xr:uid="{3062B63B-B8DC-436A-B42D-FCB22B02E41A}"/>
    <cellStyle name="Note 2 16 2 5 3" xfId="18277" xr:uid="{843164C6-8795-415C-8968-062CE7FAC9AB}"/>
    <cellStyle name="Note 2 16 2 5 3 2" xfId="40667" xr:uid="{24159B0C-3FAB-4851-ADCB-9AB3CD3E6339}"/>
    <cellStyle name="Note 2 16 2 5 3 3" xfId="43770" xr:uid="{AC4AD40A-0878-4D2B-9D45-1519D0FA666C}"/>
    <cellStyle name="Note 2 16 2 5 4" xfId="22701" xr:uid="{DA515F10-968C-49A5-BA83-482240D83719}"/>
    <cellStyle name="Note 2 16 2 5 4 2" xfId="50644" xr:uid="{00E72930-19ED-470B-96B2-1D67995FA9B1}"/>
    <cellStyle name="Note 2 16 2 5 5" xfId="30845" xr:uid="{82CDCA02-F856-4539-A334-0B6763B86470}"/>
    <cellStyle name="Note 2 16 2 6" xfId="6683" xr:uid="{00000000-0005-0000-0000-000060070000}"/>
    <cellStyle name="Note 2 16 2 6 2" xfId="13549" xr:uid="{E49D1B86-4879-408D-92A4-762F9B2F75E5}"/>
    <cellStyle name="Note 2 16 2 6 2 2" xfId="36033" xr:uid="{937C21B0-7C1A-4348-9437-51ABA7FC088C}"/>
    <cellStyle name="Note 2 16 2 6 2 3" xfId="53195" xr:uid="{33D87E53-3D4C-4467-9320-E950FFA887EA}"/>
    <cellStyle name="Note 2 16 2 6 3" xfId="18620" xr:uid="{2A4F1EE1-A03E-4D5A-A180-B3F01D4D732F}"/>
    <cellStyle name="Note 2 16 2 6 3 2" xfId="41010" xr:uid="{DFAC61D6-71E8-4E31-B8D9-07C73CCF264E}"/>
    <cellStyle name="Note 2 16 2 6 3 3" xfId="25827" xr:uid="{97B029C9-5763-468F-A89B-9068D8B732B7}"/>
    <cellStyle name="Note 2 16 2 6 4" xfId="23044" xr:uid="{9E0646A3-AA29-4C71-AA3A-E071A54F5864}"/>
    <cellStyle name="Note 2 16 2 6 4 2" xfId="47227" xr:uid="{9CE9F7FF-804B-4C5B-BDD3-7568E3C1B283}"/>
    <cellStyle name="Note 2 16 2 6 5" xfId="52511" xr:uid="{91A98426-AF26-46F9-A68D-2A8BC5610291}"/>
    <cellStyle name="Note 2 16 2 7" xfId="5572" xr:uid="{00000000-0005-0000-0000-000060070000}"/>
    <cellStyle name="Note 2 16 2 7 2" xfId="12457" xr:uid="{A71F8522-2C44-4FF4-9AF1-57D0DD95008F}"/>
    <cellStyle name="Note 2 16 2 7 2 2" xfId="34942" xr:uid="{74DD1A8A-AE8E-444B-B2A3-6308318D42BD}"/>
    <cellStyle name="Note 2 16 2 7 2 3" xfId="29314" xr:uid="{B36981A3-E359-473E-A6F1-28F338CA441C}"/>
    <cellStyle name="Note 2 16 2 7 3" xfId="17509" xr:uid="{68F07FBB-0799-4236-B53D-9EF0DCDDABD7}"/>
    <cellStyle name="Note 2 16 2 7 3 2" xfId="39899" xr:uid="{62278CB4-AC6D-4C2E-8015-BFD1654D2B7B}"/>
    <cellStyle name="Note 2 16 2 7 3 3" xfId="30967" xr:uid="{B31C5682-B95A-44B9-B4DD-952D9FD4B7A9}"/>
    <cellStyle name="Note 2 16 2 7 4" xfId="21933" xr:uid="{EB1C62A2-748D-4E08-A80E-0395F289667A}"/>
    <cellStyle name="Note 2 16 2 7 4 2" xfId="53625" xr:uid="{981F9A29-BD12-45E2-A7E7-E94E7B267C04}"/>
    <cellStyle name="Note 2 16 2 7 5" xfId="44864" xr:uid="{36CE659B-3A4F-46A3-85E9-817771272C6D}"/>
    <cellStyle name="Note 2 16 2 8" xfId="7125" xr:uid="{00000000-0005-0000-0000-000060070000}"/>
    <cellStyle name="Note 2 16 2 8 2" xfId="13961" xr:uid="{F1FF9F81-73ED-4896-B7D0-A2B55CDA45B5}"/>
    <cellStyle name="Note 2 16 2 8 2 2" xfId="36445" xr:uid="{1D4DD576-9288-4E86-B01E-FC47A6D341B6}"/>
    <cellStyle name="Note 2 16 2 8 2 3" xfId="27655" xr:uid="{2E089955-E8E3-4189-BA2D-A0CF67E7FB95}"/>
    <cellStyle name="Note 2 16 2 8 3" xfId="19062" xr:uid="{C910CC04-CF59-4661-B0CF-12DC17D766AA}"/>
    <cellStyle name="Note 2 16 2 8 3 2" xfId="41452" xr:uid="{165DB908-8DC4-4290-8412-2D6E5A357584}"/>
    <cellStyle name="Note 2 16 2 8 3 3" xfId="29007" xr:uid="{6A779B67-03F3-49DE-9922-C412AAFDB734}"/>
    <cellStyle name="Note 2 16 2 8 4" xfId="23486" xr:uid="{5AF26528-01EF-4EB5-BF99-F932600E7C4E}"/>
    <cellStyle name="Note 2 16 2 8 4 2" xfId="53333" xr:uid="{3F5D5959-C66D-40E2-B311-62BBFFA43C31}"/>
    <cellStyle name="Note 2 16 2 8 5" xfId="51432" xr:uid="{7D8810CD-64AF-4C32-8F2D-0424D6A8D3D0}"/>
    <cellStyle name="Note 2 16 2 9" xfId="7236" xr:uid="{00000000-0005-0000-0000-000060070000}"/>
    <cellStyle name="Note 2 16 2 9 2" xfId="19173" xr:uid="{601AC973-FC44-435B-B093-DD83AB3CEE23}"/>
    <cellStyle name="Note 2 16 2 9 2 2" xfId="41563" xr:uid="{7E620C53-82D2-4F7E-87CC-DFE677C80860}"/>
    <cellStyle name="Note 2 16 2 9 2 3" xfId="45093" xr:uid="{6167357F-2F67-4115-8469-4ADB0B933146}"/>
    <cellStyle name="Note 2 16 2 9 3" xfId="23597" xr:uid="{2E19BBE5-DA4A-446D-B2B7-AD76098EDC80}"/>
    <cellStyle name="Note 2 16 2 9 3 2" xfId="54143" xr:uid="{3E5573AD-2B35-433E-9378-C39338C2F4EE}"/>
    <cellStyle name="Note 2 16 2 9 4" xfId="27646" xr:uid="{158B0F34-259C-4079-A056-608C1D2A446A}"/>
    <cellStyle name="Note 2 16 3" xfId="5067" xr:uid="{00000000-0005-0000-0000-00005F070000}"/>
    <cellStyle name="Note 2 16 3 2" xfId="11960" xr:uid="{9ACD79BB-60EC-4C31-9FFF-3A8C2EEA513C}"/>
    <cellStyle name="Note 2 16 3 2 2" xfId="34446" xr:uid="{0B48483A-87A0-4377-8262-C72CD460980C}"/>
    <cellStyle name="Note 2 16 3 2 3" xfId="45843" xr:uid="{A3DBAE73-5977-4870-A75C-E170A4D3435C}"/>
    <cellStyle name="Note 2 16 3 3" xfId="17004" xr:uid="{93A21982-B48C-4826-9B4C-7AE6EFE2B9FF}"/>
    <cellStyle name="Note 2 16 3 3 2" xfId="39394" xr:uid="{867CFDAA-425F-4BF2-A8DE-7D8CCA9825F1}"/>
    <cellStyle name="Note 2 16 3 3 3" xfId="28197" xr:uid="{C899EED4-7083-4F52-9045-7C7D4FE10A64}"/>
    <cellStyle name="Note 2 16 3 4" xfId="21428" xr:uid="{A7958055-AC80-4A0A-9C6A-0112341A0753}"/>
    <cellStyle name="Note 2 16 3 4 2" xfId="52524" xr:uid="{F39916AB-C5DA-44FC-A79F-16AB20047841}"/>
    <cellStyle name="Note 2 16 3 5" xfId="47053" xr:uid="{79B5D3F5-1DFE-46E2-8E49-CB870D003971}"/>
    <cellStyle name="Note 2 16 4" xfId="4743" xr:uid="{00000000-0005-0000-0000-00005F070000}"/>
    <cellStyle name="Note 2 16 4 2" xfId="11641" xr:uid="{BE5394C8-D89B-482F-9A4B-B337A799E79A}"/>
    <cellStyle name="Note 2 16 4 2 2" xfId="34127" xr:uid="{6703F7AE-AF62-49B6-87F0-F13EA411FF67}"/>
    <cellStyle name="Note 2 16 4 2 3" xfId="36930" xr:uid="{A756CA1D-FFDC-4170-813F-3A37D567EF87}"/>
    <cellStyle name="Note 2 16 4 3" xfId="16680" xr:uid="{BD72C5C8-280C-4023-85BE-7207E2A6ECA0}"/>
    <cellStyle name="Note 2 16 4 3 2" xfId="39070" xr:uid="{F73BAFFC-D1E4-4A11-882B-4D3EFCC3C923}"/>
    <cellStyle name="Note 2 16 4 3 3" xfId="24402" xr:uid="{406C9CF9-E416-4E46-9021-0F13A032D17B}"/>
    <cellStyle name="Note 2 16 4 4" xfId="9157" xr:uid="{599A0212-4A69-403C-8E9B-368000F6FCE6}"/>
    <cellStyle name="Note 2 16 4 4 2" xfId="47711" xr:uid="{95AC52C0-79DA-4C4D-B55D-C7761535796A}"/>
    <cellStyle name="Note 2 16 4 5" xfId="53444" xr:uid="{8ABD8AF9-E288-41B9-A94A-86B7CE5B2325}"/>
    <cellStyle name="Note 2 16 5" xfId="2264" xr:uid="{00000000-0005-0000-0000-00005F070000}"/>
    <cellStyle name="Note 2 16 5 2" xfId="9176" xr:uid="{622E709B-835E-4DFA-9349-B60475F9C79C}"/>
    <cellStyle name="Note 2 16 5 2 2" xfId="31751" xr:uid="{EFE659BA-05EA-4954-80A4-7A007DDCF049}"/>
    <cellStyle name="Note 2 16 5 2 3" xfId="50038" xr:uid="{1F576739-196A-4C97-9F4C-16D4F384EA96}"/>
    <cellStyle name="Note 2 16 5 3" xfId="14834" xr:uid="{6AAFB865-2FE5-4E77-91EA-3341EEBBD5AE}"/>
    <cellStyle name="Note 2 16 5 3 2" xfId="37288" xr:uid="{C4D70388-0F2C-4CC4-9034-9E478328D3CD}"/>
    <cellStyle name="Note 2 16 5 3 3" xfId="43880" xr:uid="{A5706246-9441-41CE-842B-542DA1F19D23}"/>
    <cellStyle name="Note 2 16 5 4" xfId="20058" xr:uid="{B25D95B9-C1A7-4023-A688-F3AEBC41FDBB}"/>
    <cellStyle name="Note 2 16 5 4 2" xfId="29375" xr:uid="{79760E02-A7A4-46AA-83F2-1C111E821AAD}"/>
    <cellStyle name="Note 2 16 5 5" xfId="46697" xr:uid="{595BB75B-4E83-473C-8585-9B1AF1CF0EA5}"/>
    <cellStyle name="Note 2 16 6" xfId="6361" xr:uid="{00000000-0005-0000-0000-00005F070000}"/>
    <cellStyle name="Note 2 16 6 2" xfId="13233" xr:uid="{2B06A8A1-4F12-4125-BD95-EFBC12572EB0}"/>
    <cellStyle name="Note 2 16 6 2 2" xfId="35717" xr:uid="{DD7CC4E7-2ED7-4994-B1E5-2E4BBBA20C3F}"/>
    <cellStyle name="Note 2 16 6 2 3" xfId="44457" xr:uid="{C5D6CB3A-F1C9-4331-8CF2-9A217458602D}"/>
    <cellStyle name="Note 2 16 6 3" xfId="18298" xr:uid="{EEFFE1B0-B813-4ECE-941C-6ED4F6CCC39B}"/>
    <cellStyle name="Note 2 16 6 3 2" xfId="40688" xr:uid="{50D96C20-7108-496D-95DA-A2EA692A1A67}"/>
    <cellStyle name="Note 2 16 6 3 3" xfId="44632" xr:uid="{4F3DBE30-0FE0-4744-A9DF-D86DC77E2C4D}"/>
    <cellStyle name="Note 2 16 6 4" xfId="22722" xr:uid="{5319551A-3F79-4739-B72F-5370ABF766AB}"/>
    <cellStyle name="Note 2 16 6 4 2" xfId="48026" xr:uid="{FAF7A311-D52F-4E05-9B5A-91633028EB58}"/>
    <cellStyle name="Note 2 16 6 5" xfId="47963" xr:uid="{1E6E4B4C-407D-4C5D-BAEF-C26AA1D25DAB}"/>
    <cellStyle name="Note 2 16 7" xfId="14250" xr:uid="{D31ACC88-EE21-4189-837E-3B65CE576043}"/>
    <cellStyle name="Note 2 16 7 2" xfId="36723" xr:uid="{CEB68D58-2683-4F4D-B68D-FBA9938DBD95}"/>
    <cellStyle name="Note 2 16 7 3" xfId="50399" xr:uid="{C0D4541B-16B2-4204-AD76-E8F131D247B7}"/>
    <cellStyle name="Note 2 16 8" xfId="7393" xr:uid="{1B4E8D5F-9BDB-4352-AF95-3E38AA1EB21A}"/>
    <cellStyle name="Note 2 16 8 2" xfId="30077" xr:uid="{A3309CD8-6CB0-471E-8E34-FF8C25C57ED3}"/>
    <cellStyle name="Note 2 16 8 3" xfId="49563" xr:uid="{BB9E7EED-FE6F-4F7D-8156-C12704C13904}"/>
    <cellStyle name="Note 2 16 9" xfId="20897" xr:uid="{07795442-440A-4B74-B00F-452750BD3F60}"/>
    <cellStyle name="Note 2 16 9 2" xfId="52186" xr:uid="{EFD72158-96A2-4FEB-A8EF-C5D26BD94EDE}"/>
    <cellStyle name="Note 2 17" xfId="1522" xr:uid="{00000000-0005-0000-0000-000063070000}"/>
    <cellStyle name="Note 2 17 10" xfId="14286" xr:uid="{971F16A7-D51C-40F4-84AA-F22E2776C33A}"/>
    <cellStyle name="Note 2 17 10 2" xfId="36755" xr:uid="{0B7E7975-5EB7-47E6-A633-5600C3449302}"/>
    <cellStyle name="Note 2 17 10 3" xfId="47205" xr:uid="{61D9E729-3FD4-42F2-8334-73B37130C2C4}"/>
    <cellStyle name="Note 2 17 11" xfId="14221" xr:uid="{06B64B78-2488-4D7B-BB6B-6399DC723F35}"/>
    <cellStyle name="Note 2 17 11 2" xfId="36695" xr:uid="{CFB23F94-012C-463A-9267-4A2E94F1058C}"/>
    <cellStyle name="Note 2 17 11 3" xfId="27384" xr:uid="{93A3F48D-313D-41C2-9FF2-5554A3C35D9D}"/>
    <cellStyle name="Note 2 17 12" xfId="21072" xr:uid="{233FA0C9-90CD-461D-BDCA-5AADF4FD308C}"/>
    <cellStyle name="Note 2 17 12 2" xfId="23699" xr:uid="{F005F30B-AAC1-416C-A755-38DC02EBF6E6}"/>
    <cellStyle name="Note 2 17 13" xfId="51852" xr:uid="{F44E32BF-3A57-4ED9-AA49-1D2B3044889F}"/>
    <cellStyle name="Note 2 17 2" xfId="3623" xr:uid="{00000000-0005-0000-0000-000061070000}"/>
    <cellStyle name="Note 2 17 2 2" xfId="10527" xr:uid="{7E7875E0-B699-4552-96C5-3A718B98DBB2}"/>
    <cellStyle name="Note 2 17 2 2 2" xfId="33013" xr:uid="{C8C1BBE6-05F6-419F-B670-5D7728FDAC91}"/>
    <cellStyle name="Note 2 17 2 2 3" xfId="50634" xr:uid="{C3A7F7E3-96DF-45AB-839C-D9A160232131}"/>
    <cellStyle name="Note 2 17 2 3" xfId="15746" xr:uid="{1ADA86A2-FE61-40B4-BC91-0DAA1ED16593}"/>
    <cellStyle name="Note 2 17 2 3 2" xfId="38158" xr:uid="{23E01EF7-9106-471D-B234-6A12FF62A35C}"/>
    <cellStyle name="Note 2 17 2 3 3" xfId="41967" xr:uid="{A880B0A2-A746-4EF5-96C9-96930A0460C2}"/>
    <cellStyle name="Note 2 17 2 4" xfId="15147" xr:uid="{55B59FF9-5274-4A8E-BEBC-B7E18C0853D9}"/>
    <cellStyle name="Note 2 17 2 4 2" xfId="49485" xr:uid="{B9D3A158-5328-4D6D-B59F-00B89E4D9ABA}"/>
    <cellStyle name="Note 2 17 2 5" xfId="51691" xr:uid="{2B148B61-0F84-4E8A-88F0-C7839C7702E9}"/>
    <cellStyle name="Note 2 17 3" xfId="5105" xr:uid="{00000000-0005-0000-0000-000061070000}"/>
    <cellStyle name="Note 2 17 3 2" xfId="11998" xr:uid="{24B1C30C-9A1E-4560-BB00-B8A4FD914AAD}"/>
    <cellStyle name="Note 2 17 3 2 2" xfId="34484" xr:uid="{DD297D0D-B06B-42B5-8F9E-EBD51BE51866}"/>
    <cellStyle name="Note 2 17 3 2 3" xfId="28020" xr:uid="{F0411282-ED9D-45C8-BACB-81FA2E7C230D}"/>
    <cellStyle name="Note 2 17 3 3" xfId="17042" xr:uid="{273A21DB-35C0-44EC-BC7C-EB9DC4EAACEE}"/>
    <cellStyle name="Note 2 17 3 3 2" xfId="39432" xr:uid="{9275C75E-6BAD-4194-8420-69BE285F21FA}"/>
    <cellStyle name="Note 2 17 3 3 3" xfId="29482" xr:uid="{4EB32C6E-2485-4998-8F56-FC5F4A5D380B}"/>
    <cellStyle name="Note 2 17 3 4" xfId="21466" xr:uid="{87122000-1DF7-4485-AC32-63673B4B3F39}"/>
    <cellStyle name="Note 2 17 3 4 2" xfId="50519" xr:uid="{1648F4A2-1E4A-4DB1-9BA7-EB4C72D8936A}"/>
    <cellStyle name="Note 2 17 3 5" xfId="50578" xr:uid="{D67BDC69-3F37-4C35-B50D-C3A0D2D87DAC}"/>
    <cellStyle name="Note 2 17 4" xfId="4098" xr:uid="{00000000-0005-0000-0000-000061070000}"/>
    <cellStyle name="Note 2 17 4 2" xfId="11002" xr:uid="{15355C62-9474-4D4E-ABA6-9091542A427E}"/>
    <cellStyle name="Note 2 17 4 2 2" xfId="33488" xr:uid="{62E7E000-12B9-49FE-A950-6F7B3E7AF3A8}"/>
    <cellStyle name="Note 2 17 4 2 3" xfId="49981" xr:uid="{31AC0ACA-7EA5-46F4-BCA3-096F9F3D92D5}"/>
    <cellStyle name="Note 2 17 4 3" xfId="16102" xr:uid="{F6C4482C-E6BC-4556-854B-3E8C87A95DCF}"/>
    <cellStyle name="Note 2 17 4 3 2" xfId="38502" xr:uid="{B71A2322-9740-44A2-A3D0-F6699828CF48}"/>
    <cellStyle name="Note 2 17 4 3 3" xfId="28029" xr:uid="{4507C890-8DD1-4355-96CC-A1460A498426}"/>
    <cellStyle name="Note 2 17 4 4" xfId="20994" xr:uid="{040A67C8-74AF-4841-9677-E170F8B4D4D8}"/>
    <cellStyle name="Note 2 17 4 4 2" xfId="27835" xr:uid="{194AEEF8-5602-478B-9F84-02D836EF3DA9}"/>
    <cellStyle name="Note 2 17 4 5" xfId="29843" xr:uid="{FDCF79FC-E10B-4678-88D6-91C0C779BA69}"/>
    <cellStyle name="Note 2 17 5" xfId="2935" xr:uid="{00000000-0005-0000-0000-000061070000}"/>
    <cellStyle name="Note 2 17 5 2" xfId="9844" xr:uid="{9468FBBA-4510-4148-B998-B37021E83544}"/>
    <cellStyle name="Note 2 17 5 2 2" xfId="32368" xr:uid="{CA95DEA4-E06B-4AE6-BF91-884EA0F5C28D}"/>
    <cellStyle name="Note 2 17 5 2 3" xfId="52538" xr:uid="{54F1197A-9CEE-4A9C-93AE-A0B8FA594B5B}"/>
    <cellStyle name="Note 2 17 5 3" xfId="15293" xr:uid="{A6542A40-7319-4CA9-912F-8082BF900E04}"/>
    <cellStyle name="Note 2 17 5 3 2" xfId="37725" xr:uid="{1865D7C7-8F06-4970-96F2-023C9AB658FB}"/>
    <cellStyle name="Note 2 17 5 3 3" xfId="49606" xr:uid="{DEE3F95A-F2DC-4CB8-98CE-E7798BFB33F0}"/>
    <cellStyle name="Note 2 17 5 4" xfId="20289" xr:uid="{5AC3FF7B-86B8-4DF7-A9F0-9FB24F099685}"/>
    <cellStyle name="Note 2 17 5 4 2" xfId="46243" xr:uid="{ECC3B6C0-C117-4293-9EB4-56DF23DEA102}"/>
    <cellStyle name="Note 2 17 5 5" xfId="46900" xr:uid="{AEB2D0EC-8027-4EFD-8D7A-107CD4261010}"/>
    <cellStyle name="Note 2 17 6" xfId="5908" xr:uid="{00000000-0005-0000-0000-000061070000}"/>
    <cellStyle name="Note 2 17 6 2" xfId="12789" xr:uid="{48220FEC-5E33-4F10-B8C7-65EFB3DA0406}"/>
    <cellStyle name="Note 2 17 6 2 2" xfId="35273" xr:uid="{6908A2AC-F1C7-4A46-8381-9A058C1F1E24}"/>
    <cellStyle name="Note 2 17 6 2 3" xfId="49291" xr:uid="{76EF3E0A-2B8D-4BB7-9BCB-EF91CBBF03DA}"/>
    <cellStyle name="Note 2 17 6 3" xfId="17845" xr:uid="{4A9695BC-347D-4FBD-B239-5BB53A2261FD}"/>
    <cellStyle name="Note 2 17 6 3 2" xfId="40235" xr:uid="{DF782BE7-D3C4-4524-AA5A-9ABC87488BE8}"/>
    <cellStyle name="Note 2 17 6 3 3" xfId="26431" xr:uid="{E834513D-E336-43A3-AFD2-7D46E4E81208}"/>
    <cellStyle name="Note 2 17 6 4" xfId="22269" xr:uid="{455463F8-A0CF-4DE3-984C-94BDC1A89158}"/>
    <cellStyle name="Note 2 17 6 4 2" xfId="49486" xr:uid="{F413A77B-E933-4AF5-9323-B782D8039B49}"/>
    <cellStyle name="Note 2 17 6 5" xfId="51246" xr:uid="{562FAAC7-9705-4533-A3C7-200A122A2D0D}"/>
    <cellStyle name="Note 2 17 7" xfId="6256" xr:uid="{00000000-0005-0000-0000-000061070000}"/>
    <cellStyle name="Note 2 17 7 2" xfId="13129" xr:uid="{5E4740F2-ED4A-4A61-8C98-3E1E4FBC8CD5}"/>
    <cellStyle name="Note 2 17 7 2 2" xfId="35613" xr:uid="{F6AA896A-7352-4EA7-B94B-850D16BC59E2}"/>
    <cellStyle name="Note 2 17 7 2 3" xfId="52651" xr:uid="{3B603FCA-FE29-4455-A407-D4102216B665}"/>
    <cellStyle name="Note 2 17 7 3" xfId="18193" xr:uid="{08A42D5F-33D5-49F6-85BA-1338AD36DE84}"/>
    <cellStyle name="Note 2 17 7 3 2" xfId="40583" xr:uid="{619FAFB1-64A1-45C6-9FE2-3AA0C7ECA2C1}"/>
    <cellStyle name="Note 2 17 7 3 3" xfId="29013" xr:uid="{1D00BE4F-DAEF-4415-96AA-A2BAE9C480E8}"/>
    <cellStyle name="Note 2 17 7 4" xfId="22617" xr:uid="{6C3D42C4-07CA-4291-BAA0-A9FAAF849708}"/>
    <cellStyle name="Note 2 17 7 4 2" xfId="44240" xr:uid="{B918C725-249F-4518-9FD6-9D542ADE5282}"/>
    <cellStyle name="Note 2 17 7 5" xfId="51242" xr:uid="{CBBCB8E9-84C3-43B6-BDF4-E0A79EF536D1}"/>
    <cellStyle name="Note 2 17 8" xfId="5750" xr:uid="{00000000-0005-0000-0000-000061070000}"/>
    <cellStyle name="Note 2 17 8 2" xfId="12634" xr:uid="{B8F74338-F3CC-4062-8E19-40EF3771826F}"/>
    <cellStyle name="Note 2 17 8 2 2" xfId="35119" xr:uid="{447EB998-F611-429D-8751-A4D00A776989}"/>
    <cellStyle name="Note 2 17 8 2 3" xfId="28412" xr:uid="{EFEF7A53-5430-4EB1-B985-ABBBC5D8388D}"/>
    <cellStyle name="Note 2 17 8 3" xfId="17687" xr:uid="{C38DC147-5AA5-4C58-8AC4-311E156B56F2}"/>
    <cellStyle name="Note 2 17 8 3 2" xfId="40077" xr:uid="{1E07D93C-2DDF-4E3A-AA5C-FDC9B5A28613}"/>
    <cellStyle name="Note 2 17 8 3 3" xfId="44143" xr:uid="{5E36998D-1EC3-4249-97BD-9A5A3ED542B7}"/>
    <cellStyle name="Note 2 17 8 4" xfId="22111" xr:uid="{8689C2A7-931E-4FA3-A15A-F58DE2B803AD}"/>
    <cellStyle name="Note 2 17 8 4 2" xfId="50813" xr:uid="{2AB82640-2AEB-4CF2-924E-952E4CDD3993}"/>
    <cellStyle name="Note 2 17 8 5" xfId="26032" xr:uid="{E5093B07-A2FC-406F-A666-368EC34CF0A5}"/>
    <cellStyle name="Note 2 17 9" xfId="6983" xr:uid="{00000000-0005-0000-0000-000061070000}"/>
    <cellStyle name="Note 2 17 9 2" xfId="18920" xr:uid="{2EA23439-3335-4857-94EC-8A3666B736B9}"/>
    <cellStyle name="Note 2 17 9 2 2" xfId="41310" xr:uid="{1F2EE6AD-61DD-45E7-BCD4-5F52FE212659}"/>
    <cellStyle name="Note 2 17 9 2 3" xfId="29283" xr:uid="{59F5CFF3-7CC1-4456-A5D5-C74782F0398A}"/>
    <cellStyle name="Note 2 17 9 3" xfId="23344" xr:uid="{6C9A6FBB-87CC-4ECE-BBAC-B5474A860871}"/>
    <cellStyle name="Note 2 17 9 3 2" xfId="44705" xr:uid="{0EBCB14E-0264-442C-B940-894F00CA1C72}"/>
    <cellStyle name="Note 2 17 9 4" xfId="46878" xr:uid="{766948EB-D52F-4A8D-A316-68E984B4F026}"/>
    <cellStyle name="Note 2 18" xfId="3361" xr:uid="{00000000-0005-0000-0000-000052070000}"/>
    <cellStyle name="Note 2 18 2" xfId="10269" xr:uid="{37E26F64-869F-4CBB-B30E-95D3D0C3AC3E}"/>
    <cellStyle name="Note 2 18 2 2" xfId="32763" xr:uid="{0197571B-C8C3-4C62-B6EC-1B8B3E87A903}"/>
    <cellStyle name="Note 2 18 2 3" xfId="47110" xr:uid="{812E129B-EDDB-4EF7-8F8C-BF1535AC5EDC}"/>
    <cellStyle name="Note 2 18 3" xfId="15583" xr:uid="{E24BCDA5-C70D-41B7-A6B7-F6C6D2D4408B}"/>
    <cellStyle name="Note 2 18 3 2" xfId="38002" xr:uid="{E44C25DD-A5BB-4104-8551-3ACE964FEA37}"/>
    <cellStyle name="Note 2 18 3 3" xfId="49554" xr:uid="{DAA8ABAA-6FEA-42C5-9BA8-8BD3B11054BF}"/>
    <cellStyle name="Note 2 18 4" xfId="21114" xr:uid="{2155F42D-5099-4F7A-AD79-49FD5A2EC64E}"/>
    <cellStyle name="Note 2 18 4 2" xfId="29684" xr:uid="{786BB8C5-005C-498F-8A07-954A5E3891FD}"/>
    <cellStyle name="Note 2 18 5" xfId="49909" xr:uid="{009D4E14-264D-4347-B0AF-859EA919FEF9}"/>
    <cellStyle name="Note 2 19" xfId="6005" xr:uid="{00000000-0005-0000-0000-000052070000}"/>
    <cellStyle name="Note 2 19 2" xfId="12886" xr:uid="{DEACC102-B14A-4C58-AE47-1E2F343D8809}"/>
    <cellStyle name="Note 2 19 2 2" xfId="35370" xr:uid="{30D26FB8-9356-4A51-B50F-E30679F8F6FB}"/>
    <cellStyle name="Note 2 19 2 3" xfId="48226" xr:uid="{D1ECE5E7-0AE8-42F5-837E-D77579CAF386}"/>
    <cellStyle name="Note 2 19 3" xfId="17942" xr:uid="{9C037345-F3D3-4E34-8FE5-ACCF06BE6B36}"/>
    <cellStyle name="Note 2 19 3 2" xfId="40332" xr:uid="{297A12B1-1D25-4A47-BBBE-21A0C06BCF75}"/>
    <cellStyle name="Note 2 19 3 3" xfId="30329" xr:uid="{E2006AFB-3CF6-482A-8FEE-259371E10A14}"/>
    <cellStyle name="Note 2 19 4" xfId="22366" xr:uid="{1C0091D7-F6AB-427D-BBD6-599142A03776}"/>
    <cellStyle name="Note 2 19 4 2" xfId="47760" xr:uid="{34C77E4C-1D6C-426F-9556-838272D8E5B4}"/>
    <cellStyle name="Note 2 19 5" xfId="51678" xr:uid="{D4DD814A-527E-4B66-9C28-36B53E44C7C2}"/>
    <cellStyle name="Note 2 2" xfId="420" xr:uid="{00000000-0005-0000-0000-000064070000}"/>
    <cellStyle name="Note 2 2 10" xfId="5983" xr:uid="{00000000-0005-0000-0000-000062070000}"/>
    <cellStyle name="Note 2 2 10 2" xfId="12864" xr:uid="{2981A9C7-025E-4013-9518-8A24AEEF15F6}"/>
    <cellStyle name="Note 2 2 10 2 2" xfId="35348" xr:uid="{2FDAE751-AF9F-4F4C-B892-D10981C0DBC7}"/>
    <cellStyle name="Note 2 2 10 2 3" xfId="53721" xr:uid="{18570288-CAC9-4F7C-8474-BC5C467C05B5}"/>
    <cellStyle name="Note 2 2 10 3" xfId="17920" xr:uid="{7EA98768-6930-4C8B-BF8A-49DD2C66921A}"/>
    <cellStyle name="Note 2 2 10 3 2" xfId="40310" xr:uid="{366A05F5-F088-47AC-B968-46525802D94A}"/>
    <cellStyle name="Note 2 2 10 3 3" xfId="25246" xr:uid="{585DB2B5-C9B6-4992-B851-C57E20F2993E}"/>
    <cellStyle name="Note 2 2 10 4" xfId="22344" xr:uid="{603F20ED-C11E-4849-B837-2F53B8E8CD99}"/>
    <cellStyle name="Note 2 2 10 4 2" xfId="45689" xr:uid="{921E548A-3166-4214-A843-A60F1114593D}"/>
    <cellStyle name="Note 2 2 10 5" xfId="52482" xr:uid="{2A165DE9-8A4D-4701-ADA2-243C08C71E0B}"/>
    <cellStyle name="Note 2 2 11" xfId="6866" xr:uid="{00000000-0005-0000-0000-000062070000}"/>
    <cellStyle name="Note 2 2 11 2" xfId="13708" xr:uid="{AF6C373D-AE17-4F75-9964-1D3661306F20}"/>
    <cellStyle name="Note 2 2 11 2 2" xfId="36192" xr:uid="{9F27C212-61F8-4A11-8814-9369D1B540F3}"/>
    <cellStyle name="Note 2 2 11 2 3" xfId="45624" xr:uid="{974A3DDE-5D9C-40EA-8717-B8A75EBDA88B}"/>
    <cellStyle name="Note 2 2 11 3" xfId="18803" xr:uid="{7974464B-6131-4C94-AF23-94AF6C287334}"/>
    <cellStyle name="Note 2 2 11 3 2" xfId="41193" xr:uid="{02BB0F79-DF11-46B6-8341-938D7FA176DE}"/>
    <cellStyle name="Note 2 2 11 3 3" xfId="27848" xr:uid="{5F984A1B-8F24-4D81-BFF4-9B5D9134343F}"/>
    <cellStyle name="Note 2 2 11 4" xfId="23227" xr:uid="{D5641E36-71BF-4294-83B0-B87DFC14AB56}"/>
    <cellStyle name="Note 2 2 11 4 2" xfId="52665" xr:uid="{3AE86DFC-8DA4-494E-8977-BE36333CC517}"/>
    <cellStyle name="Note 2 2 11 5" xfId="50029" xr:uid="{7E7F30BF-BDC8-464A-A362-0449725448D5}"/>
    <cellStyle name="Note 2 2 12" xfId="8418" xr:uid="{F37603AD-168D-4ADB-B613-CAEDF33D8DC8}"/>
    <cellStyle name="Note 2 2 12 2" xfId="31006" xr:uid="{C098C526-4E99-4911-8652-545460C683EB}"/>
    <cellStyle name="Note 2 2 12 3" xfId="52454" xr:uid="{9D0B4B70-C7D4-49C8-B133-8809190F5E81}"/>
    <cellStyle name="Note 2 2 13" xfId="21223" xr:uid="{ED73872A-27F1-4188-AF64-52F9E5B948C0}"/>
    <cellStyle name="Note 2 2 13 2" xfId="43462" xr:uid="{AF48429F-2514-4ADF-BEE3-B4636BCEB5E1}"/>
    <cellStyle name="Note 2 2 13 3" xfId="47134" xr:uid="{6E325EDD-2870-46F5-95A3-404F8546A93F}"/>
    <cellStyle name="Note 2 2 14" xfId="19243" xr:uid="{07478F3E-63D4-44CF-94FD-A4D0AA69C0C8}"/>
    <cellStyle name="Note 2 2 14 2" xfId="32613" xr:uid="{86844B15-ABB3-4F29-90D0-92B76AB8A28E}"/>
    <cellStyle name="Note 2 2 15" xfId="49435" xr:uid="{B283D5C4-9BAC-49A1-9B31-572B7FD46190}"/>
    <cellStyle name="Note 2 2 2" xfId="576" xr:uid="{00000000-0005-0000-0000-000065070000}"/>
    <cellStyle name="Note 2 2 2 10" xfId="52162" xr:uid="{9CB12BE0-D417-4A7E-9580-6797B00C2C7F}"/>
    <cellStyle name="Note 2 2 2 2" xfId="1710" xr:uid="{00000000-0005-0000-0000-000066070000}"/>
    <cellStyle name="Note 2 2 2 2 10" xfId="14411" xr:uid="{20944054-10D8-465D-92DE-0A5E2D99DA28}"/>
    <cellStyle name="Note 2 2 2 2 10 2" xfId="36877" xr:uid="{E355B586-7238-4973-AE23-7B057ECCCEA1}"/>
    <cellStyle name="Note 2 2 2 2 10 3" xfId="49974" xr:uid="{728230AA-B253-447A-8D69-BA41D0CA294C}"/>
    <cellStyle name="Note 2 2 2 2 11" xfId="15303" xr:uid="{7958E3FF-427F-4BED-96FB-C0FFD4C277B3}"/>
    <cellStyle name="Note 2 2 2 2 11 2" xfId="37735" xr:uid="{50EF50A5-1A70-4D0A-8213-150F7988B9F3}"/>
    <cellStyle name="Note 2 2 2 2 11 3" xfId="44524" xr:uid="{C761E1CB-8E24-45E9-9C2E-974B51956C8F}"/>
    <cellStyle name="Note 2 2 2 2 12" xfId="19204" xr:uid="{0BDFCB2A-2182-4188-A99F-56BD080A9865}"/>
    <cellStyle name="Note 2 2 2 2 12 2" xfId="44058" xr:uid="{8559540B-3C0E-4820-A873-C31E3BE96087}"/>
    <cellStyle name="Note 2 2 2 2 13" xfId="48804" xr:uid="{45F2BED0-AB70-404D-9A64-C86BC109D4CB}"/>
    <cellStyle name="Note 2 2 2 2 2" xfId="3808" xr:uid="{00000000-0005-0000-0000-000064070000}"/>
    <cellStyle name="Note 2 2 2 2 2 2" xfId="10712" xr:uid="{A866FEB0-BABB-472C-8181-9EA7C02377C6}"/>
    <cellStyle name="Note 2 2 2 2 2 2 2" xfId="33198" xr:uid="{E782E0E6-5CF3-4E7E-B257-5F0ABDE7AF36}"/>
    <cellStyle name="Note 2 2 2 2 2 2 3" xfId="46634" xr:uid="{82029D80-0D2F-44FF-B5FA-04ED092C2E42}"/>
    <cellStyle name="Note 2 2 2 2 2 3" xfId="15868" xr:uid="{08662B0C-2FB1-4FCA-893B-ABF70F4A6626}"/>
    <cellStyle name="Note 2 2 2 2 2 3 2" xfId="38274" xr:uid="{08F6C823-06D0-4EF4-B6FC-6A78A5334250}"/>
    <cellStyle name="Note 2 2 2 2 2 3 3" xfId="28719" xr:uid="{AB22C215-5961-4623-ACE9-D8A5F02BE50F}"/>
    <cellStyle name="Note 2 2 2 2 2 4" xfId="15116" xr:uid="{685F0484-9A3D-42A1-95C9-53B44B7334AD}"/>
    <cellStyle name="Note 2 2 2 2 2 4 2" xfId="46876" xr:uid="{F0F3FD09-7DFA-45EF-BD6C-31F106A9E671}"/>
    <cellStyle name="Note 2 2 2 2 2 5" xfId="30082" xr:uid="{3FC6EB62-2183-4E32-BF40-34A4794CEC9E}"/>
    <cellStyle name="Note 2 2 2 2 3" xfId="5224" xr:uid="{00000000-0005-0000-0000-000064070000}"/>
    <cellStyle name="Note 2 2 2 2 3 2" xfId="12116" xr:uid="{28ADAFFA-F432-4D9E-A048-AA69918F55B5}"/>
    <cellStyle name="Note 2 2 2 2 3 2 2" xfId="34601" xr:uid="{6CA5E5F9-091B-4BE9-9613-678C8E716A72}"/>
    <cellStyle name="Note 2 2 2 2 3 2 3" xfId="24147" xr:uid="{6920AFE9-BF67-4BAC-B12F-724877BD2EB5}"/>
    <cellStyle name="Note 2 2 2 2 3 3" xfId="17161" xr:uid="{3285A891-FDFC-4939-866C-2D47D594E43B}"/>
    <cellStyle name="Note 2 2 2 2 3 3 2" xfId="39551" xr:uid="{918CA174-76EE-4A12-9308-B3ACCD36CB4D}"/>
    <cellStyle name="Note 2 2 2 2 3 3 3" xfId="31003" xr:uid="{8F648022-C0D8-43EF-AD1C-451BC3D91F4A}"/>
    <cellStyle name="Note 2 2 2 2 3 4" xfId="21585" xr:uid="{6C785CF8-BC8A-43BB-B7E5-5DFE32320CA9}"/>
    <cellStyle name="Note 2 2 2 2 3 4 2" xfId="47064" xr:uid="{73C96725-AFDD-414F-806D-2B9A59C423DA}"/>
    <cellStyle name="Note 2 2 2 2 3 5" xfId="32827" xr:uid="{E112F2AF-74B8-4CAA-A410-213336662E9C}"/>
    <cellStyle name="Note 2 2 2 2 4" xfId="5636" xr:uid="{00000000-0005-0000-0000-000064070000}"/>
    <cellStyle name="Note 2 2 2 2 4 2" xfId="12520" xr:uid="{42190CBF-9064-4E56-9159-CA4E27C93E0E}"/>
    <cellStyle name="Note 2 2 2 2 4 2 2" xfId="35005" xr:uid="{720331A5-9349-455D-98B8-53FC413EB215}"/>
    <cellStyle name="Note 2 2 2 2 4 2 3" xfId="26334" xr:uid="{E9CE72DF-2ABB-4E11-A301-DC3B9EEC1BB8}"/>
    <cellStyle name="Note 2 2 2 2 4 3" xfId="17573" xr:uid="{19ADC1DF-9E4E-4E54-B15A-0897E219F68C}"/>
    <cellStyle name="Note 2 2 2 2 4 3 2" xfId="39963" xr:uid="{6A7653E6-F4C5-40D9-94E5-CDE8C83131FF}"/>
    <cellStyle name="Note 2 2 2 2 4 3 3" xfId="43717" xr:uid="{C89B7D28-5B23-4540-9F50-473070DC238F}"/>
    <cellStyle name="Note 2 2 2 2 4 4" xfId="21997" xr:uid="{5397C0E6-45C6-4803-BD6E-64A137D20DBF}"/>
    <cellStyle name="Note 2 2 2 2 4 4 2" xfId="50119" xr:uid="{36BB6DB9-A4B5-43AC-B855-AD7E2105FEFF}"/>
    <cellStyle name="Note 2 2 2 2 4 5" xfId="51759" xr:uid="{28374629-EB6B-427D-9462-2183F9679050}"/>
    <cellStyle name="Note 2 2 2 2 5" xfId="5614" xr:uid="{00000000-0005-0000-0000-000064070000}"/>
    <cellStyle name="Note 2 2 2 2 5 2" xfId="12498" xr:uid="{AC6838A8-4110-42DC-A87D-8A2FC0A2FF4B}"/>
    <cellStyle name="Note 2 2 2 2 5 2 2" xfId="34983" xr:uid="{0CF70A16-E098-4415-8652-6663D8D086A6}"/>
    <cellStyle name="Note 2 2 2 2 5 2 3" xfId="45052" xr:uid="{785F0F00-D35F-4605-96DA-5647A30AD4FE}"/>
    <cellStyle name="Note 2 2 2 2 5 3" xfId="17551" xr:uid="{7DD6FC7F-8A21-4BC8-99CE-A6560ABA4C00}"/>
    <cellStyle name="Note 2 2 2 2 5 3 2" xfId="39941" xr:uid="{DACA0225-8327-4575-B9A2-5A1E142CCCE9}"/>
    <cellStyle name="Note 2 2 2 2 5 3 3" xfId="28733" xr:uid="{434D53D6-8D4E-4E8E-84CB-28833D5D1AD0}"/>
    <cellStyle name="Note 2 2 2 2 5 4" xfId="21975" xr:uid="{36668102-6EB9-4C1B-867B-EB3D29ABFABB}"/>
    <cellStyle name="Note 2 2 2 2 5 4 2" xfId="46049" xr:uid="{484EDF76-30DB-4FFA-92A3-197BB26309D4}"/>
    <cellStyle name="Note 2 2 2 2 5 5" xfId="50289" xr:uid="{2CD35241-CC14-4F6B-A830-75B2AF8274E8}"/>
    <cellStyle name="Note 2 2 2 2 6" xfId="6375" xr:uid="{00000000-0005-0000-0000-000064070000}"/>
    <cellStyle name="Note 2 2 2 2 6 2" xfId="13247" xr:uid="{7B98335C-B72C-4C1A-88F6-2FFF1CD75EA0}"/>
    <cellStyle name="Note 2 2 2 2 6 2 2" xfId="35731" xr:uid="{3BEB7020-50FE-49D4-BDBF-AE36AE79BF18}"/>
    <cellStyle name="Note 2 2 2 2 6 2 3" xfId="50906" xr:uid="{3368A7E9-6798-4C76-A4CD-E5BDCB9E8D53}"/>
    <cellStyle name="Note 2 2 2 2 6 3" xfId="18312" xr:uid="{13FFBBC1-2DA8-4CF9-AC86-875059B396BF}"/>
    <cellStyle name="Note 2 2 2 2 6 3 2" xfId="40702" xr:uid="{0807D89E-F39C-48DA-BF3A-DA6CDFAABB01}"/>
    <cellStyle name="Note 2 2 2 2 6 3 3" xfId="29238" xr:uid="{CFB5C4B0-6B1A-4E1F-8402-0EFBBD491CE1}"/>
    <cellStyle name="Note 2 2 2 2 6 4" xfId="22736" xr:uid="{BE3A6BD2-88AB-439C-B692-9C2D086E679C}"/>
    <cellStyle name="Note 2 2 2 2 6 4 2" xfId="29851" xr:uid="{CC1EA104-58F4-4A58-B0BD-D5CFC261331E}"/>
    <cellStyle name="Note 2 2 2 2 6 5" xfId="51532" xr:uid="{B4BC6BF5-5889-4DE8-9FBB-26C55C684629}"/>
    <cellStyle name="Note 2 2 2 2 7" xfId="5431" xr:uid="{00000000-0005-0000-0000-000064070000}"/>
    <cellStyle name="Note 2 2 2 2 7 2" xfId="12321" xr:uid="{6FA84912-AF7A-4DCC-870B-3EE3E57A933D}"/>
    <cellStyle name="Note 2 2 2 2 7 2 2" xfId="34806" xr:uid="{82E36DFD-BE57-4590-879A-AE9E77042D77}"/>
    <cellStyle name="Note 2 2 2 2 7 2 3" xfId="27535" xr:uid="{ADFCF1EF-2A97-4E5C-B8AF-90987817E1D1}"/>
    <cellStyle name="Note 2 2 2 2 7 3" xfId="17368" xr:uid="{A6AA73D5-63D0-40CA-BEC7-9279A28C42DC}"/>
    <cellStyle name="Note 2 2 2 2 7 3 2" xfId="39758" xr:uid="{98A2570A-DC70-4882-B7C6-B025CFE4D4F6}"/>
    <cellStyle name="Note 2 2 2 2 7 3 3" xfId="29934" xr:uid="{4E6427C1-3732-45DA-9219-E84FDCEA5D97}"/>
    <cellStyle name="Note 2 2 2 2 7 4" xfId="21792" xr:uid="{47D678A8-C55E-4E79-90CE-74F509CDC691}"/>
    <cellStyle name="Note 2 2 2 2 7 4 2" xfId="51818" xr:uid="{02A97870-A42B-4F4B-9B8B-98C8EF75836D}"/>
    <cellStyle name="Note 2 2 2 2 7 5" xfId="52406" xr:uid="{4D485B0C-3368-4696-93AE-54FC3DEA1A3F}"/>
    <cellStyle name="Note 2 2 2 2 8" xfId="6892" xr:uid="{00000000-0005-0000-0000-000064070000}"/>
    <cellStyle name="Note 2 2 2 2 8 2" xfId="13730" xr:uid="{12275E2F-8CD2-40F1-9CC6-89E05815CAB6}"/>
    <cellStyle name="Note 2 2 2 2 8 2 2" xfId="36214" xr:uid="{0346B45B-73DD-47B6-81E3-A702664A7840}"/>
    <cellStyle name="Note 2 2 2 2 8 2 3" xfId="51382" xr:uid="{D341200D-738B-4BB6-B3AF-383CC8D67FD1}"/>
    <cellStyle name="Note 2 2 2 2 8 3" xfId="18829" xr:uid="{EC9F8773-4BDA-4552-AB86-913C61EE32E5}"/>
    <cellStyle name="Note 2 2 2 2 8 3 2" xfId="41219" xr:uid="{2F357BC7-B620-4B5C-9676-A03D3BF15419}"/>
    <cellStyle name="Note 2 2 2 2 8 3 3" xfId="24150" xr:uid="{BC68A156-A8D8-480C-9CB1-CCC2F9BC2074}"/>
    <cellStyle name="Note 2 2 2 2 8 4" xfId="23253" xr:uid="{E99E109B-BFDF-440D-A7DA-3FCDA35153CE}"/>
    <cellStyle name="Note 2 2 2 2 8 4 2" xfId="28833" xr:uid="{6607B279-705C-45CF-9A36-ED813D909A03}"/>
    <cellStyle name="Note 2 2 2 2 8 5" xfId="30795" xr:uid="{83354CB4-DE19-482F-B81C-ECB358EB7A83}"/>
    <cellStyle name="Note 2 2 2 2 9" xfId="6331" xr:uid="{00000000-0005-0000-0000-000064070000}"/>
    <cellStyle name="Note 2 2 2 2 9 2" xfId="18268" xr:uid="{C8C16E00-69F4-48DB-86CE-9894E9B0E25F}"/>
    <cellStyle name="Note 2 2 2 2 9 2 2" xfId="40658" xr:uid="{3913C614-FC94-4346-92ED-EF051BBF8029}"/>
    <cellStyle name="Note 2 2 2 2 9 2 3" xfId="45273" xr:uid="{A687D5C7-8BD8-4AC1-8D99-9BDB15E52E4E}"/>
    <cellStyle name="Note 2 2 2 2 9 3" xfId="22692" xr:uid="{22F3C255-D316-4497-9F6E-037B871BED65}"/>
    <cellStyle name="Note 2 2 2 2 9 3 2" xfId="53909" xr:uid="{3DA83E20-F3D8-4CC5-A10F-B6CD9F876AEB}"/>
    <cellStyle name="Note 2 2 2 2 9 4" xfId="50120" xr:uid="{21C1D4C3-D46F-4631-85EB-CEEBF38B29DC}"/>
    <cellStyle name="Note 2 2 2 3" xfId="4515" xr:uid="{00000000-0005-0000-0000-000063070000}"/>
    <cellStyle name="Note 2 2 2 3 2" xfId="11417" xr:uid="{D5FB7FBD-3470-4E7F-8DE0-DDF52E569F5D}"/>
    <cellStyle name="Note 2 2 2 3 2 2" xfId="33903" xr:uid="{5D6D3AFB-E4FF-4936-B540-36BDE9E264B1}"/>
    <cellStyle name="Note 2 2 2 3 2 3" xfId="45101" xr:uid="{B4C5E2FF-E317-4883-BE93-78AA6B086C44}"/>
    <cellStyle name="Note 2 2 2 3 3" xfId="16452" xr:uid="{87850878-BDAE-4B81-A545-E37A592F92D9}"/>
    <cellStyle name="Note 2 2 2 3 3 2" xfId="38842" xr:uid="{73D58A4F-3D50-4BB6-85CB-1A64FD972A3C}"/>
    <cellStyle name="Note 2 2 2 3 3 3" xfId="27032" xr:uid="{F5FB685A-7E1E-42BF-9E83-67524872CBD7}"/>
    <cellStyle name="Note 2 2 2 3 4" xfId="20737" xr:uid="{C85AE60D-6B00-4FB8-821F-83382E188009}"/>
    <cellStyle name="Note 2 2 2 3 4 2" xfId="24537" xr:uid="{2A681D43-E6B9-4797-8535-DD3F2E886393}"/>
    <cellStyle name="Note 2 2 2 3 5" xfId="47597" xr:uid="{274A7649-DB40-4E4E-A6B9-B5A8370E2DFE}"/>
    <cellStyle name="Note 2 2 2 4" xfId="4879" xr:uid="{00000000-0005-0000-0000-000063070000}"/>
    <cellStyle name="Note 2 2 2 4 2" xfId="11774" xr:uid="{77CE94C9-ECC6-4B39-A09F-10CBD30150AB}"/>
    <cellStyle name="Note 2 2 2 4 2 2" xfId="34260" xr:uid="{BD43B517-C5AF-4D34-996A-851716C80764}"/>
    <cellStyle name="Note 2 2 2 4 2 3" xfId="44396" xr:uid="{B55623A5-EF47-48A8-A5E1-A1B2810C3962}"/>
    <cellStyle name="Note 2 2 2 4 3" xfId="16816" xr:uid="{D14563E2-09EA-441F-BEE5-698CCD0DBE54}"/>
    <cellStyle name="Note 2 2 2 4 3 2" xfId="39206" xr:uid="{177BADBA-5EE7-492C-B71A-4718CB32156C}"/>
    <cellStyle name="Note 2 2 2 4 3 3" xfId="32520" xr:uid="{40419C64-E7D1-4D1F-AF7B-38F4778FED97}"/>
    <cellStyle name="Note 2 2 2 4 4" xfId="15529" xr:uid="{31C9728D-9984-4321-8543-157046532347}"/>
    <cellStyle name="Note 2 2 2 4 4 2" xfId="32373" xr:uid="{313D1B1A-43FC-4BD6-B75B-B231C5ACC7D9}"/>
    <cellStyle name="Note 2 2 2 4 5" xfId="50617" xr:uid="{E44703D4-F4E9-42D4-86E1-3B2A0CC6DC24}"/>
    <cellStyle name="Note 2 2 2 5" xfId="6239" xr:uid="{00000000-0005-0000-0000-000063070000}"/>
    <cellStyle name="Note 2 2 2 5 2" xfId="13114" xr:uid="{0534A9C2-CA06-404C-9500-66EB18ED1EA9}"/>
    <cellStyle name="Note 2 2 2 5 2 2" xfId="35598" xr:uid="{74DADFA8-B932-4D60-B94B-5E77EA4A4F80}"/>
    <cellStyle name="Note 2 2 2 5 2 3" xfId="46507" xr:uid="{82BC9CED-94A0-4F8F-9A7F-5A2C03D6B734}"/>
    <cellStyle name="Note 2 2 2 5 3" xfId="18176" xr:uid="{A7E8BB63-929F-4540-810D-07057873C06B}"/>
    <cellStyle name="Note 2 2 2 5 3 2" xfId="40566" xr:uid="{3047F781-DFE6-459C-86E7-20260D8A88C5}"/>
    <cellStyle name="Note 2 2 2 5 3 3" xfId="25315" xr:uid="{8D1E5555-A7C2-4B91-A2DB-1FCA4B555DF1}"/>
    <cellStyle name="Note 2 2 2 5 4" xfId="22600" xr:uid="{00D98663-B837-4EFC-9CFD-667362DCC6CA}"/>
    <cellStyle name="Note 2 2 2 5 4 2" xfId="45623" xr:uid="{F40E0E15-CBC0-4736-836A-99CD50DC95AD}"/>
    <cellStyle name="Note 2 2 2 5 5" xfId="45446" xr:uid="{E9C24FCF-12C6-4D03-A229-6C59E57B7DC3}"/>
    <cellStyle name="Note 2 2 2 6" xfId="6435" xr:uid="{00000000-0005-0000-0000-000063070000}"/>
    <cellStyle name="Note 2 2 2 6 2" xfId="13306" xr:uid="{C89FD2D4-0208-44EA-865E-600C032AF482}"/>
    <cellStyle name="Note 2 2 2 6 2 2" xfId="35790" xr:uid="{1DA54BF5-F0FA-438B-9AF9-5FE59396E4E3}"/>
    <cellStyle name="Note 2 2 2 6 2 3" xfId="50227" xr:uid="{6E43DAAA-6B3F-4416-9B84-3A3DB81375A1}"/>
    <cellStyle name="Note 2 2 2 6 3" xfId="18372" xr:uid="{31A87AE6-46E2-44BF-89B8-B111D85A45FB}"/>
    <cellStyle name="Note 2 2 2 6 3 2" xfId="40762" xr:uid="{53BF6831-F78E-4221-970A-2BFB904BEE59}"/>
    <cellStyle name="Note 2 2 2 6 3 3" xfId="44137" xr:uid="{C5866AF0-9D6A-43E5-85D0-103F46A9C8A4}"/>
    <cellStyle name="Note 2 2 2 6 4" xfId="22796" xr:uid="{85B7DBDA-5F73-4E3E-AA47-AA21CC7256BA}"/>
    <cellStyle name="Note 2 2 2 6 4 2" xfId="48268" xr:uid="{0871F53A-8F0A-45A6-8643-47990D143BA9}"/>
    <cellStyle name="Note 2 2 2 6 5" xfId="47244" xr:uid="{3D2B8880-2D5B-47C7-B86D-8EE32144D24D}"/>
    <cellStyle name="Note 2 2 2 7" xfId="7400" xr:uid="{D9D24717-0973-402E-9165-23B717C7BE49}"/>
    <cellStyle name="Note 2 2 2 7 2" xfId="30084" xr:uid="{6BA60C8B-EFB3-4657-A252-B98D366138CB}"/>
    <cellStyle name="Note 2 2 2 7 3" xfId="43777" xr:uid="{0A7E4562-4944-4EE0-BF52-EFAFBE03B698}"/>
    <cellStyle name="Note 2 2 2 8" xfId="20423" xr:uid="{1980A728-31C2-4324-9BDB-C100384468FA}"/>
    <cellStyle name="Note 2 2 2 8 2" xfId="42717" xr:uid="{B05C3708-D33C-419F-91E6-F043D8DC0D0B}"/>
    <cellStyle name="Note 2 2 2 8 3" xfId="47913" xr:uid="{A576BEA9-2A25-47F1-8909-89DD745CBD78}"/>
    <cellStyle name="Note 2 2 2 9" xfId="20555" xr:uid="{C3E93479-9DBE-4067-8E6D-5D331F05D6A1}"/>
    <cellStyle name="Note 2 2 2 9 2" xfId="29739" xr:uid="{57189B79-45AF-4B64-BD75-45861015128A}"/>
    <cellStyle name="Note 2 2 3" xfId="821" xr:uid="{00000000-0005-0000-0000-000067070000}"/>
    <cellStyle name="Note 2 2 3 10" xfId="53071" xr:uid="{3EAB2CE0-0DF5-4FA4-94AC-E568B8C2314B}"/>
    <cellStyle name="Note 2 2 3 2" xfId="1807" xr:uid="{00000000-0005-0000-0000-000068070000}"/>
    <cellStyle name="Note 2 2 3 2 10" xfId="14491" xr:uid="{001AAAF8-68A4-4322-A031-560CD725D222}"/>
    <cellStyle name="Note 2 2 3 2 10 2" xfId="36952" xr:uid="{7A8D0FCA-84D7-4B74-BF43-39CC180DFC4C}"/>
    <cellStyle name="Note 2 2 3 2 10 3" xfId="47181" xr:uid="{4CAF3AD4-F468-44FB-818B-1B6103B9B827}"/>
    <cellStyle name="Note 2 2 3 2 11" xfId="19984" xr:uid="{0E9975D4-57BB-4C96-BDB9-B76117E17F7D}"/>
    <cellStyle name="Note 2 2 3 2 11 2" xfId="42310" xr:uid="{4F5068A1-C52A-4FBD-A447-861E5F28D18A}"/>
    <cellStyle name="Note 2 2 3 2 11 3" xfId="32507" xr:uid="{07B645AF-C7F4-414E-99D1-6CAA200BA0D9}"/>
    <cellStyle name="Note 2 2 3 2 12" xfId="20249" xr:uid="{8CC1763A-3575-4354-AA78-2A9B28292224}"/>
    <cellStyle name="Note 2 2 3 2 12 2" xfId="44488" xr:uid="{0DE82260-9A05-450F-B91B-61F935E2C65B}"/>
    <cellStyle name="Note 2 2 3 2 13" xfId="51218" xr:uid="{375F6DB1-B050-4C86-AE7C-71AD464122C5}"/>
    <cellStyle name="Note 2 2 3 2 2" xfId="3905" xr:uid="{00000000-0005-0000-0000-000066070000}"/>
    <cellStyle name="Note 2 2 3 2 2 2" xfId="10809" xr:uid="{BC48C4C1-9373-48CE-811C-732264E8838A}"/>
    <cellStyle name="Note 2 2 3 2 2 2 2" xfId="33295" xr:uid="{EB360EB7-23F3-4B22-873D-24D36F410772}"/>
    <cellStyle name="Note 2 2 3 2 2 2 3" xfId="52668" xr:uid="{0F6FC74B-181F-47A3-A3FE-946C68B54801}"/>
    <cellStyle name="Note 2 2 3 2 2 3" xfId="15947" xr:uid="{9165BBB7-3280-42EC-B87B-491567126F45}"/>
    <cellStyle name="Note 2 2 3 2 2 3 2" xfId="38350" xr:uid="{5B068303-53B2-4FBE-9FDD-B3F617D396C4}"/>
    <cellStyle name="Note 2 2 3 2 2 3 3" xfId="53627" xr:uid="{8199856F-57C2-41BB-966B-363F11AC7FA3}"/>
    <cellStyle name="Note 2 2 3 2 2 4" xfId="20090" xr:uid="{58B072EA-99BD-4A61-97EA-EAE5574C865B}"/>
    <cellStyle name="Note 2 2 3 2 2 4 2" xfId="24653" xr:uid="{0086ECFA-BBEA-448C-91DE-A4AD5C41BE5B}"/>
    <cellStyle name="Note 2 2 3 2 2 5" xfId="29414" xr:uid="{C5C425DB-CFAE-4B59-83E7-FB56F21C12E4}"/>
    <cellStyle name="Note 2 2 3 2 3" xfId="5300" xr:uid="{00000000-0005-0000-0000-000066070000}"/>
    <cellStyle name="Note 2 2 3 2 3 2" xfId="12192" xr:uid="{7C4276FC-1518-434E-97CE-290637AD00DE}"/>
    <cellStyle name="Note 2 2 3 2 3 2 2" xfId="34677" xr:uid="{57CB35B6-9A76-4EDC-AA28-5431D911E7B5}"/>
    <cellStyle name="Note 2 2 3 2 3 2 3" xfId="44273" xr:uid="{65C628BD-35A9-412D-B326-0E98F27E6A25}"/>
    <cellStyle name="Note 2 2 3 2 3 3" xfId="17237" xr:uid="{BC17AACB-42F5-4E1B-99EE-54C97BCE3E4D}"/>
    <cellStyle name="Note 2 2 3 2 3 3 2" xfId="39627" xr:uid="{E8B5FF14-AF23-4297-86CA-B038BDD40F3F}"/>
    <cellStyle name="Note 2 2 3 2 3 3 3" xfId="44028" xr:uid="{1C844DF7-EED7-4F5E-BAAF-7112CAB41224}"/>
    <cellStyle name="Note 2 2 3 2 3 4" xfId="21661" xr:uid="{BF5C56B5-B32E-46AA-A8EC-DD4BB5D0B304}"/>
    <cellStyle name="Note 2 2 3 2 3 4 2" xfId="44424" xr:uid="{EC33FD2B-7A64-4778-A1E9-122E037B8009}"/>
    <cellStyle name="Note 2 2 3 2 3 5" xfId="52955" xr:uid="{73DEFE82-5252-4348-93B7-1BFD9923E8EB}"/>
    <cellStyle name="Note 2 2 3 2 4" xfId="5711" xr:uid="{00000000-0005-0000-0000-000066070000}"/>
    <cellStyle name="Note 2 2 3 2 4 2" xfId="12595" xr:uid="{DB404606-1B66-4941-A56D-CC6056FAB64D}"/>
    <cellStyle name="Note 2 2 3 2 4 2 2" xfId="35080" xr:uid="{B2C6EFBE-4E3D-4705-8471-2FCC85DDC48F}"/>
    <cellStyle name="Note 2 2 3 2 4 2 3" xfId="45103" xr:uid="{FC6A7937-989F-4300-9423-DB9A6E9614C0}"/>
    <cellStyle name="Note 2 2 3 2 4 3" xfId="17648" xr:uid="{09E00930-1CBE-45DA-81F0-78998409BB0F}"/>
    <cellStyle name="Note 2 2 3 2 4 3 2" xfId="40038" xr:uid="{EF055788-F51B-4C2C-9A71-8C1DBCB0FE01}"/>
    <cellStyle name="Note 2 2 3 2 4 3 3" xfId="44694" xr:uid="{42E9AB96-E9D0-4273-BEE0-9EA9A1D0B1D4}"/>
    <cellStyle name="Note 2 2 3 2 4 4" xfId="22072" xr:uid="{F31DE9B3-706E-4586-952E-A010705081EB}"/>
    <cellStyle name="Note 2 2 3 2 4 4 2" xfId="42024" xr:uid="{2FFC3F36-FB82-41BA-A213-D5D36DA1E430}"/>
    <cellStyle name="Note 2 2 3 2 4 5" xfId="44229" xr:uid="{9142C7D5-823E-4434-A97F-10BA75945070}"/>
    <cellStyle name="Note 2 2 3 2 5" xfId="6065" xr:uid="{00000000-0005-0000-0000-000066070000}"/>
    <cellStyle name="Note 2 2 3 2 5 2" xfId="12943" xr:uid="{7F240AA4-139C-40B4-88B2-FA652C6012C1}"/>
    <cellStyle name="Note 2 2 3 2 5 2 2" xfId="35427" xr:uid="{E65F4A14-AD01-43A7-B7EC-D810439A446B}"/>
    <cellStyle name="Note 2 2 3 2 5 2 3" xfId="48664" xr:uid="{01068CCF-5D92-418C-9A4D-BDD5A0DB54F8}"/>
    <cellStyle name="Note 2 2 3 2 5 3" xfId="18002" xr:uid="{897DE9FB-1F68-4810-A123-5B2EBD7D582A}"/>
    <cellStyle name="Note 2 2 3 2 5 3 2" xfId="40392" xr:uid="{84F5140A-4109-493F-BBE6-3FA2C3475926}"/>
    <cellStyle name="Note 2 2 3 2 5 3 3" xfId="41895" xr:uid="{70DBB1EB-C773-4CD5-8C98-2813A125F36A}"/>
    <cellStyle name="Note 2 2 3 2 5 4" xfId="22426" xr:uid="{3B63C130-7D16-4349-8234-7205E75B71F7}"/>
    <cellStyle name="Note 2 2 3 2 5 4 2" xfId="28848" xr:uid="{866D69C2-6A85-4C81-A91E-A3FE052516C8}"/>
    <cellStyle name="Note 2 2 3 2 5 5" xfId="52380" xr:uid="{997D6F27-135E-45E5-848D-BE3B853B2A6C}"/>
    <cellStyle name="Note 2 2 3 2 6" xfId="6440" xr:uid="{00000000-0005-0000-0000-000066070000}"/>
    <cellStyle name="Note 2 2 3 2 6 2" xfId="13310" xr:uid="{B7D703ED-428F-411D-A6D1-39BCFFD23FCA}"/>
    <cellStyle name="Note 2 2 3 2 6 2 2" xfId="35794" xr:uid="{8C4569E7-C33F-470A-BFBB-63D97AAD873F}"/>
    <cellStyle name="Note 2 2 3 2 6 2 3" xfId="50279" xr:uid="{8BC5F61D-9897-42A2-8A4A-B0C79E24E781}"/>
    <cellStyle name="Note 2 2 3 2 6 3" xfId="18377" xr:uid="{0189D495-F207-4CE2-B1F8-48892EF1BF6D}"/>
    <cellStyle name="Note 2 2 3 2 6 3 2" xfId="40767" xr:uid="{E755AFE3-D118-42B8-9E9E-07EC318F4464}"/>
    <cellStyle name="Note 2 2 3 2 6 3 3" xfId="43620" xr:uid="{21E1A7AE-57B3-46D8-BB98-BAABBF5A6A2F}"/>
    <cellStyle name="Note 2 2 3 2 6 4" xfId="22801" xr:uid="{512906B9-E5FA-49EA-B4C7-13B45C4E1BCE}"/>
    <cellStyle name="Note 2 2 3 2 6 4 2" xfId="47876" xr:uid="{2F719045-AA2E-4FDB-91DB-B478D96F1C98}"/>
    <cellStyle name="Note 2 2 3 2 6 5" xfId="46432" xr:uid="{AB78685F-B81B-4326-B47B-BF2E61E51654}"/>
    <cellStyle name="Note 2 2 3 2 7" xfId="6700" xr:uid="{00000000-0005-0000-0000-000066070000}"/>
    <cellStyle name="Note 2 2 3 2 7 2" xfId="13565" xr:uid="{B77A1D1D-EBEB-45F0-A78C-C4A7AF3EB68C}"/>
    <cellStyle name="Note 2 2 3 2 7 2 2" xfId="36049" xr:uid="{3F60D568-50BB-4EF6-9046-D4CC02543554}"/>
    <cellStyle name="Note 2 2 3 2 7 2 3" xfId="51129" xr:uid="{1240B5BA-E9F4-43DF-8000-86433847CE33}"/>
    <cellStyle name="Note 2 2 3 2 7 3" xfId="18637" xr:uid="{0B585831-5BEB-4AC5-BE47-D7CB6770AB49}"/>
    <cellStyle name="Note 2 2 3 2 7 3 2" xfId="41027" xr:uid="{2749F003-CDA2-4A6D-843A-70DCB80C509D}"/>
    <cellStyle name="Note 2 2 3 2 7 3 3" xfId="43143" xr:uid="{66D34D53-7227-4E36-9B1B-84B95567C44B}"/>
    <cellStyle name="Note 2 2 3 2 7 4" xfId="23061" xr:uid="{2E9272FA-8083-4D60-8E85-D9E66FBFFB1A}"/>
    <cellStyle name="Note 2 2 3 2 7 4 2" xfId="53903" xr:uid="{BAA72DBD-537C-4F78-98CE-B7BED30419B5}"/>
    <cellStyle name="Note 2 2 3 2 7 5" xfId="46524" xr:uid="{30B28434-D748-4B87-8726-EB183679286C}"/>
    <cellStyle name="Note 2 2 3 2 8" xfId="6940" xr:uid="{00000000-0005-0000-0000-000066070000}"/>
    <cellStyle name="Note 2 2 3 2 8 2" xfId="13777" xr:uid="{714663D0-01BD-4255-9322-C7694A53E1FA}"/>
    <cellStyle name="Note 2 2 3 2 8 2 2" xfId="36261" xr:uid="{1C3F1724-6FC0-4EF2-98ED-B8B59A7477D0}"/>
    <cellStyle name="Note 2 2 3 2 8 2 3" xfId="53328" xr:uid="{D8E90BF1-5701-43A1-A3FA-1F4DBE207B3B}"/>
    <cellStyle name="Note 2 2 3 2 8 3" xfId="18877" xr:uid="{D9B7C26C-482E-4E34-9834-869E84086DE3}"/>
    <cellStyle name="Note 2 2 3 2 8 3 2" xfId="41267" xr:uid="{D720BBA4-03B1-4E7E-867C-45045AFE5810}"/>
    <cellStyle name="Note 2 2 3 2 8 3 3" xfId="29228" xr:uid="{43D3263F-AB65-4439-914B-A0A60CC8A946}"/>
    <cellStyle name="Note 2 2 3 2 8 4" xfId="23301" xr:uid="{8953B471-045E-46D8-89DF-79DC42045401}"/>
    <cellStyle name="Note 2 2 3 2 8 4 2" xfId="53386" xr:uid="{127DA38D-2F0D-4A6B-9AAE-28253D535924}"/>
    <cellStyle name="Note 2 2 3 2 8 5" xfId="27928" xr:uid="{B2E39522-BD94-4B45-A4DC-0E731BDA94BE}"/>
    <cellStyle name="Note 2 2 3 2 9" xfId="6754" xr:uid="{00000000-0005-0000-0000-000066070000}"/>
    <cellStyle name="Note 2 2 3 2 9 2" xfId="18691" xr:uid="{BB9FC349-3E3E-4AEE-9E0F-60B4520F9BE4}"/>
    <cellStyle name="Note 2 2 3 2 9 2 2" xfId="41081" xr:uid="{6A44E14F-3298-43B5-BF42-6189FE7849EE}"/>
    <cellStyle name="Note 2 2 3 2 9 2 3" xfId="28871" xr:uid="{CF949B75-98CC-410E-AA57-D19D1F924118}"/>
    <cellStyle name="Note 2 2 3 2 9 3" xfId="23115" xr:uid="{E9C4725D-2261-451F-8718-D2C114705F00}"/>
    <cellStyle name="Note 2 2 3 2 9 3 2" xfId="51266" xr:uid="{A3DDF3BF-0829-46FD-A725-2341F87FE03A}"/>
    <cellStyle name="Note 2 2 3 2 9 4" xfId="47577" xr:uid="{1BD46B5F-B369-4DA5-A957-E41A82942B3C}"/>
    <cellStyle name="Note 2 2 3 3" xfId="4665" xr:uid="{00000000-0005-0000-0000-000065070000}"/>
    <cellStyle name="Note 2 2 3 3 2" xfId="11563" xr:uid="{E7ECEF13-9F6C-4856-8209-E1F2F23F742C}"/>
    <cellStyle name="Note 2 2 3 3 2 2" xfId="34049" xr:uid="{77323535-3E6F-4A1C-9071-89DB2EC8A9AD}"/>
    <cellStyle name="Note 2 2 3 3 2 3" xfId="28830" xr:uid="{92D48A16-EBBE-4B0C-BF8B-EFB31E20F28D}"/>
    <cellStyle name="Note 2 2 3 3 3" xfId="16602" xr:uid="{52F88ED1-D061-4D3F-AAC3-C248DF8CF426}"/>
    <cellStyle name="Note 2 2 3 3 3 2" xfId="38992" xr:uid="{201E26B5-E779-4576-A204-5400A958DFE0}"/>
    <cellStyle name="Note 2 2 3 3 3 3" xfId="43373" xr:uid="{77A43864-24F7-4754-8CE9-DB1A2CF7A264}"/>
    <cellStyle name="Note 2 2 3 3 4" xfId="19741" xr:uid="{E73BF2E0-EEE1-438D-9579-351400998C0E}"/>
    <cellStyle name="Note 2 2 3 3 4 2" xfId="32267" xr:uid="{463E40AC-29D2-4A2A-A13C-C11A22745517}"/>
    <cellStyle name="Note 2 2 3 3 5" xfId="23610" xr:uid="{3F2F2640-A7FB-4DF4-931D-08B4C46B6A2C}"/>
    <cellStyle name="Note 2 2 3 4" xfId="5677" xr:uid="{00000000-0005-0000-0000-000065070000}"/>
    <cellStyle name="Note 2 2 3 4 2" xfId="12561" xr:uid="{7F51FA75-15AA-47B5-A493-4E46C2C71468}"/>
    <cellStyle name="Note 2 2 3 4 2 2" xfId="35046" xr:uid="{A03D77C6-334D-4363-9C59-7EAD949B31B4}"/>
    <cellStyle name="Note 2 2 3 4 2 3" xfId="43535" xr:uid="{00EB23D7-9BE8-4401-8EAD-0B37AE311F88}"/>
    <cellStyle name="Note 2 2 3 4 3" xfId="17614" xr:uid="{54AE26F1-7653-40CB-919D-20AB7C55875C}"/>
    <cellStyle name="Note 2 2 3 4 3 2" xfId="40004" xr:uid="{62FBDAF9-C321-4572-8BCF-5E4DBFF97E70}"/>
    <cellStyle name="Note 2 2 3 4 3 3" xfId="43988" xr:uid="{1CD93FE3-E37F-46EF-A629-22A6314C43FA}"/>
    <cellStyle name="Note 2 2 3 4 4" xfId="22038" xr:uid="{BBCEB559-5C93-474E-9B18-FCA9C30FE590}"/>
    <cellStyle name="Note 2 2 3 4 4 2" xfId="52339" xr:uid="{D26458F3-5608-4B0F-9A46-34DBA5EC49AF}"/>
    <cellStyle name="Note 2 2 3 4 5" xfId="47337" xr:uid="{8B608B01-230A-4DB7-9A2B-3C281EA59CEA}"/>
    <cellStyle name="Note 2 2 3 5" xfId="2624" xr:uid="{00000000-0005-0000-0000-000065070000}"/>
    <cellStyle name="Note 2 2 3 5 2" xfId="9533" xr:uid="{2FF3437E-FE8B-422B-8C31-829C0BDEE98D}"/>
    <cellStyle name="Note 2 2 3 5 2 2" xfId="32084" xr:uid="{49442F9D-C0A9-45DF-8506-7745DA8F77C7}"/>
    <cellStyle name="Note 2 2 3 5 2 3" xfId="52364" xr:uid="{21C2190E-DEF9-4FDA-A9E9-AF881F80E6CD}"/>
    <cellStyle name="Note 2 2 3 5 3" xfId="15095" xr:uid="{33B61B08-B8E4-4BC1-B6B0-CCF9530281F5}"/>
    <cellStyle name="Note 2 2 3 5 3 2" xfId="37539" xr:uid="{5A9DF429-4FF6-4BEB-B889-2272324AAF29}"/>
    <cellStyle name="Note 2 2 3 5 3 3" xfId="52656" xr:uid="{F64E35C8-47F5-414C-82FA-33EBDDB00D03}"/>
    <cellStyle name="Note 2 2 3 5 4" xfId="21157" xr:uid="{BD414996-1F18-44F9-8209-D2B37A36D3CD}"/>
    <cellStyle name="Note 2 2 3 5 4 2" xfId="25772" xr:uid="{5881D60A-A119-4C22-AF1E-F5451C964FB3}"/>
    <cellStyle name="Note 2 2 3 5 5" xfId="47925" xr:uid="{1D3D46B1-6DD7-4C66-9F20-7A907DC08554}"/>
    <cellStyle name="Note 2 2 3 6" xfId="5275" xr:uid="{00000000-0005-0000-0000-000065070000}"/>
    <cellStyle name="Note 2 2 3 6 2" xfId="12167" xr:uid="{66021BC7-E71F-4B3F-A01C-29C4544195AD}"/>
    <cellStyle name="Note 2 2 3 6 2 2" xfId="34652" xr:uid="{0DA3BEC0-077D-4EAD-9416-060D154601E9}"/>
    <cellStyle name="Note 2 2 3 6 2 3" xfId="32227" xr:uid="{124C9232-C545-4869-A2BB-8E92621F1ADB}"/>
    <cellStyle name="Note 2 2 3 6 3" xfId="17212" xr:uid="{98722693-2FCF-470D-AA67-8205E4C980D3}"/>
    <cellStyle name="Note 2 2 3 6 3 2" xfId="39602" xr:uid="{73A58672-DCA4-4818-9FFE-40B88E0AB958}"/>
    <cellStyle name="Note 2 2 3 6 3 3" xfId="29870" xr:uid="{D845E638-6D3B-4193-9C0D-9448A99BB9D2}"/>
    <cellStyle name="Note 2 2 3 6 4" xfId="21636" xr:uid="{BC4BC70C-8F62-4804-A7AA-3EAB8ABB9B86}"/>
    <cellStyle name="Note 2 2 3 6 4 2" xfId="47476" xr:uid="{00773A7A-C355-4A0E-8AA1-96335019B5FA}"/>
    <cellStyle name="Note 2 2 3 6 5" xfId="52812" xr:uid="{729C5456-A3E7-4CB5-A32E-004820F31B9E}"/>
    <cellStyle name="Note 2 2 3 7" xfId="8279" xr:uid="{9D6ACE70-B41B-4A43-8B80-2344205147F8}"/>
    <cellStyle name="Note 2 2 3 7 2" xfId="30879" xr:uid="{77E16BBB-65A4-400F-8671-BC6580DC5BF4}"/>
    <cellStyle name="Note 2 2 3 7 3" xfId="51684" xr:uid="{0D3F102E-1B15-49E9-BE4C-F36C30091AB5}"/>
    <cellStyle name="Note 2 2 3 8" xfId="14240" xr:uid="{BC04A58A-4F53-4AC6-A0B4-2248F2F78C25}"/>
    <cellStyle name="Note 2 2 3 8 2" xfId="36713" xr:uid="{A53FEEC8-5A96-49B7-8365-85C510047E93}"/>
    <cellStyle name="Note 2 2 3 8 3" xfId="48963" xr:uid="{2A92CD54-0A03-4B28-A277-953212554D32}"/>
    <cellStyle name="Note 2 2 3 9" xfId="15127" xr:uid="{CF68DEF0-4BEB-468D-9DBD-E7E25372B3C1}"/>
    <cellStyle name="Note 2 2 3 9 2" xfId="48015" xr:uid="{A6824611-4374-440A-8070-D2EC29A262F9}"/>
    <cellStyle name="Note 2 2 4" xfId="1007" xr:uid="{00000000-0005-0000-0000-000069070000}"/>
    <cellStyle name="Note 2 2 4 10" xfId="27546" xr:uid="{5795630B-78E4-4664-917B-807DAE3A3FAE}"/>
    <cellStyle name="Note 2 2 4 2" xfId="1897" xr:uid="{00000000-0005-0000-0000-00006A070000}"/>
    <cellStyle name="Note 2 2 4 2 10" xfId="14568" xr:uid="{B2ADFCCA-3C23-4B1F-A81D-8A3BFA6EC520}"/>
    <cellStyle name="Note 2 2 4 2 10 2" xfId="37029" xr:uid="{1C271A99-F3E1-4C0C-AEBC-AA4705848916}"/>
    <cellStyle name="Note 2 2 4 2 10 3" xfId="25466" xr:uid="{3314E530-F56C-4BAE-A38E-25B959DAA33A}"/>
    <cellStyle name="Note 2 2 4 2 11" xfId="20529" xr:uid="{A905A2EE-D788-465E-8D91-AB4E0763F195}"/>
    <cellStyle name="Note 2 2 4 2 11 2" xfId="42815" xr:uid="{38890C01-BF71-428E-9DED-4FD023B2A01A}"/>
    <cellStyle name="Note 2 2 4 2 11 3" xfId="52830" xr:uid="{4FD5A531-3DCE-425D-A117-6955FD65172E}"/>
    <cellStyle name="Note 2 2 4 2 12" xfId="19660" xr:uid="{7556C238-7E07-4329-8491-9E90EC088C94}"/>
    <cellStyle name="Note 2 2 4 2 12 2" xfId="28759" xr:uid="{BF6740A1-D8B8-46C8-B4E1-79F7074462E1}"/>
    <cellStyle name="Note 2 2 4 2 13" xfId="48393" xr:uid="{3B5C1CC4-5AD0-4EC4-9CD9-45909110C7EE}"/>
    <cellStyle name="Note 2 2 4 2 2" xfId="3995" xr:uid="{00000000-0005-0000-0000-000068070000}"/>
    <cellStyle name="Note 2 2 4 2 2 2" xfId="10899" xr:uid="{EC385D8B-2B17-4612-A5EE-87E960225182}"/>
    <cellStyle name="Note 2 2 4 2 2 2 2" xfId="33385" xr:uid="{6CB4D38D-CCBA-4300-BE1E-E332F2756A6A}"/>
    <cellStyle name="Note 2 2 4 2 2 2 3" xfId="47964" xr:uid="{3F3A9BEE-108F-4649-8D48-85C6771F5C13}"/>
    <cellStyle name="Note 2 2 4 2 2 3" xfId="16019" xr:uid="{5F9DF95E-A765-4E01-AA3C-495878F3ECEB}"/>
    <cellStyle name="Note 2 2 4 2 2 3 2" xfId="38420" xr:uid="{7B6F40F7-E727-4799-9370-4499874FB876}"/>
    <cellStyle name="Note 2 2 4 2 2 3 3" xfId="49885" xr:uid="{7BA99AF3-5F60-4C80-98C3-EE132CF5BC39}"/>
    <cellStyle name="Note 2 2 4 2 2 4" xfId="21235" xr:uid="{BAFDB1BC-C3B7-402A-90F5-C575227C4169}"/>
    <cellStyle name="Note 2 2 4 2 2 4 2" xfId="46844" xr:uid="{D5CC0C39-09D6-40D7-B65E-86DC2F8F29A8}"/>
    <cellStyle name="Note 2 2 4 2 2 5" xfId="44271" xr:uid="{E85242DE-1421-4A62-ABA9-87D7445E1642}"/>
    <cellStyle name="Note 2 2 4 2 3" xfId="5369" xr:uid="{00000000-0005-0000-0000-000068070000}"/>
    <cellStyle name="Note 2 2 4 2 3 2" xfId="12261" xr:uid="{A802DAB1-7F5C-4C5B-935F-9A740D61C17F}"/>
    <cellStyle name="Note 2 2 4 2 3 2 2" xfId="34746" xr:uid="{6F38236C-EE70-4B12-BF6E-7A48C74C53A0}"/>
    <cellStyle name="Note 2 2 4 2 3 2 3" xfId="43103" xr:uid="{59B18AE4-CFFE-42E3-8282-D82018236985}"/>
    <cellStyle name="Note 2 2 4 2 3 3" xfId="17306" xr:uid="{EAEDD074-A83E-4CBD-A93C-B62FF48617B4}"/>
    <cellStyle name="Note 2 2 4 2 3 3 2" xfId="39696" xr:uid="{9F5BBF0E-78E8-443A-922D-ABCD2650BDE2}"/>
    <cellStyle name="Note 2 2 4 2 3 3 3" xfId="23992" xr:uid="{483DF67F-67CD-4803-92CC-14F95323148A}"/>
    <cellStyle name="Note 2 2 4 2 3 4" xfId="21730" xr:uid="{9F6FDAE8-24CA-41B9-A32E-905B5A987001}"/>
    <cellStyle name="Note 2 2 4 2 3 4 2" xfId="49340" xr:uid="{5BB4170E-EE2B-4277-92F1-8EDAF570BB4A}"/>
    <cellStyle name="Note 2 2 4 2 3 5" xfId="48512" xr:uid="{45629B9E-F2BF-4CEF-8AF2-FC77156CC6A2}"/>
    <cellStyle name="Note 2 2 4 2 4" xfId="5784" xr:uid="{00000000-0005-0000-0000-000068070000}"/>
    <cellStyle name="Note 2 2 4 2 4 2" xfId="12667" xr:uid="{5C76ECAD-FACA-412B-BDF9-9BE2B86CFAD6}"/>
    <cellStyle name="Note 2 2 4 2 4 2 2" xfId="35152" xr:uid="{005A1702-48C9-4FC6-AB1C-C73DB08944AB}"/>
    <cellStyle name="Note 2 2 4 2 4 2 3" xfId="24358" xr:uid="{8F328237-6CA5-4B09-A75F-B35764853A53}"/>
    <cellStyle name="Note 2 2 4 2 4 3" xfId="17721" xr:uid="{65C223C1-E782-4D75-9DA2-D679378ED675}"/>
    <cellStyle name="Note 2 2 4 2 4 3 2" xfId="40111" xr:uid="{4DA91F1E-E273-4C35-AA22-F95BF7B778DE}"/>
    <cellStyle name="Note 2 2 4 2 4 3 3" xfId="25077" xr:uid="{35790609-4108-4B84-920A-65DC4BA59548}"/>
    <cellStyle name="Note 2 2 4 2 4 4" xfId="22145" xr:uid="{25877A8E-12A9-43A5-B149-57BC43C91CC1}"/>
    <cellStyle name="Note 2 2 4 2 4 4 2" xfId="44718" xr:uid="{DC848EF3-3B00-4BE2-BD7B-1422FB27ADDE}"/>
    <cellStyle name="Note 2 2 4 2 4 5" xfId="52721" xr:uid="{54A0246C-3E1B-4EBF-98C0-F81AA8BECD39}"/>
    <cellStyle name="Note 2 2 4 2 5" xfId="6129" xr:uid="{00000000-0005-0000-0000-000068070000}"/>
    <cellStyle name="Note 2 2 4 2 5 2" xfId="13006" xr:uid="{CD44F2C7-588E-4E2A-84FB-A2EFCB63D7C0}"/>
    <cellStyle name="Note 2 2 4 2 5 2 2" xfId="35490" xr:uid="{75813E6D-0BBB-470A-AD6E-4B3248062972}"/>
    <cellStyle name="Note 2 2 4 2 5 2 3" xfId="52423" xr:uid="{A9E4FFB6-6F4D-4591-B710-9481CF790125}"/>
    <cellStyle name="Note 2 2 4 2 5 3" xfId="18066" xr:uid="{2798E6D7-EAD6-4A32-BA2A-87ABB6912D42}"/>
    <cellStyle name="Note 2 2 4 2 5 3 2" xfId="40456" xr:uid="{8CD214FD-74E7-4EC6-BA10-0D316E6FA294}"/>
    <cellStyle name="Note 2 2 4 2 5 3 3" xfId="32768" xr:uid="{A2CCC466-EFDA-4FCF-AD8B-AAE98BFD2586}"/>
    <cellStyle name="Note 2 2 4 2 5 4" xfId="22490" xr:uid="{8A18EF09-27DA-4C53-80B5-9074E2D65E01}"/>
    <cellStyle name="Note 2 2 4 2 5 4 2" xfId="52422" xr:uid="{72C36F05-8A77-4280-88CD-60BF61AF8231}"/>
    <cellStyle name="Note 2 2 4 2 5 5" xfId="45635" xr:uid="{989E7423-5146-4015-A5A9-6BC60525D8BF}"/>
    <cellStyle name="Note 2 2 4 2 6" xfId="6502" xr:uid="{00000000-0005-0000-0000-000068070000}"/>
    <cellStyle name="Note 2 2 4 2 6 2" xfId="13371" xr:uid="{69413E2A-EE9A-476B-B5BC-AB9049523C20}"/>
    <cellStyle name="Note 2 2 4 2 6 2 2" xfId="35855" xr:uid="{33D40AD0-9A84-42A0-B30E-09EDC6FFA539}"/>
    <cellStyle name="Note 2 2 4 2 6 2 3" xfId="41820" xr:uid="{C662BB04-A772-4355-BF64-5EB2E436F4E9}"/>
    <cellStyle name="Note 2 2 4 2 6 3" xfId="18439" xr:uid="{91723CBF-8D0D-4F11-9C3F-99A641C7E211}"/>
    <cellStyle name="Note 2 2 4 2 6 3 2" xfId="40829" xr:uid="{07BDD145-5B87-4346-89D4-A1B2BE066C59}"/>
    <cellStyle name="Note 2 2 4 2 6 3 3" xfId="43864" xr:uid="{F0DD3307-10E4-45C5-A29C-DBEEFCBA109C}"/>
    <cellStyle name="Note 2 2 4 2 6 4" xfId="22863" xr:uid="{E7881303-DB81-47BE-8859-26A68F4A2482}"/>
    <cellStyle name="Note 2 2 4 2 6 4 2" xfId="47374" xr:uid="{8FA0466F-A88F-49A6-B000-49DD109833CE}"/>
    <cellStyle name="Note 2 2 4 2 6 5" xfId="47223" xr:uid="{7AADD8A1-9DC4-42AF-9C89-0F75F094E0F9}"/>
    <cellStyle name="Note 2 2 4 2 7" xfId="2315" xr:uid="{00000000-0005-0000-0000-000068070000}"/>
    <cellStyle name="Note 2 2 4 2 7 2" xfId="9225" xr:uid="{5CA5D6B9-531E-4A8E-A4CE-AEB78D0091A0}"/>
    <cellStyle name="Note 2 2 4 2 7 2 2" xfId="31800" xr:uid="{656A1528-7609-42DB-BA51-BD79F01C318B}"/>
    <cellStyle name="Note 2 2 4 2 7 2 3" xfId="29938" xr:uid="{A355F25B-36C4-47BE-9EF9-BFC67DEE1005}"/>
    <cellStyle name="Note 2 2 4 2 7 3" xfId="14878" xr:uid="{A3596922-6F4C-4334-AFA4-2135FA61A33F}"/>
    <cellStyle name="Note 2 2 4 2 7 3 2" xfId="37332" xr:uid="{A230CBB8-0E79-490B-B266-E08D9435FD1D}"/>
    <cellStyle name="Note 2 2 4 2 7 3 3" xfId="53069" xr:uid="{83DCDDED-0A2A-4A09-ADE1-E71D515CFAC8}"/>
    <cellStyle name="Note 2 2 4 2 7 4" xfId="20019" xr:uid="{527A693C-5347-4BFB-9E04-B5FCE158AFD8}"/>
    <cellStyle name="Note 2 2 4 2 7 4 2" xfId="27621" xr:uid="{8B12F2A3-5B6B-4E95-A157-F17E4ACD3BF1}"/>
    <cellStyle name="Note 2 2 4 2 7 5" xfId="49911" xr:uid="{E1241AC1-F90E-41AA-AA15-B294BB58788E}"/>
    <cellStyle name="Note 2 2 4 2 8" xfId="6986" xr:uid="{00000000-0005-0000-0000-000068070000}"/>
    <cellStyle name="Note 2 2 4 2 8 2" xfId="13823" xr:uid="{0FD90BD7-EB13-4315-8695-63E2B06462B9}"/>
    <cellStyle name="Note 2 2 4 2 8 2 2" xfId="36307" xr:uid="{D4BD442C-47A9-4121-8FB0-1C7FCBCA2F7B}"/>
    <cellStyle name="Note 2 2 4 2 8 2 3" xfId="44284" xr:uid="{5B0F31A2-35D2-49CE-B7EB-12088880CEB2}"/>
    <cellStyle name="Note 2 2 4 2 8 3" xfId="18923" xr:uid="{2C3C895B-BF78-4523-A0F3-F58FFCAA43FB}"/>
    <cellStyle name="Note 2 2 4 2 8 3 2" xfId="41313" xr:uid="{14DAD494-CA0D-482D-BB11-1DAE67AA9D0C}"/>
    <cellStyle name="Note 2 2 4 2 8 3 3" xfId="30347" xr:uid="{ED5401A1-9219-4CFA-A56C-1DEFAB3DE9CD}"/>
    <cellStyle name="Note 2 2 4 2 8 4" xfId="23347" xr:uid="{F3C5A32E-91D7-4312-A1A6-1A03973ADF0F}"/>
    <cellStyle name="Note 2 2 4 2 8 4 2" xfId="46236" xr:uid="{82228F0A-E75D-407A-AD76-C35AFE5EF1F6}"/>
    <cellStyle name="Note 2 2 4 2 8 5" xfId="48820" xr:uid="{B936E9CE-5863-4F78-B2C2-559F31836FDA}"/>
    <cellStyle name="Note 2 2 4 2 9" xfId="6782" xr:uid="{00000000-0005-0000-0000-000068070000}"/>
    <cellStyle name="Note 2 2 4 2 9 2" xfId="18719" xr:uid="{2CB1886D-D1CD-4EB1-AE48-22C2035C60A1}"/>
    <cellStyle name="Note 2 2 4 2 9 2 2" xfId="41109" xr:uid="{39467A77-1D76-407A-BE46-928098600B5B}"/>
    <cellStyle name="Note 2 2 4 2 9 2 3" xfId="42608" xr:uid="{EB50391C-D88B-4EAD-AAE5-283FAA41BCB5}"/>
    <cellStyle name="Note 2 2 4 2 9 3" xfId="23143" xr:uid="{7B1A83CB-F507-428E-A5D5-F335D52902F3}"/>
    <cellStyle name="Note 2 2 4 2 9 3 2" xfId="49771" xr:uid="{6B541B03-B53C-4933-8531-AD4DDFD8D044}"/>
    <cellStyle name="Note 2 2 4 2 9 4" xfId="51880" xr:uid="{E5979354-864A-496A-A99A-2CE5D32EFA1E}"/>
    <cellStyle name="Note 2 2 4 3" xfId="4782" xr:uid="{00000000-0005-0000-0000-000067070000}"/>
    <cellStyle name="Note 2 2 4 3 2" xfId="11679" xr:uid="{E83B8B13-0554-437F-A709-3CFD2B528FDE}"/>
    <cellStyle name="Note 2 2 4 3 2 2" xfId="34165" xr:uid="{2E165DA7-8532-4943-9192-1B455325E908}"/>
    <cellStyle name="Note 2 2 4 3 2 3" xfId="43657" xr:uid="{FB59D58D-0ABC-47B7-BAE2-2500357CB76A}"/>
    <cellStyle name="Note 2 2 4 3 3" xfId="16719" xr:uid="{036A6190-5C9E-4D4A-8ACC-1FB6EEC233A1}"/>
    <cellStyle name="Note 2 2 4 3 3 2" xfId="39109" xr:uid="{6184A7AE-C8E8-40AB-82E6-45278D2E0216}"/>
    <cellStyle name="Note 2 2 4 3 3 3" xfId="24723" xr:uid="{81D35F6A-156F-4DFF-B592-61A1A5BC50D9}"/>
    <cellStyle name="Note 2 2 4 3 4" xfId="16081" xr:uid="{BA626C1B-05D5-4FD2-9E4A-939CCE961EF9}"/>
    <cellStyle name="Note 2 2 4 3 4 2" xfId="52353" xr:uid="{BAC1AB97-0795-4500-B564-177D1C5AE07E}"/>
    <cellStyle name="Note 2 2 4 3 5" xfId="26351" xr:uid="{86F1001E-7EED-488D-9207-0141B0AA6B54}"/>
    <cellStyle name="Note 2 2 4 4" xfId="5508" xr:uid="{00000000-0005-0000-0000-000067070000}"/>
    <cellStyle name="Note 2 2 4 4 2" xfId="12397" xr:uid="{892B2907-FF23-473E-8423-6E005C70C354}"/>
    <cellStyle name="Note 2 2 4 4 2 2" xfId="34882" xr:uid="{0BAA02DE-3FA2-426C-A3DD-BF18100354A3}"/>
    <cellStyle name="Note 2 2 4 4 2 3" xfId="44047" xr:uid="{C91DA291-F05D-4FC9-B3AA-5C736B5AE5DD}"/>
    <cellStyle name="Note 2 2 4 4 3" xfId="17445" xr:uid="{ACE4EC04-0409-42BC-AD1B-ABB8158FEF98}"/>
    <cellStyle name="Note 2 2 4 4 3 2" xfId="39835" xr:uid="{BE06E8C3-81FC-4A57-B04B-06CA6B9E3D93}"/>
    <cellStyle name="Note 2 2 4 4 3 3" xfId="26958" xr:uid="{44393576-519A-4AC2-9562-46B5F5640EF0}"/>
    <cellStyle name="Note 2 2 4 4 4" xfId="21869" xr:uid="{A19C3E55-7B68-4A78-8A43-939116BABE73}"/>
    <cellStyle name="Note 2 2 4 4 4 2" xfId="24582" xr:uid="{50B4AA56-753B-4F1E-A03B-64478202DC5B}"/>
    <cellStyle name="Note 2 2 4 4 5" xfId="49700" xr:uid="{E9E9FE87-FFAC-47E9-8ED4-E44DD12B264A}"/>
    <cellStyle name="Note 2 2 4 5" xfId="6006" xr:uid="{00000000-0005-0000-0000-000067070000}"/>
    <cellStyle name="Note 2 2 4 5 2" xfId="12887" xr:uid="{4FE1AA97-A1A4-4745-87BA-874D63779709}"/>
    <cellStyle name="Note 2 2 4 5 2 2" xfId="35371" xr:uid="{9D2B9A04-C384-432F-A9B4-22AAD3FA4CD2}"/>
    <cellStyle name="Note 2 2 4 5 2 3" xfId="30768" xr:uid="{72CA2118-1576-4334-9248-484A32B0CD79}"/>
    <cellStyle name="Note 2 2 4 5 3" xfId="17943" xr:uid="{8AE6E1C1-C722-4984-BD96-D27F7AB09F6C}"/>
    <cellStyle name="Note 2 2 4 5 3 2" xfId="40333" xr:uid="{96F2B3D8-722A-4934-8F7E-3CE19438F4BC}"/>
    <cellStyle name="Note 2 2 4 5 3 3" xfId="37663" xr:uid="{E5E5EAB1-1267-474E-92E6-042F0A8FD556}"/>
    <cellStyle name="Note 2 2 4 5 4" xfId="22367" xr:uid="{B08481B7-C4F2-465D-AB76-AA7E8A10F4EB}"/>
    <cellStyle name="Note 2 2 4 5 4 2" xfId="51692" xr:uid="{0906544B-A551-4D44-9008-1003011404E9}"/>
    <cellStyle name="Note 2 2 4 5 5" xfId="51610" xr:uid="{3011AA59-7F0B-42E8-BC6C-72C425F084D7}"/>
    <cellStyle name="Note 2 2 4 6" xfId="4777" xr:uid="{00000000-0005-0000-0000-000067070000}"/>
    <cellStyle name="Note 2 2 4 6 2" xfId="11674" xr:uid="{72D46D03-980F-49B8-AA02-96F7B7DA25F9}"/>
    <cellStyle name="Note 2 2 4 6 2 2" xfId="34160" xr:uid="{D971C9F3-1E7C-4E22-ABC4-AAB2477C1A6D}"/>
    <cellStyle name="Note 2 2 4 6 2 3" xfId="44620" xr:uid="{EFD0FA05-FA94-4E9C-84F2-C779A9BF7054}"/>
    <cellStyle name="Note 2 2 4 6 3" xfId="16714" xr:uid="{5667EA3D-95D9-4F58-8F68-C7DF66326080}"/>
    <cellStyle name="Note 2 2 4 6 3 2" xfId="39104" xr:uid="{AE713D58-4E5C-4E1D-988D-D6C871C04247}"/>
    <cellStyle name="Note 2 2 4 6 3 3" xfId="30144" xr:uid="{43FFDB24-943F-4685-ABC4-E9A3DCC4A030}"/>
    <cellStyle name="Note 2 2 4 6 4" xfId="20166" xr:uid="{B47EAA1E-EC7A-4621-A66E-223013814CB0}"/>
    <cellStyle name="Note 2 2 4 6 4 2" xfId="26149" xr:uid="{22969822-4F7C-4954-8D5D-42A6A28D1853}"/>
    <cellStyle name="Note 2 2 4 6 5" xfId="49168" xr:uid="{4EFECB24-9FF6-42E5-9692-D96D30B04E0F}"/>
    <cellStyle name="Note 2 2 4 7" xfId="12485" xr:uid="{B261E3CE-5B94-4787-8063-00C00833CA72}"/>
    <cellStyle name="Note 2 2 4 7 2" xfId="34970" xr:uid="{8B40A4CA-0101-43DD-94CF-5F7262BDD586}"/>
    <cellStyle name="Note 2 2 4 7 3" xfId="37777" xr:uid="{E94AF770-FDF8-406E-A70F-F51ABBDE02CC}"/>
    <cellStyle name="Note 2 2 4 8" xfId="16086" xr:uid="{43D5F7AB-2F5C-4B2B-BB92-BCFFD0AAC52B}"/>
    <cellStyle name="Note 2 2 4 8 2" xfId="38486" xr:uid="{11AE3A67-932F-4F4B-8E1C-AB4D0AFDA95B}"/>
    <cellStyle name="Note 2 2 4 8 3" xfId="52199" xr:uid="{FD7C9C89-B73E-43C4-9131-1C0B5CF60199}"/>
    <cellStyle name="Note 2 2 4 9" xfId="20095" xr:uid="{5E50194B-89A4-42CD-A358-603F1B9CBF7A}"/>
    <cellStyle name="Note 2 2 4 9 2" xfId="30852" xr:uid="{ECFF1CA9-B541-442B-90F1-6F1A71A5EC35}"/>
    <cellStyle name="Note 2 2 5" xfId="1191" xr:uid="{00000000-0005-0000-0000-00006B070000}"/>
    <cellStyle name="Note 2 2 5 10" xfId="30148" xr:uid="{5B68D957-82E4-4E40-9496-4F78CBF2A857}"/>
    <cellStyle name="Note 2 2 5 2" xfId="1992" xr:uid="{00000000-0005-0000-0000-00006C070000}"/>
    <cellStyle name="Note 2 2 5 2 10" xfId="14640" xr:uid="{6E2420BA-0950-456A-B228-72E1AE7F2E85}"/>
    <cellStyle name="Note 2 2 5 2 10 2" xfId="37100" xr:uid="{823F329A-E4AD-44A9-9E85-AD730557F766}"/>
    <cellStyle name="Note 2 2 5 2 10 3" xfId="47200" xr:uid="{3FF25144-C91B-4023-B42F-87F9AB2679F6}"/>
    <cellStyle name="Note 2 2 5 2 11" xfId="20714" xr:uid="{C21CBF06-AAE4-43B9-BEDF-8C6D665687EC}"/>
    <cellStyle name="Note 2 2 5 2 11 2" xfId="42985" xr:uid="{3AFD3AB9-521A-45F9-B6D8-FB8F2704B701}"/>
    <cellStyle name="Note 2 2 5 2 11 3" xfId="52041" xr:uid="{FA8FD62B-746A-4148-BF29-E8F556149BB4}"/>
    <cellStyle name="Note 2 2 5 2 12" xfId="21243" xr:uid="{53CEB21E-6B4C-4653-AFB4-6E70F1EDF871}"/>
    <cellStyle name="Note 2 2 5 2 12 2" xfId="45569" xr:uid="{947E4074-35E5-4A59-BF77-12A76992D22C}"/>
    <cellStyle name="Note 2 2 5 2 13" xfId="52505" xr:uid="{BA476861-B42D-416E-8661-2A62A19369AA}"/>
    <cellStyle name="Note 2 2 5 2 2" xfId="4088" xr:uid="{00000000-0005-0000-0000-00006A070000}"/>
    <cellStyle name="Note 2 2 5 2 2 2" xfId="10992" xr:uid="{A58AF459-DB23-4E31-9FDA-C88B82022856}"/>
    <cellStyle name="Note 2 2 5 2 2 2 2" xfId="33478" xr:uid="{00410225-E317-4DC4-AFF2-378DEA5D6643}"/>
    <cellStyle name="Note 2 2 5 2 2 2 3" xfId="44987" xr:uid="{07708974-079F-4372-B0E5-FCC155C76EEF}"/>
    <cellStyle name="Note 2 2 5 2 2 3" xfId="16092" xr:uid="{87F426F0-C4A4-42C6-B134-FDA8F9B8F357}"/>
    <cellStyle name="Note 2 2 5 2 2 3 2" xfId="38492" xr:uid="{A8065865-73E1-48C9-8A28-FCC55EC9CEFE}"/>
    <cellStyle name="Note 2 2 5 2 2 3 3" xfId="30928" xr:uid="{BF86C5C3-4FA2-406D-BCD1-56572A15C9AB}"/>
    <cellStyle name="Note 2 2 5 2 2 4" xfId="19457" xr:uid="{E97D6F89-06F8-4E2A-973B-7C50093BD83F}"/>
    <cellStyle name="Note 2 2 5 2 2 4 2" xfId="43492" xr:uid="{5AB22332-EE90-4964-AD75-F797AC366DBC}"/>
    <cellStyle name="Note 2 2 5 2 2 5" xfId="26411" xr:uid="{FA41F72B-7F10-49FC-B917-237FA1368545}"/>
    <cellStyle name="Note 2 2 5 2 3" xfId="5433" xr:uid="{00000000-0005-0000-0000-00006A070000}"/>
    <cellStyle name="Note 2 2 5 2 3 2" xfId="12323" xr:uid="{DE21EA63-A94A-484F-B676-2BB3F2113381}"/>
    <cellStyle name="Note 2 2 5 2 3 2 2" xfId="34808" xr:uid="{A0C43B17-7A7E-412A-A18B-E59B58FC3163}"/>
    <cellStyle name="Note 2 2 5 2 3 2 3" xfId="27041" xr:uid="{3D87C81F-CFB6-403E-BB63-7C8727E66D07}"/>
    <cellStyle name="Note 2 2 5 2 3 3" xfId="17370" xr:uid="{BBF62A29-985C-479D-B114-DB04414C38ED}"/>
    <cellStyle name="Note 2 2 5 2 3 3 2" xfId="39760" xr:uid="{3EEECAD1-9CF1-45D3-BF41-CC1E7E6DE5A1}"/>
    <cellStyle name="Note 2 2 5 2 3 3 3" xfId="36778" xr:uid="{DEE6A1C9-6187-40E8-A689-749BB9D4ACE3}"/>
    <cellStyle name="Note 2 2 5 2 3 4" xfId="21794" xr:uid="{7B3179BD-8294-46F8-B020-B9FAD1FA9F0F}"/>
    <cellStyle name="Note 2 2 5 2 3 4 2" xfId="45138" xr:uid="{A68BEF80-BEAC-4777-919D-7319374ACDAD}"/>
    <cellStyle name="Note 2 2 5 2 3 5" xfId="27767" xr:uid="{F40FAD8E-891C-4D6D-9DC5-C4F87D95F514}"/>
    <cellStyle name="Note 2 2 5 2 4" xfId="5856" xr:uid="{00000000-0005-0000-0000-00006A070000}"/>
    <cellStyle name="Note 2 2 5 2 4 2" xfId="12738" xr:uid="{716D365B-7B87-4B95-8F8B-F764CD1419C9}"/>
    <cellStyle name="Note 2 2 5 2 4 2 2" xfId="35222" xr:uid="{22B2D04D-1C46-4736-B953-40C5266CCBA0}"/>
    <cellStyle name="Note 2 2 5 2 4 2 3" xfId="24108" xr:uid="{0A8B06F2-EE61-4E4C-AACC-D8210E6B189E}"/>
    <cellStyle name="Note 2 2 5 2 4 3" xfId="17793" xr:uid="{90023929-7A34-4926-9A6F-632659510C1E}"/>
    <cellStyle name="Note 2 2 5 2 4 3 2" xfId="40183" xr:uid="{8414BEFB-4D87-4637-BF40-D0FBEE8854B5}"/>
    <cellStyle name="Note 2 2 5 2 4 3 3" xfId="28296" xr:uid="{F59DF293-99AD-4B3C-A64F-3C2A96C9D060}"/>
    <cellStyle name="Note 2 2 5 2 4 4" xfId="22217" xr:uid="{2D72EBC8-F29B-41CB-9E2E-885D5C989CE5}"/>
    <cellStyle name="Note 2 2 5 2 4 4 2" xfId="53583" xr:uid="{AA6D5A34-CF4A-4CAB-8305-C1610F2AD3C5}"/>
    <cellStyle name="Note 2 2 5 2 4 5" xfId="23840" xr:uid="{EC2288A6-E027-40EF-B0AD-772A67639542}"/>
    <cellStyle name="Note 2 2 5 2 5" xfId="6194" xr:uid="{00000000-0005-0000-0000-00006A070000}"/>
    <cellStyle name="Note 2 2 5 2 5 2" xfId="13069" xr:uid="{ED88FB97-FF51-4A5D-A4DF-7D0638EB419E}"/>
    <cellStyle name="Note 2 2 5 2 5 2 2" xfId="35553" xr:uid="{20E3F9A5-EB8B-465D-ACE7-3E94E921BA5D}"/>
    <cellStyle name="Note 2 2 5 2 5 2 3" xfId="53584" xr:uid="{C94E6907-0FA3-461C-A0AB-914946A51A07}"/>
    <cellStyle name="Note 2 2 5 2 5 3" xfId="18131" xr:uid="{6915655B-BC5F-4546-A539-ECD41A143EFC}"/>
    <cellStyle name="Note 2 2 5 2 5 3 2" xfId="40521" xr:uid="{9601544F-ADE9-4065-B1DD-71D97A38E06F}"/>
    <cellStyle name="Note 2 2 5 2 5 3 3" xfId="38565" xr:uid="{6318021B-638E-4C16-BB91-F1A5A27C97E4}"/>
    <cellStyle name="Note 2 2 5 2 5 4" xfId="22555" xr:uid="{A1CBAB1C-9E6D-4752-A5AB-76F72C4C10E9}"/>
    <cellStyle name="Note 2 2 5 2 5 4 2" xfId="48428" xr:uid="{C8A62597-B468-41C9-B01F-548204B0BB52}"/>
    <cellStyle name="Note 2 2 5 2 5 5" xfId="48928" xr:uid="{357D5F36-CAEE-4EAC-B601-103ABE8CF0B4}"/>
    <cellStyle name="Note 2 2 5 2 6" xfId="6562" xr:uid="{00000000-0005-0000-0000-00006A070000}"/>
    <cellStyle name="Note 2 2 5 2 6 2" xfId="13428" xr:uid="{7139402E-6E36-4D07-8D7F-386A2500C6C7}"/>
    <cellStyle name="Note 2 2 5 2 6 2 2" xfId="35912" xr:uid="{9E58D80C-4C2A-489C-81FE-6BB948FC110B}"/>
    <cellStyle name="Note 2 2 5 2 6 2 3" xfId="50622" xr:uid="{A9D7BE77-A8C8-4DF4-A92E-4E52D4A75753}"/>
    <cellStyle name="Note 2 2 5 2 6 3" xfId="18499" xr:uid="{2968652D-8930-4E0F-93F1-9D7039612A06}"/>
    <cellStyle name="Note 2 2 5 2 6 3 2" xfId="40889" xr:uid="{8694C2A1-C8ED-425D-B8DF-0651F80B7079}"/>
    <cellStyle name="Note 2 2 5 2 6 3 3" xfId="28084" xr:uid="{A9235793-7A33-4B7F-AA42-D5A289EAF9A9}"/>
    <cellStyle name="Note 2 2 5 2 6 4" xfId="22923" xr:uid="{AD0660E1-0410-429F-BAE1-9E1910F2A168}"/>
    <cellStyle name="Note 2 2 5 2 6 4 2" xfId="32341" xr:uid="{0EC2591E-7984-4EC7-A3D0-D6CD5DE5D903}"/>
    <cellStyle name="Note 2 2 5 2 6 5" xfId="43625" xr:uid="{A2D0DDB8-5446-4452-937C-2F1E54C6EFDD}"/>
    <cellStyle name="Note 2 2 5 2 7" xfId="2275" xr:uid="{00000000-0005-0000-0000-00006A070000}"/>
    <cellStyle name="Note 2 2 5 2 7 2" xfId="9186" xr:uid="{8D770739-92D4-4906-9339-16F772A2326F}"/>
    <cellStyle name="Note 2 2 5 2 7 2 2" xfId="31761" xr:uid="{E42CF17C-22C6-4294-9326-2722B8B25A7E}"/>
    <cellStyle name="Note 2 2 5 2 7 2 3" xfId="37794" xr:uid="{0220A1F9-A92C-44FC-B07B-160159F4A843}"/>
    <cellStyle name="Note 2 2 5 2 7 3" xfId="14844" xr:uid="{7503AE0C-0BF4-429D-8853-6AE2328517F4}"/>
    <cellStyle name="Note 2 2 5 2 7 3 2" xfId="37298" xr:uid="{2FFE1022-E760-44CB-8F23-409AEC7C8A7C}"/>
    <cellStyle name="Note 2 2 5 2 7 3 3" xfId="49592" xr:uid="{E3341153-69DD-4A3F-A06C-C2AA4EC557EA}"/>
    <cellStyle name="Note 2 2 5 2 7 4" xfId="20024" xr:uid="{8F6C6AEB-6ACF-4B87-BB67-DEFE94726F5C}"/>
    <cellStyle name="Note 2 2 5 2 7 4 2" xfId="44146" xr:uid="{B6C68D91-4881-4139-8CF6-BA6A4DE1E071}"/>
    <cellStyle name="Note 2 2 5 2 7 5" xfId="51582" xr:uid="{F3AB4D96-995F-4F20-BF82-1D8B542E243F}"/>
    <cellStyle name="Note 2 2 5 2 8" xfId="7032" xr:uid="{00000000-0005-0000-0000-00006A070000}"/>
    <cellStyle name="Note 2 2 5 2 8 2" xfId="13868" xr:uid="{A2E66DF3-CDC9-444D-A5BC-37BD0FE1EF3C}"/>
    <cellStyle name="Note 2 2 5 2 8 2 2" xfId="36352" xr:uid="{C9565B08-C1DA-4E9C-81FD-4C6268ACBA55}"/>
    <cellStyle name="Note 2 2 5 2 8 2 3" xfId="42175" xr:uid="{5137E5B5-CB77-4123-AAF6-3B59A0B7EC34}"/>
    <cellStyle name="Note 2 2 5 2 8 3" xfId="18969" xr:uid="{41AF3729-B698-4DE7-A6BA-C7DD7721FC74}"/>
    <cellStyle name="Note 2 2 5 2 8 3 2" xfId="41359" xr:uid="{06344EB8-408E-4EAE-B5D2-4B7AD7C6B8BF}"/>
    <cellStyle name="Note 2 2 5 2 8 3 3" xfId="23751" xr:uid="{95385FD8-0ED6-491F-9938-B0F43E34F17D}"/>
    <cellStyle name="Note 2 2 5 2 8 4" xfId="23393" xr:uid="{EB4F90A0-C25B-4196-B41B-0C6C8CCBB654}"/>
    <cellStyle name="Note 2 2 5 2 8 4 2" xfId="50931" xr:uid="{83FACD5A-863F-4FDB-BE0E-EA9D80CB19D3}"/>
    <cellStyle name="Note 2 2 5 2 8 5" xfId="53950" xr:uid="{9A277055-D112-4D81-A804-0B26458E3EDA}"/>
    <cellStyle name="Note 2 2 5 2 9" xfId="7147" xr:uid="{00000000-0005-0000-0000-00006A070000}"/>
    <cellStyle name="Note 2 2 5 2 9 2" xfId="19084" xr:uid="{06C31CC9-AB44-4EB0-B90E-F6488266CC4A}"/>
    <cellStyle name="Note 2 2 5 2 9 2 2" xfId="41474" xr:uid="{BF6A6816-110C-4FAB-BD6F-81E25895E436}"/>
    <cellStyle name="Note 2 2 5 2 9 2 3" xfId="25469" xr:uid="{65984618-43FB-4D5C-96FA-1BC7474A1B12}"/>
    <cellStyle name="Note 2 2 5 2 9 3" xfId="23508" xr:uid="{55D6C041-A542-403B-9E60-24C31DA7E8FD}"/>
    <cellStyle name="Note 2 2 5 2 9 3 2" xfId="52569" xr:uid="{342AEA12-05BD-4974-AB67-E8C760871F18}"/>
    <cellStyle name="Note 2 2 5 2 9 4" xfId="47778" xr:uid="{4BF1B276-A179-4DB1-ABFD-DA87D4C86DAE}"/>
    <cellStyle name="Note 2 2 5 3" xfId="4893" xr:uid="{00000000-0005-0000-0000-000069070000}"/>
    <cellStyle name="Note 2 2 5 3 2" xfId="11788" xr:uid="{671B443A-3821-4836-8EA6-23F3BA75B70E}"/>
    <cellStyle name="Note 2 2 5 3 2 2" xfId="34274" xr:uid="{74A60B91-D6A4-4ADA-9F67-2500223BE5CC}"/>
    <cellStyle name="Note 2 2 5 3 2 3" xfId="27669" xr:uid="{DBD8D4DD-222C-4D2F-8352-C89B6EDE3CD2}"/>
    <cellStyle name="Note 2 2 5 3 3" xfId="16830" xr:uid="{B857EA9C-00BA-4A77-AAE6-340C52094D76}"/>
    <cellStyle name="Note 2 2 5 3 3 2" xfId="39220" xr:uid="{D63661FF-303D-4F0D-8A07-812FFD59C750}"/>
    <cellStyle name="Note 2 2 5 3 3 3" xfId="24670" xr:uid="{309F4818-194A-44EC-A571-896A3769EFD0}"/>
    <cellStyle name="Note 2 2 5 3 4" xfId="20932" xr:uid="{433609BE-A810-4F9D-9076-E632C59578E8}"/>
    <cellStyle name="Note 2 2 5 3 4 2" xfId="47282" xr:uid="{A9B69817-0C01-4594-BF97-E6537677FF14}"/>
    <cellStyle name="Note 2 2 5 3 5" xfId="51576" xr:uid="{8C322B8B-6CAE-4C59-96DD-810E99BE1B17}"/>
    <cellStyle name="Note 2 2 5 4" xfId="4390" xr:uid="{00000000-0005-0000-0000-000069070000}"/>
    <cellStyle name="Note 2 2 5 4 2" xfId="11292" xr:uid="{6B5997B3-4F85-4184-81CC-0915F45B2BFC}"/>
    <cellStyle name="Note 2 2 5 4 2 2" xfId="33778" xr:uid="{5A2FCDA5-E035-467D-BAEB-838D986C4E7A}"/>
    <cellStyle name="Note 2 2 5 4 2 3" xfId="24561" xr:uid="{86ADDEC0-537F-4D7B-A566-A78E3015E98D}"/>
    <cellStyle name="Note 2 2 5 4 3" xfId="16327" xr:uid="{D04C2FFA-1C38-4E82-94B8-0BFC004C724F}"/>
    <cellStyle name="Note 2 2 5 4 3 2" xfId="38717" xr:uid="{75D1F75D-01A6-4A52-9544-BF1B434398C1}"/>
    <cellStyle name="Note 2 2 5 4 3 3" xfId="43312" xr:uid="{35F09929-BE59-446B-975E-4BDD6D862FF0}"/>
    <cellStyle name="Note 2 2 5 4 4" xfId="15610" xr:uid="{A72252D2-14A8-4D64-97C7-557C3F8CEF8A}"/>
    <cellStyle name="Note 2 2 5 4 4 2" xfId="48982" xr:uid="{694D76BF-C393-4E99-8E5C-4BDF68D1A3B7}"/>
    <cellStyle name="Note 2 2 5 4 5" xfId="50250" xr:uid="{F30C14C5-12D4-45AE-BC6A-2D39121D381D}"/>
    <cellStyle name="Note 2 2 5 5" xfId="6370" xr:uid="{00000000-0005-0000-0000-000069070000}"/>
    <cellStyle name="Note 2 2 5 5 2" xfId="13242" xr:uid="{EF1ECAFD-77D1-42A3-99C9-4B58AA2F1CDA}"/>
    <cellStyle name="Note 2 2 5 5 2 2" xfId="35726" xr:uid="{D08929CB-08EA-4690-BD16-A153EC766FC2}"/>
    <cellStyle name="Note 2 2 5 5 2 3" xfId="46490" xr:uid="{A36A905E-0BF0-4DA6-93C5-208232DA1998}"/>
    <cellStyle name="Note 2 2 5 5 3" xfId="18307" xr:uid="{C195E5E8-3E4C-4E38-B8A4-290AB2573C88}"/>
    <cellStyle name="Note 2 2 5 5 3 2" xfId="40697" xr:uid="{06ED27C0-9197-4042-A99A-8B6FE2CEAB9D}"/>
    <cellStyle name="Note 2 2 5 5 3 3" xfId="32089" xr:uid="{34963667-4A93-440F-AC74-5181BAB20A59}"/>
    <cellStyle name="Note 2 2 5 5 4" xfId="22731" xr:uid="{A4D044AD-E922-49C8-9307-67EC38795D5B}"/>
    <cellStyle name="Note 2 2 5 5 4 2" xfId="45911" xr:uid="{25168E93-FFF0-4413-A6ED-48E6E251F450}"/>
    <cellStyle name="Note 2 2 5 5 5" xfId="52637" xr:uid="{B9F8E7B4-1DCB-4BBF-9FC1-F29A650C06A7}"/>
    <cellStyle name="Note 2 2 5 6" xfId="4705" xr:uid="{00000000-0005-0000-0000-000069070000}"/>
    <cellStyle name="Note 2 2 5 6 2" xfId="11603" xr:uid="{6932C810-AFAC-42A2-B609-B2E93F89A442}"/>
    <cellStyle name="Note 2 2 5 6 2 2" xfId="34089" xr:uid="{FE6B9A87-4359-4FFD-8F27-A3226C5FAFFA}"/>
    <cellStyle name="Note 2 2 5 6 2 3" xfId="44868" xr:uid="{6DD2071B-2744-447C-9787-CF89A19E55D6}"/>
    <cellStyle name="Note 2 2 5 6 3" xfId="16642" xr:uid="{840B724B-82AC-47CC-BFB8-B340FF862CD8}"/>
    <cellStyle name="Note 2 2 5 6 3 2" xfId="39032" xr:uid="{F0892DCB-8B8C-4C72-91ED-D54E1C9F99E1}"/>
    <cellStyle name="Note 2 2 5 6 3 3" xfId="28224" xr:uid="{B4BE6655-0385-460D-BC23-D745D4B47C9B}"/>
    <cellStyle name="Note 2 2 5 6 4" xfId="19431" xr:uid="{A803AD68-8B51-4489-BD67-64ADAC26C642}"/>
    <cellStyle name="Note 2 2 5 6 4 2" xfId="43616" xr:uid="{1FC9BD03-5245-4A18-9593-4EA95AD073BE}"/>
    <cellStyle name="Note 2 2 5 6 5" xfId="48533" xr:uid="{EB89022A-4455-4D8D-B0A7-C4F0F3EC2DA6}"/>
    <cellStyle name="Note 2 2 5 7" xfId="14067" xr:uid="{1D22F354-4E0D-40B2-8DB3-ED830BD9E89E}"/>
    <cellStyle name="Note 2 2 5 7 2" xfId="36545" xr:uid="{87EEA83A-D86D-41F9-B41F-D02AB714787A}"/>
    <cellStyle name="Note 2 2 5 7 3" xfId="44021" xr:uid="{740F9460-56F5-425F-9845-481D87F0CE37}"/>
    <cellStyle name="Note 2 2 5 8" xfId="19555" xr:uid="{205B2345-4D94-42B6-AF74-48B289E6155A}"/>
    <cellStyle name="Note 2 2 5 8 2" xfId="41914" xr:uid="{A14EF053-682E-46B4-B13D-7498B304134A}"/>
    <cellStyle name="Note 2 2 5 8 3" xfId="44531" xr:uid="{3888A4A9-C3D1-45FF-B0F3-D2568C003A96}"/>
    <cellStyle name="Note 2 2 5 9" xfId="19670" xr:uid="{C67D49EF-9E54-49FC-88FD-7622DCA526A6}"/>
    <cellStyle name="Note 2 2 5 9 2" xfId="45427" xr:uid="{DE16EECA-DB3E-4244-8151-E4B1AEB12116}"/>
    <cellStyle name="Note 2 2 6" xfId="1353" xr:uid="{00000000-0005-0000-0000-00006D070000}"/>
    <cellStyle name="Note 2 2 6 10" xfId="53382" xr:uid="{F5304D8C-A2A2-4D17-B7A1-7B6E0922B34D}"/>
    <cellStyle name="Note 2 2 6 2" xfId="2082" xr:uid="{00000000-0005-0000-0000-00006E070000}"/>
    <cellStyle name="Note 2 2 6 2 10" xfId="14712" xr:uid="{E61D93D3-8616-4447-8263-BE5C95008EA2}"/>
    <cellStyle name="Note 2 2 6 2 10 2" xfId="37170" xr:uid="{8EE89367-50FE-4AC2-B7DA-34ED0B323267}"/>
    <cellStyle name="Note 2 2 6 2 10 3" xfId="41957" xr:uid="{F25BF770-5B39-41A3-BFD6-4A83F1FCE048}"/>
    <cellStyle name="Note 2 2 6 2 11" xfId="19569" xr:uid="{0E59D83D-D21A-403D-8F32-3E17E66298F7}"/>
    <cellStyle name="Note 2 2 6 2 11 2" xfId="41927" xr:uid="{39BC9835-FA7B-4FAF-9061-9E9FAAE61D3F}"/>
    <cellStyle name="Note 2 2 6 2 11 3" xfId="42362" xr:uid="{5BE2559E-3C82-48B0-B920-C3E7B66B0C0F}"/>
    <cellStyle name="Note 2 2 6 2 12" xfId="20427" xr:uid="{AC1E4B3B-CBC5-4159-9330-A91AEEF48EB9}"/>
    <cellStyle name="Note 2 2 6 2 12 2" xfId="52824" xr:uid="{37DC1932-32C8-40ED-A352-D265E82FD21A}"/>
    <cellStyle name="Note 2 2 6 2 13" xfId="37323" xr:uid="{FDEFE20C-6117-43E1-9E89-0D0FDA5D5910}"/>
    <cellStyle name="Note 2 2 6 2 2" xfId="4177" xr:uid="{00000000-0005-0000-0000-00006C070000}"/>
    <cellStyle name="Note 2 2 6 2 2 2" xfId="11081" xr:uid="{A108B323-481A-47AD-A55A-9F4C58B8FD5A}"/>
    <cellStyle name="Note 2 2 6 2 2 2 2" xfId="33567" xr:uid="{4DC5BCB6-82D9-4CE2-99DE-186E0EB79F34}"/>
    <cellStyle name="Note 2 2 6 2 2 2 3" xfId="49948" xr:uid="{955590BF-AED7-45BE-A30E-6C3B88271CDF}"/>
    <cellStyle name="Note 2 2 6 2 2 3" xfId="16170" xr:uid="{65DB1758-0914-4A4B-8ADC-35CB14299448}"/>
    <cellStyle name="Note 2 2 6 2 2 3 2" xfId="38569" xr:uid="{50ED34D3-6F10-453B-BC8D-64A8EA511473}"/>
    <cellStyle name="Note 2 2 6 2 2 3 3" xfId="42857" xr:uid="{61484C17-2AF1-4619-B93B-56D978535CAD}"/>
    <cellStyle name="Note 2 2 6 2 2 4" xfId="14900" xr:uid="{9FD68B10-AF82-410F-A2D7-2EC009695058}"/>
    <cellStyle name="Note 2 2 6 2 2 4 2" xfId="50676" xr:uid="{61BBC2B0-3D8E-450A-BC60-60AA254A5B7F}"/>
    <cellStyle name="Note 2 2 6 2 2 5" xfId="45912" xr:uid="{9B8AA8E2-9B99-433E-A335-0A312C3168D9}"/>
    <cellStyle name="Note 2 2 6 2 3" xfId="5503" xr:uid="{00000000-0005-0000-0000-00006C070000}"/>
    <cellStyle name="Note 2 2 6 2 3 2" xfId="12392" xr:uid="{6103CB1D-4B8C-4635-93A1-83C1E1CA6028}"/>
    <cellStyle name="Note 2 2 6 2 3 2 2" xfId="34877" xr:uid="{96300985-65A8-4E76-A002-4515FE113CE5}"/>
    <cellStyle name="Note 2 2 6 2 3 2 3" xfId="31309" xr:uid="{15522424-B677-4A31-B96F-F6DC9B6CC775}"/>
    <cellStyle name="Note 2 2 6 2 3 3" xfId="17440" xr:uid="{61697F3D-BBA8-4014-9A25-1D0496F63AFB}"/>
    <cellStyle name="Note 2 2 6 2 3 3 2" xfId="39830" xr:uid="{A6BEC1A6-0018-422B-8B4F-AAB04C4CF1C9}"/>
    <cellStyle name="Note 2 2 6 2 3 3 3" xfId="27704" xr:uid="{F065C1F7-4E83-40A2-A288-BB7B410408C1}"/>
    <cellStyle name="Note 2 2 6 2 3 4" xfId="21864" xr:uid="{2448C1A5-8DB0-4E66-B0B3-4592ABDA5496}"/>
    <cellStyle name="Note 2 2 6 2 3 4 2" xfId="51165" xr:uid="{ECBF1FFD-EE9F-4179-BC18-81E11A93C48F}"/>
    <cellStyle name="Note 2 2 6 2 3 5" xfId="50376" xr:uid="{C9F014F0-A205-4B69-8EA4-489E6C495A30}"/>
    <cellStyle name="Note 2 2 6 2 4" xfId="5924" xr:uid="{00000000-0005-0000-0000-00006C070000}"/>
    <cellStyle name="Note 2 2 6 2 4 2" xfId="12805" xr:uid="{C873B059-A334-47F8-AF75-60AB7433B147}"/>
    <cellStyle name="Note 2 2 6 2 4 2 2" xfId="35289" xr:uid="{093D39C3-D178-477F-9B2B-D4ADAE28F5AB}"/>
    <cellStyle name="Note 2 2 6 2 4 2 3" xfId="47470" xr:uid="{E021E123-38C0-432C-8816-6155DBEDE663}"/>
    <cellStyle name="Note 2 2 6 2 4 3" xfId="17861" xr:uid="{4290E5F3-3535-4638-815B-7F87A0BD2C10}"/>
    <cellStyle name="Note 2 2 6 2 4 3 2" xfId="40251" xr:uid="{2AB7FB0D-23E8-4E50-9EA7-DCE1E963DBC6}"/>
    <cellStyle name="Note 2 2 6 2 4 3 3" xfId="45342" xr:uid="{271387B5-0534-4C6E-8B68-A7411914FE0E}"/>
    <cellStyle name="Note 2 2 6 2 4 4" xfId="22285" xr:uid="{ED9769EE-BD49-44D5-8E38-8EECACA9CEFD}"/>
    <cellStyle name="Note 2 2 6 2 4 4 2" xfId="46413" xr:uid="{B6731EAB-70C0-418F-95A1-79ADBC72DC98}"/>
    <cellStyle name="Note 2 2 6 2 4 5" xfId="24212" xr:uid="{3FDB1B4A-8245-49CD-9EC6-6768BF16D1F7}"/>
    <cellStyle name="Note 2 2 6 2 5" xfId="6264" xr:uid="{00000000-0005-0000-0000-00006C070000}"/>
    <cellStyle name="Note 2 2 6 2 5 2" xfId="13136" xr:uid="{AEA5D190-823A-4C8A-84A0-2B73FF2704CF}"/>
    <cellStyle name="Note 2 2 6 2 5 2 2" xfId="35620" xr:uid="{07816A80-5F15-4CDA-9D65-7D0DFFC11496}"/>
    <cellStyle name="Note 2 2 6 2 5 2 3" xfId="43948" xr:uid="{34602BDB-FF7E-4F65-8CEC-1DA81ABFD92D}"/>
    <cellStyle name="Note 2 2 6 2 5 3" xfId="18201" xr:uid="{040DBA94-FD4C-482D-9F9B-2E53994FEE18}"/>
    <cellStyle name="Note 2 2 6 2 5 3 2" xfId="40591" xr:uid="{08DEEB3D-8CF3-43C1-A497-F648FE40609C}"/>
    <cellStyle name="Note 2 2 6 2 5 3 3" xfId="37252" xr:uid="{D07417C8-284F-4DCC-80CB-BCDA87DC2C35}"/>
    <cellStyle name="Note 2 2 6 2 5 4" xfId="22625" xr:uid="{04669174-CA38-4B83-8377-75C0C666840C}"/>
    <cellStyle name="Note 2 2 6 2 5 4 2" xfId="44631" xr:uid="{D53A9ECF-7D3F-4A98-A43B-6A017D125184}"/>
    <cellStyle name="Note 2 2 6 2 5 5" xfId="29740" xr:uid="{85C189B5-88F5-4F8A-8EB5-50E9161DBAB6}"/>
    <cellStyle name="Note 2 2 6 2 6" xfId="6621" xr:uid="{00000000-0005-0000-0000-00006C070000}"/>
    <cellStyle name="Note 2 2 6 2 6 2" xfId="13487" xr:uid="{55986109-7690-42E1-A181-85A63904A186}"/>
    <cellStyle name="Note 2 2 6 2 6 2 2" xfId="35971" xr:uid="{AEF4BA3C-599E-4B63-AE0C-3B872B99B75F}"/>
    <cellStyle name="Note 2 2 6 2 6 2 3" xfId="53549" xr:uid="{964D1767-E03F-4786-B886-827FD3D5C642}"/>
    <cellStyle name="Note 2 2 6 2 6 3" xfId="18558" xr:uid="{B464EF08-9035-47E6-ACB9-F7752487D40B}"/>
    <cellStyle name="Note 2 2 6 2 6 3 2" xfId="40948" xr:uid="{658DC563-18E0-43CF-B319-EE1B0EB340BA}"/>
    <cellStyle name="Note 2 2 6 2 6 3 3" xfId="27608" xr:uid="{F6C794BA-8119-4ED4-8F0F-EE059FCB8F39}"/>
    <cellStyle name="Note 2 2 6 2 6 4" xfId="22982" xr:uid="{FD4A8667-4AE8-4566-BDD7-CA530392BDF5}"/>
    <cellStyle name="Note 2 2 6 2 6 4 2" xfId="45053" xr:uid="{A2D4447D-3F54-4A56-81CB-AFBC3B8DF3FB}"/>
    <cellStyle name="Note 2 2 6 2 6 5" xfId="47852" xr:uid="{08BFAECF-EE1E-4954-B751-185E3BE14C28}"/>
    <cellStyle name="Note 2 2 6 2 7" xfId="4511" xr:uid="{00000000-0005-0000-0000-00006C070000}"/>
    <cellStyle name="Note 2 2 6 2 7 2" xfId="11413" xr:uid="{5EEA5C06-5F02-47B8-9D10-19D94F0B62EA}"/>
    <cellStyle name="Note 2 2 6 2 7 2 2" xfId="33899" xr:uid="{5AB2FCCB-3290-4B67-A054-1CFEB58F9829}"/>
    <cellStyle name="Note 2 2 6 2 7 2 3" xfId="30131" xr:uid="{AC26FA73-48D4-48B3-B9E0-A0658245ED9E}"/>
    <cellStyle name="Note 2 2 6 2 7 3" xfId="16448" xr:uid="{D5D0D3A6-FF18-4E21-9CF5-17013681845E}"/>
    <cellStyle name="Note 2 2 6 2 7 3 2" xfId="38838" xr:uid="{24783A62-03D8-4121-AB3B-B92FCDD0735C}"/>
    <cellStyle name="Note 2 2 6 2 7 3 3" xfId="32828" xr:uid="{4E382CBE-915E-4CA4-BF52-F38E9BE96C9B}"/>
    <cellStyle name="Note 2 2 6 2 7 4" xfId="20138" xr:uid="{3CE40238-7EE6-4336-91C2-64100079274D}"/>
    <cellStyle name="Note 2 2 6 2 7 4 2" xfId="44015" xr:uid="{A368641F-DE6D-455B-8D3D-069AF4DEAD07}"/>
    <cellStyle name="Note 2 2 6 2 7 5" xfId="23666" xr:uid="{64FF67C4-753C-4FBF-AA91-280C20D9CD56}"/>
    <cellStyle name="Note 2 2 6 2 8" xfId="7076" xr:uid="{00000000-0005-0000-0000-00006C070000}"/>
    <cellStyle name="Note 2 2 6 2 8 2" xfId="13912" xr:uid="{772CC67E-47C9-4D72-BEEC-856BA4BB3E60}"/>
    <cellStyle name="Note 2 2 6 2 8 2 2" xfId="36396" xr:uid="{B03C4871-F57A-4B2F-81C4-8E9E06301CCC}"/>
    <cellStyle name="Note 2 2 6 2 8 2 3" xfId="48860" xr:uid="{6D0932C1-2F81-4D46-A2EC-B5DF4D0A3017}"/>
    <cellStyle name="Note 2 2 6 2 8 3" xfId="19013" xr:uid="{D416BDEE-A2D4-4086-9D3A-B1CA34D4CA63}"/>
    <cellStyle name="Note 2 2 6 2 8 3 2" xfId="41403" xr:uid="{9C6C09FD-1DBB-46E6-ACD4-B0D732B72709}"/>
    <cellStyle name="Note 2 2 6 2 8 3 3" xfId="36497" xr:uid="{C5911D39-EC87-497F-890B-B10F3996297A}"/>
    <cellStyle name="Note 2 2 6 2 8 4" xfId="23437" xr:uid="{520BCF18-D1BC-47A0-90E1-3FC66AB30A64}"/>
    <cellStyle name="Note 2 2 6 2 8 4 2" xfId="46581" xr:uid="{68798536-59AC-4E66-BEC0-52664A6B7C11}"/>
    <cellStyle name="Note 2 2 6 2 8 5" xfId="51781" xr:uid="{A6E1C816-6561-418A-9139-7CBACADD6B38}"/>
    <cellStyle name="Note 2 2 6 2 9" xfId="7191" xr:uid="{00000000-0005-0000-0000-00006C070000}"/>
    <cellStyle name="Note 2 2 6 2 9 2" xfId="19128" xr:uid="{A6C760D6-2546-4D90-903B-8BB2FD3466D6}"/>
    <cellStyle name="Note 2 2 6 2 9 2 2" xfId="41518" xr:uid="{70AA9134-FFED-4B71-8248-4FCF3FE57365}"/>
    <cellStyle name="Note 2 2 6 2 9 2 3" xfId="44503" xr:uid="{F54B5168-5A30-447A-B20D-0E1A3E593CFC}"/>
    <cellStyle name="Note 2 2 6 2 9 3" xfId="23552" xr:uid="{DC0C62B3-142D-40AC-8515-328D2AE414DA}"/>
    <cellStyle name="Note 2 2 6 2 9 3 2" xfId="43400" xr:uid="{95E10D4A-ADF2-4905-AC42-C93A885EFD4B}"/>
    <cellStyle name="Note 2 2 6 2 9 4" xfId="49030" xr:uid="{472F6488-B9C6-411F-88DE-44248D02F279}"/>
    <cellStyle name="Note 2 2 6 3" xfId="4991" xr:uid="{00000000-0005-0000-0000-00006B070000}"/>
    <cellStyle name="Note 2 2 6 3 2" xfId="11885" xr:uid="{A9B40BFC-2C1A-4FF0-B45F-FF020E211F7B}"/>
    <cellStyle name="Note 2 2 6 3 2 2" xfId="34371" xr:uid="{CDC13027-0768-476E-8021-9DD55DA941BC}"/>
    <cellStyle name="Note 2 2 6 3 2 3" xfId="23807" xr:uid="{3103E2DC-3686-498B-9795-F7DB121AC159}"/>
    <cellStyle name="Note 2 2 6 3 3" xfId="16928" xr:uid="{8F3DEDBE-3E91-4908-87B0-AB81DFA132BC}"/>
    <cellStyle name="Note 2 2 6 3 3 2" xfId="39318" xr:uid="{D13769DA-CE3C-440E-8BAF-EB760FCC9EC5}"/>
    <cellStyle name="Note 2 2 6 3 3 3" xfId="30154" xr:uid="{7B178C31-5F92-4AD0-9626-CC5D98F7017B}"/>
    <cellStyle name="Note 2 2 6 3 4" xfId="21352" xr:uid="{ED1FE893-7776-4C3D-8B8F-80233BCEE7A9}"/>
    <cellStyle name="Note 2 2 6 3 4 2" xfId="28371" xr:uid="{D0BFC59A-1CB8-4CA9-8511-B484105B808D}"/>
    <cellStyle name="Note 2 2 6 3 5" xfId="46724" xr:uid="{0AF28000-D9E6-4587-9526-2BB9CB9FE794}"/>
    <cellStyle name="Note 2 2 6 4" xfId="4840" xr:uid="{00000000-0005-0000-0000-00006B070000}"/>
    <cellStyle name="Note 2 2 6 4 2" xfId="11736" xr:uid="{0BAD86F3-3CE5-4EAF-92C1-D7A9DB540299}"/>
    <cellStyle name="Note 2 2 6 4 2 2" xfId="34222" xr:uid="{1E11C982-E93A-4DBF-B5D0-ECF01760A9B8}"/>
    <cellStyle name="Note 2 2 6 4 2 3" xfId="44859" xr:uid="{E24D38C2-A91E-44EC-B8F1-966FB678DEC1}"/>
    <cellStyle name="Note 2 2 6 4 3" xfId="16777" xr:uid="{F0A6E6B1-B648-49F5-B206-2C4E0A120074}"/>
    <cellStyle name="Note 2 2 6 4 3 2" xfId="39167" xr:uid="{5F0A0F85-7B9E-4E66-B6C2-970597824C81}"/>
    <cellStyle name="Note 2 2 6 4 3 3" xfId="45834" xr:uid="{070C5B39-A084-49F8-9CAE-E8B14254FCB4}"/>
    <cellStyle name="Note 2 2 6 4 4" xfId="19839" xr:uid="{3B7844AF-95AB-4A19-87DD-356EE1974161}"/>
    <cellStyle name="Note 2 2 6 4 4 2" xfId="30648" xr:uid="{379100DD-FD8A-4A9A-9ED4-1EE2A3960A8B}"/>
    <cellStyle name="Note 2 2 6 4 5" xfId="45246" xr:uid="{96F0B5AC-86D0-4FBC-B839-89C48702745B}"/>
    <cellStyle name="Note 2 2 6 5" xfId="4492" xr:uid="{00000000-0005-0000-0000-00006B070000}"/>
    <cellStyle name="Note 2 2 6 5 2" xfId="11394" xr:uid="{8E7A16A1-256D-44C3-B650-32636F3B4AA0}"/>
    <cellStyle name="Note 2 2 6 5 2 2" xfId="33880" xr:uid="{B7D88E41-F1D2-4F1B-9927-ECB36A89D814}"/>
    <cellStyle name="Note 2 2 6 5 2 3" xfId="43309" xr:uid="{C2956618-1CA5-44B4-8A0C-F4BCDD152034}"/>
    <cellStyle name="Note 2 2 6 5 3" xfId="16429" xr:uid="{4DE392C4-EAC7-4E43-A4BF-77ADF91A598B}"/>
    <cellStyle name="Note 2 2 6 5 3 2" xfId="38819" xr:uid="{4C1A5A3A-0C62-44AD-88F9-DE310F0E6A81}"/>
    <cellStyle name="Note 2 2 6 5 3 3" xfId="26271" xr:uid="{E2AD892D-EF08-401B-9722-A3BD53DE49B5}"/>
    <cellStyle name="Note 2 2 6 5 4" xfId="14779" xr:uid="{34C5CFB6-6F76-4E21-AE29-EAE64930731F}"/>
    <cellStyle name="Note 2 2 6 5 4 2" xfId="26016" xr:uid="{9E3E07BD-537D-4E97-A5C5-3F8C87005E17}"/>
    <cellStyle name="Note 2 2 6 5 5" xfId="28899" xr:uid="{336E8C12-7375-457B-826D-7642C3538FC2}"/>
    <cellStyle name="Note 2 2 6 6" xfId="5590" xr:uid="{00000000-0005-0000-0000-00006B070000}"/>
    <cellStyle name="Note 2 2 6 6 2" xfId="12475" xr:uid="{0315316D-353B-40FA-AA9C-576864446B29}"/>
    <cellStyle name="Note 2 2 6 6 2 2" xfId="34960" xr:uid="{73F4E2A4-8E50-445A-BFD1-9B2C30C941B5}"/>
    <cellStyle name="Note 2 2 6 6 2 3" xfId="23886" xr:uid="{34503B5B-8F5C-4961-B1C0-55F104DD1DC8}"/>
    <cellStyle name="Note 2 2 6 6 3" xfId="17527" xr:uid="{A2AACE4A-B5E9-4C9A-9036-21D9ADA5770E}"/>
    <cellStyle name="Note 2 2 6 6 3 2" xfId="39917" xr:uid="{62D70993-C237-4BBD-84B9-93BC15635F5F}"/>
    <cellStyle name="Note 2 2 6 6 3 3" xfId="42658" xr:uid="{35E8389F-A596-44A0-9E1D-BE956F9F2724}"/>
    <cellStyle name="Note 2 2 6 6 4" xfId="21951" xr:uid="{39E61614-ADBB-4B39-AE0D-F04267563AC3}"/>
    <cellStyle name="Note 2 2 6 6 4 2" xfId="45570" xr:uid="{948D56DB-B122-4979-A6F2-8A806E96F03E}"/>
    <cellStyle name="Note 2 2 6 6 5" xfId="51173" xr:uid="{42A56184-AB69-43BD-9FED-A1650B31281A}"/>
    <cellStyle name="Note 2 2 6 7" xfId="14172" xr:uid="{F98A6080-DD28-4028-A876-CDE20F4C03FD}"/>
    <cellStyle name="Note 2 2 6 7 2" xfId="36648" xr:uid="{62D599BC-CD27-453C-A291-610438ACFE5B}"/>
    <cellStyle name="Note 2 2 6 7 3" xfId="46794" xr:uid="{EDED1FC4-EEFB-4156-9EED-CC0A7D32071D}"/>
    <cellStyle name="Note 2 2 6 8" xfId="20530" xr:uid="{BDFD9F9D-9600-41B0-8BD5-434F61E7D22B}"/>
    <cellStyle name="Note 2 2 6 8 2" xfId="42816" xr:uid="{CDCA9B4D-61C9-4AF0-A3A6-C8398B9D3A02}"/>
    <cellStyle name="Note 2 2 6 8 3" xfId="49910" xr:uid="{6ACFF6EC-730E-4D22-AB79-B46CA2E663E0}"/>
    <cellStyle name="Note 2 2 6 9" xfId="20085" xr:uid="{3A4C2466-68E1-461F-8FFA-7F04734F251B}"/>
    <cellStyle name="Note 2 2 6 9 2" xfId="27699" xr:uid="{77DD4484-F094-4B5F-9A8D-9096FF0877AD}"/>
    <cellStyle name="Note 2 2 7" xfId="1626" xr:uid="{00000000-0005-0000-0000-00006F070000}"/>
    <cellStyle name="Note 2 2 7 10" xfId="14340" xr:uid="{4CB93656-5055-41F5-9358-BBF9CA125D90}"/>
    <cellStyle name="Note 2 2 7 10 2" xfId="36808" xr:uid="{A74418C6-8117-4051-B51A-5F6CB3691D8E}"/>
    <cellStyle name="Note 2 2 7 10 3" xfId="50785" xr:uid="{84C576DE-C448-47AE-AF7F-89CF81B08DE7}"/>
    <cellStyle name="Note 2 2 7 11" xfId="20321" xr:uid="{E62F9AFA-6736-4AA9-8121-A3E1426EFD99}"/>
    <cellStyle name="Note 2 2 7 11 2" xfId="42620" xr:uid="{317AD6AD-208B-49B7-A8DE-E7A0E43DFE2F}"/>
    <cellStyle name="Note 2 2 7 11 3" xfId="52619" xr:uid="{AEFF72F4-C485-4A91-81F8-4FE2F518FDED}"/>
    <cellStyle name="Note 2 2 7 12" xfId="14559" xr:uid="{7F4097D9-C8F3-4A2C-9BC3-6A54283D0BD3}"/>
    <cellStyle name="Note 2 2 7 12 2" xfId="49303" xr:uid="{0C4650F9-FAFE-46CA-B80F-3B94B28D61FF}"/>
    <cellStyle name="Note 2 2 7 13" xfId="45566" xr:uid="{B2DBC56E-3D28-4653-AD2F-B98EC403BDF0}"/>
    <cellStyle name="Note 2 2 7 2" xfId="3726" xr:uid="{00000000-0005-0000-0000-00006D070000}"/>
    <cellStyle name="Note 2 2 7 2 2" xfId="10630" xr:uid="{D9C973F9-3A8B-4108-823E-7E8B2040D9E4}"/>
    <cellStyle name="Note 2 2 7 2 2 2" xfId="33116" xr:uid="{6ADCA0E8-5A11-4E5E-9F2D-5092AF56103D}"/>
    <cellStyle name="Note 2 2 7 2 2 3" xfId="47923" xr:uid="{8F65C31B-BD6D-42E6-8F43-882ED7FF4B2D}"/>
    <cellStyle name="Note 2 2 7 2 3" xfId="15807" xr:uid="{C774CF9C-2FD3-4E3D-8F0C-D7BE3472ECA7}"/>
    <cellStyle name="Note 2 2 7 2 3 2" xfId="38215" xr:uid="{6E9C4D00-C6DC-4AD5-BDCE-758B009BC682}"/>
    <cellStyle name="Note 2 2 7 2 3 3" xfId="48789" xr:uid="{25EB7D71-088B-480E-B1B2-39D728D3A786}"/>
    <cellStyle name="Note 2 2 7 2 4" xfId="20793" xr:uid="{6F8F6AC0-AF75-48C3-BECA-65DD19435649}"/>
    <cellStyle name="Note 2 2 7 2 4 2" xfId="48282" xr:uid="{473694A5-CA2F-443F-A64A-39591AB2AE25}"/>
    <cellStyle name="Note 2 2 7 2 5" xfId="49153" xr:uid="{26D8CC63-E448-42DC-8D00-FE10B4A1C22D}"/>
    <cellStyle name="Note 2 2 7 3" xfId="5159" xr:uid="{00000000-0005-0000-0000-00006D070000}"/>
    <cellStyle name="Note 2 2 7 3 2" xfId="12052" xr:uid="{027C6CCE-AAE7-4D12-8B17-5A98E287C6DE}"/>
    <cellStyle name="Note 2 2 7 3 2 2" xfId="34538" xr:uid="{CEB0310B-3864-43A5-B0E3-E66FB58A7CF7}"/>
    <cellStyle name="Note 2 2 7 3 2 3" xfId="32034" xr:uid="{E9B455B8-F9A8-44ED-85DE-74D0CCAFC2F4}"/>
    <cellStyle name="Note 2 2 7 3 3" xfId="17096" xr:uid="{361E2B55-5A4A-45E2-AF48-6D77FB0300A2}"/>
    <cellStyle name="Note 2 2 7 3 3 2" xfId="39486" xr:uid="{361C2923-55E5-4A52-B801-5794DACF1210}"/>
    <cellStyle name="Note 2 2 7 3 3 3" xfId="31980" xr:uid="{3F97E235-0817-4124-9628-1AA42F7E61D7}"/>
    <cellStyle name="Note 2 2 7 3 4" xfId="21520" xr:uid="{AE704E04-79E1-4038-9224-23F78995FC16}"/>
    <cellStyle name="Note 2 2 7 3 4 2" xfId="53643" xr:uid="{3154C4BE-010B-489A-9823-2AD4EBBA200F}"/>
    <cellStyle name="Note 2 2 7 3 5" xfId="23945" xr:uid="{BBE9EB4E-A23C-45A0-8345-16AE72BED4B3}"/>
    <cellStyle name="Note 2 2 7 4" xfId="4389" xr:uid="{00000000-0005-0000-0000-00006D070000}"/>
    <cellStyle name="Note 2 2 7 4 2" xfId="11291" xr:uid="{35CD1467-555D-4543-AC9E-D4103A5881AE}"/>
    <cellStyle name="Note 2 2 7 4 2 2" xfId="33777" xr:uid="{5F0E8B03-AA82-4452-BA2C-8D55E64C6A92}"/>
    <cellStyle name="Note 2 2 7 4 2 3" xfId="43798" xr:uid="{F9035051-8A77-4200-8C9B-D32111B4521C}"/>
    <cellStyle name="Note 2 2 7 4 3" xfId="16326" xr:uid="{351F0375-5F5F-4A6D-8CA7-74ECC20FD897}"/>
    <cellStyle name="Note 2 2 7 4 3 2" xfId="38716" xr:uid="{9E2ACF60-B3BE-41F3-BC01-DE8FDD69609E}"/>
    <cellStyle name="Note 2 2 7 4 3 3" xfId="43642" xr:uid="{965885E2-7B96-438F-9326-2FCCC3BC3E33}"/>
    <cellStyle name="Note 2 2 7 4 4" xfId="8146" xr:uid="{6AFD12D2-54B5-46A4-AD1B-FC27638E7D3A}"/>
    <cellStyle name="Note 2 2 7 4 4 2" xfId="52720" xr:uid="{4A932FD7-3204-408F-AD26-AA4A471ACA43}"/>
    <cellStyle name="Note 2 2 7 4 5" xfId="47982" xr:uid="{156F7F1C-8336-4724-9D4C-048D9CBCD583}"/>
    <cellStyle name="Note 2 2 7 5" xfId="5423" xr:uid="{00000000-0005-0000-0000-00006D070000}"/>
    <cellStyle name="Note 2 2 7 5 2" xfId="12313" xr:uid="{135455C8-D14E-4B52-99E8-024B87A05CEF}"/>
    <cellStyle name="Note 2 2 7 5 2 2" xfId="34798" xr:uid="{D44AF4A8-A85C-4D4D-9964-B6113BBDF76D}"/>
    <cellStyle name="Note 2 2 7 5 2 3" xfId="28364" xr:uid="{954EC1C8-9633-4DD0-9FCB-E8918877E2E8}"/>
    <cellStyle name="Note 2 2 7 5 3" xfId="17360" xr:uid="{5A705477-019D-4CDA-8EF9-8E5A475B2BEC}"/>
    <cellStyle name="Note 2 2 7 5 3 2" xfId="39750" xr:uid="{765A98AF-8F45-460F-8354-06094D651DDB}"/>
    <cellStyle name="Note 2 2 7 5 3 3" xfId="24778" xr:uid="{282346C3-BBDB-4430-8160-256A935CAAA2}"/>
    <cellStyle name="Note 2 2 7 5 4" xfId="21784" xr:uid="{101BD7C6-BEBB-474D-B910-8DF1A3D13EA9}"/>
    <cellStyle name="Note 2 2 7 5 4 2" xfId="53869" xr:uid="{92C65819-3370-4EDB-AFE6-402AD94080D6}"/>
    <cellStyle name="Note 2 2 7 5 5" xfId="47169" xr:uid="{6A8DA6E6-59C4-4274-811C-C49C7E29B9F7}"/>
    <cellStyle name="Note 2 2 7 6" xfId="5557" xr:uid="{00000000-0005-0000-0000-00006D070000}"/>
    <cellStyle name="Note 2 2 7 6 2" xfId="12444" xr:uid="{2A3AE6CF-C40D-44DC-B53F-4F528121C054}"/>
    <cellStyle name="Note 2 2 7 6 2 2" xfId="34929" xr:uid="{790D11EF-4820-449B-91EC-FBA28C7798A6}"/>
    <cellStyle name="Note 2 2 7 6 2 3" xfId="45825" xr:uid="{A6DEEB3E-51BC-46A9-B2A2-8F74C1E75299}"/>
    <cellStyle name="Note 2 2 7 6 3" xfId="17494" xr:uid="{EF8DDD77-FB55-4F2D-AEC7-DE8C0153B58D}"/>
    <cellStyle name="Note 2 2 7 6 3 2" xfId="39884" xr:uid="{99A9E20B-48D5-475B-B513-88AE87FD2F75}"/>
    <cellStyle name="Note 2 2 7 6 3 3" xfId="44994" xr:uid="{61CF3CAA-E98C-4E44-AFBB-9739B9661A6F}"/>
    <cellStyle name="Note 2 2 7 6 4" xfId="21918" xr:uid="{415A9219-5FB2-4D0D-841B-499E07A8097A}"/>
    <cellStyle name="Note 2 2 7 6 4 2" xfId="48573" xr:uid="{3C513BE0-F4DE-4054-9880-C82DE3B1E2F3}"/>
    <cellStyle name="Note 2 2 7 6 5" xfId="48225" xr:uid="{A9184999-89A9-4DDB-AF49-C7668F0A4893}"/>
    <cellStyle name="Note 2 2 7 7" xfId="5774" xr:uid="{00000000-0005-0000-0000-00006D070000}"/>
    <cellStyle name="Note 2 2 7 7 2" xfId="12657" xr:uid="{91F1A449-8965-41CB-8D01-0102DBA085B1}"/>
    <cellStyle name="Note 2 2 7 7 2 2" xfId="35142" xr:uid="{BE85DDF3-CC39-47E1-AB27-2E70838ED7CD}"/>
    <cellStyle name="Note 2 2 7 7 2 3" xfId="32766" xr:uid="{F0BDCC91-673E-442F-9F2A-CB49C633A493}"/>
    <cellStyle name="Note 2 2 7 7 3" xfId="17711" xr:uid="{EB8F28A9-C00D-4210-8E78-19163C2319B9}"/>
    <cellStyle name="Note 2 2 7 7 3 2" xfId="40101" xr:uid="{AC9D620D-9C67-41D1-B08F-AE03426B76DD}"/>
    <cellStyle name="Note 2 2 7 7 3 3" xfId="27605" xr:uid="{54383D34-14EB-4127-91C8-85FBE95C5213}"/>
    <cellStyle name="Note 2 2 7 7 4" xfId="22135" xr:uid="{C2309E53-8CEB-47B5-9225-DC091DFC504A}"/>
    <cellStyle name="Note 2 2 7 7 4 2" xfId="29309" xr:uid="{5FC14C16-DE0E-4780-A924-BABB57D3C92A}"/>
    <cellStyle name="Note 2 2 7 7 5" xfId="44257" xr:uid="{191FED6F-67CB-438A-A932-67DC7809F1EC}"/>
    <cellStyle name="Note 2 2 7 8" xfId="4355" xr:uid="{00000000-0005-0000-0000-00006D070000}"/>
    <cellStyle name="Note 2 2 7 8 2" xfId="11258" xr:uid="{2384DFC8-FC09-4230-A411-F3B0AA6E09C6}"/>
    <cellStyle name="Note 2 2 7 8 2 2" xfId="33744" xr:uid="{57594287-4E80-494F-BEC8-082DF5B2C0E5}"/>
    <cellStyle name="Note 2 2 7 8 2 3" xfId="29272" xr:uid="{EC442724-1485-4750-A4A1-6B526C1E81E8}"/>
    <cellStyle name="Note 2 2 7 8 3" xfId="16292" xr:uid="{8FE7CDEA-DE55-498B-BCA8-6558581CDBC6}"/>
    <cellStyle name="Note 2 2 7 8 3 2" xfId="38682" xr:uid="{90510FF6-E2B8-470F-9799-E4A492F58276}"/>
    <cellStyle name="Note 2 2 7 8 3 3" xfId="27613" xr:uid="{F644DD83-EC77-4BEC-A46A-6E7C73BA2ED1}"/>
    <cellStyle name="Note 2 2 7 8 4" xfId="19855" xr:uid="{F6E4274C-DDE5-4012-8B23-5567A3298703}"/>
    <cellStyle name="Note 2 2 7 8 4 2" xfId="32248" xr:uid="{59195209-7356-4CCC-A45A-80396C18F251}"/>
    <cellStyle name="Note 2 2 7 8 5" xfId="30135" xr:uid="{F2476A02-5682-4923-901B-AF18C584375C}"/>
    <cellStyle name="Note 2 2 7 9" xfId="6690" xr:uid="{00000000-0005-0000-0000-00006D070000}"/>
    <cellStyle name="Note 2 2 7 9 2" xfId="18627" xr:uid="{E1BF7808-DDA4-4A15-957E-6B8DF02401E1}"/>
    <cellStyle name="Note 2 2 7 9 2 2" xfId="41017" xr:uid="{380A0BE3-B654-4B4A-9189-B66411C7EAF2}"/>
    <cellStyle name="Note 2 2 7 9 2 3" xfId="24508" xr:uid="{B627DEB9-47F1-440C-8FF0-9F12EB44FB95}"/>
    <cellStyle name="Note 2 2 7 9 3" xfId="23051" xr:uid="{98B4D769-E535-4F88-9CB5-DB3C8ABBE159}"/>
    <cellStyle name="Note 2 2 7 9 3 2" xfId="49369" xr:uid="{ECDB8D43-EB4D-4725-B9C5-CEE6E8E6B2B0}"/>
    <cellStyle name="Note 2 2 7 9 4" xfId="46587" xr:uid="{741BAB5B-CA40-4AAD-8F89-2BA2ACD14DC2}"/>
    <cellStyle name="Note 2 2 8" xfId="4404" xr:uid="{00000000-0005-0000-0000-000062070000}"/>
    <cellStyle name="Note 2 2 8 2" xfId="11306" xr:uid="{2365FCAB-7A4A-40DE-B692-45AB0CF09388}"/>
    <cellStyle name="Note 2 2 8 2 2" xfId="33792" xr:uid="{3548EBD6-9B54-4118-B8B7-A8B1D6864669}"/>
    <cellStyle name="Note 2 2 8 2 3" xfId="43698" xr:uid="{03F9A6D0-D737-4CDD-BBDD-150EB5B9A152}"/>
    <cellStyle name="Note 2 2 8 3" xfId="16341" xr:uid="{EF1129D9-6A5A-44C6-880D-0BFC20656FA6}"/>
    <cellStyle name="Note 2 2 8 3 2" xfId="38731" xr:uid="{A08F7978-8F54-4EE1-8D31-3B2AEB17D3BC}"/>
    <cellStyle name="Note 2 2 8 3 3" xfId="30637" xr:uid="{789A180F-2114-47D7-9C02-D7057D7BCCA0}"/>
    <cellStyle name="Note 2 2 8 4" xfId="21016" xr:uid="{C5202D11-A07A-484C-A877-99EB54C2AC0F}"/>
    <cellStyle name="Note 2 2 8 4 2" xfId="47901" xr:uid="{AECC4A9B-59E9-4C1B-8403-2C6429F20D2C}"/>
    <cellStyle name="Note 2 2 8 5" xfId="51858" xr:uid="{EACFFC38-1621-4A4C-BC1C-9A07265142FF}"/>
    <cellStyle name="Note 2 2 9" xfId="4402" xr:uid="{00000000-0005-0000-0000-000062070000}"/>
    <cellStyle name="Note 2 2 9 2" xfId="11304" xr:uid="{B39F2877-1D2B-44A5-BD6C-69078578FB74}"/>
    <cellStyle name="Note 2 2 9 2 2" xfId="33790" xr:uid="{0667B6C0-A4B2-4FF5-97B8-138A17F90F8C}"/>
    <cellStyle name="Note 2 2 9 2 3" xfId="43422" xr:uid="{9DAEB9B2-584F-4FFD-97BD-B5B95762BF59}"/>
    <cellStyle name="Note 2 2 9 3" xfId="16339" xr:uid="{213F272E-2789-447B-B911-00385E4EDC5C}"/>
    <cellStyle name="Note 2 2 9 3 2" xfId="38729" xr:uid="{3C5195F7-6735-4ADC-83D6-218DE295622C}"/>
    <cellStyle name="Note 2 2 9 3 3" xfId="44317" xr:uid="{247282CA-B2D2-4C36-9C34-40B44AD25F6E}"/>
    <cellStyle name="Note 2 2 9 4" xfId="15770" xr:uid="{E7CC09D4-F92B-44A4-9CCA-71B84699E811}"/>
    <cellStyle name="Note 2 2 9 4 2" xfId="53746" xr:uid="{48F65C1A-58A0-4208-84AB-0FEB45584D1F}"/>
    <cellStyle name="Note 2 2 9 5" xfId="28253" xr:uid="{263A370C-2EA8-4ADF-A5CB-3A35952FAE47}"/>
    <cellStyle name="Note 2 20" xfId="5282" xr:uid="{00000000-0005-0000-0000-000052070000}"/>
    <cellStyle name="Note 2 20 2" xfId="12174" xr:uid="{67F7DD8A-4663-4EBE-8EAB-6D56BA7AED7E}"/>
    <cellStyle name="Note 2 20 2 2" xfId="34659" xr:uid="{4EBC51D4-C81C-43C1-8192-9FA62928E35A}"/>
    <cellStyle name="Note 2 20 2 3" xfId="44251" xr:uid="{6A469DB7-49E6-4FFA-9A4E-6DC75248A41B}"/>
    <cellStyle name="Note 2 20 3" xfId="17219" xr:uid="{1F77D269-561A-4004-9DB0-7186D9ABC58C}"/>
    <cellStyle name="Note 2 20 3 2" xfId="39609" xr:uid="{22D2E978-9A4F-49BE-B3E3-37F712892FC0}"/>
    <cellStyle name="Note 2 20 3 3" xfId="29760" xr:uid="{62A30722-E8BC-4EF0-9A3D-67BED6D355BE}"/>
    <cellStyle name="Note 2 20 4" xfId="21643" xr:uid="{61BE664A-AD20-4F95-B78E-FF0B8D26C5AC}"/>
    <cellStyle name="Note 2 20 4 2" xfId="49550" xr:uid="{3391091F-8F26-44C1-9A8C-7CDBD1FF41FE}"/>
    <cellStyle name="Note 2 20 5" xfId="49945" xr:uid="{F0344876-0379-4DCA-B23A-DDBE4616C5D0}"/>
    <cellStyle name="Note 2 21" xfId="6723" xr:uid="{00000000-0005-0000-0000-000052070000}"/>
    <cellStyle name="Note 2 21 2" xfId="13583" xr:uid="{C7FBA19A-8149-4F5F-B098-FB77D6BED7E1}"/>
    <cellStyle name="Note 2 21 2 2" xfId="36067" xr:uid="{01C22F04-85A9-450F-AAD1-43120E564115}"/>
    <cellStyle name="Note 2 21 2 3" xfId="45149" xr:uid="{114F82E7-3223-476C-B9F0-4FDAD85A0846}"/>
    <cellStyle name="Note 2 21 3" xfId="18660" xr:uid="{9B63A4DE-DCD8-42BE-986E-EACBAC05C393}"/>
    <cellStyle name="Note 2 21 3 2" xfId="41050" xr:uid="{6EB572F8-B542-4F41-935E-B593CC40F93D}"/>
    <cellStyle name="Note 2 21 3 3" xfId="28059" xr:uid="{FB1553AE-4CB0-4036-AB56-F5951A456763}"/>
    <cellStyle name="Note 2 21 4" xfId="23084" xr:uid="{35BC380A-357B-402D-8609-972DAFB4EA59}"/>
    <cellStyle name="Note 2 21 4 2" xfId="27609" xr:uid="{28C3BC38-9873-4BCC-847C-521D2ED14303}"/>
    <cellStyle name="Note 2 21 5" xfId="50379" xr:uid="{36711EBB-417A-4B3B-94C4-F148E1C4940C}"/>
    <cellStyle name="Note 2 22" xfId="13952" xr:uid="{2A614EAE-6117-449C-A4BF-65F3430806B1}"/>
    <cellStyle name="Note 2 22 2" xfId="36436" xr:uid="{1364316F-9926-4ACD-A2EE-585257E94D05}"/>
    <cellStyle name="Note 2 22 3" xfId="52498" xr:uid="{DC4B9CC3-CC89-4D0F-B5A8-4071971C5386}"/>
    <cellStyle name="Note 2 23" xfId="19617" xr:uid="{36640555-0AED-43A6-B023-672255E21DC0}"/>
    <cellStyle name="Note 2 23 2" xfId="41969" xr:uid="{A0284B8B-E552-42BC-B167-45A71D16C4D3}"/>
    <cellStyle name="Note 2 23 3" xfId="32313" xr:uid="{CF41EBF6-4D03-48B2-80A4-D820C52191FB}"/>
    <cellStyle name="Note 2 24" xfId="19250" xr:uid="{5F2FC03A-79C5-4B1A-9639-973A386059A1}"/>
    <cellStyle name="Note 2 24 2" xfId="44102" xr:uid="{9994E935-27D3-4AEB-BC82-D1CE7EC993D0}"/>
    <cellStyle name="Note 2 25" xfId="51406" xr:uid="{BFDB5268-07EC-4C89-AC6E-E16C9D1BC69B}"/>
    <cellStyle name="Note 2 3" xfId="435" xr:uid="{00000000-0005-0000-0000-000070070000}"/>
    <cellStyle name="Note 2 3 10" xfId="6189" xr:uid="{00000000-0005-0000-0000-00006E070000}"/>
    <cellStyle name="Note 2 3 10 2" xfId="13064" xr:uid="{41823BDF-1801-4FC9-B212-20023C4AF6EE}"/>
    <cellStyle name="Note 2 3 10 2 2" xfId="35548" xr:uid="{3FADC2DF-7877-4586-9A9E-4AD0C1BC621E}"/>
    <cellStyle name="Note 2 3 10 2 3" xfId="28725" xr:uid="{13ED3F20-450D-4527-862E-416635F749F0}"/>
    <cellStyle name="Note 2 3 10 3" xfId="18126" xr:uid="{B9856337-6A16-4D5D-84C3-96979464C73A}"/>
    <cellStyle name="Note 2 3 10 3 2" xfId="40516" xr:uid="{265461AD-653B-49AD-8DFB-651C78C7AE53}"/>
    <cellStyle name="Note 2 3 10 3 3" xfId="26259" xr:uid="{23B69562-23A7-4C70-A5CB-99F64879673B}"/>
    <cellStyle name="Note 2 3 10 4" xfId="22550" xr:uid="{E39FD421-B07D-4C40-BB21-B5F2FC25E053}"/>
    <cellStyle name="Note 2 3 10 4 2" xfId="30971" xr:uid="{555DBF2B-5299-4228-B86A-165D322A28D1}"/>
    <cellStyle name="Note 2 3 10 5" xfId="48743" xr:uid="{704B171E-CC46-4F59-9187-9989F927D464}"/>
    <cellStyle name="Note 2 3 11" xfId="6205" xr:uid="{00000000-0005-0000-0000-00006E070000}"/>
    <cellStyle name="Note 2 3 11 2" xfId="13080" xr:uid="{F9A5E51F-7238-46DD-9A57-24E84E45EF6B}"/>
    <cellStyle name="Note 2 3 11 2 2" xfId="35564" xr:uid="{F386A875-C933-4855-94A8-67018120B02E}"/>
    <cellStyle name="Note 2 3 11 2 3" xfId="28236" xr:uid="{AE7ABE33-BD5C-4CA3-AFA8-5FD47C84944D}"/>
    <cellStyle name="Note 2 3 11 3" xfId="18142" xr:uid="{84A17A72-F694-4F5A-A94B-A91944A7AB1C}"/>
    <cellStyle name="Note 2 3 11 3 2" xfId="40532" xr:uid="{7610E44A-518D-4D14-B642-AB2E063649D2}"/>
    <cellStyle name="Note 2 3 11 3 3" xfId="36860" xr:uid="{30AC636C-C54C-4956-B6D0-DF5C2BB6B890}"/>
    <cellStyle name="Note 2 3 11 4" xfId="22566" xr:uid="{80D1BD04-C34E-4C02-BD37-D67FBC00F508}"/>
    <cellStyle name="Note 2 3 11 4 2" xfId="28003" xr:uid="{41F84E0D-7AC4-496D-9E01-5EFF5DAD169E}"/>
    <cellStyle name="Note 2 3 11 5" xfId="48093" xr:uid="{F23B2A70-CB46-468B-B1FC-1D6D1567A77D}"/>
    <cellStyle name="Note 2 3 12" xfId="8673" xr:uid="{78A7C758-3D57-4A35-B9EB-F7DD3055A677}"/>
    <cellStyle name="Note 2 3 12 2" xfId="31259" xr:uid="{21E3871A-D26D-4C9E-9C62-3A79045F39B6}"/>
    <cellStyle name="Note 2 3 12 3" xfId="50444" xr:uid="{4CE3217E-3867-43A9-B7CA-75BBD0FA1FC0}"/>
    <cellStyle name="Note 2 3 13" xfId="19915" xr:uid="{94021826-E684-4024-8F06-0DCF6DBC4CA4}"/>
    <cellStyle name="Note 2 3 13 2" xfId="42247" xr:uid="{6B57B9B5-0F8F-4A71-A259-358D8040F769}"/>
    <cellStyle name="Note 2 3 13 3" xfId="27817" xr:uid="{ABE084B5-3994-446B-A561-2355A3B9A896}"/>
    <cellStyle name="Note 2 3 14" xfId="20990" xr:uid="{D7444ED3-1543-411E-9FE7-5E17E5718F3D}"/>
    <cellStyle name="Note 2 3 14 2" xfId="43715" xr:uid="{3C2E79E2-89ED-4F82-AF6B-FA1D5D9D561D}"/>
    <cellStyle name="Note 2 3 15" xfId="49079" xr:uid="{C1961238-04C8-4887-9046-15E289F79133}"/>
    <cellStyle name="Note 2 3 2" xfId="588" xr:uid="{00000000-0005-0000-0000-000071070000}"/>
    <cellStyle name="Note 2 3 2 10" xfId="47694" xr:uid="{43BCD7C9-17F2-46B6-BCBA-BCD17C0E8430}"/>
    <cellStyle name="Note 2 3 2 2" xfId="1722" xr:uid="{00000000-0005-0000-0000-000072070000}"/>
    <cellStyle name="Note 2 3 2 2 10" xfId="14423" xr:uid="{ECA92999-6DFE-492B-A45E-C103B999A657}"/>
    <cellStyle name="Note 2 3 2 2 10 2" xfId="36889" xr:uid="{D876F4CF-388B-4F57-BA67-5FFC8AEC4D51}"/>
    <cellStyle name="Note 2 3 2 2 10 3" xfId="31324" xr:uid="{24EEA6EA-B731-462E-86FC-0B536C0880A5}"/>
    <cellStyle name="Note 2 3 2 2 11" xfId="20790" xr:uid="{075155EF-8A73-4CA7-BD32-95EFAC58B9E5}"/>
    <cellStyle name="Note 2 3 2 2 11 2" xfId="43057" xr:uid="{B1E505F9-AE9E-48B8-A9FF-E23B99BB0D88}"/>
    <cellStyle name="Note 2 3 2 2 11 3" xfId="49984" xr:uid="{93F58E94-6A97-4979-99CA-A5D8B334DF4A}"/>
    <cellStyle name="Note 2 3 2 2 12" xfId="14398" xr:uid="{309DBA67-1026-4C02-8391-738E305A28A8}"/>
    <cellStyle name="Note 2 3 2 2 12 2" xfId="53658" xr:uid="{2770887E-3BAF-4D17-849A-B6E3EB4C79AF}"/>
    <cellStyle name="Note 2 3 2 2 13" xfId="46753" xr:uid="{FD09C374-EB21-4447-B4DD-9B74986D1ED5}"/>
    <cellStyle name="Note 2 3 2 2 2" xfId="3820" xr:uid="{00000000-0005-0000-0000-000070070000}"/>
    <cellStyle name="Note 2 3 2 2 2 2" xfId="10724" xr:uid="{615EF8D1-F02D-42BE-BF0C-5CDDD7F88E7B}"/>
    <cellStyle name="Note 2 3 2 2 2 2 2" xfId="33210" xr:uid="{1ADDC9D4-0355-4537-874E-C183484C96DF}"/>
    <cellStyle name="Note 2 3 2 2 2 2 3" xfId="46769" xr:uid="{B5613429-77CD-45FB-807E-279ADDB43409}"/>
    <cellStyle name="Note 2 3 2 2 2 3" xfId="15880" xr:uid="{3A2CD6C6-7CC6-428C-8E3E-7D202E861469}"/>
    <cellStyle name="Note 2 3 2 2 2 3 2" xfId="38286" xr:uid="{262F96C3-4EFD-4470-B2A8-6232CE502EB7}"/>
    <cellStyle name="Note 2 3 2 2 2 3 3" xfId="53997" xr:uid="{B51315F2-70EB-4BA1-A6D4-4749A742383E}"/>
    <cellStyle name="Note 2 3 2 2 2 4" xfId="14142" xr:uid="{C057F69B-5A49-4767-992C-10DE2AEF70E2}"/>
    <cellStyle name="Note 2 3 2 2 2 4 2" xfId="28429" xr:uid="{5860115A-525C-4002-B3A0-4F18CDA3231D}"/>
    <cellStyle name="Note 2 3 2 2 2 5" xfId="32478" xr:uid="{B9E51022-E506-43B6-8492-70BFB8F77FF4}"/>
    <cellStyle name="Note 2 3 2 2 3" xfId="5236" xr:uid="{00000000-0005-0000-0000-000070070000}"/>
    <cellStyle name="Note 2 3 2 2 3 2" xfId="12128" xr:uid="{285368D3-9A52-46FE-9112-82A82536A267}"/>
    <cellStyle name="Note 2 3 2 2 3 2 2" xfId="34613" xr:uid="{7EF3D790-6994-4989-BF49-A58DD385BF93}"/>
    <cellStyle name="Note 2 3 2 2 3 2 3" xfId="24885" xr:uid="{E665DF2B-9D0D-4804-AF86-52C379549454}"/>
    <cellStyle name="Note 2 3 2 2 3 3" xfId="17173" xr:uid="{504B4DEC-BE5B-4EE7-9FAE-BC902FEDBBE2}"/>
    <cellStyle name="Note 2 3 2 2 3 3 2" xfId="39563" xr:uid="{7FF18BB2-785F-4904-AA22-5F7757E5AEBE}"/>
    <cellStyle name="Note 2 3 2 2 3 3 3" xfId="32510" xr:uid="{A3414B56-9C01-4ED8-AC6C-6B567E427C38}"/>
    <cellStyle name="Note 2 3 2 2 3 4" xfId="21597" xr:uid="{DAE94A0F-E838-4D58-91D8-E20F064205D8}"/>
    <cellStyle name="Note 2 3 2 2 3 4 2" xfId="45551" xr:uid="{C433BB47-BB3A-46B2-B9D7-3610E0C4B0C5}"/>
    <cellStyle name="Note 2 3 2 2 3 5" xfId="24436" xr:uid="{2935BB3D-C4C1-442E-A583-E0689DBDB408}"/>
    <cellStyle name="Note 2 3 2 2 4" xfId="5648" xr:uid="{00000000-0005-0000-0000-000070070000}"/>
    <cellStyle name="Note 2 3 2 2 4 2" xfId="12532" xr:uid="{C7584024-6546-4DB2-AF58-07F14A2BA947}"/>
    <cellStyle name="Note 2 3 2 2 4 2 2" xfId="35017" xr:uid="{D955FA1F-65CE-419C-B165-E91AB72F4F91}"/>
    <cellStyle name="Note 2 3 2 2 4 2 3" xfId="45794" xr:uid="{ADAF17AA-64A2-4C76-8BBB-2C7DE930C424}"/>
    <cellStyle name="Note 2 3 2 2 4 3" xfId="17585" xr:uid="{FB59E63C-A9B9-44FB-AA6B-72024F3E9F96}"/>
    <cellStyle name="Note 2 3 2 2 4 3 2" xfId="39975" xr:uid="{13E53928-D570-4C76-A9FD-DC7847C29090}"/>
    <cellStyle name="Note 2 3 2 2 4 3 3" xfId="29237" xr:uid="{10B6B8D0-6BDF-4429-91E7-1F621B9FF7D9}"/>
    <cellStyle name="Note 2 3 2 2 4 4" xfId="22009" xr:uid="{BF0FEEBF-148A-488C-A2F4-F770CE1E116D}"/>
    <cellStyle name="Note 2 3 2 2 4 4 2" xfId="49011" xr:uid="{33BEE337-0A28-4B34-ABBC-5821327078CB}"/>
    <cellStyle name="Note 2 3 2 2 4 5" xfId="37544" xr:uid="{13047357-1A33-459C-A678-B854CF1C0316}"/>
    <cellStyle name="Note 2 3 2 2 5" xfId="4362" xr:uid="{00000000-0005-0000-0000-000070070000}"/>
    <cellStyle name="Note 2 3 2 2 5 2" xfId="11265" xr:uid="{968B3AFF-F590-45AE-82C4-8823893CF991}"/>
    <cellStyle name="Note 2 3 2 2 5 2 2" xfId="33751" xr:uid="{B8D614FA-5B05-4A4F-8889-6FE41E6A947F}"/>
    <cellStyle name="Note 2 3 2 2 5 2 3" xfId="27381" xr:uid="{DF90431A-CD33-408A-9EC0-D7B3B74BA7A4}"/>
    <cellStyle name="Note 2 3 2 2 5 3" xfId="16299" xr:uid="{09DF6499-8D24-43A5-B6D3-FA1B69C8053F}"/>
    <cellStyle name="Note 2 3 2 2 5 3 2" xfId="38689" xr:uid="{D18B7793-8C69-41CB-9776-52D698F14437}"/>
    <cellStyle name="Note 2 3 2 2 5 3 3" xfId="36698" xr:uid="{61C1F757-8651-4B42-96B4-E61D54D51F76}"/>
    <cellStyle name="Note 2 3 2 2 5 4" xfId="15479" xr:uid="{C1697FF7-888C-4D40-97A1-8F3FF8042190}"/>
    <cellStyle name="Note 2 3 2 2 5 4 2" xfId="53390" xr:uid="{5094915B-A849-47C6-872B-D5111EB283B8}"/>
    <cellStyle name="Note 2 3 2 2 5 5" xfId="28318" xr:uid="{62F3F41C-52F9-4DD4-BB29-E1D7AA1AFB5F}"/>
    <cellStyle name="Note 2 3 2 2 6" xfId="6387" xr:uid="{00000000-0005-0000-0000-000070070000}"/>
    <cellStyle name="Note 2 3 2 2 6 2" xfId="13259" xr:uid="{AE7126D8-37F7-41CB-BDFB-E581B1D9B502}"/>
    <cellStyle name="Note 2 3 2 2 6 2 2" xfId="35743" xr:uid="{2CFA44AC-23FE-4C3E-907B-84DF98066AEC}"/>
    <cellStyle name="Note 2 3 2 2 6 2 3" xfId="49650" xr:uid="{66FAE509-96EC-4195-BC22-B603F33CF0F7}"/>
    <cellStyle name="Note 2 3 2 2 6 3" xfId="18324" xr:uid="{A3B86AE0-9CD1-4E48-9144-2FD8B36AF50A}"/>
    <cellStyle name="Note 2 3 2 2 6 3 2" xfId="40714" xr:uid="{40D8E938-9C18-4D3C-A55E-953CD72A9762}"/>
    <cellStyle name="Note 2 3 2 2 6 3 3" xfId="24672" xr:uid="{A044EF72-02DB-4E78-9D1C-84B29DEB9FE8}"/>
    <cellStyle name="Note 2 3 2 2 6 4" xfId="22748" xr:uid="{888E3D87-34A1-4612-83D9-9F842AB96BB4}"/>
    <cellStyle name="Note 2 3 2 2 6 4 2" xfId="29178" xr:uid="{5DB0E978-AD99-4ABD-8597-4910722E7F5F}"/>
    <cellStyle name="Note 2 3 2 2 6 5" xfId="47727" xr:uid="{0CA70FE6-F1B1-4052-94DB-BE913DD4DFB6}"/>
    <cellStyle name="Note 2 3 2 2 7" xfId="5758" xr:uid="{00000000-0005-0000-0000-000070070000}"/>
    <cellStyle name="Note 2 3 2 2 7 2" xfId="12642" xr:uid="{7CD37589-2430-47DD-BE60-2B2C5C194B7C}"/>
    <cellStyle name="Note 2 3 2 2 7 2 2" xfId="35127" xr:uid="{397F118B-11DA-4F54-BFFF-0FB20E1BE63B}"/>
    <cellStyle name="Note 2 3 2 2 7 2 3" xfId="45387" xr:uid="{99B55327-8230-4D87-AFB1-469319EB2711}"/>
    <cellStyle name="Note 2 3 2 2 7 3" xfId="17695" xr:uid="{2A2A2EDE-08A1-4CB2-B33B-83E65FDC2ED6}"/>
    <cellStyle name="Note 2 3 2 2 7 3 2" xfId="40085" xr:uid="{461B9BBB-113E-42A1-B263-84EEF63F7547}"/>
    <cellStyle name="Note 2 3 2 2 7 3 3" xfId="29514" xr:uid="{0314C0B7-9FF1-486C-9882-3185910960A6}"/>
    <cellStyle name="Note 2 3 2 2 7 4" xfId="22119" xr:uid="{96072822-9618-4B1E-9FFE-9FF4EC27444A}"/>
    <cellStyle name="Note 2 3 2 2 7 4 2" xfId="50349" xr:uid="{15C14128-A82C-45B3-BEED-09ED2ABBB3A9}"/>
    <cellStyle name="Note 2 3 2 2 7 5" xfId="50188" xr:uid="{384A9A39-0E5B-4449-9F94-9A07459BCF8D}"/>
    <cellStyle name="Note 2 3 2 2 8" xfId="6904" xr:uid="{00000000-0005-0000-0000-000070070000}"/>
    <cellStyle name="Note 2 3 2 2 8 2" xfId="13742" xr:uid="{2E916C9F-1F4A-4E8D-AC7B-7A9FB094D206}"/>
    <cellStyle name="Note 2 3 2 2 8 2 2" xfId="36226" xr:uid="{9DEB5C7C-84C5-4090-B4AA-92911EA33F38}"/>
    <cellStyle name="Note 2 3 2 2 8 2 3" xfId="51039" xr:uid="{6E787F12-7D02-4057-BC6F-539231645C73}"/>
    <cellStyle name="Note 2 3 2 2 8 3" xfId="18841" xr:uid="{C206AA68-9DB1-4CAF-823B-A90748CAA366}"/>
    <cellStyle name="Note 2 3 2 2 8 3 2" xfId="41231" xr:uid="{24592948-884A-4C84-89C4-6EB233B6442C}"/>
    <cellStyle name="Note 2 3 2 2 8 3 3" xfId="26059" xr:uid="{89D92EA4-C10F-4A1C-8A92-8810FF39BA5A}"/>
    <cellStyle name="Note 2 3 2 2 8 4" xfId="23265" xr:uid="{FD275C7B-5BF7-4405-8E9E-FF72D1CA6C60}"/>
    <cellStyle name="Note 2 3 2 2 8 4 2" xfId="27905" xr:uid="{25A550F1-9640-4300-BE00-0F8334886CF3}"/>
    <cellStyle name="Note 2 3 2 2 8 5" xfId="48974" xr:uid="{CE20BA09-E047-4774-8F47-7C55C9E293C3}"/>
    <cellStyle name="Note 2 3 2 2 9" xfId="6121" xr:uid="{00000000-0005-0000-0000-000070070000}"/>
    <cellStyle name="Note 2 3 2 2 9 2" xfId="18058" xr:uid="{4B64261B-345F-4B78-8324-BF374DA1ECD5}"/>
    <cellStyle name="Note 2 3 2 2 9 2 2" xfId="40448" xr:uid="{BCCE9CDF-1127-48B8-9F6F-C389EEDAC362}"/>
    <cellStyle name="Note 2 3 2 2 9 2 3" xfId="24263" xr:uid="{3F3CE998-DA17-43CB-A1EF-2014CBD3A5D7}"/>
    <cellStyle name="Note 2 3 2 2 9 3" xfId="22482" xr:uid="{4188918D-5A94-4894-BB6A-8C327E801ABD}"/>
    <cellStyle name="Note 2 3 2 2 9 3 2" xfId="45768" xr:uid="{2958638D-084B-49C1-A999-51DFD539A096}"/>
    <cellStyle name="Note 2 3 2 2 9 4" xfId="52892" xr:uid="{2C424C1C-D83A-4FDA-AB52-D43358C276DB}"/>
    <cellStyle name="Note 2 3 2 3" xfId="4527" xr:uid="{00000000-0005-0000-0000-00006F070000}"/>
    <cellStyle name="Note 2 3 2 3 2" xfId="11429" xr:uid="{EFCD1EA6-8480-47ED-9D36-6C8E6438E902}"/>
    <cellStyle name="Note 2 3 2 3 2 2" xfId="33915" xr:uid="{754CC417-7AAA-430A-9B5A-5F9B7D0ADCED}"/>
    <cellStyle name="Note 2 3 2 3 2 3" xfId="27607" xr:uid="{4B89D277-FA6B-4E8A-B850-FB5D1AE53CDA}"/>
    <cellStyle name="Note 2 3 2 3 3" xfId="16464" xr:uid="{E4092F86-38C1-4BF1-B592-B28DCA62A72E}"/>
    <cellStyle name="Note 2 3 2 3 3 2" xfId="38854" xr:uid="{9A52A7C5-0D8C-4F49-B091-8CE55D5C0FB8}"/>
    <cellStyle name="Note 2 3 2 3 3 3" xfId="30626" xr:uid="{131E5BF0-65E6-48BB-82B4-9654FAB07ED0}"/>
    <cellStyle name="Note 2 3 2 3 4" xfId="15368" xr:uid="{8D6A7D21-9BFA-43F4-AF8E-B4A798E378C1}"/>
    <cellStyle name="Note 2 3 2 3 4 2" xfId="28531" xr:uid="{5408FEA4-9C70-402F-B615-91F88633265D}"/>
    <cellStyle name="Note 2 3 2 3 5" xfId="52434" xr:uid="{0F279454-E98F-417D-8D45-8825742954FD}"/>
    <cellStyle name="Note 2 3 2 4" xfId="5113" xr:uid="{00000000-0005-0000-0000-00006F070000}"/>
    <cellStyle name="Note 2 3 2 4 2" xfId="12006" xr:uid="{AE0B662C-1CCF-4C77-A9D6-0A675ADA3532}"/>
    <cellStyle name="Note 2 3 2 4 2 2" xfId="34492" xr:uid="{A20CCC82-5AAC-4C4E-8846-C2689B02D2CB}"/>
    <cellStyle name="Note 2 3 2 4 2 3" xfId="27943" xr:uid="{387C5386-146A-4735-A798-BE89E8046B1B}"/>
    <cellStyle name="Note 2 3 2 4 3" xfId="17050" xr:uid="{14C93A7C-7D1E-49F4-B50E-8741DF4A0289}"/>
    <cellStyle name="Note 2 3 2 4 3 2" xfId="39440" xr:uid="{2B3A6E4B-622C-4831-AA31-EAED1D0E094A}"/>
    <cellStyle name="Note 2 3 2 4 3 3" xfId="45102" xr:uid="{18D8E17B-F5BA-45AA-99DC-423BA2DF46B3}"/>
    <cellStyle name="Note 2 3 2 4 4" xfId="21474" xr:uid="{37E4A7BD-3A30-4271-8B0F-E7A82C22931A}"/>
    <cellStyle name="Note 2 3 2 4 4 2" xfId="49996" xr:uid="{20D7B32E-5901-41BC-A97A-A91A9578CE16}"/>
    <cellStyle name="Note 2 3 2 4 5" xfId="52974" xr:uid="{6CBEE1BD-0252-4907-9654-C0FD26AAE725}"/>
    <cellStyle name="Note 2 3 2 5" xfId="5593" xr:uid="{00000000-0005-0000-0000-00006F070000}"/>
    <cellStyle name="Note 2 3 2 5 2" xfId="12478" xr:uid="{DF5060C3-C82F-408F-B94D-3EE7940A3FFD}"/>
    <cellStyle name="Note 2 3 2 5 2 2" xfId="34963" xr:uid="{F034C5E5-9070-4555-A28D-109A0BC050A8}"/>
    <cellStyle name="Note 2 3 2 5 2 3" xfId="26404" xr:uid="{7B8B0626-D200-49DE-AA46-A6821907B99F}"/>
    <cellStyle name="Note 2 3 2 5 3" xfId="17530" xr:uid="{4A15BE08-6609-4D56-8F13-7011CC259582}"/>
    <cellStyle name="Note 2 3 2 5 3 2" xfId="39920" xr:uid="{86642E71-77DB-41D5-8AF2-7BACA9AA04F5}"/>
    <cellStyle name="Note 2 3 2 5 3 3" xfId="29286" xr:uid="{D8CB7094-CB38-4710-83CE-B01090CE6D68}"/>
    <cellStyle name="Note 2 3 2 5 4" xfId="21954" xr:uid="{7EC56B23-0B23-4034-935E-D9707851EA12}"/>
    <cellStyle name="Note 2 3 2 5 4 2" xfId="48208" xr:uid="{47B12D34-C1FD-42F5-A9BC-025DCFB51F8D}"/>
    <cellStyle name="Note 2 3 2 5 5" xfId="51760" xr:uid="{93EBB950-261A-4523-8656-C5D73B7199FB}"/>
    <cellStyle name="Note 2 3 2 6" xfId="3113" xr:uid="{00000000-0005-0000-0000-00006F070000}"/>
    <cellStyle name="Note 2 3 2 6 2" xfId="10022" xr:uid="{40955808-7579-41A2-9A5D-F0C3974E029E}"/>
    <cellStyle name="Note 2 3 2 6 2 2" xfId="32530" xr:uid="{663F7220-9770-41A7-8C0C-B6677DA47BE1}"/>
    <cellStyle name="Note 2 3 2 6 2 3" xfId="47135" xr:uid="{F83F6FAB-47A8-490E-95C7-9940431248D2}"/>
    <cellStyle name="Note 2 3 2 6 3" xfId="15407" xr:uid="{DAE6057F-BFFF-4B71-9D47-C40CB8FFD334}"/>
    <cellStyle name="Note 2 3 2 6 3 2" xfId="37833" xr:uid="{5DA8D802-61BF-4353-9852-5398995314F7}"/>
    <cellStyle name="Note 2 3 2 6 3 3" xfId="26520" xr:uid="{10C9E0CA-98B3-45C9-BDA1-5B1FC3566D70}"/>
    <cellStyle name="Note 2 3 2 6 4" xfId="19527" xr:uid="{943C85B3-5CEA-445F-813C-F9621DB27E92}"/>
    <cellStyle name="Note 2 3 2 6 4 2" xfId="29836" xr:uid="{BAA1E62D-5365-40A8-BA7B-EDFCED0E86B2}"/>
    <cellStyle name="Note 2 3 2 6 5" xfId="37632" xr:uid="{179EF5D6-8443-40FA-AFA2-80DBC3169220}"/>
    <cellStyle name="Note 2 3 2 7" xfId="7356" xr:uid="{C8E609C1-5A66-4A7A-B9F6-78EE031EF116}"/>
    <cellStyle name="Note 2 3 2 7 2" xfId="30041" xr:uid="{732445D2-B8C3-4F3C-9841-A99CC052E9D8}"/>
    <cellStyle name="Note 2 3 2 7 3" xfId="46919" xr:uid="{07BDCC16-47EA-4BC0-9B41-79B110A280C8}"/>
    <cellStyle name="Note 2 3 2 8" xfId="20950" xr:uid="{57500C74-4B47-49CD-90D5-2DA3EF013398}"/>
    <cellStyle name="Note 2 3 2 8 2" xfId="43208" xr:uid="{AC954CDC-F904-40CD-B1FA-347F25F364BF}"/>
    <cellStyle name="Note 2 3 2 8 3" xfId="48583" xr:uid="{48213A94-9890-4545-A70C-E59C7A0D07A8}"/>
    <cellStyle name="Note 2 3 2 9" xfId="19399" xr:uid="{A45A9403-70EC-4216-BBB3-B1665AC8534D}"/>
    <cellStyle name="Note 2 3 2 9 2" xfId="30378" xr:uid="{62ECB230-EFB5-4AF7-B0F2-C03E6934F80D}"/>
    <cellStyle name="Note 2 3 3" xfId="835" xr:uid="{00000000-0005-0000-0000-000073070000}"/>
    <cellStyle name="Note 2 3 3 10" xfId="27944" xr:uid="{29A06CDE-4777-4416-9478-9071C7F90C96}"/>
    <cellStyle name="Note 2 3 3 2" xfId="1820" xr:uid="{00000000-0005-0000-0000-000074070000}"/>
    <cellStyle name="Note 2 3 3 2 10" xfId="14504" xr:uid="{1BA0A5B6-9B9E-4195-8F95-4EEBA76C02CC}"/>
    <cellStyle name="Note 2 3 3 2 10 2" xfId="36965" xr:uid="{DB924129-84E5-4DDF-BE50-81D38ADFBFB9}"/>
    <cellStyle name="Note 2 3 3 2 10 3" xfId="27746" xr:uid="{6F724C0B-179A-4BA9-B31A-ACB9A71A40BD}"/>
    <cellStyle name="Note 2 3 3 2 11" xfId="8129" xr:uid="{578F6DAF-3BE8-46EE-8E8F-1611FACC8CF8}"/>
    <cellStyle name="Note 2 3 3 2 11 2" xfId="30741" xr:uid="{1B6BA6E3-4B20-4299-8FF0-0DBA65D4FCD9}"/>
    <cellStyle name="Note 2 3 3 2 11 3" xfId="46250" xr:uid="{BE9EAD5F-65F1-4FBD-A092-4E5E0E03208E}"/>
    <cellStyle name="Note 2 3 3 2 12" xfId="15611" xr:uid="{B6580851-A5F0-4CF8-A417-5043B27EDF2E}"/>
    <cellStyle name="Note 2 3 3 2 12 2" xfId="23657" xr:uid="{9D2DBF5F-29B2-424F-A464-9D65EDA15D6B}"/>
    <cellStyle name="Note 2 3 3 2 13" xfId="51669" xr:uid="{B0518233-281E-4EEA-A03A-63E2BA0B6161}"/>
    <cellStyle name="Note 2 3 3 2 2" xfId="3918" xr:uid="{00000000-0005-0000-0000-000072070000}"/>
    <cellStyle name="Note 2 3 3 2 2 2" xfId="10822" xr:uid="{88BFF6B3-2762-42AC-8FE7-BDAE4844DFDD}"/>
    <cellStyle name="Note 2 3 3 2 2 2 2" xfId="33308" xr:uid="{C46E62ED-1520-4904-9B7B-01EFB1798417}"/>
    <cellStyle name="Note 2 3 3 2 2 2 3" xfId="46727" xr:uid="{A0E2AFA2-5A46-4A61-8DCA-E75EE3A66392}"/>
    <cellStyle name="Note 2 3 3 2 2 3" xfId="15960" xr:uid="{22BCB436-907A-46DC-9355-6CAE04CECCD3}"/>
    <cellStyle name="Note 2 3 3 2 2 3 2" xfId="38363" xr:uid="{E6183805-64BA-43C0-A425-7C473B8CA8BA}"/>
    <cellStyle name="Note 2 3 3 2 2 3 3" xfId="49935" xr:uid="{E809C94B-3D73-4577-AD99-9703701911FE}"/>
    <cellStyle name="Note 2 3 3 2 2 4" xfId="8153" xr:uid="{AF2B8EA5-C33F-403C-9BEE-92CF9F113210}"/>
    <cellStyle name="Note 2 3 3 2 2 4 2" xfId="43954" xr:uid="{72E40E39-3813-4EA6-BD3B-CB0AA9A5415D}"/>
    <cellStyle name="Note 2 3 3 2 2 5" xfId="46903" xr:uid="{74C3B6B4-C1CE-43F4-9764-6CD5D341F16A}"/>
    <cellStyle name="Note 2 3 3 2 3" xfId="5313" xr:uid="{00000000-0005-0000-0000-000072070000}"/>
    <cellStyle name="Note 2 3 3 2 3 2" xfId="12205" xr:uid="{5B9BF194-6097-4D3E-9729-D6CA70155ED2}"/>
    <cellStyle name="Note 2 3 3 2 3 2 2" xfId="34690" xr:uid="{98103A4F-0917-42C2-98D1-D38EB3330AE3}"/>
    <cellStyle name="Note 2 3 3 2 3 2 3" xfId="42640" xr:uid="{77E5F959-D4E5-4B3F-A901-0865F92184FA}"/>
    <cellStyle name="Note 2 3 3 2 3 3" xfId="17250" xr:uid="{76ED34AA-08E0-45EC-BD1F-E1E1A7B58E9D}"/>
    <cellStyle name="Note 2 3 3 2 3 3 2" xfId="39640" xr:uid="{AD98D1E4-BCFB-4C45-A156-AAB08FB1F08D}"/>
    <cellStyle name="Note 2 3 3 2 3 3 3" xfId="42054" xr:uid="{1D37C22B-EB66-4242-83CF-134366F1B760}"/>
    <cellStyle name="Note 2 3 3 2 3 4" xfId="21674" xr:uid="{8C3CE214-D501-4B0D-8D84-D1EFB799EA68}"/>
    <cellStyle name="Note 2 3 3 2 3 4 2" xfId="43827" xr:uid="{F6BDCDC4-214E-41AD-B0DD-BA3C1EE38E2C}"/>
    <cellStyle name="Note 2 3 3 2 3 5" xfId="29893" xr:uid="{B033251A-7286-4E16-8825-108CCF342A62}"/>
    <cellStyle name="Note 2 3 3 2 4" xfId="5723" xr:uid="{00000000-0005-0000-0000-000072070000}"/>
    <cellStyle name="Note 2 3 3 2 4 2" xfId="12607" xr:uid="{2FB28A6A-40A2-42C7-965B-6C3D4C07A623}"/>
    <cellStyle name="Note 2 3 3 2 4 2 2" xfId="35092" xr:uid="{B56186F6-9787-4B14-91A8-07BB2AEBA29D}"/>
    <cellStyle name="Note 2 3 3 2 4 2 3" xfId="43710" xr:uid="{26F05B2F-EA0B-4E18-977E-0BCB288549C5}"/>
    <cellStyle name="Note 2 3 3 2 4 3" xfId="17660" xr:uid="{2FDC41B1-67B0-417C-9982-4AD6F43CA689}"/>
    <cellStyle name="Note 2 3 3 2 4 3 2" xfId="40050" xr:uid="{7BF94996-E7E4-465F-8ABC-8CA4DE9550A5}"/>
    <cellStyle name="Note 2 3 3 2 4 3 3" xfId="28067" xr:uid="{E675C3EA-4546-4690-A250-56A0EB15DA51}"/>
    <cellStyle name="Note 2 3 3 2 4 4" xfId="22084" xr:uid="{27AE1D0D-219A-4205-93C4-9A71DB128041}"/>
    <cellStyle name="Note 2 3 3 2 4 4 2" xfId="48346" xr:uid="{5206D6C1-8FD1-42C1-A007-6A9AFBFB88BA}"/>
    <cellStyle name="Note 2 3 3 2 4 5" xfId="48414" xr:uid="{C0056C32-FA30-4968-BBFA-168DC1A3B27F}"/>
    <cellStyle name="Note 2 3 3 2 5" xfId="6077" xr:uid="{00000000-0005-0000-0000-000072070000}"/>
    <cellStyle name="Note 2 3 3 2 5 2" xfId="12955" xr:uid="{6BBA59D1-9E69-4879-899D-13DE2B1E0451}"/>
    <cellStyle name="Note 2 3 3 2 5 2 2" xfId="35439" xr:uid="{18CAA93D-1773-4E7B-A2B1-528D93985B25}"/>
    <cellStyle name="Note 2 3 3 2 5 2 3" xfId="25847" xr:uid="{66BC95D9-FF06-48E4-AEBB-1CD61219EF21}"/>
    <cellStyle name="Note 2 3 3 2 5 3" xfId="18014" xr:uid="{B77AADEC-2E8C-4548-AB8C-D9FCC65C4C72}"/>
    <cellStyle name="Note 2 3 3 2 5 3 2" xfId="40404" xr:uid="{BA4529E7-C873-4CAD-8E89-95DB476F58E4}"/>
    <cellStyle name="Note 2 3 3 2 5 3 3" xfId="29004" xr:uid="{D04324B1-A54C-4BF5-BE0A-8AC04FD2FAE2}"/>
    <cellStyle name="Note 2 3 3 2 5 4" xfId="22438" xr:uid="{38F14F70-9D50-47A8-BE07-3224FF5FA5DE}"/>
    <cellStyle name="Note 2 3 3 2 5 4 2" xfId="50620" xr:uid="{8BCBB738-771E-41EF-8361-FA2BEDDA55B3}"/>
    <cellStyle name="Note 2 3 3 2 5 5" xfId="30436" xr:uid="{F8889ED9-B3DC-4AE7-8D4A-696952A11AE7}"/>
    <cellStyle name="Note 2 3 3 2 6" xfId="6452" xr:uid="{00000000-0005-0000-0000-000072070000}"/>
    <cellStyle name="Note 2 3 3 2 6 2" xfId="13322" xr:uid="{86EA2A9C-BBCA-474F-AD60-1F296B0832FC}"/>
    <cellStyle name="Note 2 3 3 2 6 2 2" xfId="35806" xr:uid="{C857B62B-4867-44EC-A76F-E3E48C35372F}"/>
    <cellStyle name="Note 2 3 3 2 6 2 3" xfId="48709" xr:uid="{CD707E40-CE47-4EED-B25B-5E46539552A2}"/>
    <cellStyle name="Note 2 3 3 2 6 3" xfId="18389" xr:uid="{BF7CBE70-80D7-4035-B4A3-44B9971DD7A2}"/>
    <cellStyle name="Note 2 3 3 2 6 3 2" xfId="40779" xr:uid="{F5456D8E-3735-470E-861B-BA5EF5E495B7}"/>
    <cellStyle name="Note 2 3 3 2 6 3 3" xfId="44352" xr:uid="{387525E2-00FD-475D-810B-C049AFF548E7}"/>
    <cellStyle name="Note 2 3 3 2 6 4" xfId="22813" xr:uid="{81EC373E-1C0E-4090-8FD8-AC591FCCBB53}"/>
    <cellStyle name="Note 2 3 3 2 6 4 2" xfId="43816" xr:uid="{CEDCDEF5-CA24-414D-99B1-7FB1E20C2E99}"/>
    <cellStyle name="Note 2 3 3 2 6 5" xfId="54100" xr:uid="{C7D26B05-9DF7-4898-932C-CA2E6AC4655B}"/>
    <cellStyle name="Note 2 3 3 2 7" xfId="5078" xr:uid="{00000000-0005-0000-0000-000072070000}"/>
    <cellStyle name="Note 2 3 3 2 7 2" xfId="11971" xr:uid="{B02C1B15-9AB2-423D-80B1-6487A3015F87}"/>
    <cellStyle name="Note 2 3 3 2 7 2 2" xfId="34457" xr:uid="{286F5350-A79E-4C78-9556-CD8E07B639F2}"/>
    <cellStyle name="Note 2 3 3 2 7 2 3" xfId="38116" xr:uid="{5A54B0B2-A84E-4922-9C1A-FC3EE4DE5576}"/>
    <cellStyle name="Note 2 3 3 2 7 3" xfId="17015" xr:uid="{1B4AE071-969B-449E-A30B-B5616DF5A8F3}"/>
    <cellStyle name="Note 2 3 3 2 7 3 2" xfId="39405" xr:uid="{0997879E-2F8D-4F09-AC5B-CD7F8DA05D1E}"/>
    <cellStyle name="Note 2 3 3 2 7 3 3" xfId="28182" xr:uid="{13F70ECA-380C-4627-9792-7F6CEDD059B4}"/>
    <cellStyle name="Note 2 3 3 2 7 4" xfId="21439" xr:uid="{1C415DAD-71B0-4A31-AB16-E0E1564F1D7A}"/>
    <cellStyle name="Note 2 3 3 2 7 4 2" xfId="50403" xr:uid="{CAD9C0B1-DCC1-40CE-8971-B1A26159520C}"/>
    <cellStyle name="Note 2 3 3 2 7 5" xfId="24636" xr:uid="{0210BEF0-01A1-4856-8427-077CAA16A41D}"/>
    <cellStyle name="Note 2 3 3 2 8" xfId="6952" xr:uid="{00000000-0005-0000-0000-000072070000}"/>
    <cellStyle name="Note 2 3 3 2 8 2" xfId="13789" xr:uid="{6C1832A6-664C-4BB0-B035-0E2BA162EEC0}"/>
    <cellStyle name="Note 2 3 3 2 8 2 2" xfId="36273" xr:uid="{D05D089F-5CEF-45CC-8764-24F8FBF97B3B}"/>
    <cellStyle name="Note 2 3 3 2 8 2 3" xfId="48279" xr:uid="{044820EA-D943-4AFC-ABFF-35672102B30B}"/>
    <cellStyle name="Note 2 3 3 2 8 3" xfId="18889" xr:uid="{5D74ED3C-7E53-4D70-AD43-65CD1F6AA73E}"/>
    <cellStyle name="Note 2 3 3 2 8 3 2" xfId="41279" xr:uid="{52B3FE9E-44FD-4970-803E-0E2C7B408C67}"/>
    <cellStyle name="Note 2 3 3 2 8 3 3" xfId="36871" xr:uid="{FDEBDE02-ADF6-4EA5-A34C-3EA015A7205B}"/>
    <cellStyle name="Note 2 3 3 2 8 4" xfId="23313" xr:uid="{AB2A6DA3-5745-438A-B444-D287DFA02E14}"/>
    <cellStyle name="Note 2 3 3 2 8 4 2" xfId="53086" xr:uid="{8DAB9AFE-7DD0-4EF4-92F7-9570231918E2}"/>
    <cellStyle name="Note 2 3 3 2 8 5" xfId="26202" xr:uid="{B77710B7-26D3-4F7B-9001-2CD2DDBD48A8}"/>
    <cellStyle name="Note 2 3 3 2 9" xfId="6667" xr:uid="{00000000-0005-0000-0000-000072070000}"/>
    <cellStyle name="Note 2 3 3 2 9 2" xfId="18604" xr:uid="{0EC8FA1C-1AAD-4060-9E25-FD851AC2DD1C}"/>
    <cellStyle name="Note 2 3 3 2 9 2 2" xfId="40994" xr:uid="{D5385784-651A-4A02-84AE-76AAA3B0D52C}"/>
    <cellStyle name="Note 2 3 3 2 9 2 3" xfId="24256" xr:uid="{898D27F4-476E-4CA5-9CC8-EC1CBA052E99}"/>
    <cellStyle name="Note 2 3 3 2 9 3" xfId="23028" xr:uid="{7A9FBA20-14A8-4CAC-8A05-A5C7D59D77CF}"/>
    <cellStyle name="Note 2 3 3 2 9 3 2" xfId="45546" xr:uid="{AA03CC9D-3D74-4583-9DFA-52E06414564C}"/>
    <cellStyle name="Note 2 3 3 2 9 4" xfId="37662" xr:uid="{DB170DB6-FC9D-47FA-ACC2-B647F0075D22}"/>
    <cellStyle name="Note 2 3 3 3" xfId="4679" xr:uid="{00000000-0005-0000-0000-000071070000}"/>
    <cellStyle name="Note 2 3 3 3 2" xfId="11577" xr:uid="{20A605B0-458A-47FA-8D20-EB7D8E8345C0}"/>
    <cellStyle name="Note 2 3 3 3 2 2" xfId="34063" xr:uid="{FC98A31B-7EC3-4926-ADD5-F9138B3C9162}"/>
    <cellStyle name="Note 2 3 3 3 2 3" xfId="27545" xr:uid="{AC8DBBC2-8DD2-4570-8B6F-DC8B95D716DB}"/>
    <cellStyle name="Note 2 3 3 3 3" xfId="16616" xr:uid="{5CFEDE7F-C83F-48AB-BFD7-711B7E082D50}"/>
    <cellStyle name="Note 2 3 3 3 3 2" xfId="39006" xr:uid="{2EFC83FA-23D0-41ED-AEDC-0E0E8E7E9C4D}"/>
    <cellStyle name="Note 2 3 3 3 3 3" xfId="43829" xr:uid="{5F9C6918-62DB-4139-AFF3-E8388388D405}"/>
    <cellStyle name="Note 2 3 3 3 4" xfId="15189" xr:uid="{3B7772B2-4235-453F-8463-94AF45689ABC}"/>
    <cellStyle name="Note 2 3 3 3 4 2" xfId="24068" xr:uid="{16BC7FAF-CE54-4622-B06D-B87F7E339DA0}"/>
    <cellStyle name="Note 2 3 3 3 5" xfId="46981" xr:uid="{0F36C301-FBDF-46D2-8963-CD48B23B608A}"/>
    <cellStyle name="Note 2 3 3 4" xfId="5291" xr:uid="{00000000-0005-0000-0000-000071070000}"/>
    <cellStyle name="Note 2 3 3 4 2" xfId="12183" xr:uid="{FACE2173-C1B4-4A03-8E32-5957B2EBC775}"/>
    <cellStyle name="Note 2 3 3 4 2 2" xfId="34668" xr:uid="{E63A4138-21B5-4508-BAE2-CE968C82096D}"/>
    <cellStyle name="Note 2 3 3 4 2 3" xfId="31894" xr:uid="{15DC8D1D-5C38-45E0-BEBF-578E5915B775}"/>
    <cellStyle name="Note 2 3 3 4 3" xfId="17228" xr:uid="{C4B1A9C9-6237-4BE1-A617-C3A022F791DD}"/>
    <cellStyle name="Note 2 3 3 4 3 2" xfId="39618" xr:uid="{FD94C17F-8009-4107-85B0-AAB9B6378C75}"/>
    <cellStyle name="Note 2 3 3 4 3 3" xfId="27296" xr:uid="{6260BA97-E97B-4A2E-8A8C-421585FF190F}"/>
    <cellStyle name="Note 2 3 3 4 4" xfId="21652" xr:uid="{2BE3944D-4FFB-4B8B-AC5F-E8545D69B935}"/>
    <cellStyle name="Note 2 3 3 4 4 2" xfId="46508" xr:uid="{8DC77764-AD55-47CC-A093-E6573CFB09B1}"/>
    <cellStyle name="Note 2 3 3 4 5" xfId="47802" xr:uid="{B3903B52-D36E-4DD2-9CEE-826AF137CE95}"/>
    <cellStyle name="Note 2 3 3 5" xfId="4728" xr:uid="{00000000-0005-0000-0000-000071070000}"/>
    <cellStyle name="Note 2 3 3 5 2" xfId="11626" xr:uid="{5A1B7605-BE55-4D47-9C23-86A67F94B242}"/>
    <cellStyle name="Note 2 3 3 5 2 2" xfId="34112" xr:uid="{F6ADB538-7540-423B-850A-CEFFFCBB1489}"/>
    <cellStyle name="Note 2 3 3 5 2 3" xfId="29678" xr:uid="{027FFE36-9B07-4E4C-A387-5EFB69F543F1}"/>
    <cellStyle name="Note 2 3 3 5 3" xfId="16665" xr:uid="{5A4F4202-05B5-426B-94C6-2D6E9C74D5F6}"/>
    <cellStyle name="Note 2 3 3 5 3 2" xfId="39055" xr:uid="{DD2CDEAE-2A2A-45E4-8EA3-6A0AE7D68856}"/>
    <cellStyle name="Note 2 3 3 5 3 3" xfId="43238" xr:uid="{AFA5DD19-FCA4-4CCD-BB0E-7A4D8F630E87}"/>
    <cellStyle name="Note 2 3 3 5 4" xfId="19187" xr:uid="{CB02B6D7-4EE0-4D6B-8895-CA34474F2832}"/>
    <cellStyle name="Note 2 3 3 5 4 2" xfId="23692" xr:uid="{7BB91218-3943-44AD-9F02-EAF448C1440D}"/>
    <cellStyle name="Note 2 3 3 5 5" xfId="54013" xr:uid="{680A4904-543E-462C-99C1-B6B4E2824EC9}"/>
    <cellStyle name="Note 2 3 3 6" xfId="4863" xr:uid="{00000000-0005-0000-0000-000071070000}"/>
    <cellStyle name="Note 2 3 3 6 2" xfId="11759" xr:uid="{870EC537-1641-49A4-8D5B-0A286A9869B3}"/>
    <cellStyle name="Note 2 3 3 6 2 2" xfId="34245" xr:uid="{8EF523C6-8976-459D-823E-CC73881712B9}"/>
    <cellStyle name="Note 2 3 3 6 2 3" xfId="30734" xr:uid="{73AD7DE6-7EC6-46AC-9569-DFCD8584DB1C}"/>
    <cellStyle name="Note 2 3 3 6 3" xfId="16800" xr:uid="{F778A45B-2F08-4B2A-9194-116A14E214F1}"/>
    <cellStyle name="Note 2 3 3 6 3 2" xfId="39190" xr:uid="{0C2336D4-E695-4DDC-BE42-821025DE2053}"/>
    <cellStyle name="Note 2 3 3 6 3 3" xfId="32245" xr:uid="{1D489731-EA51-4ACB-AF70-EDA45B4248F7}"/>
    <cellStyle name="Note 2 3 3 6 4" xfId="19990" xr:uid="{B975A003-EF84-4383-BB65-887751F5421F}"/>
    <cellStyle name="Note 2 3 3 6 4 2" xfId="26574" xr:uid="{EE7AABF6-CB82-4D37-A967-17077EC62A9F}"/>
    <cellStyle name="Note 2 3 3 6 5" xfId="51640" xr:uid="{0F802448-09A5-43F1-B379-B98A23FEFE96}"/>
    <cellStyle name="Note 2 3 3 7" xfId="8416" xr:uid="{7727B576-6DDF-4F6D-9ABC-C8A85557852B}"/>
    <cellStyle name="Note 2 3 3 7 2" xfId="31004" xr:uid="{03FF21A4-5B7F-4CB1-9F8F-D0D6B00FB6BE}"/>
    <cellStyle name="Note 2 3 3 7 3" xfId="25063" xr:uid="{28864BC0-50FD-4DE4-B6EB-580F58EC9FD4}"/>
    <cellStyle name="Note 2 3 3 8" xfId="19529" xr:uid="{06129637-65C0-453D-89BD-441828AB9706}"/>
    <cellStyle name="Note 2 3 3 8 2" xfId="41889" xr:uid="{9976DAE3-DE22-4A9D-BB06-6968D2541FDE}"/>
    <cellStyle name="Note 2 3 3 8 3" xfId="25783" xr:uid="{29846F48-BF06-41D1-BB71-B7FBE6C34D24}"/>
    <cellStyle name="Note 2 3 3 9" xfId="19742" xr:uid="{62AD2BBF-E002-4C9B-8E57-DC77406088D8}"/>
    <cellStyle name="Note 2 3 3 9 2" xfId="29156" xr:uid="{1E07CA68-5456-4857-88F8-91653F94C1DD}"/>
    <cellStyle name="Note 2 3 4" xfId="1022" xr:uid="{00000000-0005-0000-0000-000075070000}"/>
    <cellStyle name="Note 2 3 4 10" xfId="51440" xr:uid="{D21FB11F-BC84-4E46-9D5F-0ACF09FC1832}"/>
    <cellStyle name="Note 2 3 4 2" xfId="1912" xr:uid="{00000000-0005-0000-0000-000076070000}"/>
    <cellStyle name="Note 2 3 4 2 10" xfId="14582" xr:uid="{15479764-4679-45C4-954E-5744BD892D68}"/>
    <cellStyle name="Note 2 3 4 2 10 2" xfId="37043" xr:uid="{F18DC3D0-C025-401A-A1EA-EBCC49656D3B}"/>
    <cellStyle name="Note 2 3 4 2 10 3" xfId="49416" xr:uid="{FF44F02B-C398-43F2-8429-2600BB711375}"/>
    <cellStyle name="Note 2 3 4 2 11" xfId="19949" xr:uid="{3E7DBD06-390E-4832-A1BC-4ECEAFBA8DE8}"/>
    <cellStyle name="Note 2 3 4 2 11 2" xfId="42279" xr:uid="{EBC88CB0-6933-4901-81DF-ECDB4D0964F1}"/>
    <cellStyle name="Note 2 3 4 2 11 3" xfId="44386" xr:uid="{C8ECC017-9DF4-4BE9-9575-B70AD107ACAE}"/>
    <cellStyle name="Note 2 3 4 2 12" xfId="7353" xr:uid="{C73B067F-CAEB-4743-AF1B-B28853D816FE}"/>
    <cellStyle name="Note 2 3 4 2 12 2" xfId="53209" xr:uid="{3242398C-A1DF-46C1-BC8A-A892D7C330BE}"/>
    <cellStyle name="Note 2 3 4 2 13" xfId="52081" xr:uid="{4A364730-A2E5-476D-9A6D-CE48040B56E3}"/>
    <cellStyle name="Note 2 3 4 2 2" xfId="4009" xr:uid="{00000000-0005-0000-0000-000074070000}"/>
    <cellStyle name="Note 2 3 4 2 2 2" xfId="10913" xr:uid="{5870B847-68FD-4093-BB5F-7E166AA36498}"/>
    <cellStyle name="Note 2 3 4 2 2 2 2" xfId="33399" xr:uid="{BAA512C8-12C0-4690-8EED-23CD3C5BEC85}"/>
    <cellStyle name="Note 2 3 4 2 2 2 3" xfId="46343" xr:uid="{65E8DF03-1068-4408-912C-0F40083753FF}"/>
    <cellStyle name="Note 2 3 4 2 2 3" xfId="16033" xr:uid="{BDBFBBFD-0735-4D15-953D-EC232232C8B6}"/>
    <cellStyle name="Note 2 3 4 2 2 3 2" xfId="38434" xr:uid="{E97C39E1-6E93-47BE-B6A2-46BD74668586}"/>
    <cellStyle name="Note 2 3 4 2 2 3 3" xfId="47762" xr:uid="{55431F68-C0D8-4CCF-8012-677BE81444A6}"/>
    <cellStyle name="Note 2 3 4 2 2 4" xfId="19229" xr:uid="{9E3B4C4A-C2BC-473E-9474-6F2C739EFADF}"/>
    <cellStyle name="Note 2 3 4 2 2 4 2" xfId="44436" xr:uid="{83746B7C-4764-4DC1-96CB-FAE2D3622423}"/>
    <cellStyle name="Note 2 3 4 2 2 5" xfId="49789" xr:uid="{E956EC6C-0A71-438A-894F-EF0D539F0803}"/>
    <cellStyle name="Note 2 3 4 2 3" xfId="5384" xr:uid="{00000000-0005-0000-0000-000074070000}"/>
    <cellStyle name="Note 2 3 4 2 3 2" xfId="12275" xr:uid="{5EE66FC0-592E-44B2-82DB-AAAC7D159955}"/>
    <cellStyle name="Note 2 3 4 2 3 2 2" xfId="34760" xr:uid="{7491FB7C-C418-4B20-8072-C71AFE3D85E6}"/>
    <cellStyle name="Note 2 3 4 2 3 2 3" xfId="44206" xr:uid="{DE9A71C7-CBB8-47CC-9122-95C025C2025E}"/>
    <cellStyle name="Note 2 3 4 2 3 3" xfId="17321" xr:uid="{4EB2D06B-5855-424D-89DB-317AA6F4D0A5}"/>
    <cellStyle name="Note 2 3 4 2 3 3 2" xfId="39711" xr:uid="{225E31D2-DA52-47CE-B911-97D21DB7C53F}"/>
    <cellStyle name="Note 2 3 4 2 3 3 3" xfId="27703" xr:uid="{9A4D6048-2724-4D35-A97D-AF1DBCC31939}"/>
    <cellStyle name="Note 2 3 4 2 3 4" xfId="21745" xr:uid="{BEFD1762-BA2C-4A7C-A938-19D9D12554A5}"/>
    <cellStyle name="Note 2 3 4 2 3 4 2" xfId="54135" xr:uid="{9364BA76-1BE5-4AB7-8E37-466292112A15}"/>
    <cellStyle name="Note 2 3 4 2 3 5" xfId="24103" xr:uid="{C269CF78-F8EB-4FB0-8775-53B858ACD87A}"/>
    <cellStyle name="Note 2 3 4 2 4" xfId="5797" xr:uid="{00000000-0005-0000-0000-000074070000}"/>
    <cellStyle name="Note 2 3 4 2 4 2" xfId="12680" xr:uid="{F199019B-6416-47BA-BD57-2C56DA9BE1DD}"/>
    <cellStyle name="Note 2 3 4 2 4 2 2" xfId="35165" xr:uid="{C2CE49E4-5FFE-4996-8B76-2A785E509A8C}"/>
    <cellStyle name="Note 2 3 4 2 4 2 3" xfId="26408" xr:uid="{462E891D-BF7B-4AFA-8066-7BE8E7790C40}"/>
    <cellStyle name="Note 2 3 4 2 4 3" xfId="17734" xr:uid="{EDF65352-0489-41B3-9AA1-E568D08E6A06}"/>
    <cellStyle name="Note 2 3 4 2 4 3 2" xfId="40124" xr:uid="{F7C36E6F-1A38-4BC3-835A-F9D281FF62E3}"/>
    <cellStyle name="Note 2 3 4 2 4 3 3" xfId="43149" xr:uid="{231B1B40-23F9-4C25-9527-26076C4F99C4}"/>
    <cellStyle name="Note 2 3 4 2 4 4" xfId="22158" xr:uid="{BDC17DE5-F3D7-4D43-9ABF-7218EC2952C2}"/>
    <cellStyle name="Note 2 3 4 2 4 4 2" xfId="54088" xr:uid="{5C226BD7-12ED-45C7-927F-0B57C96FEB0F}"/>
    <cellStyle name="Note 2 3 4 2 4 5" xfId="46025" xr:uid="{568AEF41-5CA2-4B54-9608-502AAAD320CE}"/>
    <cellStyle name="Note 2 3 4 2 5" xfId="6141" xr:uid="{00000000-0005-0000-0000-000074070000}"/>
    <cellStyle name="Note 2 3 4 2 5 2" xfId="13018" xr:uid="{BF1CF6C4-A479-4EFB-A799-FD74F90A0855}"/>
    <cellStyle name="Note 2 3 4 2 5 2 2" xfId="35502" xr:uid="{2EE0E837-925E-43D1-8E8B-0619C7E3F765}"/>
    <cellStyle name="Note 2 3 4 2 5 2 3" xfId="52699" xr:uid="{16B0D5AF-525C-42A0-9A31-59A7EB113EFA}"/>
    <cellStyle name="Note 2 3 4 2 5 3" xfId="18078" xr:uid="{5C171556-D2DF-4D47-9C5A-E6E708883F74}"/>
    <cellStyle name="Note 2 3 4 2 5 3 2" xfId="40468" xr:uid="{23BDF67A-CBDE-4E63-8EDB-79F7C33D2F9C}"/>
    <cellStyle name="Note 2 3 4 2 5 3 3" xfId="27825" xr:uid="{F283B87A-844E-44E3-BD83-90B371623411}"/>
    <cellStyle name="Note 2 3 4 2 5 4" xfId="22502" xr:uid="{73A8FF9F-E428-4401-9C27-AC27E03B7BF5}"/>
    <cellStyle name="Note 2 3 4 2 5 4 2" xfId="28989" xr:uid="{B57256FE-5F67-427C-B959-ECDD7C3FBDD7}"/>
    <cellStyle name="Note 2 3 4 2 5 5" xfId="50794" xr:uid="{5AACB08F-74C6-4268-BF0F-56CAEE196646}"/>
    <cellStyle name="Note 2 3 4 2 6" xfId="6514" xr:uid="{00000000-0005-0000-0000-000074070000}"/>
    <cellStyle name="Note 2 3 4 2 6 2" xfId="13383" xr:uid="{716ADB39-0658-42B6-A4C0-75E47EF14A32}"/>
    <cellStyle name="Note 2 3 4 2 6 2 2" xfId="35867" xr:uid="{3E4EF6A6-A781-47B4-8F46-6C71892F1D83}"/>
    <cellStyle name="Note 2 3 4 2 6 2 3" xfId="27814" xr:uid="{2215A152-A5F6-4CDF-A314-028C2C84841F}"/>
    <cellStyle name="Note 2 3 4 2 6 3" xfId="18451" xr:uid="{D5311D00-0705-4A0A-8E7A-B1A1C66DA81D}"/>
    <cellStyle name="Note 2 3 4 2 6 3 2" xfId="40841" xr:uid="{C7A644DD-CD94-47A9-86F7-9C7464DA3489}"/>
    <cellStyle name="Note 2 3 4 2 6 3 3" xfId="26095" xr:uid="{CE0661DB-57F8-46B6-8A35-E6824645DFE6}"/>
    <cellStyle name="Note 2 3 4 2 6 4" xfId="22875" xr:uid="{DB37CE91-BCD1-49A4-8F28-5FCB539A58D2}"/>
    <cellStyle name="Note 2 3 4 2 6 4 2" xfId="46276" xr:uid="{528566FB-63F3-43CE-A399-82165CC62DD6}"/>
    <cellStyle name="Note 2 3 4 2 6 5" xfId="51864" xr:uid="{58A7F3EC-459C-431F-B80B-6A8A39A1FCE7}"/>
    <cellStyle name="Note 2 3 4 2 7" xfId="5780" xr:uid="{00000000-0005-0000-0000-000074070000}"/>
    <cellStyle name="Note 2 3 4 2 7 2" xfId="12663" xr:uid="{37B5313A-3538-4B45-BF5F-6C81EC1FC574}"/>
    <cellStyle name="Note 2 3 4 2 7 2 2" xfId="35148" xr:uid="{D45ECBEE-A855-4352-9F33-7277E95E94F6}"/>
    <cellStyle name="Note 2 3 4 2 7 2 3" xfId="27578" xr:uid="{D997B74A-01A0-4D77-952C-2896FD70FF77}"/>
    <cellStyle name="Note 2 3 4 2 7 3" xfId="17717" xr:uid="{5511D553-5D95-42A8-B4AC-1AF8C6633FBE}"/>
    <cellStyle name="Note 2 3 4 2 7 3 2" xfId="40107" xr:uid="{A1B53FCD-47F0-4017-9BE3-AF0A4938118C}"/>
    <cellStyle name="Note 2 3 4 2 7 3 3" xfId="26495" xr:uid="{41E6FB67-F842-4FA5-A11E-736C4A74ACB5}"/>
    <cellStyle name="Note 2 3 4 2 7 4" xfId="22141" xr:uid="{01CE12AA-B596-435A-B6EC-30CEEB1B0A57}"/>
    <cellStyle name="Note 2 3 4 2 7 4 2" xfId="45017" xr:uid="{666EA05F-7BD9-42C3-B683-198312761392}"/>
    <cellStyle name="Note 2 3 4 2 7 5" xfId="51925" xr:uid="{422B65CB-5A4B-41F3-BB2E-DE32C3AACF69}"/>
    <cellStyle name="Note 2 3 4 2 8" xfId="6998" xr:uid="{00000000-0005-0000-0000-000074070000}"/>
    <cellStyle name="Note 2 3 4 2 8 2" xfId="13835" xr:uid="{37452439-9D04-4A07-9A95-80C0A541F1A9}"/>
    <cellStyle name="Note 2 3 4 2 8 2 2" xfId="36319" xr:uid="{38B06219-0EBC-471C-AE36-155EE3FF5D86}"/>
    <cellStyle name="Note 2 3 4 2 8 2 3" xfId="51849" xr:uid="{46FA4545-8FEB-4015-8F01-3B783DDFF300}"/>
    <cellStyle name="Note 2 3 4 2 8 3" xfId="18935" xr:uid="{9F38F003-0CDA-4724-8C9F-951D4527B600}"/>
    <cellStyle name="Note 2 3 4 2 8 3 2" xfId="41325" xr:uid="{23CAB1FF-0F2F-4B9C-B667-34D6A7342CFF}"/>
    <cellStyle name="Note 2 3 4 2 8 3 3" xfId="45749" xr:uid="{01E34D3E-B35F-4902-81FA-C3F4B9109896}"/>
    <cellStyle name="Note 2 3 4 2 8 4" xfId="23359" xr:uid="{04F3C7F9-32DF-4D92-ADDB-EAC750696333}"/>
    <cellStyle name="Note 2 3 4 2 8 4 2" xfId="30659" xr:uid="{EC01326C-47F4-4A3B-B0F8-F81687F52009}"/>
    <cellStyle name="Note 2 3 4 2 8 5" xfId="43762" xr:uid="{6F295BB3-F921-4287-9CFE-6E35BAC6B0B6}"/>
    <cellStyle name="Note 2 3 4 2 9" xfId="6553" xr:uid="{00000000-0005-0000-0000-000074070000}"/>
    <cellStyle name="Note 2 3 4 2 9 2" xfId="18490" xr:uid="{584071C4-DADB-4D82-BA7D-9C6CD75337BC}"/>
    <cellStyle name="Note 2 3 4 2 9 2 2" xfId="40880" xr:uid="{D0730174-1A94-4D47-87B2-4CF2E6C9D674}"/>
    <cellStyle name="Note 2 3 4 2 9 2 3" xfId="45108" xr:uid="{4BE3D72A-0831-4216-82AB-F3828A0222F6}"/>
    <cellStyle name="Note 2 3 4 2 9 3" xfId="22914" xr:uid="{6BB3AACC-A9F6-4DE6-B61A-C805C3FDACC0}"/>
    <cellStyle name="Note 2 3 4 2 9 3 2" xfId="48169" xr:uid="{E83EBF88-2CCA-47E4-8AE9-6A262D730A78}"/>
    <cellStyle name="Note 2 3 4 2 9 4" xfId="52893" xr:uid="{1091DE3B-0E38-4224-9928-B728844B7987}"/>
    <cellStyle name="Note 2 3 4 3" xfId="4796" xr:uid="{00000000-0005-0000-0000-000073070000}"/>
    <cellStyle name="Note 2 3 4 3 2" xfId="11693" xr:uid="{C23623C1-5F27-4379-BF9D-B39F3FE6C62A}"/>
    <cellStyle name="Note 2 3 4 3 2 2" xfId="34179" xr:uid="{2697E581-8AC2-4BA9-A183-9D176AF8BDC1}"/>
    <cellStyle name="Note 2 3 4 3 2 3" xfId="32433" xr:uid="{23E3539B-CD41-46C3-9AEA-8978F949ACEC}"/>
    <cellStyle name="Note 2 3 4 3 3" xfId="16733" xr:uid="{BD724E5F-B6EB-42EA-A505-CADBD49C15A9}"/>
    <cellStyle name="Note 2 3 4 3 3 2" xfId="39123" xr:uid="{A0472F30-1B4B-4895-B3F4-D1F6826A8D7C}"/>
    <cellStyle name="Note 2 3 4 3 3 3" xfId="42004" xr:uid="{93C2C97A-D340-417A-8384-CE66731CFD5B}"/>
    <cellStyle name="Note 2 3 4 3 4" xfId="19352" xr:uid="{007F7EEA-AA16-43A8-BFDB-2F6F3A507384}"/>
    <cellStyle name="Note 2 3 4 3 4 2" xfId="29410" xr:uid="{A16C4ACA-B7E7-4434-A219-6EAE95C2DD60}"/>
    <cellStyle name="Note 2 3 4 3 5" xfId="53197" xr:uid="{52FD02E0-9B6E-4284-8CDC-309BA955068B}"/>
    <cellStyle name="Note 2 3 4 4" xfId="5211" xr:uid="{00000000-0005-0000-0000-000073070000}"/>
    <cellStyle name="Note 2 3 4 4 2" xfId="12104" xr:uid="{4031C461-E0C4-4D42-9DA2-8FC7D9B5ED43}"/>
    <cellStyle name="Note 2 3 4 4 2 2" xfId="34589" xr:uid="{427133E4-FEB7-4D01-AEC8-D4FB2923E8E0}"/>
    <cellStyle name="Note 2 3 4 4 2 3" xfId="45529" xr:uid="{860E2998-27C0-45AE-A3F7-E863354854EF}"/>
    <cellStyle name="Note 2 3 4 4 3" xfId="17148" xr:uid="{DE70A8CF-F6C9-43C3-B31E-45E89ACE5C34}"/>
    <cellStyle name="Note 2 3 4 4 3 2" xfId="39538" xr:uid="{6A7EB7C1-237D-421A-A9AD-99C8A89B625D}"/>
    <cellStyle name="Note 2 3 4 4 3 3" xfId="26508" xr:uid="{F89F856A-B148-4C90-B019-3E2364B82467}"/>
    <cellStyle name="Note 2 3 4 4 4" xfId="21572" xr:uid="{EA169A86-8C09-43EC-844F-F971B89C965D}"/>
    <cellStyle name="Note 2 3 4 4 4 2" xfId="51037" xr:uid="{A7790979-1A29-475B-8DF0-F66465466B67}"/>
    <cellStyle name="Note 2 3 4 4 5" xfId="46124" xr:uid="{5A12142D-45C9-4C9A-9F87-938D1C93C134}"/>
    <cellStyle name="Note 2 3 4 5" xfId="4950" xr:uid="{00000000-0005-0000-0000-000073070000}"/>
    <cellStyle name="Note 2 3 4 5 2" xfId="11845" xr:uid="{FCBA042B-2580-40B8-9443-2CA6F0240E43}"/>
    <cellStyle name="Note 2 3 4 5 2 2" xfId="34331" xr:uid="{FD76262C-62A9-427C-9415-0EA8A8D6EB4B}"/>
    <cellStyle name="Note 2 3 4 5 2 3" xfId="24544" xr:uid="{99D0E1CD-C73F-4426-9888-ECD1A2D4D5DC}"/>
    <cellStyle name="Note 2 3 4 5 3" xfId="16887" xr:uid="{628E9602-D856-4D07-89F9-085C7D2FB089}"/>
    <cellStyle name="Note 2 3 4 5 3 2" xfId="39277" xr:uid="{38C10376-D4F9-45E7-ABAE-D3EDFEB880B6}"/>
    <cellStyle name="Note 2 3 4 5 3 3" xfId="42527" xr:uid="{9DE700CB-463E-4728-8A40-1F55FDC0D1E4}"/>
    <cellStyle name="Note 2 3 4 5 4" xfId="21311" xr:uid="{866B44A6-5B0D-4D10-A68B-D96B688C9408}"/>
    <cellStyle name="Note 2 3 4 5 4 2" xfId="26441" xr:uid="{F419EEF4-CF20-4022-8F6D-4D81C9D3F4E8}"/>
    <cellStyle name="Note 2 3 4 5 5" xfId="51322" xr:uid="{8A6ABAE2-1855-4C17-8A25-EA4AAFD1A6E9}"/>
    <cellStyle name="Note 2 3 4 6" xfId="6813" xr:uid="{00000000-0005-0000-0000-000073070000}"/>
    <cellStyle name="Note 2 3 4 6 2" xfId="13661" xr:uid="{926081CE-1871-42DC-8183-26B75AFBF79C}"/>
    <cellStyle name="Note 2 3 4 6 2 2" xfId="36145" xr:uid="{F88C94CF-5364-4432-8AB1-0E5DD68C199C}"/>
    <cellStyle name="Note 2 3 4 6 2 3" xfId="45989" xr:uid="{52C058BF-2515-4119-89CD-DBC9C14050EC}"/>
    <cellStyle name="Note 2 3 4 6 3" xfId="18750" xr:uid="{80A67A28-2EC5-453F-9F89-993CDFEE64A5}"/>
    <cellStyle name="Note 2 3 4 6 3 2" xfId="41140" xr:uid="{F727A466-53D3-4655-A46A-8C352BBED8F7}"/>
    <cellStyle name="Note 2 3 4 6 3 3" xfId="45684" xr:uid="{79646D0A-EB62-4DF7-BFD5-01A8ED910245}"/>
    <cellStyle name="Note 2 3 4 6 4" xfId="23174" xr:uid="{F17989ED-80E9-43EE-B9E9-069FE8939871}"/>
    <cellStyle name="Note 2 3 4 6 4 2" xfId="27623" xr:uid="{615F0721-6216-49CB-874A-95195D6464D8}"/>
    <cellStyle name="Note 2 3 4 6 5" xfId="51726" xr:uid="{D4FE05C8-606A-44A5-B0BB-0B7BF13A7285}"/>
    <cellStyle name="Note 2 3 4 7" xfId="14004" xr:uid="{A4737814-4AA8-4FD9-AA1B-25C3B3C69B86}"/>
    <cellStyle name="Note 2 3 4 7 2" xfId="36487" xr:uid="{E1CB0A2A-37B9-4BCD-972C-698BEB221DF0}"/>
    <cellStyle name="Note 2 3 4 7 3" xfId="29026" xr:uid="{4193622D-7C3D-47F2-8A95-9BD1E3C143E4}"/>
    <cellStyle name="Note 2 3 4 8" xfId="20840" xr:uid="{4BC39C73-25EA-4D93-9B6C-5B4100EC3259}"/>
    <cellStyle name="Note 2 3 4 8 2" xfId="43105" xr:uid="{63BAD000-E28C-4652-B083-21B7E4652765}"/>
    <cellStyle name="Note 2 3 4 8 3" xfId="52582" xr:uid="{708EE742-C97F-40C9-94B7-2EAEC4ABE363}"/>
    <cellStyle name="Note 2 3 4 9" xfId="14484" xr:uid="{F1759091-55B8-48F0-82E2-42FD55D7060A}"/>
    <cellStyle name="Note 2 3 4 9 2" xfId="45894" xr:uid="{A10F1CD0-E442-4183-AD65-962F2EEBADF8}"/>
    <cellStyle name="Note 2 3 5" xfId="1206" xr:uid="{00000000-0005-0000-0000-000077070000}"/>
    <cellStyle name="Note 2 3 5 10" xfId="50901" xr:uid="{D192CA3D-80CB-448A-8A1D-F1D7C61E1557}"/>
    <cellStyle name="Note 2 3 5 2" xfId="2006" xr:uid="{00000000-0005-0000-0000-000078070000}"/>
    <cellStyle name="Note 2 3 5 2 10" xfId="14654" xr:uid="{FCE91855-8B6E-438E-9CA2-7C0216EC4A07}"/>
    <cellStyle name="Note 2 3 5 2 10 2" xfId="37114" xr:uid="{CDB27694-3F37-44A2-91AE-EC3DA8FCEDFD}"/>
    <cellStyle name="Note 2 3 5 2 10 3" xfId="24289" xr:uid="{FB7FC2D7-03EF-464A-B1E4-3F59F7A84B8B}"/>
    <cellStyle name="Note 2 3 5 2 11" xfId="20586" xr:uid="{9DF65644-9194-4AD2-9A10-660A3D0ED078}"/>
    <cellStyle name="Note 2 3 5 2 11 2" xfId="42868" xr:uid="{11424335-D7B3-43F4-8BC3-B2070CB97D67}"/>
    <cellStyle name="Note 2 3 5 2 11 3" xfId="46770" xr:uid="{509ED1EF-F849-4877-B6DB-7DBE851F4BAC}"/>
    <cellStyle name="Note 2 3 5 2 12" xfId="14060" xr:uid="{9B2230AD-203E-4C98-A46E-6C060A13AAD5}"/>
    <cellStyle name="Note 2 3 5 2 12 2" xfId="52348" xr:uid="{627ED77C-5438-45E2-9692-C2F23580B4C6}"/>
    <cellStyle name="Note 2 3 5 2 13" xfId="51301" xr:uid="{85C33B7D-6D00-4991-BD9C-61DEEB512360}"/>
    <cellStyle name="Note 2 3 5 2 2" xfId="4101" xr:uid="{00000000-0005-0000-0000-000076070000}"/>
    <cellStyle name="Note 2 3 5 2 2 2" xfId="11005" xr:uid="{81A7ECA6-2CE3-4C48-981B-E5448186467C}"/>
    <cellStyle name="Note 2 3 5 2 2 2 2" xfId="33491" xr:uid="{8C45A50D-4690-4F88-9297-E4FD0AC1D3C7}"/>
    <cellStyle name="Note 2 3 5 2 2 2 3" xfId="32226" xr:uid="{A7AF5096-66CE-40F5-B545-37212857F8A1}"/>
    <cellStyle name="Note 2 3 5 2 2 3" xfId="16105" xr:uid="{4E4268EB-765F-47E3-B77B-E74F126BDC93}"/>
    <cellStyle name="Note 2 3 5 2 2 3 2" xfId="38505" xr:uid="{A3C2953F-3BF0-458A-B2CC-9129E8FB9818}"/>
    <cellStyle name="Note 2 3 5 2 2 3 3" xfId="29017" xr:uid="{AC671C54-65DC-4794-8D77-238763BFF12C}"/>
    <cellStyle name="Note 2 3 5 2 2 4" xfId="8885" xr:uid="{E0734F44-22D9-4A14-8FF6-3122F0B27D2C}"/>
    <cellStyle name="Note 2 3 5 2 2 4 2" xfId="50854" xr:uid="{DE049CE2-CBE6-4214-AEC8-FC6A5B3E51E9}"/>
    <cellStyle name="Note 2 3 5 2 2 5" xfId="29193" xr:uid="{588D03FD-5740-40C4-A9DB-FE56B288A9B4}"/>
    <cellStyle name="Note 2 3 5 2 3" xfId="5447" xr:uid="{00000000-0005-0000-0000-000076070000}"/>
    <cellStyle name="Note 2 3 5 2 3 2" xfId="12336" xr:uid="{8F974CBE-7951-49FE-BB93-28B128A823AB}"/>
    <cellStyle name="Note 2 3 5 2 3 2 2" xfId="34821" xr:uid="{62A32714-0D67-4C2A-A9C7-EF8BF598B87A}"/>
    <cellStyle name="Note 2 3 5 2 3 2 3" xfId="45402" xr:uid="{60C1964D-393E-42CE-B965-57B4B3C86A93}"/>
    <cellStyle name="Note 2 3 5 2 3 3" xfId="17384" xr:uid="{BC60D005-FADB-4CBA-8CE0-107765F6967A}"/>
    <cellStyle name="Note 2 3 5 2 3 3 2" xfId="39774" xr:uid="{B052661A-7350-4F94-B62B-CB7CB643B426}"/>
    <cellStyle name="Note 2 3 5 2 3 3 3" xfId="23727" xr:uid="{F2754100-7716-4A29-9515-B60DB6C85AF4}"/>
    <cellStyle name="Note 2 3 5 2 3 4" xfId="21808" xr:uid="{AA038EA7-CCCD-459D-A1F9-A831B2E0B496}"/>
    <cellStyle name="Note 2 3 5 2 3 4 2" xfId="51117" xr:uid="{DF403DED-A089-4ADB-B750-1C5BAD2A91AE}"/>
    <cellStyle name="Note 2 3 5 2 3 5" xfId="48881" xr:uid="{6D8F0395-94EA-4B09-9979-D8EA1EF8C264}"/>
    <cellStyle name="Note 2 3 5 2 4" xfId="5870" xr:uid="{00000000-0005-0000-0000-000076070000}"/>
    <cellStyle name="Note 2 3 5 2 4 2" xfId="12752" xr:uid="{7F23A848-0F9E-4A01-95B7-BBF1B23DBDCA}"/>
    <cellStyle name="Note 2 3 5 2 4 2 2" xfId="35236" xr:uid="{D8A145BE-2539-4AAF-AF55-4F7E3BA6E9E1}"/>
    <cellStyle name="Note 2 3 5 2 4 2 3" xfId="43343" xr:uid="{C87C5234-2653-4507-A825-D2422EE3A7AF}"/>
    <cellStyle name="Note 2 3 5 2 4 3" xfId="17807" xr:uid="{F7C22732-52FA-4BD6-8002-F24490160A9D}"/>
    <cellStyle name="Note 2 3 5 2 4 3 2" xfId="40197" xr:uid="{AA9A4823-28A7-48C2-BC33-7FE61CE33585}"/>
    <cellStyle name="Note 2 3 5 2 4 3 3" xfId="45324" xr:uid="{6E7AB6E3-A0AD-4C77-BC55-250D2935481B}"/>
    <cellStyle name="Note 2 3 5 2 4 4" xfId="22231" xr:uid="{A5FD4E8E-ED99-4790-8A6D-8B1792F1837E}"/>
    <cellStyle name="Note 2 3 5 2 4 4 2" xfId="29453" xr:uid="{08711F35-30E4-4DF1-9E70-5227D26AAC8B}"/>
    <cellStyle name="Note 2 3 5 2 4 5" xfId="49307" xr:uid="{A582A4E3-4B7F-404C-A539-62F2414D13CB}"/>
    <cellStyle name="Note 2 3 5 2 5" xfId="6208" xr:uid="{00000000-0005-0000-0000-000076070000}"/>
    <cellStyle name="Note 2 3 5 2 5 2" xfId="13083" xr:uid="{8D5B6D14-1A98-4F74-A57C-3C9631AE001D}"/>
    <cellStyle name="Note 2 3 5 2 5 2 2" xfId="35567" xr:uid="{6C020BC0-D6C0-46E8-A6D6-54EBB31397C9}"/>
    <cellStyle name="Note 2 3 5 2 5 2 3" xfId="46026" xr:uid="{989960C0-A4AB-46E0-B3F0-F0D180A549F4}"/>
    <cellStyle name="Note 2 3 5 2 5 3" xfId="18145" xr:uid="{8BB2E6D5-E52B-4C19-A2B6-2F2912CB59E2}"/>
    <cellStyle name="Note 2 3 5 2 5 3 2" xfId="40535" xr:uid="{352ADB01-3C52-40D1-B1C4-AB3CD9E4BE63}"/>
    <cellStyle name="Note 2 3 5 2 5 3 3" xfId="32268" xr:uid="{4A10CC63-02B8-47DB-83D7-FCBABF947A40}"/>
    <cellStyle name="Note 2 3 5 2 5 4" xfId="22569" xr:uid="{67B23AF3-8F33-4BEF-A0CA-8BAE670DD0F0}"/>
    <cellStyle name="Note 2 3 5 2 5 4 2" xfId="29685" xr:uid="{CEA283A4-00FE-461A-B67D-16AAD1162B88}"/>
    <cellStyle name="Note 2 3 5 2 5 5" xfId="44824" xr:uid="{40502FF2-C95D-4449-9609-6CA2FAB378F1}"/>
    <cellStyle name="Note 2 3 5 2 6" xfId="6574" xr:uid="{00000000-0005-0000-0000-000076070000}"/>
    <cellStyle name="Note 2 3 5 2 6 2" xfId="13440" xr:uid="{39294E10-B636-408E-9287-040F08D5287F}"/>
    <cellStyle name="Note 2 3 5 2 6 2 2" xfId="35924" xr:uid="{9076CD5D-6AEF-4DE7-9D92-C0D398F9B17D}"/>
    <cellStyle name="Note 2 3 5 2 6 2 3" xfId="48517" xr:uid="{07F8546E-0135-44DD-BF78-88A4CE5A8EF3}"/>
    <cellStyle name="Note 2 3 5 2 6 3" xfId="18511" xr:uid="{E2B6A6BE-247C-44B6-9FC8-CF6516B3FEBC}"/>
    <cellStyle name="Note 2 3 5 2 6 3 2" xfId="40901" xr:uid="{1BBC51CF-9AA5-49BD-A1DE-B2C0DF00DFCE}"/>
    <cellStyle name="Note 2 3 5 2 6 3 3" xfId="28602" xr:uid="{3085B792-0F6B-4EC8-8D72-1CC0FD8819D3}"/>
    <cellStyle name="Note 2 3 5 2 6 4" xfId="22935" xr:uid="{63F1E654-D184-4A20-A384-BFBCCBBEDE36}"/>
    <cellStyle name="Note 2 3 5 2 6 4 2" xfId="27406" xr:uid="{A0C6E3AE-C661-4498-AD68-285794EACAF5}"/>
    <cellStyle name="Note 2 3 5 2 6 5" xfId="47048" xr:uid="{0965CEC0-F7C7-45A8-9625-2053B03505C1}"/>
    <cellStyle name="Note 2 3 5 2 7" xfId="4867" xr:uid="{00000000-0005-0000-0000-000076070000}"/>
    <cellStyle name="Note 2 3 5 2 7 2" xfId="11763" xr:uid="{5A1BA073-C08A-49D9-8302-AC0FA8C94464}"/>
    <cellStyle name="Note 2 3 5 2 7 2 2" xfId="34249" xr:uid="{C79A46EE-3CD7-4E5C-A92A-FC34BA20E35F}"/>
    <cellStyle name="Note 2 3 5 2 7 2 3" xfId="43965" xr:uid="{A0FCCE3F-EA4A-481B-ABC1-11D34612A7D2}"/>
    <cellStyle name="Note 2 3 5 2 7 3" xfId="16804" xr:uid="{4F94470B-1346-42E2-9445-4CF44EC19F93}"/>
    <cellStyle name="Note 2 3 5 2 7 3 2" xfId="39194" xr:uid="{9CBAB593-B74E-468F-B17C-985BCCD10EF3}"/>
    <cellStyle name="Note 2 3 5 2 7 3 3" xfId="27735" xr:uid="{4CAB6C5A-4482-4E36-80B1-7C7AEF7503BD}"/>
    <cellStyle name="Note 2 3 5 2 7 4" xfId="19779" xr:uid="{1BDC9706-45BD-400A-B375-897C2388D5EE}"/>
    <cellStyle name="Note 2 3 5 2 7 4 2" xfId="42903" xr:uid="{87955DB8-EE7C-4212-91B3-8231C1D49F4A}"/>
    <cellStyle name="Note 2 3 5 2 7 5" xfId="27562" xr:uid="{9FFEF359-F94D-4E89-BF4C-630876E5F895}"/>
    <cellStyle name="Note 2 3 5 2 8" xfId="7044" xr:uid="{00000000-0005-0000-0000-000076070000}"/>
    <cellStyle name="Note 2 3 5 2 8 2" xfId="13880" xr:uid="{F027B7E3-B9E6-459D-AF1F-0197909AE6A9}"/>
    <cellStyle name="Note 2 3 5 2 8 2 2" xfId="36364" xr:uid="{CAB4566E-9ACB-4DB5-BD00-5392D21285BE}"/>
    <cellStyle name="Note 2 3 5 2 8 2 3" xfId="29211" xr:uid="{5C5758E5-13B3-4DFA-9222-35644A80F1BF}"/>
    <cellStyle name="Note 2 3 5 2 8 3" xfId="18981" xr:uid="{7847188D-5C2B-47E3-ABF7-246D623F4FE7}"/>
    <cellStyle name="Note 2 3 5 2 8 3 2" xfId="41371" xr:uid="{D25BB399-393B-4910-A38C-BF8953879FF8}"/>
    <cellStyle name="Note 2 3 5 2 8 3 3" xfId="44185" xr:uid="{A449CC5D-CD6D-4109-9BCB-88D5E24EB0A1}"/>
    <cellStyle name="Note 2 3 5 2 8 4" xfId="23405" xr:uid="{F4A93374-2A8D-4DD5-892C-E8DEB4F6859C}"/>
    <cellStyle name="Note 2 3 5 2 8 4 2" xfId="49503" xr:uid="{96B6B157-3317-4DD2-9748-F4CAFB644BB8}"/>
    <cellStyle name="Note 2 3 5 2 8 5" xfId="50694" xr:uid="{03D80B33-68A2-431D-B504-B8E35BC4A85F}"/>
    <cellStyle name="Note 2 3 5 2 9" xfId="7159" xr:uid="{00000000-0005-0000-0000-000076070000}"/>
    <cellStyle name="Note 2 3 5 2 9 2" xfId="19096" xr:uid="{A8F650AE-1CAF-471D-B6BE-BE817F71E6CA}"/>
    <cellStyle name="Note 2 3 5 2 9 2 2" xfId="41486" xr:uid="{0F4CB96B-9CCD-4BA2-B44B-F729883E9F2F}"/>
    <cellStyle name="Note 2 3 5 2 9 2 3" xfId="43664" xr:uid="{46748373-6E8D-4FC6-B297-546E517B811E}"/>
    <cellStyle name="Note 2 3 5 2 9 3" xfId="23520" xr:uid="{0A29BE0C-8565-4820-861A-5DAF97888B03}"/>
    <cellStyle name="Note 2 3 5 2 9 3 2" xfId="46956" xr:uid="{22CE0CF1-DC7C-4AD9-A6BB-AEC0B31A4750}"/>
    <cellStyle name="Note 2 3 5 2 9 4" xfId="32347" xr:uid="{C84B0A38-C85C-4CDA-92B6-F2B10AA04822}"/>
    <cellStyle name="Note 2 3 5 3" xfId="4906" xr:uid="{00000000-0005-0000-0000-000075070000}"/>
    <cellStyle name="Note 2 3 5 3 2" xfId="11801" xr:uid="{3D9973EF-A4F3-4CD8-A2DE-8158A8099C2F}"/>
    <cellStyle name="Note 2 3 5 3 2 2" xfId="34287" xr:uid="{C382D6C4-A006-4D80-8242-FBCFF22FAC4F}"/>
    <cellStyle name="Note 2 3 5 3 2 3" xfId="44075" xr:uid="{DC9DE0A6-CA02-40F8-92DB-B09601464DD9}"/>
    <cellStyle name="Note 2 3 5 3 3" xfId="16843" xr:uid="{E4A3AC33-D7B0-45F7-8696-B951F9C81187}"/>
    <cellStyle name="Note 2 3 5 3 3 2" xfId="39233" xr:uid="{B360524C-7C4D-4672-BC8D-21244BDA76E7}"/>
    <cellStyle name="Note 2 3 5 3 3 3" xfId="42887" xr:uid="{6408965E-207C-454D-A7F9-7BBB873677BA}"/>
    <cellStyle name="Note 2 3 5 3 4" xfId="20371" xr:uid="{8CB2EC0F-4D0A-4A07-9E50-6E24386A48D0}"/>
    <cellStyle name="Note 2 3 5 3 4 2" xfId="26176" xr:uid="{C9578B52-88B1-48B8-844A-041D774C905D}"/>
    <cellStyle name="Note 2 3 5 3 5" xfId="45309" xr:uid="{8D2F4717-25DF-44A0-B910-18A8FA2C320F}"/>
    <cellStyle name="Note 2 3 5 4" xfId="4888" xr:uid="{00000000-0005-0000-0000-000075070000}"/>
    <cellStyle name="Note 2 3 5 4 2" xfId="11783" xr:uid="{96881ACC-5E7E-41E4-906A-B090DA2D8AF7}"/>
    <cellStyle name="Note 2 3 5 4 2 2" xfId="34269" xr:uid="{63A6B59A-E224-4CCF-AAFE-0273D168530C}"/>
    <cellStyle name="Note 2 3 5 4 2 3" xfId="29189" xr:uid="{3B95E124-44CC-43B5-A5F8-AE1C74B5FE5E}"/>
    <cellStyle name="Note 2 3 5 4 3" xfId="16825" xr:uid="{CC97B863-E5D5-4864-8836-7CB6ABDAA899}"/>
    <cellStyle name="Note 2 3 5 4 3 2" xfId="39215" xr:uid="{DC20A14E-C098-4EA4-8862-D1FF009E8C79}"/>
    <cellStyle name="Note 2 3 5 4 3 3" xfId="43012" xr:uid="{BF836937-ABEA-4931-81F5-C01C48ECA76F}"/>
    <cellStyle name="Note 2 3 5 4 4" xfId="19319" xr:uid="{8C156395-AC9F-40B8-ADAA-B3CA9B48C99E}"/>
    <cellStyle name="Note 2 3 5 4 4 2" xfId="36744" xr:uid="{88A163C3-7959-4C5D-BED1-3C9390E6B28B}"/>
    <cellStyle name="Note 2 3 5 4 5" xfId="51354" xr:uid="{771E8C2D-8268-461B-A2E8-09EE5A0481CD}"/>
    <cellStyle name="Note 2 3 5 5" xfId="6318" xr:uid="{00000000-0005-0000-0000-000075070000}"/>
    <cellStyle name="Note 2 3 5 5 2" xfId="13190" xr:uid="{6085E84E-9BA6-4CF3-8AE4-EEF0D9DC81FD}"/>
    <cellStyle name="Note 2 3 5 5 2 2" xfId="35674" xr:uid="{30382493-30D1-44AF-B223-F2BC40B0684D}"/>
    <cellStyle name="Note 2 3 5 5 2 3" xfId="28527" xr:uid="{82225308-DC6F-449D-9E16-D5C1EBCC9103}"/>
    <cellStyle name="Note 2 3 5 5 3" xfId="18255" xr:uid="{53EEE7C3-7BB0-4189-8569-F475DFF29DD4}"/>
    <cellStyle name="Note 2 3 5 5 3 2" xfId="40645" xr:uid="{32FE86CD-866A-4E08-88B4-23EA5C04F02A}"/>
    <cellStyle name="Note 2 3 5 5 3 3" xfId="43566" xr:uid="{DB0BB3E0-3711-4D6F-B93D-1342ACB74C0B}"/>
    <cellStyle name="Note 2 3 5 5 4" xfId="22679" xr:uid="{4500F20B-35AC-40B7-81CD-6A18924C2BB9}"/>
    <cellStyle name="Note 2 3 5 5 4 2" xfId="46162" xr:uid="{8E913DEC-4A3C-48EA-84D4-1C5B196E1810}"/>
    <cellStyle name="Note 2 3 5 5 5" xfId="45261" xr:uid="{F51B4114-3A0F-4C31-8DF4-8B559F1713F0}"/>
    <cellStyle name="Note 2 3 5 6" xfId="6323" xr:uid="{00000000-0005-0000-0000-000075070000}"/>
    <cellStyle name="Note 2 3 5 6 2" xfId="13195" xr:uid="{6BDC12E8-C286-408D-8923-2FF6C143E0B9}"/>
    <cellStyle name="Note 2 3 5 6 2 2" xfId="35679" xr:uid="{B49ECA4F-13BF-4F64-BEC2-96A681CF4585}"/>
    <cellStyle name="Note 2 3 5 6 2 3" xfId="53192" xr:uid="{07A45D57-72D9-4730-B299-FF702EA4D752}"/>
    <cellStyle name="Note 2 3 5 6 3" xfId="18260" xr:uid="{7E2F2B2A-8B8F-424A-8129-247E324875B6}"/>
    <cellStyle name="Note 2 3 5 6 3 2" xfId="40650" xr:uid="{53D527DD-6040-4790-ADC2-1CD55656A773}"/>
    <cellStyle name="Note 2 3 5 6 3 3" xfId="44478" xr:uid="{9EFED263-7E00-4A76-BB10-2A65A70D62DD}"/>
    <cellStyle name="Note 2 3 5 6 4" xfId="22684" xr:uid="{CCD3EB96-EAAD-4DF8-8293-1C0EBF0BA6D6}"/>
    <cellStyle name="Note 2 3 5 6 4 2" xfId="36864" xr:uid="{59B134EF-7197-45F3-9AC2-D0B97CB8B5E9}"/>
    <cellStyle name="Note 2 3 5 6 5" xfId="24451" xr:uid="{E4B6207C-9772-4F90-8A3F-1065F284ED45}"/>
    <cellStyle name="Note 2 3 5 7" xfId="14081" xr:uid="{BD605BC9-E356-4C9E-B708-B7A19DCBD343}"/>
    <cellStyle name="Note 2 3 5 7 2" xfId="36559" xr:uid="{B419B978-A1B2-4B5B-8C45-78FE76742898}"/>
    <cellStyle name="Note 2 3 5 7 3" xfId="49527" xr:uid="{2B73754A-EE56-43B5-96F3-4490ADFCB321}"/>
    <cellStyle name="Note 2 3 5 8" xfId="13599" xr:uid="{B960DB76-CC1B-4B16-9F22-2D09A636B926}"/>
    <cellStyle name="Note 2 3 5 8 2" xfId="36083" xr:uid="{A8AB316B-903E-477E-AFDA-B5A5CCF9E31F}"/>
    <cellStyle name="Note 2 3 5 8 3" xfId="47815" xr:uid="{5B3BB722-4F64-4F2C-B1E8-F8F379DEAA34}"/>
    <cellStyle name="Note 2 3 5 9" xfId="20376" xr:uid="{AFB612BB-F93D-4A71-8763-7C26AF2A1334}"/>
    <cellStyle name="Note 2 3 5 9 2" xfId="52760" xr:uid="{216C90CE-6335-4171-92D7-6306227DF215}"/>
    <cellStyle name="Note 2 3 6" xfId="1368" xr:uid="{00000000-0005-0000-0000-000079070000}"/>
    <cellStyle name="Note 2 3 6 10" xfId="47771" xr:uid="{75657B73-A0E5-4BA6-9119-E69BE94CD9A7}"/>
    <cellStyle name="Note 2 3 6 2" xfId="2097" xr:uid="{00000000-0005-0000-0000-00007A070000}"/>
    <cellStyle name="Note 2 3 6 2 10" xfId="14726" xr:uid="{D2380A39-E7FE-4566-B57E-D55371142AE0}"/>
    <cellStyle name="Note 2 3 6 2 10 2" xfId="37184" xr:uid="{B086CEFB-0786-48DF-9FC1-55B45BCAA70E}"/>
    <cellStyle name="Note 2 3 6 2 10 3" xfId="49665" xr:uid="{8716A14C-2D4E-42FA-980C-1AEE3590BE4D}"/>
    <cellStyle name="Note 2 3 6 2 11" xfId="15378" xr:uid="{10FE9B0E-1E50-4A5F-B947-97600167A7C6}"/>
    <cellStyle name="Note 2 3 6 2 11 2" xfId="37808" xr:uid="{515710D4-6044-4CD5-96B6-30EEB33200F7}"/>
    <cellStyle name="Note 2 3 6 2 11 3" xfId="51924" xr:uid="{7ADE6891-650A-4569-9682-29BDD89DD8E5}"/>
    <cellStyle name="Note 2 3 6 2 12" xfId="7254" xr:uid="{FBAC80A5-D1D1-421B-A826-D4DF7034037C}"/>
    <cellStyle name="Note 2 3 6 2 12 2" xfId="48839" xr:uid="{59B4E7CA-2287-457D-9A5A-20D619C3BCB1}"/>
    <cellStyle name="Note 2 3 6 2 13" xfId="53923" xr:uid="{C097A998-EA1A-45F9-8D5D-1EA20F0F9CA3}"/>
    <cellStyle name="Note 2 3 6 2 2" xfId="4190" xr:uid="{00000000-0005-0000-0000-000078070000}"/>
    <cellStyle name="Note 2 3 6 2 2 2" xfId="11094" xr:uid="{75D72704-BC19-44A8-A3BE-AC711FE5B0FD}"/>
    <cellStyle name="Note 2 3 6 2 2 2 2" xfId="33580" xr:uid="{5D60336C-65E6-407D-8293-68A9768B5B09}"/>
    <cellStyle name="Note 2 3 6 2 2 2 3" xfId="24605" xr:uid="{1FD72AEA-3B12-403E-B040-13F3068F491E}"/>
    <cellStyle name="Note 2 3 6 2 2 3" xfId="16183" xr:uid="{3FDF11A7-5EA4-449E-BD90-49F021019B12}"/>
    <cellStyle name="Note 2 3 6 2 2 3 2" xfId="38582" xr:uid="{9FBC8237-5761-4D4F-AB75-AC2B07FDA137}"/>
    <cellStyle name="Note 2 3 6 2 2 3 3" xfId="32322" xr:uid="{30FE2ED0-80A7-4842-9891-54AC99580E84}"/>
    <cellStyle name="Note 2 3 6 2 2 4" xfId="21115" xr:uid="{BAF27968-62EA-41BB-8DA3-18D00748E142}"/>
    <cellStyle name="Note 2 3 6 2 2 4 2" xfId="53237" xr:uid="{AE52CCEA-5AA6-49AC-892D-6170EAA4E7F4}"/>
    <cellStyle name="Note 2 3 6 2 2 5" xfId="51973" xr:uid="{AE6DC1C8-73EA-40DA-AE77-A39D3CDB9D6B}"/>
    <cellStyle name="Note 2 3 6 2 3" xfId="5516" xr:uid="{00000000-0005-0000-0000-000078070000}"/>
    <cellStyle name="Note 2 3 6 2 3 2" xfId="12405" xr:uid="{95C0C009-B6EA-4A23-8196-E66D06827928}"/>
    <cellStyle name="Note 2 3 6 2 3 2 2" xfId="34890" xr:uid="{FA05E78A-9E1C-4016-9B11-1D2D63DCE481}"/>
    <cellStyle name="Note 2 3 6 2 3 2 3" xfId="45900" xr:uid="{D5BF8415-7263-4F79-ADAA-EC43BA62C809}"/>
    <cellStyle name="Note 2 3 6 2 3 3" xfId="17453" xr:uid="{0A4757D6-A637-4A79-890B-92D3230590A7}"/>
    <cellStyle name="Note 2 3 6 2 3 3 2" xfId="39843" xr:uid="{945D4D7A-C711-4924-AB08-71E94834FAF9}"/>
    <cellStyle name="Note 2 3 6 2 3 3 3" xfId="24334" xr:uid="{62A68DAC-3701-4F5F-8FE4-F42ADDDF8FB4}"/>
    <cellStyle name="Note 2 3 6 2 3 4" xfId="21877" xr:uid="{80D88E97-5C8D-466C-88D2-3A6DAB59F4FD}"/>
    <cellStyle name="Note 2 3 6 2 3 4 2" xfId="29827" xr:uid="{8A134E96-F6D8-4266-9584-79E55E986D08}"/>
    <cellStyle name="Note 2 3 6 2 3 5" xfId="54114" xr:uid="{DEB135BC-4D86-4896-BB55-1ACD221A29B0}"/>
    <cellStyle name="Note 2 3 6 2 4" xfId="5938" xr:uid="{00000000-0005-0000-0000-000078070000}"/>
    <cellStyle name="Note 2 3 6 2 4 2" xfId="12819" xr:uid="{613C81CF-E220-4C10-A16D-F4A146C200E2}"/>
    <cellStyle name="Note 2 3 6 2 4 2 2" xfId="35303" xr:uid="{27FC8CF6-9FB0-4215-806A-E22522365882}"/>
    <cellStyle name="Note 2 3 6 2 4 2 3" xfId="52732" xr:uid="{212803CF-0AAC-4313-BFA1-4D65E61D35DC}"/>
    <cellStyle name="Note 2 3 6 2 4 3" xfId="17875" xr:uid="{35AC2636-A505-4C28-ABC5-6107E9D35A31}"/>
    <cellStyle name="Note 2 3 6 2 4 3 2" xfId="40265" xr:uid="{9B7A3755-06CB-4E28-A13E-BA62086B605D}"/>
    <cellStyle name="Note 2 3 6 2 4 3 3" xfId="32290" xr:uid="{3B1F398C-E419-4D51-B6F6-1B9AA3482F48}"/>
    <cellStyle name="Note 2 3 6 2 4 4" xfId="22299" xr:uid="{F63C2A5D-019F-479C-905C-704A3D547209}"/>
    <cellStyle name="Note 2 3 6 2 4 4 2" xfId="52838" xr:uid="{F8A4B426-A6C0-4B14-B162-F08746BF66D4}"/>
    <cellStyle name="Note 2 3 6 2 4 5" xfId="52636" xr:uid="{E199FF1F-9299-4043-8D78-5E6D65DC87DE}"/>
    <cellStyle name="Note 2 3 6 2 5" xfId="6278" xr:uid="{00000000-0005-0000-0000-000078070000}"/>
    <cellStyle name="Note 2 3 6 2 5 2" xfId="13150" xr:uid="{9890A2E9-CFC4-4764-B79C-36B658622861}"/>
    <cellStyle name="Note 2 3 6 2 5 2 2" xfId="35634" xr:uid="{F1004C69-5D78-4394-80C6-892D8CC16ED4}"/>
    <cellStyle name="Note 2 3 6 2 5 2 3" xfId="52773" xr:uid="{F3EA6562-BA24-44F4-91B5-762FCA84C034}"/>
    <cellStyle name="Note 2 3 6 2 5 3" xfId="18215" xr:uid="{64BED7E9-188F-4616-956C-D98037C41A69}"/>
    <cellStyle name="Note 2 3 6 2 5 3 2" xfId="40605" xr:uid="{662592EF-D800-4C23-8199-08086312CC7E}"/>
    <cellStyle name="Note 2 3 6 2 5 3 3" xfId="28217" xr:uid="{78B8509E-9146-46C7-8881-F580545ACFB1}"/>
    <cellStyle name="Note 2 3 6 2 5 4" xfId="22639" xr:uid="{2C224217-58C8-41DE-A5A4-F526A58D38FF}"/>
    <cellStyle name="Note 2 3 6 2 5 4 2" xfId="47504" xr:uid="{D568ECCB-4FC3-459E-8BF7-FB84128DFC26}"/>
    <cellStyle name="Note 2 3 6 2 5 5" xfId="27547" xr:uid="{659FA32C-E5C7-4F74-8A64-BB26D1D15D24}"/>
    <cellStyle name="Note 2 3 6 2 6" xfId="6633" xr:uid="{00000000-0005-0000-0000-000078070000}"/>
    <cellStyle name="Note 2 3 6 2 6 2" xfId="13499" xr:uid="{25170D87-50A5-4402-BF62-4D9E96A8D6CC}"/>
    <cellStyle name="Note 2 3 6 2 6 2 2" xfId="35983" xr:uid="{3B43E794-57E9-4702-9271-D00C774C61D0}"/>
    <cellStyle name="Note 2 3 6 2 6 2 3" xfId="24793" xr:uid="{976740DB-018C-431B-80A2-BA6D7BFC2125}"/>
    <cellStyle name="Note 2 3 6 2 6 3" xfId="18570" xr:uid="{DB494C2F-39C6-48E2-9780-19CB11BBD0EA}"/>
    <cellStyle name="Note 2 3 6 2 6 3 2" xfId="40960" xr:uid="{83F83BEC-4026-42AE-985E-A2B583731841}"/>
    <cellStyle name="Note 2 3 6 2 6 3 3" xfId="26416" xr:uid="{EB2C3144-F5EC-477D-9C4A-98B93DB45E4B}"/>
    <cellStyle name="Note 2 3 6 2 6 4" xfId="22994" xr:uid="{E82CC641-8C5E-4D94-878E-EC301FB7ADB6}"/>
    <cellStyle name="Note 2 3 6 2 6 4 2" xfId="44180" xr:uid="{A831A305-6657-4602-B241-F4962B52B615}"/>
    <cellStyle name="Note 2 3 6 2 6 5" xfId="45564" xr:uid="{FBD7BFB5-01D5-4448-8B3F-076FC89AD5DB}"/>
    <cellStyle name="Note 2 3 6 2 7" xfId="4508" xr:uid="{00000000-0005-0000-0000-000078070000}"/>
    <cellStyle name="Note 2 3 6 2 7 2" xfId="11410" xr:uid="{DE0B823F-C315-44AD-9339-CD1FCA2CD874}"/>
    <cellStyle name="Note 2 3 6 2 7 2 2" xfId="33896" xr:uid="{9A78A9B8-1F9E-4C31-8C70-87BB1AB6206C}"/>
    <cellStyle name="Note 2 3 6 2 7 2 3" xfId="28280" xr:uid="{854F3183-9ADC-41D9-B282-20F7D55DB941}"/>
    <cellStyle name="Note 2 3 6 2 7 3" xfId="16445" xr:uid="{E021C347-6DE4-46A4-969A-F36A2A403E57}"/>
    <cellStyle name="Note 2 3 6 2 7 3 2" xfId="38835" xr:uid="{650805F8-22E6-4BE4-8AFE-4C0CB2300DDA}"/>
    <cellStyle name="Note 2 3 6 2 7 3 3" xfId="24386" xr:uid="{B7B8FD99-4125-40D1-8A33-BF4DBD5C8B6A}"/>
    <cellStyle name="Note 2 3 6 2 7 4" xfId="14467" xr:uid="{A7475A38-857C-4944-930C-387134455ACC}"/>
    <cellStyle name="Note 2 3 6 2 7 4 2" xfId="46841" xr:uid="{80FFA414-C950-4454-9AA9-014CD519BC8C}"/>
    <cellStyle name="Note 2 3 6 2 7 5" xfId="53775" xr:uid="{9513E70B-A830-4683-815C-3ECCE32E97C6}"/>
    <cellStyle name="Note 2 3 6 2 8" xfId="7088" xr:uid="{00000000-0005-0000-0000-000078070000}"/>
    <cellStyle name="Note 2 3 6 2 8 2" xfId="13924" xr:uid="{39C15037-1435-4EF6-8EA2-CA1A1997CE30}"/>
    <cellStyle name="Note 2 3 6 2 8 2 2" xfId="36408" xr:uid="{8AD17795-36F6-472B-AA1B-506571550463}"/>
    <cellStyle name="Note 2 3 6 2 8 2 3" xfId="45920" xr:uid="{933A9469-D942-4BD3-9C81-098FFA9EF692}"/>
    <cellStyle name="Note 2 3 6 2 8 3" xfId="19025" xr:uid="{250CCEF7-20F5-4E53-AADD-4306FFCE45B7}"/>
    <cellStyle name="Note 2 3 6 2 8 3 2" xfId="41415" xr:uid="{F9905771-9DC6-4E48-8862-E197EA3646E8}"/>
    <cellStyle name="Note 2 3 6 2 8 3 3" xfId="27030" xr:uid="{91412A4C-FCBD-4854-9F73-558016C3BC8E}"/>
    <cellStyle name="Note 2 3 6 2 8 4" xfId="23449" xr:uid="{DBE69B9E-B2A5-450E-AB26-D573769BE8CE}"/>
    <cellStyle name="Note 2 3 6 2 8 4 2" xfId="51585" xr:uid="{6F9DDEE5-78D0-4421-9742-4F93011EDD09}"/>
    <cellStyle name="Note 2 3 6 2 8 5" xfId="46435" xr:uid="{EBF1514C-A878-4B0D-A121-6B00A6FDFCD9}"/>
    <cellStyle name="Note 2 3 6 2 9" xfId="7203" xr:uid="{00000000-0005-0000-0000-000078070000}"/>
    <cellStyle name="Note 2 3 6 2 9 2" xfId="19140" xr:uid="{A208CE56-0C76-42F7-9A33-7F532C4EEF39}"/>
    <cellStyle name="Note 2 3 6 2 9 2 2" xfId="41530" xr:uid="{9DBA2C79-9B4E-412C-B496-0A20066A21F4}"/>
    <cellStyle name="Note 2 3 6 2 9 2 3" xfId="42908" xr:uid="{6763A9D4-82E3-43D5-9E3F-992E0A4E68C3}"/>
    <cellStyle name="Note 2 3 6 2 9 3" xfId="23564" xr:uid="{96205321-C7F2-4B08-B7FC-E2474FCB059A}"/>
    <cellStyle name="Note 2 3 6 2 9 3 2" xfId="44891" xr:uid="{60BDDB7E-795E-4151-95F7-40E8F6CCC063}"/>
    <cellStyle name="Note 2 3 6 2 9 4" xfId="50263" xr:uid="{6CA0B8E8-8957-458F-BAD9-C3C60405F65F}"/>
    <cellStyle name="Note 2 3 6 3" xfId="5005" xr:uid="{00000000-0005-0000-0000-000077070000}"/>
    <cellStyle name="Note 2 3 6 3 2" xfId="11899" xr:uid="{F380A4F4-8882-4876-ABC4-FA39ECDE21BF}"/>
    <cellStyle name="Note 2 3 6 3 2 2" xfId="34385" xr:uid="{AF3F0C59-1297-4C04-B4BD-8593EE44DB33}"/>
    <cellStyle name="Note 2 3 6 3 2 3" xfId="28406" xr:uid="{54FAF316-E95D-42B8-8F27-D2F0B4463D8F}"/>
    <cellStyle name="Note 2 3 6 3 3" xfId="16942" xr:uid="{EBB08B17-7858-4943-9ECD-B33E673C8D48}"/>
    <cellStyle name="Note 2 3 6 3 3 2" xfId="39332" xr:uid="{D5C52318-081D-4B09-9D96-651D0B46011F}"/>
    <cellStyle name="Note 2 3 6 3 3 3" xfId="27980" xr:uid="{B730CFE8-93D2-4269-AF40-33D4B8097970}"/>
    <cellStyle name="Note 2 3 6 3 4" xfId="21366" xr:uid="{2B8ABF46-C897-4E84-99FC-6015A61BA75E}"/>
    <cellStyle name="Note 2 3 6 3 4 2" xfId="47931" xr:uid="{9693B728-2BD9-406F-9EF3-B535894DF5DF}"/>
    <cellStyle name="Note 2 3 6 3 5" xfId="51441" xr:uid="{2F247A3D-88B6-4F0B-9FFE-94C5B9E890EC}"/>
    <cellStyle name="Note 2 3 6 4" xfId="4769" xr:uid="{00000000-0005-0000-0000-000077070000}"/>
    <cellStyle name="Note 2 3 6 4 2" xfId="11667" xr:uid="{DCA82D5A-0870-4B3B-8558-9FB56D7A3242}"/>
    <cellStyle name="Note 2 3 6 4 2 2" xfId="34153" xr:uid="{8D2E284B-BC87-434E-BC63-75200E2028DE}"/>
    <cellStyle name="Note 2 3 6 4 2 3" xfId="43569" xr:uid="{22161A60-4C10-410A-975F-A5CA0FA153FF}"/>
    <cellStyle name="Note 2 3 6 4 3" xfId="16706" xr:uid="{283B3ADD-5BEE-4849-8FBA-4AB24EC8E86D}"/>
    <cellStyle name="Note 2 3 6 4 3 2" xfId="39096" xr:uid="{DBAA1865-BF62-4AA3-BA6F-C63E750AD8A4}"/>
    <cellStyle name="Note 2 3 6 4 3 3" xfId="27776" xr:uid="{9963E6A1-3630-4683-93D4-C67C59CA3262}"/>
    <cellStyle name="Note 2 3 6 4 4" xfId="19504" xr:uid="{ABE15E73-EB94-4E1F-86B8-E3ACC6E62AED}"/>
    <cellStyle name="Note 2 3 6 4 4 2" xfId="44553" xr:uid="{A1710AA6-C169-4DF3-8588-B9286ECA16C8}"/>
    <cellStyle name="Note 2 3 6 4 5" xfId="51611" xr:uid="{5BB9A4F0-A92C-4CA2-9139-E91DEEEC420D}"/>
    <cellStyle name="Note 2 3 6 5" xfId="6177" xr:uid="{00000000-0005-0000-0000-000077070000}"/>
    <cellStyle name="Note 2 3 6 5 2" xfId="13053" xr:uid="{D8487E8B-E18B-49F0-A65C-16AB1DF105A1}"/>
    <cellStyle name="Note 2 3 6 5 2 2" xfId="35537" xr:uid="{152F6A5F-B852-4893-9621-9950C46C83F7}"/>
    <cellStyle name="Note 2 3 6 5 2 3" xfId="52833" xr:uid="{18C60469-FDF2-4692-AA08-2FA260B386F8}"/>
    <cellStyle name="Note 2 3 6 5 3" xfId="18114" xr:uid="{C518EC9C-D326-4544-9C35-2DB450F7F5FE}"/>
    <cellStyle name="Note 2 3 6 5 3 2" xfId="40504" xr:uid="{52078A8A-E530-47B7-AB6D-3BF0D94E53BD}"/>
    <cellStyle name="Note 2 3 6 5 3 3" xfId="43926" xr:uid="{560472D5-D28C-404C-BE51-DFAA77903D4A}"/>
    <cellStyle name="Note 2 3 6 5 4" xfId="22538" xr:uid="{848FF79E-5643-40CA-A72C-B9134618724D}"/>
    <cellStyle name="Note 2 3 6 5 4 2" xfId="37700" xr:uid="{D91A9A6D-A2BF-4157-8E7A-BB193AE6CB40}"/>
    <cellStyle name="Note 2 3 6 5 5" xfId="24365" xr:uid="{DF9343E6-74C4-44F2-AFB7-4D2AF9BC44F9}"/>
    <cellStyle name="Note 2 3 6 6" xfId="6691" xr:uid="{00000000-0005-0000-0000-000077070000}"/>
    <cellStyle name="Note 2 3 6 6 2" xfId="13557" xr:uid="{572AB0E1-E648-490A-B9B0-E7C5219A36E5}"/>
    <cellStyle name="Note 2 3 6 6 2 2" xfId="36041" xr:uid="{32E37FD4-87C4-4601-8D18-CA4E422B697B}"/>
    <cellStyle name="Note 2 3 6 6 2 3" xfId="47798" xr:uid="{190D75BE-4DB6-4372-99AE-D892FBD5BA80}"/>
    <cellStyle name="Note 2 3 6 6 3" xfId="18628" xr:uid="{3F91B9EA-F92E-4A56-A8DE-5DA0425F95E1}"/>
    <cellStyle name="Note 2 3 6 6 3 2" xfId="41018" xr:uid="{9DA527C7-0AF8-4865-BDD3-371BFCD8D0E1}"/>
    <cellStyle name="Note 2 3 6 6 3 3" xfId="24282" xr:uid="{E25823EA-36D0-41AF-A1DC-DFC1FA204489}"/>
    <cellStyle name="Note 2 3 6 6 4" xfId="23052" xr:uid="{00BBBB5F-CEBB-425D-A9B7-432A93C6A527}"/>
    <cellStyle name="Note 2 3 6 6 4 2" xfId="46022" xr:uid="{05C9843D-CF92-433E-8433-515BAD3510E7}"/>
    <cellStyle name="Note 2 3 6 6 5" xfId="24337" xr:uid="{B6ED559C-F1F6-4EDD-9DB2-10F0F7CB6B42}"/>
    <cellStyle name="Note 2 3 6 7" xfId="14187" xr:uid="{E5572736-54F2-49FE-8F30-A1E07FDCEDA4}"/>
    <cellStyle name="Note 2 3 6 7 2" xfId="36662" xr:uid="{1D31C385-A11E-4A27-ACC6-1E4B27A91DF6}"/>
    <cellStyle name="Note 2 3 6 7 3" xfId="44621" xr:uid="{0DC62B41-2A80-41EB-B3E6-2F82E603D20F}"/>
    <cellStyle name="Note 2 3 6 8" xfId="20504" xr:uid="{A261B60B-AA2A-46C7-9F76-2ACD5D9E4450}"/>
    <cellStyle name="Note 2 3 6 8 2" xfId="42791" xr:uid="{B2CD6D53-4BAD-4073-92A7-DDC4917E982A}"/>
    <cellStyle name="Note 2 3 6 8 3" xfId="26260" xr:uid="{612234AE-A2EE-47AA-9B4F-27F85B1A52B3}"/>
    <cellStyle name="Note 2 3 6 9" xfId="14042" xr:uid="{27F81CC0-83D8-402E-9479-A3A6DF87E828}"/>
    <cellStyle name="Note 2 3 6 9 2" xfId="46444" xr:uid="{591261F0-CF3E-49D3-9F71-A370E2F741DD}"/>
    <cellStyle name="Note 2 3 7" xfId="1640" xr:uid="{00000000-0005-0000-0000-00007B070000}"/>
    <cellStyle name="Note 2 3 7 10" xfId="14354" xr:uid="{4FC35CD3-868B-4A0C-8FFD-29D172779D33}"/>
    <cellStyle name="Note 2 3 7 10 2" xfId="36822" xr:uid="{E51B858C-ADA8-426A-AC64-21062A6C8AC8}"/>
    <cellStyle name="Note 2 3 7 10 3" xfId="27279" xr:uid="{B3ED48ED-720E-48F6-A494-0186B7E30C42}"/>
    <cellStyle name="Note 2 3 7 11" xfId="20535" xr:uid="{FE969DF1-F50E-48F9-BAF5-875899B22F5A}"/>
    <cellStyle name="Note 2 3 7 11 2" xfId="42821" xr:uid="{251E8876-2173-4F7F-94A9-47BEBE33D1E5}"/>
    <cellStyle name="Note 2 3 7 11 3" xfId="45548" xr:uid="{8CFAE2CF-DD1F-45A6-8C33-E26A5D90CD5C}"/>
    <cellStyle name="Note 2 3 7 12" xfId="15260" xr:uid="{C125CF4B-EA0D-4558-8FD7-5F81AA50634E}"/>
    <cellStyle name="Note 2 3 7 12 2" xfId="26042" xr:uid="{A6D27921-263B-48CE-906F-A4C71093C851}"/>
    <cellStyle name="Note 2 3 7 13" xfId="24047" xr:uid="{C8E1CFD4-62E6-470B-8DD8-0F279D4A8F4D}"/>
    <cellStyle name="Note 2 3 7 2" xfId="3738" xr:uid="{00000000-0005-0000-0000-000079070000}"/>
    <cellStyle name="Note 2 3 7 2 2" xfId="10642" xr:uid="{8E6EA0FC-4474-49AF-B20F-7B21601AC368}"/>
    <cellStyle name="Note 2 3 7 2 2 2" xfId="33128" xr:uid="{844B3290-35BD-444E-A0C8-D6B1CCC623F7}"/>
    <cellStyle name="Note 2 3 7 2 2 3" xfId="46799" xr:uid="{E9536B62-3F8D-47CC-ACCB-C5A24DD5095C}"/>
    <cellStyle name="Note 2 3 7 2 3" xfId="15819" xr:uid="{5E1BC09F-1272-4DE8-A40F-98665A8CF85A}"/>
    <cellStyle name="Note 2 3 7 2 3 2" xfId="38227" xr:uid="{305CEAF5-4F63-4561-9245-71E3FACD231A}"/>
    <cellStyle name="Note 2 3 7 2 3 3" xfId="51197" xr:uid="{5759B6B5-A130-48A6-85E4-3144765E30F3}"/>
    <cellStyle name="Note 2 3 7 2 4" xfId="19452" xr:uid="{AB11819C-B123-42FB-BBE1-ED1357108F98}"/>
    <cellStyle name="Note 2 3 7 2 4 2" xfId="26063" xr:uid="{F3CFE90B-2DD8-449A-B3C1-96D19220FD72}"/>
    <cellStyle name="Note 2 3 7 2 5" xfId="52311" xr:uid="{0371EC90-23B3-46AE-9B2E-FFA06CFA04C3}"/>
    <cellStyle name="Note 2 3 7 3" xfId="5173" xr:uid="{00000000-0005-0000-0000-000079070000}"/>
    <cellStyle name="Note 2 3 7 3 2" xfId="12066" xr:uid="{3A70B870-C79D-4F28-AFF7-0D5F3C5F2892}"/>
    <cellStyle name="Note 2 3 7 3 2 2" xfId="34552" xr:uid="{E35CDFD1-C9C8-4E04-95BD-E745499980B8}"/>
    <cellStyle name="Note 2 3 7 3 2 3" xfId="37841" xr:uid="{166DEADE-6155-4668-947B-4A4811B17365}"/>
    <cellStyle name="Note 2 3 7 3 3" xfId="17110" xr:uid="{9A3B36E7-F613-4AFF-8D1B-37E1FA61D108}"/>
    <cellStyle name="Note 2 3 7 3 3 2" xfId="39500" xr:uid="{84406146-4FF4-4520-9DE4-078C3D313562}"/>
    <cellStyle name="Note 2 3 7 3 3 3" xfId="28631" xr:uid="{D705461D-A75F-48BC-A0AA-3CE2D137FC8B}"/>
    <cellStyle name="Note 2 3 7 3 4" xfId="21534" xr:uid="{7506D37D-EAE2-4692-BF5A-EA148337EF38}"/>
    <cellStyle name="Note 2 3 7 3 4 2" xfId="46602" xr:uid="{60867EAF-EAD6-435A-8F57-2072B3D2B384}"/>
    <cellStyle name="Note 2 3 7 3 5" xfId="47387" xr:uid="{95760C50-0EEB-41F4-B8B0-0504831122A3}"/>
    <cellStyle name="Note 2 3 7 4" xfId="4370" xr:uid="{00000000-0005-0000-0000-000079070000}"/>
    <cellStyle name="Note 2 3 7 4 2" xfId="11273" xr:uid="{52C8790C-257C-43F5-B8A0-A1DFF4E652B8}"/>
    <cellStyle name="Note 2 3 7 4 2 2" xfId="33759" xr:uid="{561717A4-3AE7-4F2A-9AA3-C20AC8A8AA9C}"/>
    <cellStyle name="Note 2 3 7 4 2 3" xfId="28924" xr:uid="{BC37ED89-A6E3-4ADC-B25C-186CD8D8523D}"/>
    <cellStyle name="Note 2 3 7 4 3" xfId="16307" xr:uid="{4E276900-F82D-404E-B98C-9EED542D4D4D}"/>
    <cellStyle name="Note 2 3 7 4 3 2" xfId="38697" xr:uid="{0746A392-9D8F-4841-B13A-D42271149F9B}"/>
    <cellStyle name="Note 2 3 7 4 3 3" xfId="23694" xr:uid="{F9404A9E-F75D-4E3F-9002-913F1CAB8B47}"/>
    <cellStyle name="Note 2 3 7 4 4" xfId="19882" xr:uid="{47FF2A48-C4EA-461D-B60B-6D2A952E6A38}"/>
    <cellStyle name="Note 2 3 7 4 4 2" xfId="37843" xr:uid="{18064AFB-C797-4BB9-8F3D-12DEF8FF258A}"/>
    <cellStyle name="Note 2 3 7 4 5" xfId="51076" xr:uid="{A21D8431-9B42-4ACA-AAC0-E86BACD7526C}"/>
    <cellStyle name="Note 2 3 7 5" xfId="5574" xr:uid="{00000000-0005-0000-0000-000079070000}"/>
    <cellStyle name="Note 2 3 7 5 2" xfId="12459" xr:uid="{09CADDDF-0E20-4219-8CB6-CCA42D050134}"/>
    <cellStyle name="Note 2 3 7 5 2 2" xfId="34944" xr:uid="{FB14ECA3-B5D4-4BD4-8863-3FB09B177AFC}"/>
    <cellStyle name="Note 2 3 7 5 2 3" xfId="30316" xr:uid="{8CFBA067-8ACB-4778-B6EF-02CA58F87235}"/>
    <cellStyle name="Note 2 3 7 5 3" xfId="17511" xr:uid="{F1C5333D-6B69-49AB-849B-4BA8136CEC41}"/>
    <cellStyle name="Note 2 3 7 5 3 2" xfId="39901" xr:uid="{32312414-0BAB-4460-A281-42FC65C6F215}"/>
    <cellStyle name="Note 2 3 7 5 3 3" xfId="37698" xr:uid="{FE0ECDFF-668E-43FC-B659-876E998576BF}"/>
    <cellStyle name="Note 2 3 7 5 4" xfId="21935" xr:uid="{5084F164-6E14-48CC-AAF1-064D9F0AFFFB}"/>
    <cellStyle name="Note 2 3 7 5 4 2" xfId="47323" xr:uid="{E26A45C3-2F50-43A8-872D-EEB3B7F93328}"/>
    <cellStyle name="Note 2 3 7 5 5" xfId="48831" xr:uid="{A82DC148-DAE2-4213-A2D9-83F49D10505C}"/>
    <cellStyle name="Note 2 3 7 6" xfId="5052" xr:uid="{00000000-0005-0000-0000-000079070000}"/>
    <cellStyle name="Note 2 3 7 6 2" xfId="11945" xr:uid="{B0DA760F-F067-4131-9870-7363C59EA375}"/>
    <cellStyle name="Note 2 3 7 6 2 2" xfId="34431" xr:uid="{B331CAB5-F54F-40FF-963B-8833232D7274}"/>
    <cellStyle name="Note 2 3 7 6 2 3" xfId="27856" xr:uid="{D41AA59A-405F-4EA2-85B3-A6FC03D43936}"/>
    <cellStyle name="Note 2 3 7 6 3" xfId="16989" xr:uid="{9754C117-5C43-454A-9B14-9AAF5BAF8929}"/>
    <cellStyle name="Note 2 3 7 6 3 2" xfId="39379" xr:uid="{79286D2C-F998-49DE-8918-F4CDAF34D9B0}"/>
    <cellStyle name="Note 2 3 7 6 3 3" xfId="25796" xr:uid="{26FB2520-DD59-4CA6-ABFA-2CA6FAC7DBC8}"/>
    <cellStyle name="Note 2 3 7 6 4" xfId="21413" xr:uid="{37CB7E4C-0438-425C-8E67-A2D4E5DB3B13}"/>
    <cellStyle name="Note 2 3 7 6 4 2" xfId="43402" xr:uid="{D534D8B4-154F-40C5-B499-4FE7D135C503}"/>
    <cellStyle name="Note 2 3 7 6 5" xfId="43300" xr:uid="{3FB2CAA5-98CC-42A5-A8A1-6C4630532ACC}"/>
    <cellStyle name="Note 2 3 7 7" xfId="6889" xr:uid="{00000000-0005-0000-0000-000079070000}"/>
    <cellStyle name="Note 2 3 7 7 2" xfId="13727" xr:uid="{11D8728C-7B7D-4C85-915D-09ACB4A597C8}"/>
    <cellStyle name="Note 2 3 7 7 2 2" xfId="36211" xr:uid="{0EEAD43C-225A-4EC2-ACB0-A07C86C06DEA}"/>
    <cellStyle name="Note 2 3 7 7 2 3" xfId="49472" xr:uid="{A91ED6C8-9625-4BF8-B38B-00D04CA21B4B}"/>
    <cellStyle name="Note 2 3 7 7 3" xfId="18826" xr:uid="{2DF85780-1F5A-469B-A8B7-BCF34F88CB8A}"/>
    <cellStyle name="Note 2 3 7 7 3 2" xfId="41216" xr:uid="{37B39745-C721-48DB-AB69-3B5160EA7583}"/>
    <cellStyle name="Note 2 3 7 7 3 3" xfId="24716" xr:uid="{17E4D368-E6A9-4870-9915-0873436FA96A}"/>
    <cellStyle name="Note 2 3 7 7 4" xfId="23250" xr:uid="{8F989F77-7885-44D8-B303-3B73825BC053}"/>
    <cellStyle name="Note 2 3 7 7 4 2" xfId="53529" xr:uid="{A6181D0B-2342-4F3E-888E-C6901D04F870}"/>
    <cellStyle name="Note 2 3 7 7 5" xfId="52457" xr:uid="{219BF8D0-6960-4965-9B3E-E94D5C3BCCE5}"/>
    <cellStyle name="Note 2 3 7 8" xfId="6351" xr:uid="{00000000-0005-0000-0000-000079070000}"/>
    <cellStyle name="Note 2 3 7 8 2" xfId="13223" xr:uid="{27FD0FC6-B1A0-4E7B-ACEA-7839F71FCAFA}"/>
    <cellStyle name="Note 2 3 7 8 2 2" xfId="35707" xr:uid="{16646593-1712-4E24-A4F1-13E518A37C18}"/>
    <cellStyle name="Note 2 3 7 8 2 3" xfId="50581" xr:uid="{036F8406-5461-4C6B-A242-0DD181E17CA1}"/>
    <cellStyle name="Note 2 3 7 8 3" xfId="18288" xr:uid="{5DCF6DB8-67E6-40BA-9A40-B1CD68B3EB9E}"/>
    <cellStyle name="Note 2 3 7 8 3 2" xfId="40678" xr:uid="{C886E028-ABB4-4BFF-8825-66A95805F8A4}"/>
    <cellStyle name="Note 2 3 7 8 3 3" xfId="24513" xr:uid="{23047DCC-2079-4A6A-B8E9-0C93C2936EDA}"/>
    <cellStyle name="Note 2 3 7 8 4" xfId="22712" xr:uid="{68FD6EEF-FDAD-495B-A462-979D43261755}"/>
    <cellStyle name="Note 2 3 7 8 4 2" xfId="52781" xr:uid="{7771C4FF-50E2-40A0-9603-4C797DCDC7DF}"/>
    <cellStyle name="Note 2 3 7 8 5" xfId="47992" xr:uid="{BFA69880-F9BE-458B-A952-109CC71203A7}"/>
    <cellStyle name="Note 2 3 7 9" xfId="3190" xr:uid="{00000000-0005-0000-0000-000079070000}"/>
    <cellStyle name="Note 2 3 7 9 2" xfId="15470" xr:uid="{30E723A2-3F46-4349-913A-D45E0C3CE020}"/>
    <cellStyle name="Note 2 3 7 9 2 2" xfId="37896" xr:uid="{3783CB35-BF65-4ABA-8B20-0BAEFD3A2536}"/>
    <cellStyle name="Note 2 3 7 9 2 3" xfId="24081" xr:uid="{98561A88-1362-4FF3-9A37-3A23CF79759F}"/>
    <cellStyle name="Note 2 3 7 9 3" xfId="19636" xr:uid="{7536A074-2264-413E-A8A7-629994F5F926}"/>
    <cellStyle name="Note 2 3 7 9 3 2" xfId="25505" xr:uid="{3F18AFB1-E8D9-4FB9-B81C-F154080B7AE8}"/>
    <cellStyle name="Note 2 3 7 9 4" xfId="54001" xr:uid="{8FAAB316-C1EF-4B7B-BD95-274C11BB86C5}"/>
    <cellStyle name="Note 2 3 8" xfId="4418" xr:uid="{00000000-0005-0000-0000-00006E070000}"/>
    <cellStyle name="Note 2 3 8 2" xfId="11320" xr:uid="{5BCBAEDB-C061-4BB9-AF8C-640F4CC0873D}"/>
    <cellStyle name="Note 2 3 8 2 2" xfId="33806" xr:uid="{3E6D9D5A-41DB-4494-A7DE-235C2E4C4AD9}"/>
    <cellStyle name="Note 2 3 8 2 3" xfId="45476" xr:uid="{D495F00E-F2B5-424A-9CC0-DFC61014455D}"/>
    <cellStyle name="Note 2 3 8 3" xfId="16355" xr:uid="{D5A039A3-0B80-44D9-B23E-277C5F2542D9}"/>
    <cellStyle name="Note 2 3 8 3 2" xfId="38745" xr:uid="{117724CC-AE51-499B-B893-380BDD80FDD0}"/>
    <cellStyle name="Note 2 3 8 3 3" xfId="28888" xr:uid="{BB74E500-2732-45D6-A839-DE4EE2CCCA72}"/>
    <cellStyle name="Note 2 3 8 4" xfId="15846" xr:uid="{2EF816AB-BDA6-421A-9652-0D02EAF92554}"/>
    <cellStyle name="Note 2 3 8 4 2" xfId="49152" xr:uid="{6AF4D07B-5561-4459-AC8D-2A10BAB4CCE5}"/>
    <cellStyle name="Note 2 3 8 5" xfId="49942" xr:uid="{2EC541D2-4320-4AEE-8BB5-266D664B87D3}"/>
    <cellStyle name="Note 2 3 9" xfId="5705" xr:uid="{00000000-0005-0000-0000-00006E070000}"/>
    <cellStyle name="Note 2 3 9 2" xfId="12589" xr:uid="{C8729549-C25E-4F72-BB8D-C35177D0870D}"/>
    <cellStyle name="Note 2 3 9 2 2" xfId="35074" xr:uid="{C11D6AAE-3EA8-49F7-96B6-CBAD2555EA3C}"/>
    <cellStyle name="Note 2 3 9 2 3" xfId="45754" xr:uid="{0DDC2E26-B2A1-48F7-B289-39193921DC83}"/>
    <cellStyle name="Note 2 3 9 3" xfId="17642" xr:uid="{5F7E237E-4208-4F69-B584-D5EE0DEC6A20}"/>
    <cellStyle name="Note 2 3 9 3 2" xfId="40032" xr:uid="{4A2BF73C-098D-48AF-A692-06455EB5545A}"/>
    <cellStyle name="Note 2 3 9 3 3" xfId="38209" xr:uid="{E0FE408D-14CA-444B-89B3-5030F330BAD8}"/>
    <cellStyle name="Note 2 3 9 4" xfId="22066" xr:uid="{03C421ED-E86E-46A5-BCED-C8C7CDA2DB6E}"/>
    <cellStyle name="Note 2 3 9 4 2" xfId="49816" xr:uid="{0ABB6E1C-8830-426B-B887-7D6366CDAAA0}"/>
    <cellStyle name="Note 2 3 9 5" xfId="48066" xr:uid="{21E32C0D-A5B3-4196-9264-2BCB0A1A8B2D}"/>
    <cellStyle name="Note 2 4" xfId="454" xr:uid="{00000000-0005-0000-0000-00007C070000}"/>
    <cellStyle name="Note 2 4 10" xfId="4968" xr:uid="{00000000-0005-0000-0000-00007A070000}"/>
    <cellStyle name="Note 2 4 10 2" xfId="11863" xr:uid="{9D795741-2344-4EEF-88FF-051A1DFFDB4E}"/>
    <cellStyle name="Note 2 4 10 2 2" xfId="34349" xr:uid="{C559E89B-7646-49A8-A8CB-97F94C41D3A4}"/>
    <cellStyle name="Note 2 4 10 2 3" xfId="45328" xr:uid="{CA493EA2-0D3E-448B-92C2-42DE5BBF637E}"/>
    <cellStyle name="Note 2 4 10 3" xfId="16905" xr:uid="{49956DD4-4730-4244-BE37-019496FCAD52}"/>
    <cellStyle name="Note 2 4 10 3 2" xfId="39295" xr:uid="{43CF6BF0-F821-4E8E-856E-76CA815EB555}"/>
    <cellStyle name="Note 2 4 10 3 3" xfId="29508" xr:uid="{C69048E2-7E53-4C0E-820B-75FF74D0BDD9}"/>
    <cellStyle name="Note 2 4 10 4" xfId="21329" xr:uid="{3A53AEEB-9BEB-4BA0-9A9C-A6883BD8D41B}"/>
    <cellStyle name="Note 2 4 10 4 2" xfId="29943" xr:uid="{13E93E59-2274-48CD-926F-7F748D9E9641}"/>
    <cellStyle name="Note 2 4 10 5" xfId="43294" xr:uid="{69415BD1-CB00-4239-BDA7-0148A2212246}"/>
    <cellStyle name="Note 2 4 11" xfId="6017" xr:uid="{00000000-0005-0000-0000-00007A070000}"/>
    <cellStyle name="Note 2 4 11 2" xfId="12898" xr:uid="{DC105C99-00F6-49AB-98C5-D8CECE415910}"/>
    <cellStyle name="Note 2 4 11 2 2" xfId="35382" xr:uid="{484DCB46-52CA-4654-9B35-E340A283FA1F}"/>
    <cellStyle name="Note 2 4 11 2 3" xfId="46344" xr:uid="{3593D8AF-E23F-4D80-A2F0-1567C14C2C01}"/>
    <cellStyle name="Note 2 4 11 3" xfId="17954" xr:uid="{D2B7A139-8D2B-4AE9-AA2F-433BE456EE53}"/>
    <cellStyle name="Note 2 4 11 3 2" xfId="40344" xr:uid="{59E236C4-4329-4D00-A37A-B39CE9BB49ED}"/>
    <cellStyle name="Note 2 4 11 3 3" xfId="24029" xr:uid="{68796610-F85E-4056-91F0-40467CC2BB3E}"/>
    <cellStyle name="Note 2 4 11 4" xfId="22378" xr:uid="{80FB0EA6-9C74-40FF-80BB-0E8C3841F390}"/>
    <cellStyle name="Note 2 4 11 4 2" xfId="29242" xr:uid="{2E7A3C23-79EF-47AD-BB2E-001C8B57F1B9}"/>
    <cellStyle name="Note 2 4 11 5" xfId="48791" xr:uid="{BACFD785-81E1-4E3F-B3D5-A121150BDB9D}"/>
    <cellStyle name="Note 2 4 12" xfId="14025" xr:uid="{CCB83EEC-84E1-406A-8EBD-1F834B310351}"/>
    <cellStyle name="Note 2 4 12 2" xfId="36508" xr:uid="{682D50CE-6044-4A4C-8BBF-0CFD957B80EC}"/>
    <cellStyle name="Note 2 4 12 3" xfId="49110" xr:uid="{7EFDC0A2-3A9F-442B-8A12-BCA2D4F0BC47}"/>
    <cellStyle name="Note 2 4 13" xfId="19898" xr:uid="{645DB97C-F601-4B29-A5AA-9B7F6490B58A}"/>
    <cellStyle name="Note 2 4 13 2" xfId="42231" xr:uid="{ED7D1D88-AA43-4682-A557-1D6414517DBF}"/>
    <cellStyle name="Note 2 4 13 3" xfId="29681" xr:uid="{C3F80C8D-5584-48E5-BF49-E3E1F8CCA373}"/>
    <cellStyle name="Note 2 4 14" xfId="14869" xr:uid="{C3C820EC-FACE-4274-BDD3-7973D503939E}"/>
    <cellStyle name="Note 2 4 14 2" xfId="25877" xr:uid="{A13D4CE8-24BA-4E4D-8113-02BE3ACEF2D9}"/>
    <cellStyle name="Note 2 4 15" xfId="31970" xr:uid="{DFABB0A9-5B42-4172-B1BD-BEE06914FE75}"/>
    <cellStyle name="Note 2 4 2" xfId="607" xr:uid="{00000000-0005-0000-0000-00007D070000}"/>
    <cellStyle name="Note 2 4 2 10" xfId="50304" xr:uid="{1AF7A58B-5EC1-4D85-BC62-771F0BF9931D}"/>
    <cellStyle name="Note 2 4 2 2" xfId="1741" xr:uid="{00000000-0005-0000-0000-00007E070000}"/>
    <cellStyle name="Note 2 4 2 2 10" xfId="14442" xr:uid="{223FA4DA-3E1A-4D5A-9037-A95312604FEC}"/>
    <cellStyle name="Note 2 4 2 2 10 2" xfId="36908" xr:uid="{D2C5FF83-09F7-4716-8648-B667090E4ADC}"/>
    <cellStyle name="Note 2 4 2 2 10 3" xfId="52574" xr:uid="{B745B4B7-6AF0-4CBF-A4F2-5491C1DD028F}"/>
    <cellStyle name="Note 2 4 2 2 11" xfId="21126" xr:uid="{85D5F0D4-F1FB-4314-A493-858731C60186}"/>
    <cellStyle name="Note 2 4 2 2 11 2" xfId="43371" xr:uid="{ABAC1020-E1C1-45A4-91C4-575DD3D23735}"/>
    <cellStyle name="Note 2 4 2 2 11 3" xfId="44266" xr:uid="{E6113D9B-2080-4A21-8866-1198F453E6A2}"/>
    <cellStyle name="Note 2 4 2 2 12" xfId="9024" xr:uid="{4A673935-8896-4BC4-9403-7787701E8F40}"/>
    <cellStyle name="Note 2 4 2 2 12 2" xfId="48118" xr:uid="{489D954F-3A22-4D8B-AA69-CCA85AFAB459}"/>
    <cellStyle name="Note 2 4 2 2 13" xfId="50895" xr:uid="{DAF0872B-0A6A-4408-9253-F18E797F8447}"/>
    <cellStyle name="Note 2 4 2 2 2" xfId="3839" xr:uid="{00000000-0005-0000-0000-00007C070000}"/>
    <cellStyle name="Note 2 4 2 2 2 2" xfId="10743" xr:uid="{D94218A3-BC2A-409F-B9D8-9ADF3868AD33}"/>
    <cellStyle name="Note 2 4 2 2 2 2 2" xfId="33229" xr:uid="{A3ACE022-4FD3-4B2D-9B43-A29AE3256A28}"/>
    <cellStyle name="Note 2 4 2 2 2 2 3" xfId="50975" xr:uid="{431E0275-7626-45E9-A0AA-B83C128A5BF5}"/>
    <cellStyle name="Note 2 4 2 2 2 3" xfId="15899" xr:uid="{58571E00-C55E-49C7-AD42-045C5858DC28}"/>
    <cellStyle name="Note 2 4 2 2 2 3 2" xfId="38305" xr:uid="{5F5EE486-09E6-413F-A625-4237B7AF36EA}"/>
    <cellStyle name="Note 2 4 2 2 2 3 3" xfId="27297" xr:uid="{341FBEFD-D793-407D-9D2B-A21520AADC16}"/>
    <cellStyle name="Note 2 4 2 2 2 4" xfId="20784" xr:uid="{8BEB9A0C-5115-4FF7-907D-AE6B99B3C249}"/>
    <cellStyle name="Note 2 4 2 2 2 4 2" xfId="27536" xr:uid="{C3BC905E-51A9-43FE-BA04-702D511F5560}"/>
    <cellStyle name="Note 2 4 2 2 2 5" xfId="48323" xr:uid="{46C64C7C-CB6C-4FDB-829D-C1FE1B0790FB}"/>
    <cellStyle name="Note 2 4 2 2 3" xfId="5255" xr:uid="{00000000-0005-0000-0000-00007C070000}"/>
    <cellStyle name="Note 2 4 2 2 3 2" xfId="12147" xr:uid="{BC938C7A-8E75-41A6-A502-D9678371423E}"/>
    <cellStyle name="Note 2 4 2 2 3 2 2" xfId="34632" xr:uid="{11C109E9-C31D-4367-BCD9-CD434D8A9D14}"/>
    <cellStyle name="Note 2 4 2 2 3 2 3" xfId="28252" xr:uid="{FA5711B2-E0B1-46BE-B4D1-1A54CD0CCAB4}"/>
    <cellStyle name="Note 2 4 2 2 3 3" xfId="17192" xr:uid="{ECAADA6D-4A75-4682-BCB3-C00A9443C8BB}"/>
    <cellStyle name="Note 2 4 2 2 3 3 2" xfId="39582" xr:uid="{EE286F85-15CF-42EE-9D27-C447F195B5D0}"/>
    <cellStyle name="Note 2 4 2 2 3 3 3" xfId="28432" xr:uid="{4DA4EEAB-964F-4DE2-A965-09BCAB8C3702}"/>
    <cellStyle name="Note 2 4 2 2 3 4" xfId="21616" xr:uid="{CA23F1E6-D923-4843-8149-A625E33C9C1F}"/>
    <cellStyle name="Note 2 4 2 2 3 4 2" xfId="49063" xr:uid="{64BC1E3B-7A5A-4809-ACA3-D9D461E38D17}"/>
    <cellStyle name="Note 2 4 2 2 3 5" xfId="46880" xr:uid="{5CE91D33-5C16-4BD7-BAB8-E07975486C8C}"/>
    <cellStyle name="Note 2 4 2 2 4" xfId="5667" xr:uid="{00000000-0005-0000-0000-00007C070000}"/>
    <cellStyle name="Note 2 4 2 2 4 2" xfId="12551" xr:uid="{D4B3D83C-0366-4903-AE95-3BEADB820B15}"/>
    <cellStyle name="Note 2 4 2 2 4 2 2" xfId="35036" xr:uid="{C9F20594-2425-44B1-AE8E-464003A40E09}"/>
    <cellStyle name="Note 2 4 2 2 4 2 3" xfId="29261" xr:uid="{7615980F-0B79-4DD5-886D-13B221532A22}"/>
    <cellStyle name="Note 2 4 2 2 4 3" xfId="17604" xr:uid="{8CB60461-9595-4EF5-B27C-6E62C36EECB2}"/>
    <cellStyle name="Note 2 4 2 2 4 3 2" xfId="39994" xr:uid="{CBD021DB-DF02-4E9D-8313-B15B1070DE0C}"/>
    <cellStyle name="Note 2 4 2 2 4 3 3" xfId="36918" xr:uid="{1CA0E8AE-2B1B-4C53-B358-0E5E049D53F5}"/>
    <cellStyle name="Note 2 4 2 2 4 4" xfId="22028" xr:uid="{8485F572-4529-4A2B-874B-4AB92FB0D81B}"/>
    <cellStyle name="Note 2 4 2 2 4 4 2" xfId="45066" xr:uid="{F38FD004-FDA5-4CDB-A541-F71D84AAC30C}"/>
    <cellStyle name="Note 2 4 2 2 4 5" xfId="47650" xr:uid="{82E6DDC4-8EDF-4515-BF79-9EADE6D6C711}"/>
    <cellStyle name="Note 2 4 2 2 5" xfId="4941" xr:uid="{00000000-0005-0000-0000-00007C070000}"/>
    <cellStyle name="Note 2 4 2 2 5 2" xfId="11836" xr:uid="{E29BC331-F677-4DCB-8A7F-147BF36391F7}"/>
    <cellStyle name="Note 2 4 2 2 5 2 2" xfId="34322" xr:uid="{F7F0BE0E-97AB-4B20-9FAB-2B68610D9250}"/>
    <cellStyle name="Note 2 4 2 2 5 2 3" xfId="42224" xr:uid="{CF35507C-ACF8-4989-B77D-131B4CB2F9A4}"/>
    <cellStyle name="Note 2 4 2 2 5 3" xfId="16878" xr:uid="{BB859CD6-F9B0-4FE6-B06D-E8B87401A427}"/>
    <cellStyle name="Note 2 4 2 2 5 3 2" xfId="39268" xr:uid="{752B2098-35CC-4FB2-9B26-77B06A7B3AFF}"/>
    <cellStyle name="Note 2 4 2 2 5 3 3" xfId="37944" xr:uid="{08775A2A-634C-42EF-B143-82A3371E70FB}"/>
    <cellStyle name="Note 2 4 2 2 5 4" xfId="21302" xr:uid="{36DD5F78-5CF0-48BD-BAFF-CDFF0750D4D6}"/>
    <cellStyle name="Note 2 4 2 2 5 4 2" xfId="45489" xr:uid="{ECF1DD08-E987-4418-BA8A-89B649CB6CDC}"/>
    <cellStyle name="Note 2 4 2 2 5 5" xfId="47862" xr:uid="{9603A1F4-F5D8-4E66-A298-8968EFF83C1C}"/>
    <cellStyle name="Note 2 4 2 2 6" xfId="6406" xr:uid="{00000000-0005-0000-0000-00007C070000}"/>
    <cellStyle name="Note 2 4 2 2 6 2" xfId="13278" xr:uid="{F46A2D69-8673-4D8D-8BE9-C08C3F3AABBC}"/>
    <cellStyle name="Note 2 4 2 2 6 2 2" xfId="35762" xr:uid="{6A43C95F-1E8D-48AF-AA10-9C901D3D6931}"/>
    <cellStyle name="Note 2 4 2 2 6 2 3" xfId="50782" xr:uid="{D4CB7B23-E5F0-40F9-A936-C6BEBEEAE9E3}"/>
    <cellStyle name="Note 2 4 2 2 6 3" xfId="18343" xr:uid="{AFB962C7-D2E5-43B4-962E-654875FA75A9}"/>
    <cellStyle name="Note 2 4 2 2 6 3 2" xfId="40733" xr:uid="{82AFDDCE-4A64-4B4B-BF4F-F3F261315EF2}"/>
    <cellStyle name="Note 2 4 2 2 6 3 3" xfId="29509" xr:uid="{7940DCE5-0E8A-4693-A5F7-8A0F64F5D2FD}"/>
    <cellStyle name="Note 2 4 2 2 6 4" xfId="22767" xr:uid="{A919FEB3-4EDE-4951-923E-3991C348CF8E}"/>
    <cellStyle name="Note 2 4 2 2 6 4 2" xfId="25131" xr:uid="{9E95CEC6-F3E3-4ECD-8DDC-97B0D5E5897E}"/>
    <cellStyle name="Note 2 4 2 2 6 5" xfId="50358" xr:uid="{7BCCE3A0-6A46-440E-B958-BA73F75675B9}"/>
    <cellStyle name="Note 2 4 2 2 7" xfId="6688" xr:uid="{00000000-0005-0000-0000-00007C070000}"/>
    <cellStyle name="Note 2 4 2 2 7 2" xfId="13554" xr:uid="{883F731A-24D5-4AE0-BF13-6304C10C4DC0}"/>
    <cellStyle name="Note 2 4 2 2 7 2 2" xfId="36038" xr:uid="{4B448984-2E0D-4356-964C-82325CF90FC7}"/>
    <cellStyle name="Note 2 4 2 2 7 2 3" xfId="49704" xr:uid="{BB20B605-B56B-4854-A3E4-F19AC869DB40}"/>
    <cellStyle name="Note 2 4 2 2 7 3" xfId="18625" xr:uid="{2BF7D793-5511-4819-97B6-CA43D3840BF3}"/>
    <cellStyle name="Note 2 4 2 2 7 3 2" xfId="41015" xr:uid="{FB0A858F-B75A-4B29-9F21-71AAF32B36FC}"/>
    <cellStyle name="Note 2 4 2 2 7 3 3" xfId="26227" xr:uid="{C4E8B0B5-812B-45F4-B94E-625ABBBF34E0}"/>
    <cellStyle name="Note 2 4 2 2 7 4" xfId="23049" xr:uid="{77BD9AD1-7C17-4A4E-8905-AEA01FD13957}"/>
    <cellStyle name="Note 2 4 2 2 7 4 2" xfId="38324" xr:uid="{BF5B893B-9176-4624-B9B8-C69F84C40654}"/>
    <cellStyle name="Note 2 4 2 2 7 5" xfId="48905" xr:uid="{7261E248-C04D-40DC-AC6D-02FBBDBE7DCA}"/>
    <cellStyle name="Note 2 4 2 2 8" xfId="6923" xr:uid="{00000000-0005-0000-0000-00007C070000}"/>
    <cellStyle name="Note 2 4 2 2 8 2" xfId="13761" xr:uid="{9A7BEE13-6650-485A-BFB5-56E36D9D2FB7}"/>
    <cellStyle name="Note 2 4 2 2 8 2 2" xfId="36245" xr:uid="{7C52B618-C736-4A60-8666-7829BD266308}"/>
    <cellStyle name="Note 2 4 2 2 8 2 3" xfId="52836" xr:uid="{0B733F83-F7A3-4738-B4BB-4E500FE2626A}"/>
    <cellStyle name="Note 2 4 2 2 8 3" xfId="18860" xr:uid="{8D0C0B0B-9426-41C1-8A99-F6259692C865}"/>
    <cellStyle name="Note 2 4 2 2 8 3 2" xfId="41250" xr:uid="{F5816296-F498-4A7B-B732-C2B353614334}"/>
    <cellStyle name="Note 2 4 2 2 8 3 3" xfId="45413" xr:uid="{BFAFBC57-E3FD-4A22-8941-A4909AF7450B}"/>
    <cellStyle name="Note 2 4 2 2 8 4" xfId="23284" xr:uid="{00976D08-E564-46D0-B8B2-0B753E432B5F}"/>
    <cellStyle name="Note 2 4 2 2 8 4 2" xfId="47025" xr:uid="{796FE871-88DC-45AC-922A-CFA0EBB99B8A}"/>
    <cellStyle name="Note 2 4 2 2 8 5" xfId="48886" xr:uid="{1D182B8F-666F-4898-9023-06B49B23AD61}"/>
    <cellStyle name="Note 2 4 2 2 9" xfId="5848" xr:uid="{00000000-0005-0000-0000-00007C070000}"/>
    <cellStyle name="Note 2 4 2 2 9 2" xfId="17785" xr:uid="{8FFF8A22-13CC-447D-8FDC-239A6FAB8D30}"/>
    <cellStyle name="Note 2 4 2 2 9 2 2" xfId="40175" xr:uid="{11BEB441-9578-461B-ABDA-40370338A513}"/>
    <cellStyle name="Note 2 4 2 2 9 2 3" xfId="42289" xr:uid="{2B3C380B-0A11-48A4-AD60-81FE8942C8A3}"/>
    <cellStyle name="Note 2 4 2 2 9 3" xfId="22209" xr:uid="{4016CF7A-4FFF-49D8-BB91-A0ABEFC5F812}"/>
    <cellStyle name="Note 2 4 2 2 9 3 2" xfId="30783" xr:uid="{D6DD018B-7E26-40C3-A7BC-98D095FDFA8A}"/>
    <cellStyle name="Note 2 4 2 2 9 4" xfId="44683" xr:uid="{FB7B3839-EC23-430C-BBA3-ABB612B63E6B}"/>
    <cellStyle name="Note 2 4 2 3" xfId="4546" xr:uid="{00000000-0005-0000-0000-00007B070000}"/>
    <cellStyle name="Note 2 4 2 3 2" xfId="11448" xr:uid="{60600949-1505-40F0-B784-0093D956F5C5}"/>
    <cellStyle name="Note 2 4 2 3 2 2" xfId="33934" xr:uid="{3F395EA5-E846-45DF-870F-5A93EC8F4564}"/>
    <cellStyle name="Note 2 4 2 3 2 3" xfId="26836" xr:uid="{0A42955F-0E1B-4474-8A50-AF92B5CC4B04}"/>
    <cellStyle name="Note 2 4 2 3 3" xfId="16483" xr:uid="{76665789-2660-4AA5-86E5-B2C8727948FE}"/>
    <cellStyle name="Note 2 4 2 3 3 2" xfId="38873" xr:uid="{3F5770BC-4D9E-41D4-91BB-4C39A7F91D27}"/>
    <cellStyle name="Note 2 4 2 3 3 3" xfId="29865" xr:uid="{F9E69737-037B-46C5-9BEE-ED352AE1A825}"/>
    <cellStyle name="Note 2 4 2 3 4" xfId="14384" xr:uid="{4808C85B-9D01-4C58-B000-E560DC392FA0}"/>
    <cellStyle name="Note 2 4 2 3 4 2" xfId="48713" xr:uid="{32DA3E50-99C8-457F-9D1D-6364692414F1}"/>
    <cellStyle name="Note 2 4 2 3 5" xfId="37096" xr:uid="{6CEE56A7-4560-4F45-A37B-17F33F894086}"/>
    <cellStyle name="Note 2 4 2 4" xfId="5596" xr:uid="{00000000-0005-0000-0000-00007B070000}"/>
    <cellStyle name="Note 2 4 2 4 2" xfId="12481" xr:uid="{5769EAD8-EDDE-48C8-8478-02FBFA8F7E8B}"/>
    <cellStyle name="Note 2 4 2 4 2 2" xfId="34966" xr:uid="{83F91104-CAA6-42FD-95DD-B0429E3E3D9A}"/>
    <cellStyle name="Note 2 4 2 4 2 3" xfId="42776" xr:uid="{119E83EE-1A21-40F4-8999-3BCAF32C3982}"/>
    <cellStyle name="Note 2 4 2 4 3" xfId="17533" xr:uid="{FCD28D7E-33CC-4E80-B6E0-F4718418D1AF}"/>
    <cellStyle name="Note 2 4 2 4 3 2" xfId="39923" xr:uid="{B9C9A58E-22FC-4D72-9141-2EAF877245AE}"/>
    <cellStyle name="Note 2 4 2 4 3 3" xfId="31964" xr:uid="{1D43FCAF-5AB3-4F09-8BE8-76E326B6E4E0}"/>
    <cellStyle name="Note 2 4 2 4 4" xfId="21957" xr:uid="{6A60C983-3DA7-42B9-97FF-74849AAE1264}"/>
    <cellStyle name="Note 2 4 2 4 4 2" xfId="26592" xr:uid="{3B82D0B6-CBB0-4916-8077-46A94DD01D6D}"/>
    <cellStyle name="Note 2 4 2 4 5" xfId="31985" xr:uid="{3C2515CF-661B-40A8-8908-D128E057EF93}"/>
    <cellStyle name="Note 2 4 2 5" xfId="6186" xr:uid="{00000000-0005-0000-0000-00007B070000}"/>
    <cellStyle name="Note 2 4 2 5 2" xfId="13061" xr:uid="{69CE457A-9964-4E98-9F23-0F9D8D8FC421}"/>
    <cellStyle name="Note 2 4 2 5 2 2" xfId="35545" xr:uid="{9ADC73DA-9C49-4F59-BA47-A96C1BA14306}"/>
    <cellStyle name="Note 2 4 2 5 2 3" xfId="26476" xr:uid="{D469004D-1F9A-4355-807F-B412C5E9A926}"/>
    <cellStyle name="Note 2 4 2 5 3" xfId="18123" xr:uid="{98EF0C81-E5A6-4657-8205-D866E4229C35}"/>
    <cellStyle name="Note 2 4 2 5 3 2" xfId="40513" xr:uid="{C917C897-C680-4AF7-ABE8-1E3932E883D2}"/>
    <cellStyle name="Note 2 4 2 5 3 3" xfId="43749" xr:uid="{5A2142C1-3CFE-4E41-AD67-7F4353D99AE4}"/>
    <cellStyle name="Note 2 4 2 5 4" xfId="22547" xr:uid="{ECC578D7-93DA-4A57-97DB-A9348D96FDA8}"/>
    <cellStyle name="Note 2 4 2 5 4 2" xfId="51454" xr:uid="{F87FC31A-1CBE-4981-B1F5-1BD420347533}"/>
    <cellStyle name="Note 2 4 2 5 5" xfId="47076" xr:uid="{EEC18B6E-FBEE-47EF-B12B-9340C4BBCB55}"/>
    <cellStyle name="Note 2 4 2 6" xfId="5488" xr:uid="{00000000-0005-0000-0000-00007B070000}"/>
    <cellStyle name="Note 2 4 2 6 2" xfId="12377" xr:uid="{89EC5BBB-F38A-4546-829B-8F2A8236DA00}"/>
    <cellStyle name="Note 2 4 2 6 2 2" xfId="34862" xr:uid="{CBE60F73-D470-46CE-9D05-30D62C5ADCD7}"/>
    <cellStyle name="Note 2 4 2 6 2 3" xfId="43992" xr:uid="{8C3560C2-6803-419E-9C02-F65BAB14FB00}"/>
    <cellStyle name="Note 2 4 2 6 3" xfId="17425" xr:uid="{9E2229BB-A173-4A30-B9CE-FFBEE6EC6055}"/>
    <cellStyle name="Note 2 4 2 6 3 2" xfId="39815" xr:uid="{19F1A233-DAF8-4B5D-905F-BA52392E7042}"/>
    <cellStyle name="Note 2 4 2 6 3 3" xfId="26600" xr:uid="{0B72B5CB-F122-4E65-9C1F-0107009A2365}"/>
    <cellStyle name="Note 2 4 2 6 4" xfId="21849" xr:uid="{CB19FE06-F9DE-4899-ABA1-C650AF9242CB}"/>
    <cellStyle name="Note 2 4 2 6 4 2" xfId="46412" xr:uid="{F1FD896B-F71A-409A-995B-FBB9181239FC}"/>
    <cellStyle name="Note 2 4 2 6 5" xfId="28515" xr:uid="{10913CD3-2787-41FD-873E-F2C51C0F3B31}"/>
    <cellStyle name="Note 2 4 2 7" xfId="9153" xr:uid="{8CD903BC-C046-4B2A-896C-B4367B8B69F2}"/>
    <cellStyle name="Note 2 4 2 7 2" xfId="31729" xr:uid="{E4F8D338-5B50-4B8B-8D1D-ED1A34C30A78}"/>
    <cellStyle name="Note 2 4 2 7 3" xfId="51202" xr:uid="{C8C25802-CC89-45DD-8F8B-B187F8959676}"/>
    <cellStyle name="Note 2 4 2 8" xfId="19666" xr:uid="{AD79979A-1455-4BA2-AE5C-9B643227E142}"/>
    <cellStyle name="Note 2 4 2 8 2" xfId="42014" xr:uid="{5D4E26E5-801D-4FF3-AC2D-EA6B44B232A0}"/>
    <cellStyle name="Note 2 4 2 8 3" xfId="25312" xr:uid="{A1A2CAED-BA6A-4D8F-AF82-319A7AFE17AE}"/>
    <cellStyle name="Note 2 4 2 9" xfId="20035" xr:uid="{60E65252-DCCF-4F51-BBC6-EA4384B3D9CB}"/>
    <cellStyle name="Note 2 4 2 9 2" xfId="43634" xr:uid="{BBA38CCC-25FC-4433-901E-AA5857D273A5}"/>
    <cellStyle name="Note 2 4 3" xfId="854" xr:uid="{00000000-0005-0000-0000-00007F070000}"/>
    <cellStyle name="Note 2 4 3 10" xfId="28291" xr:uid="{6FF17140-2CCB-4E73-A7B4-4946A46DCDF9}"/>
    <cellStyle name="Note 2 4 3 2" xfId="1839" xr:uid="{00000000-0005-0000-0000-000080070000}"/>
    <cellStyle name="Note 2 4 3 2 10" xfId="14523" xr:uid="{7409932A-FADC-4ECA-9CE5-4FA03297CE90}"/>
    <cellStyle name="Note 2 4 3 2 10 2" xfId="36984" xr:uid="{D009E564-0024-4BA5-857D-0E43AD86065B}"/>
    <cellStyle name="Note 2 4 3 2 10 3" xfId="27225" xr:uid="{3EC0D25A-50EC-4779-880B-5D512421B04A}"/>
    <cellStyle name="Note 2 4 3 2 11" xfId="21020" xr:uid="{4139E2B6-6028-4AF6-A7FF-E25CB0FDA47E}"/>
    <cellStyle name="Note 2 4 3 2 11 2" xfId="43270" xr:uid="{EABB1955-6621-4DC7-ADAA-D4B72828B463}"/>
    <cellStyle name="Note 2 4 3 2 11 3" xfId="28573" xr:uid="{68539422-B1F5-40A2-9D1E-69DE5D0CAA5F}"/>
    <cellStyle name="Note 2 4 3 2 12" xfId="14468" xr:uid="{C4EEB378-8421-46DA-9933-872C6F3CE9C0}"/>
    <cellStyle name="Note 2 4 3 2 12 2" xfId="44892" xr:uid="{A720F2DF-6C43-4479-B24D-6625013B3024}"/>
    <cellStyle name="Note 2 4 3 2 13" xfId="51377" xr:uid="{CFA1D228-DC57-4F07-AC33-CACF35D2B738}"/>
    <cellStyle name="Note 2 4 3 2 2" xfId="3937" xr:uid="{00000000-0005-0000-0000-00007E070000}"/>
    <cellStyle name="Note 2 4 3 2 2 2" xfId="10841" xr:uid="{4EACDF06-0A55-4B06-AEB8-7C51D108E9D8}"/>
    <cellStyle name="Note 2 4 3 2 2 2 2" xfId="33327" xr:uid="{82734BFB-372F-43EF-930D-87762A29DB34}"/>
    <cellStyle name="Note 2 4 3 2 2 2 3" xfId="49233" xr:uid="{0EE305AB-842B-4160-8EF6-5DFB86F6A27E}"/>
    <cellStyle name="Note 2 4 3 2 2 3" xfId="15979" xr:uid="{5EFB774F-5429-4D88-9DD5-2267DBF10E6F}"/>
    <cellStyle name="Note 2 4 3 2 2 3 2" xfId="38382" xr:uid="{3C855F4C-0D21-49D3-A7EB-C9D11EDF29F4}"/>
    <cellStyle name="Note 2 4 3 2 2 3 3" xfId="52117" xr:uid="{A22C43FF-4BD1-484D-A8B0-57EB71D3B0CE}"/>
    <cellStyle name="Note 2 4 3 2 2 4" xfId="14277" xr:uid="{BB960C0C-478F-40E4-AE61-FB18D67F14E4}"/>
    <cellStyle name="Note 2 4 3 2 2 4 2" xfId="49258" xr:uid="{958C6F10-DF58-4223-81F2-2801940EE7FB}"/>
    <cellStyle name="Note 2 4 3 2 2 5" xfId="49887" xr:uid="{6F93CF8A-24FC-4A49-8B4F-C884B966C1AA}"/>
    <cellStyle name="Note 2 4 3 2 3" xfId="5332" xr:uid="{00000000-0005-0000-0000-00007E070000}"/>
    <cellStyle name="Note 2 4 3 2 3 2" xfId="12224" xr:uid="{8967ADC6-E2A0-40CE-A5F1-323F93211E0C}"/>
    <cellStyle name="Note 2 4 3 2 3 2 2" xfId="34709" xr:uid="{0DD20C66-B042-49FF-BDF2-4DB3C03BD056}"/>
    <cellStyle name="Note 2 4 3 2 3 2 3" xfId="45733" xr:uid="{ACB83DE7-4098-4E9E-B7B1-E646BDE4AECF}"/>
    <cellStyle name="Note 2 4 3 2 3 3" xfId="17269" xr:uid="{73BFEC2F-BFEC-418D-9035-2E5A290A52CA}"/>
    <cellStyle name="Note 2 4 3 2 3 3 2" xfId="39659" xr:uid="{7DB48B7E-7C89-46EC-9445-81814EDC4CB6}"/>
    <cellStyle name="Note 2 4 3 2 3 3 3" xfId="28638" xr:uid="{07975687-5288-4E5B-8376-A120C8522678}"/>
    <cellStyle name="Note 2 4 3 2 3 4" xfId="21693" xr:uid="{C345E1BA-57D1-4B8C-92AF-4234B8BE594B}"/>
    <cellStyle name="Note 2 4 3 2 3 4 2" xfId="47497" xr:uid="{4F1372D0-8717-4DA7-AE61-46DAE176B039}"/>
    <cellStyle name="Note 2 4 3 2 3 5" xfId="46570" xr:uid="{9A01E5CF-D0AD-4BC3-AF6E-55B87902A996}"/>
    <cellStyle name="Note 2 4 3 2 4" xfId="5742" xr:uid="{00000000-0005-0000-0000-00007E070000}"/>
    <cellStyle name="Note 2 4 3 2 4 2" xfId="12626" xr:uid="{EA32E3FB-628E-4972-91BE-412DE0140648}"/>
    <cellStyle name="Note 2 4 3 2 4 2 2" xfId="35111" xr:uid="{E8514C56-78F4-4E89-A1AE-E9ABDEA6FC20}"/>
    <cellStyle name="Note 2 4 3 2 4 2 3" xfId="37925" xr:uid="{AB597A41-C3EA-4252-9397-59FC3B92F407}"/>
    <cellStyle name="Note 2 4 3 2 4 3" xfId="17679" xr:uid="{20CD1D65-EE42-4DD3-A0F8-A2A2DACBDBAB}"/>
    <cellStyle name="Note 2 4 3 2 4 3 2" xfId="40069" xr:uid="{776CC55D-809F-4BFE-8140-ECD2DCA3F24B}"/>
    <cellStyle name="Note 2 4 3 2 4 3 3" xfId="27743" xr:uid="{C04A2925-0F4E-4CF0-9219-1EA33DA75CAF}"/>
    <cellStyle name="Note 2 4 3 2 4 4" xfId="22103" xr:uid="{B965AA8D-EAF4-4C0A-9870-6EA49FF4724E}"/>
    <cellStyle name="Note 2 4 3 2 4 4 2" xfId="51131" xr:uid="{DA2786F7-576F-430D-B394-92928312F2BE}"/>
    <cellStyle name="Note 2 4 3 2 4 5" xfId="48205" xr:uid="{A260B4F8-F770-4F8C-B7AD-194CCD858CA4}"/>
    <cellStyle name="Note 2 4 3 2 5" xfId="6096" xr:uid="{00000000-0005-0000-0000-00007E070000}"/>
    <cellStyle name="Note 2 4 3 2 5 2" xfId="12974" xr:uid="{96123EB1-8379-4715-8FC0-D9585CBE8D82}"/>
    <cellStyle name="Note 2 4 3 2 5 2 2" xfId="35458" xr:uid="{CB69917F-1860-4901-BA10-349ADEDE7017}"/>
    <cellStyle name="Note 2 4 3 2 5 2 3" xfId="53975" xr:uid="{D162F674-860F-4530-8731-E4A564F9B18C}"/>
    <cellStyle name="Note 2 4 3 2 5 3" xfId="18033" xr:uid="{4DE6A992-97ED-4839-B0C8-50CC24BB207E}"/>
    <cellStyle name="Note 2 4 3 2 5 3 2" xfId="40423" xr:uid="{4D041021-C423-4262-957B-DC0DEE3AA095}"/>
    <cellStyle name="Note 2 4 3 2 5 3 3" xfId="32487" xr:uid="{7B85CF0C-2161-40C9-A0CF-A8D4F26559EA}"/>
    <cellStyle name="Note 2 4 3 2 5 4" xfId="22457" xr:uid="{A6D8AC94-E586-4491-93AD-A0A4F34EA3CF}"/>
    <cellStyle name="Note 2 4 3 2 5 4 2" xfId="51128" xr:uid="{B465B088-5A65-41F6-B19E-49E120A390E1}"/>
    <cellStyle name="Note 2 4 3 2 5 5" xfId="53988" xr:uid="{8ECA4768-CE76-4CCE-AAAB-0708C54912E3}"/>
    <cellStyle name="Note 2 4 3 2 6" xfId="6471" xr:uid="{00000000-0005-0000-0000-00007E070000}"/>
    <cellStyle name="Note 2 4 3 2 6 2" xfId="13341" xr:uid="{AF930DC1-88D9-47CA-8FB6-C19A32EB3D4A}"/>
    <cellStyle name="Note 2 4 3 2 6 2 2" xfId="35825" xr:uid="{998E76D6-AA1A-400B-A362-E3B19332DA69}"/>
    <cellStyle name="Note 2 4 3 2 6 2 3" xfId="50489" xr:uid="{B0A1B9CD-9F0C-4942-9BA2-7B9B194D974F}"/>
    <cellStyle name="Note 2 4 3 2 6 3" xfId="18408" xr:uid="{64B366B8-7C34-4448-9F75-8C7E215D3DEC}"/>
    <cellStyle name="Note 2 4 3 2 6 3 2" xfId="40798" xr:uid="{4F56F60A-13D0-4069-A46E-9D9CA15231D3}"/>
    <cellStyle name="Note 2 4 3 2 6 3 3" xfId="44640" xr:uid="{910F0DFA-8654-413F-A469-90EBF13EEC2E}"/>
    <cellStyle name="Note 2 4 3 2 6 4" xfId="22832" xr:uid="{407D8872-FBEE-47A3-9B18-7885D2E3EE34}"/>
    <cellStyle name="Note 2 4 3 2 6 4 2" xfId="27738" xr:uid="{1ADFDB46-E714-41EB-A41D-F36E0EF550DB}"/>
    <cellStyle name="Note 2 4 3 2 6 5" xfId="53454" xr:uid="{9C451473-A362-4C28-B167-FD2121B43F8B}"/>
    <cellStyle name="Note 2 4 3 2 7" xfId="4625" xr:uid="{00000000-0005-0000-0000-00007E070000}"/>
    <cellStyle name="Note 2 4 3 2 7 2" xfId="11526" xr:uid="{0B9E8559-6729-48B1-B31E-15D2FD0B5CE1}"/>
    <cellStyle name="Note 2 4 3 2 7 2 2" xfId="34012" xr:uid="{F4E791B2-8E46-47DB-B3EC-E4AC6E1A2C98}"/>
    <cellStyle name="Note 2 4 3 2 7 2 3" xfId="38177" xr:uid="{B06B6C67-B5DF-4144-801B-C32D43058B05}"/>
    <cellStyle name="Note 2 4 3 2 7 3" xfId="16562" xr:uid="{506639A7-97DE-4135-9367-CC7BCCA6ECF7}"/>
    <cellStyle name="Note 2 4 3 2 7 3 2" xfId="38952" xr:uid="{DE4CA3E3-515D-43F1-8D40-9A52BDA40D8C}"/>
    <cellStyle name="Note 2 4 3 2 7 3 3" xfId="29697" xr:uid="{F2DAF636-F43F-4B27-8F3D-F5ACC76BC299}"/>
    <cellStyle name="Note 2 4 3 2 7 4" xfId="20821" xr:uid="{6873AD9E-93BA-4475-85FF-4CBC67D3A23F}"/>
    <cellStyle name="Note 2 4 3 2 7 4 2" xfId="50256" xr:uid="{1BDA6116-C93D-4739-A2A0-B1BA1DD06894}"/>
    <cellStyle name="Note 2 4 3 2 7 5" xfId="51478" xr:uid="{4DEAD3E4-30AF-40A4-9710-FCF01ABE2F77}"/>
    <cellStyle name="Note 2 4 3 2 8" xfId="6971" xr:uid="{00000000-0005-0000-0000-00007E070000}"/>
    <cellStyle name="Note 2 4 3 2 8 2" xfId="13808" xr:uid="{1FE9528A-1EEB-4028-A872-BF5FBD2E2554}"/>
    <cellStyle name="Note 2 4 3 2 8 2 2" xfId="36292" xr:uid="{81BAB4B8-4B88-48A3-B63A-D526D23CCA33}"/>
    <cellStyle name="Note 2 4 3 2 8 2 3" xfId="53563" xr:uid="{8A5A28F8-CB5E-4C97-973E-072B3BC531A3}"/>
    <cellStyle name="Note 2 4 3 2 8 3" xfId="18908" xr:uid="{2338DC0F-F7CF-4A58-B19B-979C504246F4}"/>
    <cellStyle name="Note 2 4 3 2 8 3 2" xfId="41298" xr:uid="{8D15F389-5D97-4ACA-9CAE-9173B825E098}"/>
    <cellStyle name="Note 2 4 3 2 8 3 3" xfId="28980" xr:uid="{2B3D3C49-4D4B-49A2-9901-F9F3938DD365}"/>
    <cellStyle name="Note 2 4 3 2 8 4" xfId="23332" xr:uid="{7E2CA775-3905-4BB6-B146-EE2FA23C9212}"/>
    <cellStyle name="Note 2 4 3 2 8 4 2" xfId="26203" xr:uid="{3334A6AB-36D8-4BD9-BF61-0A1F1B12C974}"/>
    <cellStyle name="Note 2 4 3 2 8 5" xfId="48400" xr:uid="{3FA8B9BA-081D-4C66-A3BD-DD01920C719E}"/>
    <cellStyle name="Note 2 4 3 2 9" xfId="7114" xr:uid="{00000000-0005-0000-0000-00007E070000}"/>
    <cellStyle name="Note 2 4 3 2 9 2" xfId="19051" xr:uid="{3E3EF7A4-827A-4097-98A1-B9C08FADE4FA}"/>
    <cellStyle name="Note 2 4 3 2 9 2 2" xfId="41441" xr:uid="{50A91D3E-17F6-4E79-A637-43E8F70A65C5}"/>
    <cellStyle name="Note 2 4 3 2 9 2 3" xfId="26239" xr:uid="{DA90C1AB-CB53-43C0-AFBE-831E3B29F0C8}"/>
    <cellStyle name="Note 2 4 3 2 9 3" xfId="23475" xr:uid="{281CF79A-A807-407A-A98C-ADA9D8FBEF17}"/>
    <cellStyle name="Note 2 4 3 2 9 3 2" xfId="51024" xr:uid="{99184E16-8F13-4775-AD26-B17E3F22A4A4}"/>
    <cellStyle name="Note 2 4 3 2 9 4" xfId="53567" xr:uid="{65B1071A-68ED-45E5-AB7F-836A84A1DB6C}"/>
    <cellStyle name="Note 2 4 3 3" xfId="4698" xr:uid="{00000000-0005-0000-0000-00007D070000}"/>
    <cellStyle name="Note 2 4 3 3 2" xfId="11596" xr:uid="{737A228D-C689-4991-B20A-6DBE07E24D13}"/>
    <cellStyle name="Note 2 4 3 3 2 2" xfId="34082" xr:uid="{01349844-9062-414D-BC44-D5503DBE4F29}"/>
    <cellStyle name="Note 2 4 3 3 2 3" xfId="27458" xr:uid="{C1DBD07A-4E0D-40C8-934E-92191661A0A9}"/>
    <cellStyle name="Note 2 4 3 3 3" xfId="16635" xr:uid="{08F11380-A1DE-40D0-AE72-5FEF458B69CD}"/>
    <cellStyle name="Note 2 4 3 3 3 2" xfId="39025" xr:uid="{27AC4140-0BAE-4A58-8738-7754F0D76C6A}"/>
    <cellStyle name="Note 2 4 3 3 3 3" xfId="42785" xr:uid="{139781BB-4E17-47A9-8406-6DCDF7ADEA85}"/>
    <cellStyle name="Note 2 4 3 3 4" xfId="19765" xr:uid="{872A670F-4936-4BB8-A1B4-2E92354C5770}"/>
    <cellStyle name="Note 2 4 3 3 4 2" xfId="28993" xr:uid="{5108262D-82B2-4BB5-8CBD-814054760219}"/>
    <cellStyle name="Note 2 4 3 3 5" xfId="47820" xr:uid="{48B5EE73-3000-4028-9977-A835809709E1}"/>
    <cellStyle name="Note 2 4 3 4" xfId="5221" xr:uid="{00000000-0005-0000-0000-00007D070000}"/>
    <cellStyle name="Note 2 4 3 4 2" xfId="12113" xr:uid="{378AC9D6-1C5D-407E-9361-9A5D6F69014A}"/>
    <cellStyle name="Note 2 4 3 4 2 2" xfId="34598" xr:uid="{5FCDDA3A-452B-47F1-BBC6-9788B197BB05}"/>
    <cellStyle name="Note 2 4 3 4 2 3" xfId="44256" xr:uid="{36079031-D02F-450F-A867-360FA620944F}"/>
    <cellStyle name="Note 2 4 3 4 3" xfId="17158" xr:uid="{92E55ED4-4052-4CD1-B016-B0844B44DC54}"/>
    <cellStyle name="Note 2 4 3 4 3 2" xfId="39548" xr:uid="{05B95899-6143-4F01-BC10-9D036D8CF8AB}"/>
    <cellStyle name="Note 2 4 3 4 3 3" xfId="29449" xr:uid="{E0A30BBE-FD71-4628-ABE0-38AFC9F82CB6}"/>
    <cellStyle name="Note 2 4 3 4 4" xfId="21582" xr:uid="{27A409A7-7049-4E97-9B72-E080FF630777}"/>
    <cellStyle name="Note 2 4 3 4 4 2" xfId="27866" xr:uid="{1D4CDBC8-927F-4952-82AD-9871AE4D4802}"/>
    <cellStyle name="Note 2 4 3 4 5" xfId="46223" xr:uid="{BE06F1E1-B8BD-4227-B5EC-DDF474F9D245}"/>
    <cellStyle name="Note 2 4 3 5" xfId="4501" xr:uid="{00000000-0005-0000-0000-00007D070000}"/>
    <cellStyle name="Note 2 4 3 5 2" xfId="11403" xr:uid="{C1EF8641-4268-49FE-B26E-11335F3A4E88}"/>
    <cellStyle name="Note 2 4 3 5 2 2" xfId="33889" xr:uid="{E122D784-CFB6-48C3-8CB5-41AA8AAF8F69}"/>
    <cellStyle name="Note 2 4 3 5 2 3" xfId="29547" xr:uid="{E7A9FEAB-0C8D-482F-8177-4DF1A40C88DB}"/>
    <cellStyle name="Note 2 4 3 5 3" xfId="16438" xr:uid="{11DB4EC9-D81F-46E2-9879-F69AF2FB6845}"/>
    <cellStyle name="Note 2 4 3 5 3 2" xfId="38828" xr:uid="{5D9FED8E-286C-4F90-993B-6303BBD70356}"/>
    <cellStyle name="Note 2 4 3 5 3 3" xfId="45440" xr:uid="{C6AE6178-B715-419E-9DF8-758717FEB8CB}"/>
    <cellStyle name="Note 2 4 3 5 4" xfId="15685" xr:uid="{32E03CE2-D0A2-499C-B6D4-497F33AF6ED4}"/>
    <cellStyle name="Note 2 4 3 5 4 2" xfId="50272" xr:uid="{744442CD-C91C-47BD-ADD4-6651CBBED7DF}"/>
    <cellStyle name="Note 2 4 3 5 5" xfId="46037" xr:uid="{0CC7403A-6B8C-4448-86AC-ECBCF764FE6B}"/>
    <cellStyle name="Note 2 4 3 6" xfId="4568" xr:uid="{00000000-0005-0000-0000-00007D070000}"/>
    <cellStyle name="Note 2 4 3 6 2" xfId="11470" xr:uid="{13DEF98C-57AC-41CC-A869-6E0A71D6C8B1}"/>
    <cellStyle name="Note 2 4 3 6 2 2" xfId="33956" xr:uid="{301F3E41-F5BF-4357-8460-2C00A31C85A6}"/>
    <cellStyle name="Note 2 4 3 6 2 3" xfId="27789" xr:uid="{ECDA0EB6-39BA-4134-AD08-64913EF9C28B}"/>
    <cellStyle name="Note 2 4 3 6 3" xfId="16505" xr:uid="{E5F41544-8151-403A-ACDB-1E50A9DE8C23}"/>
    <cellStyle name="Note 2 4 3 6 3 2" xfId="38895" xr:uid="{E705B81B-8CFE-4A12-8AE5-532D65C4E653}"/>
    <cellStyle name="Note 2 4 3 6 3 3" xfId="45593" xr:uid="{E9AF0267-49D6-4F86-948A-591B1C3AD96A}"/>
    <cellStyle name="Note 2 4 3 6 4" xfId="20919" xr:uid="{2284DFE1-69C9-48EB-915C-D3C9BF386766}"/>
    <cellStyle name="Note 2 4 3 6 4 2" xfId="53900" xr:uid="{AB10FAA3-E0F4-4020-BBCE-3D8D4A25BCFA}"/>
    <cellStyle name="Note 2 4 3 6 5" xfId="49797" xr:uid="{57855C4D-497E-41BD-805B-7D66E5AC7D34}"/>
    <cellStyle name="Note 2 4 3 7" xfId="7355" xr:uid="{404E3CA0-5B2E-42D8-AB47-B6DE07C1A4C2}"/>
    <cellStyle name="Note 2 4 3 7 2" xfId="30040" xr:uid="{39A2E6FA-E0E2-4191-A844-15F3CC3C6FC2}"/>
    <cellStyle name="Note 2 4 3 7 3" xfId="50286" xr:uid="{0878FCB0-732C-42AB-9859-85A300C0A091}"/>
    <cellStyle name="Note 2 4 3 8" xfId="19418" xr:uid="{063689CD-4A3B-44FF-B860-C14A791D2340}"/>
    <cellStyle name="Note 2 4 3 8 2" xfId="41790" xr:uid="{DB3BA332-7212-444B-BBF2-FDE06813B7C2}"/>
    <cellStyle name="Note 2 4 3 8 3" xfId="32619" xr:uid="{097EA1F0-765D-4D87-9668-9E97F0A06C64}"/>
    <cellStyle name="Note 2 4 3 9" xfId="21265" xr:uid="{EED1C5DE-A5B9-487E-8C65-40879274CB4F}"/>
    <cellStyle name="Note 2 4 3 9 2" xfId="32620" xr:uid="{D96F0B8F-E0AF-4A44-9C77-9490A39753DA}"/>
    <cellStyle name="Note 2 4 4" xfId="1041" xr:uid="{00000000-0005-0000-0000-000081070000}"/>
    <cellStyle name="Note 2 4 4 10" xfId="44202" xr:uid="{150B320A-E7F3-4679-9943-96355F6FFF49}"/>
    <cellStyle name="Note 2 4 4 2" xfId="1931" xr:uid="{00000000-0005-0000-0000-000082070000}"/>
    <cellStyle name="Note 2 4 4 2 10" xfId="14601" xr:uid="{504F0E13-BEA1-47AB-9825-8F1FCDEFA19A}"/>
    <cellStyle name="Note 2 4 4 2 10 2" xfId="37062" xr:uid="{E8294EFB-9B3F-432A-8938-97E09692C0E7}"/>
    <cellStyle name="Note 2 4 4 2 10 3" xfId="47939" xr:uid="{AA1559F1-7099-410F-95DD-C1AC00FBADCF}"/>
    <cellStyle name="Note 2 4 4 2 11" xfId="20762" xr:uid="{EA0C49B0-37C3-463F-9DB7-76196D787B53}"/>
    <cellStyle name="Note 2 4 4 2 11 2" xfId="43030" xr:uid="{0A3E17C8-1D03-41B9-AAE4-DB0478E59852}"/>
    <cellStyle name="Note 2 4 4 2 11 3" xfId="50313" xr:uid="{48B29181-4013-4754-A80F-7CCB24A3ACE9}"/>
    <cellStyle name="Note 2 4 4 2 12" xfId="14328" xr:uid="{C2DA3DE4-0A08-48E2-B424-626119F23613}"/>
    <cellStyle name="Note 2 4 4 2 12 2" xfId="54101" xr:uid="{A0A9A0F7-584B-4EC5-AF05-218E04A148B9}"/>
    <cellStyle name="Note 2 4 4 2 13" xfId="49323" xr:uid="{66E2F949-4955-4DED-91AE-52EF2AD9C5A2}"/>
    <cellStyle name="Note 2 4 4 2 2" xfId="4028" xr:uid="{00000000-0005-0000-0000-000080070000}"/>
    <cellStyle name="Note 2 4 4 2 2 2" xfId="10932" xr:uid="{958C0921-ACCD-4498-8CBA-BA6138C377AA}"/>
    <cellStyle name="Note 2 4 4 2 2 2 2" xfId="33418" xr:uid="{2F9271DA-E8AE-41C1-8C00-197B102091AE}"/>
    <cellStyle name="Note 2 4 4 2 2 2 3" xfId="45938" xr:uid="{19A0663E-0B79-4ED9-9902-EF0B1A59B5AF}"/>
    <cellStyle name="Note 2 4 4 2 2 3" xfId="16052" xr:uid="{F13FCC35-27AA-4450-A941-4DF1ABA4F56E}"/>
    <cellStyle name="Note 2 4 4 2 2 3 2" xfId="38453" xr:uid="{C334B4C7-29C3-4678-8B35-25D61DB9CA33}"/>
    <cellStyle name="Note 2 4 4 2 2 3 3" xfId="44774" xr:uid="{26CC4695-5E1E-46BE-BCA7-949F12AF63EB}"/>
    <cellStyle name="Note 2 4 4 2 2 4" xfId="19933" xr:uid="{B3773491-4131-447D-A57A-9CBECF7BBFCE}"/>
    <cellStyle name="Note 2 4 4 2 2 4 2" xfId="42437" xr:uid="{87528BFD-3C2C-49CA-8AAA-51916E6300E2}"/>
    <cellStyle name="Note 2 4 4 2 2 5" xfId="23975" xr:uid="{736F391B-8301-41A5-97D4-722A5A2156E5}"/>
    <cellStyle name="Note 2 4 4 2 3" xfId="5403" xr:uid="{00000000-0005-0000-0000-000080070000}"/>
    <cellStyle name="Note 2 4 4 2 3 2" xfId="12294" xr:uid="{1B2A0F0D-D2D6-4631-998B-76C6B5B75960}"/>
    <cellStyle name="Note 2 4 4 2 3 2 2" xfId="34779" xr:uid="{ADBFF78A-E5AB-4716-A3E7-07FA70F5F03C}"/>
    <cellStyle name="Note 2 4 4 2 3 2 3" xfId="41973" xr:uid="{EFFE139C-4034-4F15-85E4-73164DA44CB8}"/>
    <cellStyle name="Note 2 4 4 2 3 3" xfId="17340" xr:uid="{8E1C2210-2AB0-4D55-B8A2-32D228B85898}"/>
    <cellStyle name="Note 2 4 4 2 3 3 2" xfId="39730" xr:uid="{B014ED7E-D7BC-4B0C-AC2A-F8F60E56D46D}"/>
    <cellStyle name="Note 2 4 4 2 3 3 3" xfId="28006" xr:uid="{5C42CCEA-4E94-4D59-AE52-A4B036AA66A8}"/>
    <cellStyle name="Note 2 4 4 2 3 4" xfId="21764" xr:uid="{34BCFF45-1055-4968-9335-BEDAAE7CABC9}"/>
    <cellStyle name="Note 2 4 4 2 3 4 2" xfId="53282" xr:uid="{0E3DBABD-A016-458F-A918-B7DDA554D7D7}"/>
    <cellStyle name="Note 2 4 4 2 3 5" xfId="49867" xr:uid="{9B28B20A-CA72-4C16-8C29-5C6B5380B21E}"/>
    <cellStyle name="Note 2 4 4 2 4" xfId="5816" xr:uid="{00000000-0005-0000-0000-000080070000}"/>
    <cellStyle name="Note 2 4 4 2 4 2" xfId="12699" xr:uid="{B115ABE5-27FC-434E-B60F-46210D08FEC0}"/>
    <cellStyle name="Note 2 4 4 2 4 2 2" xfId="35184" xr:uid="{C3F115DC-722C-4F75-947E-DC6F629F51CB}"/>
    <cellStyle name="Note 2 4 4 2 4 2 3" xfId="25234" xr:uid="{F7A8BDE9-BA03-4552-ABDD-0B6950F1D1E0}"/>
    <cellStyle name="Note 2 4 4 2 4 3" xfId="17753" xr:uid="{C25C3A5A-6D56-47E0-B703-226DF91D04C5}"/>
    <cellStyle name="Note 2 4 4 2 4 3 2" xfId="40143" xr:uid="{E2A8935C-6715-43DB-8AAB-8C1ED22617E3}"/>
    <cellStyle name="Note 2 4 4 2 4 3 3" xfId="29021" xr:uid="{00B776FE-8352-4952-8BA4-98A002EB808E}"/>
    <cellStyle name="Note 2 4 4 2 4 4" xfId="22177" xr:uid="{28F4CF37-0656-43DB-8AB6-BDFBB91E4D80}"/>
    <cellStyle name="Note 2 4 4 2 4 4 2" xfId="53219" xr:uid="{00C13D62-D0CA-4D52-BB41-AC75AC99DF19}"/>
    <cellStyle name="Note 2 4 4 2 4 5" xfId="47494" xr:uid="{1DBA28DD-BA82-450C-9F79-C3E0BBF89E11}"/>
    <cellStyle name="Note 2 4 4 2 5" xfId="6160" xr:uid="{00000000-0005-0000-0000-000080070000}"/>
    <cellStyle name="Note 2 4 4 2 5 2" xfId="13037" xr:uid="{D385E516-2050-4B79-842E-E21C1B1E34C0}"/>
    <cellStyle name="Note 2 4 4 2 5 2 2" xfId="35521" xr:uid="{98F9ED48-329E-47F0-A9C0-7D503696B002}"/>
    <cellStyle name="Note 2 4 4 2 5 2 3" xfId="53831" xr:uid="{A6BFCC82-AF41-4892-B284-11A9C175FDE3}"/>
    <cellStyle name="Note 2 4 4 2 5 3" xfId="18097" xr:uid="{A1C8CD73-E292-42D6-9AE2-51E3F00C69BC}"/>
    <cellStyle name="Note 2 4 4 2 5 3 2" xfId="40487" xr:uid="{3104C4F7-C17B-433B-A241-4A2806162D17}"/>
    <cellStyle name="Note 2 4 4 2 5 3 3" xfId="30559" xr:uid="{3343EB0E-0A74-4FA2-A31A-E817FAD8619C}"/>
    <cellStyle name="Note 2 4 4 2 5 4" xfId="22521" xr:uid="{D5DEDA8B-BC8C-4AC9-9BAC-6EE08877F96E}"/>
    <cellStyle name="Note 2 4 4 2 5 4 2" xfId="46336" xr:uid="{401938AF-2041-4173-AEE6-6459781FC766}"/>
    <cellStyle name="Note 2 4 4 2 5 5" xfId="51445" xr:uid="{C086CF4E-3281-4C74-AA0F-260627E99461}"/>
    <cellStyle name="Note 2 4 4 2 6" xfId="6533" xr:uid="{00000000-0005-0000-0000-000080070000}"/>
    <cellStyle name="Note 2 4 4 2 6 2" xfId="13402" xr:uid="{D5925D94-9DF5-4C68-A5A6-93555FF77E0C}"/>
    <cellStyle name="Note 2 4 4 2 6 2 2" xfId="35886" xr:uid="{4F27CCDE-73A9-4BFB-ACF4-FB4577BF4373}"/>
    <cellStyle name="Note 2 4 4 2 6 2 3" xfId="28603" xr:uid="{6C4A143D-3EF2-43D8-B243-16F72DFD62A5}"/>
    <cellStyle name="Note 2 4 4 2 6 3" xfId="18470" xr:uid="{E039E520-D8F6-4CD2-BF17-543E8B53C6C9}"/>
    <cellStyle name="Note 2 4 4 2 6 3 2" xfId="40860" xr:uid="{3D6D2943-8A5F-4126-A668-2C706D4AD591}"/>
    <cellStyle name="Note 2 4 4 2 6 3 3" xfId="45897" xr:uid="{F6F7FE2D-36EB-4C36-8F8C-18D07F6FD7A1}"/>
    <cellStyle name="Note 2 4 4 2 6 4" xfId="22894" xr:uid="{D5D6CD83-E58A-49BA-9BEF-77D543F01CBE}"/>
    <cellStyle name="Note 2 4 4 2 6 4 2" xfId="47373" xr:uid="{C81781A1-907A-4F9F-8813-9105275A5BF5}"/>
    <cellStyle name="Note 2 4 4 2 6 5" xfId="52657" xr:uid="{F3A68E67-6B38-4B38-94A3-6F018BE2EF07}"/>
    <cellStyle name="Note 2 4 4 2 7" xfId="6311" xr:uid="{00000000-0005-0000-0000-000080070000}"/>
    <cellStyle name="Note 2 4 4 2 7 2" xfId="13183" xr:uid="{EF74C718-AD3F-4899-8D4B-D21AAA77E48A}"/>
    <cellStyle name="Note 2 4 4 2 7 2 2" xfId="35667" xr:uid="{58EC851E-2BF2-44CF-8202-3291A83D25F6}"/>
    <cellStyle name="Note 2 4 4 2 7 2 3" xfId="47990" xr:uid="{63CCFE7A-4DF0-400D-AC10-8C65320E9868}"/>
    <cellStyle name="Note 2 4 4 2 7 3" xfId="18248" xr:uid="{4BA5C8A4-0EB3-43E3-8051-29AA266E6CF3}"/>
    <cellStyle name="Note 2 4 4 2 7 3 2" xfId="40638" xr:uid="{9F29F3C2-4F1B-42B0-A993-573A8AB4C3AC}"/>
    <cellStyle name="Note 2 4 4 2 7 3 3" xfId="45067" xr:uid="{FFACA1D5-0391-4C9C-9711-8D0897885139}"/>
    <cellStyle name="Note 2 4 4 2 7 4" xfId="22672" xr:uid="{2C05D642-F5DB-48D6-AC93-D43E81843A47}"/>
    <cellStyle name="Note 2 4 4 2 7 4 2" xfId="43211" xr:uid="{AB36C709-DEC0-44E6-B1D7-7A860B3E2477}"/>
    <cellStyle name="Note 2 4 4 2 7 5" xfId="52237" xr:uid="{92F62CD3-A08E-43A7-B229-BF072379104E}"/>
    <cellStyle name="Note 2 4 4 2 8" xfId="7017" xr:uid="{00000000-0005-0000-0000-000080070000}"/>
    <cellStyle name="Note 2 4 4 2 8 2" xfId="13854" xr:uid="{D7CED815-6A27-4DB7-B897-5A8D24115534}"/>
    <cellStyle name="Note 2 4 4 2 8 2 2" xfId="36338" xr:uid="{104EC486-F324-46B9-BE07-566999E92A52}"/>
    <cellStyle name="Note 2 4 4 2 8 2 3" xfId="51861" xr:uid="{04F54ADB-0742-41AB-B135-81144DFBE4A3}"/>
    <cellStyle name="Note 2 4 4 2 8 3" xfId="18954" xr:uid="{A8830320-1A55-4EA9-980B-63B8745B8446}"/>
    <cellStyle name="Note 2 4 4 2 8 3 2" xfId="41344" xr:uid="{9793B34C-6BA6-4405-AB0A-B311EAF25B9C}"/>
    <cellStyle name="Note 2 4 4 2 8 3 3" xfId="36608" xr:uid="{794DF4FA-BF31-4136-8B70-BFE45EA4E02A}"/>
    <cellStyle name="Note 2 4 4 2 8 4" xfId="23378" xr:uid="{BD3EE286-EAF2-4DC4-B0A3-7AAEBA24E3C4}"/>
    <cellStyle name="Note 2 4 4 2 8 4 2" xfId="46624" xr:uid="{554F56F7-A586-4360-8CC7-D134ABB73FA2}"/>
    <cellStyle name="Note 2 4 4 2 8 5" xfId="44394" xr:uid="{EAFF3130-02C5-46ED-9E69-3134267C22FF}"/>
    <cellStyle name="Note 2 4 4 2 9" xfId="7133" xr:uid="{00000000-0005-0000-0000-000080070000}"/>
    <cellStyle name="Note 2 4 4 2 9 2" xfId="19070" xr:uid="{BE14FFD2-8F07-44B8-9364-9F2CCC901B53}"/>
    <cellStyle name="Note 2 4 4 2 9 2 2" xfId="41460" xr:uid="{6F42DD4B-A7E2-40AE-A813-2318EA360326}"/>
    <cellStyle name="Note 2 4 4 2 9 2 3" xfId="28772" xr:uid="{82E3415E-3207-4DC9-BDFD-4B1DF342D437}"/>
    <cellStyle name="Note 2 4 4 2 9 3" xfId="23494" xr:uid="{8707E5B2-52A9-4F66-919F-FAA604679D44}"/>
    <cellStyle name="Note 2 4 4 2 9 3 2" xfId="52806" xr:uid="{0B008E87-6758-42B6-85BA-41352D8B4097}"/>
    <cellStyle name="Note 2 4 4 2 9 4" xfId="41619" xr:uid="{08493289-15F0-4669-AC0D-5863FD6708DA}"/>
    <cellStyle name="Note 2 4 4 3" xfId="4815" xr:uid="{00000000-0005-0000-0000-00007F070000}"/>
    <cellStyle name="Note 2 4 4 3 2" xfId="11712" xr:uid="{013312F4-66F8-49D3-926D-A6A6A3264A34}"/>
    <cellStyle name="Note 2 4 4 3 2 2" xfId="34198" xr:uid="{216924DB-29D1-4F52-ABEB-A4A89685791B}"/>
    <cellStyle name="Note 2 4 4 3 2 3" xfId="30978" xr:uid="{3199D3A7-45D6-4383-8E13-FE7349124D4C}"/>
    <cellStyle name="Note 2 4 4 3 3" xfId="16752" xr:uid="{043BD0DA-818D-4D8D-BD8F-4EBB30B86BA5}"/>
    <cellStyle name="Note 2 4 4 3 3 2" xfId="39142" xr:uid="{753A8681-4F17-49C4-B9CA-8D8AD26CADF0}"/>
    <cellStyle name="Note 2 4 4 3 3 3" xfId="30563" xr:uid="{DBEDF5FF-9E15-4700-88B8-C03805025A57}"/>
    <cellStyle name="Note 2 4 4 3 4" xfId="19557" xr:uid="{613B0A18-ED0B-44A4-84D4-300BD1A32D99}"/>
    <cellStyle name="Note 2 4 4 3 4 2" xfId="28703" xr:uid="{52F79B5A-E209-49F0-9C3E-61B1D28CAB88}"/>
    <cellStyle name="Note 2 4 4 3 5" xfId="53401" xr:uid="{CE4B3689-39AD-4DA9-A5CE-32671B057598}"/>
    <cellStyle name="Note 2 4 4 4" xfId="5146" xr:uid="{00000000-0005-0000-0000-00007F070000}"/>
    <cellStyle name="Note 2 4 4 4 2" xfId="12039" xr:uid="{708AC51D-3B94-425B-9516-40093644E2D7}"/>
    <cellStyle name="Note 2 4 4 4 2 2" xfId="34525" xr:uid="{867F76C1-6514-40A5-81E7-6BCAF3D6FCA4}"/>
    <cellStyle name="Note 2 4 4 4 2 3" xfId="24611" xr:uid="{3CA700A1-FC0B-46FA-866E-E41CCD6A3FDD}"/>
    <cellStyle name="Note 2 4 4 4 3" xfId="17083" xr:uid="{140C895C-0F98-4D35-9157-E0B9A30F21A0}"/>
    <cellStyle name="Note 2 4 4 4 3 2" xfId="39473" xr:uid="{2967C94A-1E04-4C3B-A034-616FE02EC51F}"/>
    <cellStyle name="Note 2 4 4 4 3 3" xfId="44918" xr:uid="{E73B6A4F-FA3E-4555-9947-B23F2221F6D4}"/>
    <cellStyle name="Note 2 4 4 4 4" xfId="21507" xr:uid="{371696A1-6BBC-4E6F-8675-84E9A43CE6D5}"/>
    <cellStyle name="Note 2 4 4 4 4 2" xfId="45236" xr:uid="{C279E7E2-0022-4085-9EFA-9782C70F8ED0}"/>
    <cellStyle name="Note 2 4 4 4 5" xfId="52394" xr:uid="{0C92F848-F25A-4AB7-8621-66145AABBF80}"/>
    <cellStyle name="Note 2 4 4 5" xfId="3137" xr:uid="{00000000-0005-0000-0000-00007F070000}"/>
    <cellStyle name="Note 2 4 4 5 2" xfId="10046" xr:uid="{249F0AA7-52A7-488E-8776-1CB46CC654C8}"/>
    <cellStyle name="Note 2 4 4 5 2 2" xfId="32553" xr:uid="{556A5F46-0519-42E6-A93D-3BDDF6FC991C}"/>
    <cellStyle name="Note 2 4 4 5 2 3" xfId="45173" xr:uid="{E5B1D7AE-196F-44A2-AD6F-3258225E7BFD}"/>
    <cellStyle name="Note 2 4 4 5 3" xfId="15424" xr:uid="{99F5F8D3-3413-4662-9021-A39112A02265}"/>
    <cellStyle name="Note 2 4 4 5 3 2" xfId="37850" xr:uid="{383768E2-3222-41F6-95D7-BF6F0946152B}"/>
    <cellStyle name="Note 2 4 4 5 3 3" xfId="53208" xr:uid="{E899C03F-5F55-455E-8BA7-D555562782A9}"/>
    <cellStyle name="Note 2 4 4 5 4" xfId="16278" xr:uid="{3DDE03C8-9AFA-4A4D-A90B-A3A9AD52FC62}"/>
    <cellStyle name="Note 2 4 4 5 4 2" xfId="26397" xr:uid="{B6F1575D-0E1D-4503-8D50-B2104598CC8C}"/>
    <cellStyle name="Note 2 4 4 5 5" xfId="29212" xr:uid="{C029B132-96FE-45F7-89B3-78E989F4DA02}"/>
    <cellStyle name="Note 2 4 4 6" xfId="4832" xr:uid="{00000000-0005-0000-0000-00007F070000}"/>
    <cellStyle name="Note 2 4 4 6 2" xfId="11729" xr:uid="{85F8807A-D8DA-4C74-84FD-21AEE7712AA2}"/>
    <cellStyle name="Note 2 4 4 6 2 2" xfId="34215" xr:uid="{56276A06-362C-4941-B00D-F490BF2B145E}"/>
    <cellStyle name="Note 2 4 4 6 2 3" xfId="25559" xr:uid="{80C7C961-E736-46EE-85F0-6C03ECA95777}"/>
    <cellStyle name="Note 2 4 4 6 3" xfId="16769" xr:uid="{1D04084E-8A8A-4EDF-A547-C31A040B6083}"/>
    <cellStyle name="Note 2 4 4 6 3 2" xfId="39159" xr:uid="{4AE07DEF-118A-40C8-ADEF-20310A2C4E34}"/>
    <cellStyle name="Note 2 4 4 6 3 3" xfId="45885" xr:uid="{940C5B12-AE19-4FEA-B1D4-EF4023A340AD}"/>
    <cellStyle name="Note 2 4 4 6 4" xfId="15017" xr:uid="{02FDFE3B-7BAF-41D1-BF17-375AEBAFC1C3}"/>
    <cellStyle name="Note 2 4 4 6 4 2" xfId="48309" xr:uid="{B3C2D462-71A2-494E-9987-30B60FD0A798}"/>
    <cellStyle name="Note 2 4 4 6 5" xfId="49093" xr:uid="{EF6FAEDC-2ED5-4E96-875C-A3F817848FD2}"/>
    <cellStyle name="Note 2 4 4 7" xfId="8957" xr:uid="{BFD3F74B-5DD4-4167-BD00-04FAE7392198}"/>
    <cellStyle name="Note 2 4 4 7 2" xfId="31536" xr:uid="{2BA6B2E9-17A1-4F0D-B9CD-E2A420F4BB63}"/>
    <cellStyle name="Note 2 4 4 7 3" xfId="46613" xr:uid="{DEB30BE8-8AF5-4B80-A4F4-0B6689C0DAD2}"/>
    <cellStyle name="Note 2 4 4 8" xfId="8426" xr:uid="{74DA8003-1D37-46BD-9832-533B64965B6D}"/>
    <cellStyle name="Note 2 4 4 8 2" xfId="31014" xr:uid="{11503DA4-D238-4A88-8D24-36571F39E698}"/>
    <cellStyle name="Note 2 4 4 8 3" xfId="49259" xr:uid="{4AF7FAEB-A014-4722-8079-19FCA5791778}"/>
    <cellStyle name="Note 2 4 4 9" xfId="20516" xr:uid="{FFDB35E0-D583-4DA9-BA0B-EC58160B1F88}"/>
    <cellStyle name="Note 2 4 4 9 2" xfId="26515" xr:uid="{396D47B3-3663-4342-B789-09CAC3720187}"/>
    <cellStyle name="Note 2 4 5" xfId="1225" xr:uid="{00000000-0005-0000-0000-000083070000}"/>
    <cellStyle name="Note 2 4 5 10" xfId="47836" xr:uid="{A157C679-5EAF-4E27-BD59-89BC9855E087}"/>
    <cellStyle name="Note 2 4 5 2" xfId="2025" xr:uid="{00000000-0005-0000-0000-000084070000}"/>
    <cellStyle name="Note 2 4 5 2 10" xfId="14673" xr:uid="{CC6155DD-458A-42F3-B752-C3A43111D37F}"/>
    <cellStyle name="Note 2 4 5 2 10 2" xfId="37133" xr:uid="{62D171F1-73EE-4886-94FE-0A3C8A109487}"/>
    <cellStyle name="Note 2 4 5 2 10 3" xfId="37211" xr:uid="{88F32CF9-494C-4752-B507-898AD28BF8DC}"/>
    <cellStyle name="Note 2 4 5 2 11" xfId="19744" xr:uid="{CB5CBDAF-D262-4CDD-AD93-01CDC83BE755}"/>
    <cellStyle name="Note 2 4 5 2 11 2" xfId="42087" xr:uid="{7A70D331-92E2-4651-B47B-C6E04201915D}"/>
    <cellStyle name="Note 2 4 5 2 11 3" xfId="29132" xr:uid="{A3E461CB-B828-4617-B2C6-6F77DEE7684D}"/>
    <cellStyle name="Note 2 4 5 2 12" xfId="14690" xr:uid="{041F22E3-C96E-4B8F-8909-44F9320AE3D1}"/>
    <cellStyle name="Note 2 4 5 2 12 2" xfId="49531" xr:uid="{519393AF-52B0-4BD1-B6B0-D957F82D5FC8}"/>
    <cellStyle name="Note 2 4 5 2 13" xfId="53958" xr:uid="{08798239-C95B-4589-BBE8-5BA49073BEA1}"/>
    <cellStyle name="Note 2 4 5 2 2" xfId="4120" xr:uid="{00000000-0005-0000-0000-000082070000}"/>
    <cellStyle name="Note 2 4 5 2 2 2" xfId="11024" xr:uid="{F5A89614-3A78-45EB-BD3C-3A43421509C8}"/>
    <cellStyle name="Note 2 4 5 2 2 2 2" xfId="33510" xr:uid="{F9DB45B3-CE37-4C7E-9E53-EAF886FD9750}"/>
    <cellStyle name="Note 2 4 5 2 2 2 3" xfId="44793" xr:uid="{F4F38DE5-4F9A-4E0E-B958-9D8A11A64CEF}"/>
    <cellStyle name="Note 2 4 5 2 2 3" xfId="16124" xr:uid="{3A8F8454-B657-43E3-971D-E1DB97466004}"/>
    <cellStyle name="Note 2 4 5 2 2 3 2" xfId="38524" xr:uid="{CF9110B9-68B0-4842-9856-2A169CCEBEC4}"/>
    <cellStyle name="Note 2 4 5 2 2 3 3" xfId="37934" xr:uid="{8DFC6ABF-5B8B-448D-A3A5-4C0FBD7A19D3}"/>
    <cellStyle name="Note 2 4 5 2 2 4" xfId="20180" xr:uid="{6A8240DA-F171-4733-B366-621BF80299D3}"/>
    <cellStyle name="Note 2 4 5 2 2 4 2" xfId="28443" xr:uid="{A5EF791A-CB82-4027-93C4-C2DEC21EDFA6}"/>
    <cellStyle name="Note 2 4 5 2 2 5" xfId="45469" xr:uid="{C3A3EEF0-BFB0-4C4D-8B72-9F649EFCED52}"/>
    <cellStyle name="Note 2 4 5 2 3" xfId="5466" xr:uid="{00000000-0005-0000-0000-000082070000}"/>
    <cellStyle name="Note 2 4 5 2 3 2" xfId="12355" xr:uid="{6D0405C0-1A96-43A5-B50D-6A37994261E2}"/>
    <cellStyle name="Note 2 4 5 2 3 2 2" xfId="34840" xr:uid="{61775297-EF0E-4FFC-B4DA-2FB86A43AA4A}"/>
    <cellStyle name="Note 2 4 5 2 3 2 3" xfId="25882" xr:uid="{87F1C9B6-BFDD-4010-A35D-8F3350BD645B}"/>
    <cellStyle name="Note 2 4 5 2 3 3" xfId="17403" xr:uid="{B97E8AF2-6C8D-402A-AEDA-8762D14DF35D}"/>
    <cellStyle name="Note 2 4 5 2 3 3 2" xfId="39793" xr:uid="{EB834E93-4054-4C57-ACB3-27019DD6680B}"/>
    <cellStyle name="Note 2 4 5 2 3 3 3" xfId="43815" xr:uid="{FBA56E96-51F0-41D6-A556-485F4AAC5978}"/>
    <cellStyle name="Note 2 4 5 2 3 4" xfId="21827" xr:uid="{85A4A92B-1313-43E5-9CA4-AB5B64DEF589}"/>
    <cellStyle name="Note 2 4 5 2 3 4 2" xfId="52940" xr:uid="{63D5FBF4-8B07-4C6B-9853-4227854558C9}"/>
    <cellStyle name="Note 2 4 5 2 3 5" xfId="51748" xr:uid="{49F5F02B-AFD9-40DF-AB65-93422D203CAC}"/>
    <cellStyle name="Note 2 4 5 2 4" xfId="5889" xr:uid="{00000000-0005-0000-0000-000082070000}"/>
    <cellStyle name="Note 2 4 5 2 4 2" xfId="12771" xr:uid="{C52D6051-3334-43EF-A906-D2C1BF214247}"/>
    <cellStyle name="Note 2 4 5 2 4 2 2" xfId="35255" xr:uid="{829D78B4-735C-4AC9-BBC4-17E5E4A2FC81}"/>
    <cellStyle name="Note 2 4 5 2 4 2 3" xfId="44030" xr:uid="{7FDDA35D-99CA-4B51-8EB4-335A9965F433}"/>
    <cellStyle name="Note 2 4 5 2 4 3" xfId="17826" xr:uid="{878DC9BF-1042-4C68-857C-04106C3D27BD}"/>
    <cellStyle name="Note 2 4 5 2 4 3 2" xfId="40216" xr:uid="{EB9A2D53-612B-4966-B3DB-D6A1F5EB61B1}"/>
    <cellStyle name="Note 2 4 5 2 4 3 3" xfId="44101" xr:uid="{AC9248AC-A891-4CB2-B98C-DC11C703F524}"/>
    <cellStyle name="Note 2 4 5 2 4 4" xfId="22250" xr:uid="{52BEF703-20E3-4F4B-8E8E-D7AAE16F4E3E}"/>
    <cellStyle name="Note 2 4 5 2 4 4 2" xfId="48133" xr:uid="{56C55301-EEB9-4D0F-83B8-AEE32B170450}"/>
    <cellStyle name="Note 2 4 5 2 4 5" xfId="50950" xr:uid="{C8990E44-3777-4996-A25D-875368EEFF72}"/>
    <cellStyle name="Note 2 4 5 2 5" xfId="6227" xr:uid="{00000000-0005-0000-0000-000082070000}"/>
    <cellStyle name="Note 2 4 5 2 5 2" xfId="13102" xr:uid="{402F0D74-6A74-46EF-8B15-2CB5E06D7E0B}"/>
    <cellStyle name="Note 2 4 5 2 5 2 2" xfId="35586" xr:uid="{9AEC9F06-B43A-4D7C-AE69-078E90DBA0BC}"/>
    <cellStyle name="Note 2 4 5 2 5 2 3" xfId="47262" xr:uid="{162F79EC-FE68-4E46-9BEC-08A59937A942}"/>
    <cellStyle name="Note 2 4 5 2 5 3" xfId="18164" xr:uid="{0B1A5348-7BF2-4F89-BD13-96757403CED1}"/>
    <cellStyle name="Note 2 4 5 2 5 3 2" xfId="40554" xr:uid="{B187FF89-842C-4AA8-B353-2E7C62B873EE}"/>
    <cellStyle name="Note 2 4 5 2 5 3 3" xfId="44704" xr:uid="{FC6AB90D-BCF8-4C85-82DC-17C1A0B90457}"/>
    <cellStyle name="Note 2 4 5 2 5 4" xfId="22588" xr:uid="{A8EA3756-214B-4159-B5B0-72EDE8432B3E}"/>
    <cellStyle name="Note 2 4 5 2 5 4 2" xfId="47106" xr:uid="{551BF8FA-8FEB-4B70-BAE1-2D53999A483E}"/>
    <cellStyle name="Note 2 4 5 2 5 5" xfId="51631" xr:uid="{40A2483D-5CA1-4472-A50C-F48754255E67}"/>
    <cellStyle name="Note 2 4 5 2 6" xfId="6593" xr:uid="{00000000-0005-0000-0000-000082070000}"/>
    <cellStyle name="Note 2 4 5 2 6 2" xfId="13459" xr:uid="{32534BA6-29A0-433E-A5B2-32227C4ED982}"/>
    <cellStyle name="Note 2 4 5 2 6 2 2" xfId="35943" xr:uid="{390C54E7-4848-4E9A-B9BD-FB44A1440C32}"/>
    <cellStyle name="Note 2 4 5 2 6 2 3" xfId="49423" xr:uid="{5DA448BE-0FF9-4075-9010-EE67F97571AF}"/>
    <cellStyle name="Note 2 4 5 2 6 3" xfId="18530" xr:uid="{00F44AB4-E170-44FC-9AB2-4C2FB6B33C78}"/>
    <cellStyle name="Note 2 4 5 2 6 3 2" xfId="40920" xr:uid="{B215A09A-E52A-4DE7-8DD5-C2FFF434D7B9}"/>
    <cellStyle name="Note 2 4 5 2 6 3 3" xfId="44542" xr:uid="{A2E51369-C1BF-4BB2-B664-805BB7D85B9F}"/>
    <cellStyle name="Note 2 4 5 2 6 4" xfId="22954" xr:uid="{25A3F62B-0AE1-4383-8A50-388068A37F4F}"/>
    <cellStyle name="Note 2 4 5 2 6 4 2" xfId="41867" xr:uid="{C9265DE1-F712-4BD3-83E1-BB0AE0215113}"/>
    <cellStyle name="Note 2 4 5 2 6 5" xfId="48627" xr:uid="{0729BD83-A62D-48C1-998E-D2893D0E55DA}"/>
    <cellStyle name="Note 2 4 5 2 7" xfId="6495" xr:uid="{00000000-0005-0000-0000-000082070000}"/>
    <cellStyle name="Note 2 4 5 2 7 2" xfId="13364" xr:uid="{B0F77CE3-8EAD-495C-A30A-6757ABF23D46}"/>
    <cellStyle name="Note 2 4 5 2 7 2 2" xfId="35848" xr:uid="{8B5B6F7F-D953-411B-88E4-7D2CE184B046}"/>
    <cellStyle name="Note 2 4 5 2 7 2 3" xfId="53794" xr:uid="{EC82317E-DA71-46B6-96BA-1C1AA07908CC}"/>
    <cellStyle name="Note 2 4 5 2 7 3" xfId="18432" xr:uid="{4D180EA1-40F1-4144-B991-B50352583E7C}"/>
    <cellStyle name="Note 2 4 5 2 7 3 2" xfId="40822" xr:uid="{A3E2C431-C7CB-4387-85BC-0545582C0B09}"/>
    <cellStyle name="Note 2 4 5 2 7 3 3" xfId="24727" xr:uid="{A55AF6E4-CA17-484B-93A5-F27F18590DC8}"/>
    <cellStyle name="Note 2 4 5 2 7 4" xfId="22856" xr:uid="{FBB64452-846A-4C9A-A5E7-56D89D1421BB}"/>
    <cellStyle name="Note 2 4 5 2 7 4 2" xfId="44703" xr:uid="{D5E05E2D-2D86-45D7-8E2E-7B150CF2D056}"/>
    <cellStyle name="Note 2 4 5 2 7 5" xfId="51804" xr:uid="{6B20F555-0851-4FC4-A041-A5EFADCC67C3}"/>
    <cellStyle name="Note 2 4 5 2 8" xfId="7063" xr:uid="{00000000-0005-0000-0000-000082070000}"/>
    <cellStyle name="Note 2 4 5 2 8 2" xfId="13899" xr:uid="{000D74FD-DFE7-4020-8DD0-28FDABE180CE}"/>
    <cellStyle name="Note 2 4 5 2 8 2 2" xfId="36383" xr:uid="{748CA827-B8D9-4C73-846A-333CBD60F1A0}"/>
    <cellStyle name="Note 2 4 5 2 8 2 3" xfId="53084" xr:uid="{892DDA72-8043-46C1-AC11-619C339184B1}"/>
    <cellStyle name="Note 2 4 5 2 8 3" xfId="19000" xr:uid="{8E9F9ADE-B03F-4E66-90A0-909DFFEB3EB2}"/>
    <cellStyle name="Note 2 4 5 2 8 3 2" xfId="41390" xr:uid="{E55521E5-0661-4849-82F7-350027ACC046}"/>
    <cellStyle name="Note 2 4 5 2 8 3 3" xfId="37467" xr:uid="{9CDF3CD6-3FA4-4D86-A609-84CF3F07C956}"/>
    <cellStyle name="Note 2 4 5 2 8 4" xfId="23424" xr:uid="{35B2FA4B-5C27-4D5B-83CD-381C074C0547}"/>
    <cellStyle name="Note 2 4 5 2 8 4 2" xfId="50709" xr:uid="{860D98B0-56D7-475B-A0C4-5CCDD88ACC49}"/>
    <cellStyle name="Note 2 4 5 2 8 5" xfId="52471" xr:uid="{6595A0CA-A460-4CC3-9412-24FA70597333}"/>
    <cellStyle name="Note 2 4 5 2 9" xfId="7178" xr:uid="{00000000-0005-0000-0000-000082070000}"/>
    <cellStyle name="Note 2 4 5 2 9 2" xfId="19115" xr:uid="{5759A51F-B53C-4300-AAE0-FE03A6F32403}"/>
    <cellStyle name="Note 2 4 5 2 9 2 2" xfId="41505" xr:uid="{589C737A-0E09-4520-A2B2-AAC16366DB98}"/>
    <cellStyle name="Note 2 4 5 2 9 2 3" xfId="32482" xr:uid="{A8130E6B-607F-40B0-9E45-09F0035A2B4B}"/>
    <cellStyle name="Note 2 4 5 2 9 3" xfId="23539" xr:uid="{186DD298-C37B-4343-8EED-8416C071D72F}"/>
    <cellStyle name="Note 2 4 5 2 9 3 2" xfId="47249" xr:uid="{83128361-2098-4512-B51C-ABDB9151708A}"/>
    <cellStyle name="Note 2 4 5 2 9 4" xfId="24430" xr:uid="{8B9053B0-6532-41F9-BEE1-BDC70C6618A1}"/>
    <cellStyle name="Note 2 4 5 3" xfId="4925" xr:uid="{00000000-0005-0000-0000-000081070000}"/>
    <cellStyle name="Note 2 4 5 3 2" xfId="11820" xr:uid="{D27998AF-5068-4DD7-956D-1307B7C6B864}"/>
    <cellStyle name="Note 2 4 5 3 2 2" xfId="34306" xr:uid="{DAF567E8-4065-4E08-8F7A-4CB3635252BA}"/>
    <cellStyle name="Note 2 4 5 3 2 3" xfId="36874" xr:uid="{D1B4AC3F-5CAD-401E-84BD-F6A8ECE4151A}"/>
    <cellStyle name="Note 2 4 5 3 3" xfId="16862" xr:uid="{F0BCA62E-0B04-411B-B0F2-4A69D0F9A63A}"/>
    <cellStyle name="Note 2 4 5 3 3 2" xfId="39252" xr:uid="{9E7285FB-E44D-4DFA-B5B4-91D875E41B97}"/>
    <cellStyle name="Note 2 4 5 3 3 3" xfId="29358" xr:uid="{AD8FC842-B2A7-41BB-A1A0-33E4803F6D77}"/>
    <cellStyle name="Note 2 4 5 3 4" xfId="20906" xr:uid="{80725F42-1FCF-4C72-8606-C6F4C33D2898}"/>
    <cellStyle name="Note 2 4 5 3 4 2" xfId="28273" xr:uid="{4C72902F-7D1D-4B59-A515-1C60182DE566}"/>
    <cellStyle name="Note 2 4 5 3 5" xfId="52902" xr:uid="{9D661CCE-0ED7-46A2-B5CA-1876CF6517C7}"/>
    <cellStyle name="Note 2 4 5 4" xfId="5779" xr:uid="{00000000-0005-0000-0000-000081070000}"/>
    <cellStyle name="Note 2 4 5 4 2" xfId="12662" xr:uid="{D836C530-7001-476F-9CCF-3FF142E6E587}"/>
    <cellStyle name="Note 2 4 5 4 2 2" xfId="35147" xr:uid="{16C19FA0-3347-4AF9-B8C3-CEC09CA420C0}"/>
    <cellStyle name="Note 2 4 5 4 2 3" xfId="44175" xr:uid="{4DC629D0-A306-4448-80D2-4571D1F09458}"/>
    <cellStyle name="Note 2 4 5 4 3" xfId="17716" xr:uid="{4595527F-42AC-45B6-99E9-403A569C8B27}"/>
    <cellStyle name="Note 2 4 5 4 3 2" xfId="40106" xr:uid="{7DBCFE9B-F236-4166-AA14-F92D13134C09}"/>
    <cellStyle name="Note 2 4 5 4 3 3" xfId="28726" xr:uid="{B98A4497-B395-459C-A954-CE2630C48918}"/>
    <cellStyle name="Note 2 4 5 4 4" xfId="22140" xr:uid="{0712D27F-6FF3-42C2-AA76-FCF02224C0ED}"/>
    <cellStyle name="Note 2 4 5 4 4 2" xfId="47221" xr:uid="{58D121FA-67BE-4492-BD1A-0E051E51016B}"/>
    <cellStyle name="Note 2 4 5 4 5" xfId="53796" xr:uid="{A91DEF31-8808-457F-AD90-4D02A6878106}"/>
    <cellStyle name="Note 2 4 5 5" xfId="4414" xr:uid="{00000000-0005-0000-0000-000081070000}"/>
    <cellStyle name="Note 2 4 5 5 2" xfId="11316" xr:uid="{20E5458F-1ED3-4B8F-93FE-4EF818409AA5}"/>
    <cellStyle name="Note 2 4 5 5 2 2" xfId="33802" xr:uid="{B0DC4314-52CA-4C3B-9EFD-94EA1A4CC4CE}"/>
    <cellStyle name="Note 2 4 5 5 2 3" xfId="31884" xr:uid="{CE85EC24-30C9-4782-BA5A-6165ACCEF6EB}"/>
    <cellStyle name="Note 2 4 5 5 3" xfId="16351" xr:uid="{CE320A75-AF82-42C1-8A4F-F0B159AA15D0}"/>
    <cellStyle name="Note 2 4 5 5 3 2" xfId="38741" xr:uid="{68997D1B-59DF-4362-AFAE-ED02B0C0B964}"/>
    <cellStyle name="Note 2 4 5 5 3 3" xfId="27850" xr:uid="{D2C8A574-C7EB-4363-B17A-484F403A0F94}"/>
    <cellStyle name="Note 2 4 5 5 4" xfId="19657" xr:uid="{B662C649-F8F8-4863-8F4C-7E711CF24EE6}"/>
    <cellStyle name="Note 2 4 5 5 4 2" xfId="27716" xr:uid="{2CF00525-002A-4BE9-A9BF-4456098E0FC1}"/>
    <cellStyle name="Note 2 4 5 5 5" xfId="47532" xr:uid="{BB69818B-CF44-432A-9ADF-79B3B6E21BAB}"/>
    <cellStyle name="Note 2 4 5 6" xfId="6013" xr:uid="{00000000-0005-0000-0000-000081070000}"/>
    <cellStyle name="Note 2 4 5 6 2" xfId="12894" xr:uid="{809CC5E6-CD88-470F-8F59-3D4B5FC4DB71}"/>
    <cellStyle name="Note 2 4 5 6 2 2" xfId="35378" xr:uid="{B66CC2AA-65B5-4766-9218-0EA90C21802C}"/>
    <cellStyle name="Note 2 4 5 6 2 3" xfId="46679" xr:uid="{389B503E-05CD-4083-B690-33D1C65F806C}"/>
    <cellStyle name="Note 2 4 5 6 3" xfId="17950" xr:uid="{C5CD6B3F-0940-421E-8BFA-F897DF49E13E}"/>
    <cellStyle name="Note 2 4 5 6 3 2" xfId="40340" xr:uid="{F378FFE7-86BA-4507-8BFC-FD828B3DE7B4}"/>
    <cellStyle name="Note 2 4 5 6 3 3" xfId="25996" xr:uid="{77125EC0-1C7F-40E4-8381-1B31A594092A}"/>
    <cellStyle name="Note 2 4 5 6 4" xfId="22374" xr:uid="{E754453F-B218-412C-A48E-53B218733C57}"/>
    <cellStyle name="Note 2 4 5 6 4 2" xfId="47561" xr:uid="{B3EC8F46-D0FD-4E8C-8BE3-D56529433A98}"/>
    <cellStyle name="Note 2 4 5 6 5" xfId="46300" xr:uid="{9394EC2D-97A6-4C3C-B9FC-AB89C81D8C95}"/>
    <cellStyle name="Note 2 4 5 7" xfId="14100" xr:uid="{1787ACBC-76D2-440D-88F6-86EA9CBA4286}"/>
    <cellStyle name="Note 2 4 5 7 2" xfId="36578" xr:uid="{82CCB9F6-C2EF-41D2-B4C5-BA046C70B284}"/>
    <cellStyle name="Note 2 4 5 7 3" xfId="49397" xr:uid="{B3918CDC-4B14-498D-A792-E6497BDFDEBE}"/>
    <cellStyle name="Note 2 4 5 8" xfId="15781" xr:uid="{9D9BD24B-FB2B-4642-BEC4-AE05CAC9A128}"/>
    <cellStyle name="Note 2 4 5 8 2" xfId="38191" xr:uid="{B187F995-AA8C-4277-8B97-BEF966A52999}"/>
    <cellStyle name="Note 2 4 5 8 3" xfId="27369" xr:uid="{08377CBB-4448-4668-9DBD-F7F6D79896FC}"/>
    <cellStyle name="Note 2 4 5 9" xfId="14018" xr:uid="{2D5BF0BB-C0CA-4903-88AF-01280EB8C3E3}"/>
    <cellStyle name="Note 2 4 5 9 2" xfId="49360" xr:uid="{EC5D7B7A-D86E-4AA6-ABFE-1ABF960C5ED7}"/>
    <cellStyle name="Note 2 4 6" xfId="1387" xr:uid="{00000000-0005-0000-0000-000085070000}"/>
    <cellStyle name="Note 2 4 6 10" xfId="53739" xr:uid="{E8FE43C1-910D-48AD-8606-7BB47D84DB02}"/>
    <cellStyle name="Note 2 4 6 2" xfId="2116" xr:uid="{00000000-0005-0000-0000-000086070000}"/>
    <cellStyle name="Note 2 4 6 2 10" xfId="14745" xr:uid="{5A08E7CE-EB79-4D71-BC13-BF4F9B8800CE}"/>
    <cellStyle name="Note 2 4 6 2 10 2" xfId="37203" xr:uid="{DCBC122B-FDCA-48DE-8659-DBC8B02716CD}"/>
    <cellStyle name="Note 2 4 6 2 10 3" xfId="51075" xr:uid="{DA8C9FBB-E1FF-4B48-9A7B-BF0A498253BB}"/>
    <cellStyle name="Note 2 4 6 2 11" xfId="21230" xr:uid="{5727F8AE-FA88-4ACC-8022-3C2CC8C15970}"/>
    <cellStyle name="Note 2 4 6 2 11 2" xfId="43469" xr:uid="{1A15C566-2334-4C1F-B26B-CA37A6953524}"/>
    <cellStyle name="Note 2 4 6 2 11 3" xfId="50452" xr:uid="{E40C7B88-1E67-4FAF-AF2D-C06A1A9F4285}"/>
    <cellStyle name="Note 2 4 6 2 12" xfId="19936" xr:uid="{FBB6AEBF-488E-44B2-9894-DD86F412B1C3}"/>
    <cellStyle name="Note 2 4 6 2 12 2" xfId="27987" xr:uid="{5DF6516C-3EAB-4E97-8DB1-3E601ADF6630}"/>
    <cellStyle name="Note 2 4 6 2 13" xfId="43248" xr:uid="{B5FC805D-CBA2-465D-BBAD-5B0032B16D8C}"/>
    <cellStyle name="Note 2 4 6 2 2" xfId="4209" xr:uid="{00000000-0005-0000-0000-000084070000}"/>
    <cellStyle name="Note 2 4 6 2 2 2" xfId="11113" xr:uid="{E1E51994-07D4-441D-9FA8-EB41BAAE2FEB}"/>
    <cellStyle name="Note 2 4 6 2 2 2 2" xfId="33599" xr:uid="{2C5EB3F0-9529-4FE1-AE13-F629996DBE5A}"/>
    <cellStyle name="Note 2 4 6 2 2 2 3" xfId="46536" xr:uid="{84BCC91F-70B2-4500-9CFD-3220E40DFC54}"/>
    <cellStyle name="Note 2 4 6 2 2 3" xfId="16202" xr:uid="{389A0944-5930-4583-963D-869BAE68DCDA}"/>
    <cellStyle name="Note 2 4 6 2 2 3 2" xfId="38601" xr:uid="{2C91A7F8-83F2-4D35-BE1C-17F6CC437D6F}"/>
    <cellStyle name="Note 2 4 6 2 2 3 3" xfId="27227" xr:uid="{554FFC6C-F97E-4178-8D42-4FE94E59DB22}"/>
    <cellStyle name="Note 2 4 6 2 2 4" xfId="7350" xr:uid="{66D77470-61B5-48D3-A66B-B48F46E443A7}"/>
    <cellStyle name="Note 2 4 6 2 2 4 2" xfId="50514" xr:uid="{A63C303C-39E5-46FE-ACA6-B85EE7CAB5C0}"/>
    <cellStyle name="Note 2 4 6 2 2 5" xfId="43534" xr:uid="{428578CE-8234-470A-9A57-9401C947F86E}"/>
    <cellStyle name="Note 2 4 6 2 3" xfId="5535" xr:uid="{00000000-0005-0000-0000-000084070000}"/>
    <cellStyle name="Note 2 4 6 2 3 2" xfId="12424" xr:uid="{B68A4DE0-4D18-4B6D-8FF7-2D3D2B1C612C}"/>
    <cellStyle name="Note 2 4 6 2 3 2 2" xfId="34909" xr:uid="{4EA743B2-9DA8-4631-B4CB-FDC87A4CAE19}"/>
    <cellStyle name="Note 2 4 6 2 3 2 3" xfId="27986" xr:uid="{765F0018-0212-4CE5-A5C0-AEDF3733C5A1}"/>
    <cellStyle name="Note 2 4 6 2 3 3" xfId="17472" xr:uid="{6ECB2788-43E5-482F-8EDE-FBA2740C44C5}"/>
    <cellStyle name="Note 2 4 6 2 3 3 2" xfId="39862" xr:uid="{920DBE4B-B4A4-4C92-993A-736812EBC07B}"/>
    <cellStyle name="Note 2 4 6 2 3 3 3" xfId="29148" xr:uid="{A1BFBA8C-7B64-4D14-839A-E97850E61A56}"/>
    <cellStyle name="Note 2 4 6 2 3 4" xfId="21896" xr:uid="{6A7C92B5-21D5-4FBE-A52D-A6FD56B865C3}"/>
    <cellStyle name="Note 2 4 6 2 3 4 2" xfId="48147" xr:uid="{10EC4BA6-756D-4D30-9794-2255E22A2EC6}"/>
    <cellStyle name="Note 2 4 6 2 3 5" xfId="53484" xr:uid="{49079E20-7C70-4F0C-9A10-BCB84609274A}"/>
    <cellStyle name="Note 2 4 6 2 4" xfId="5957" xr:uid="{00000000-0005-0000-0000-000084070000}"/>
    <cellStyle name="Note 2 4 6 2 4 2" xfId="12838" xr:uid="{4F9C7689-57D1-4D63-A9F9-24162140A904}"/>
    <cellStyle name="Note 2 4 6 2 4 2 2" xfId="35322" xr:uid="{DD4CBE31-1564-47E1-90A5-BB1D3767189B}"/>
    <cellStyle name="Note 2 4 6 2 4 2 3" xfId="49605" xr:uid="{0C07797F-E5B1-48A3-A6BF-99340307F292}"/>
    <cellStyle name="Note 2 4 6 2 4 3" xfId="17894" xr:uid="{11B8F015-31E1-48D4-A362-87A42617FA15}"/>
    <cellStyle name="Note 2 4 6 2 4 3 2" xfId="40284" xr:uid="{AAFB9286-414A-4B2B-801E-B004F26B78A8}"/>
    <cellStyle name="Note 2 4 6 2 4 3 3" xfId="37728" xr:uid="{E732583D-EF84-4BAA-9FDD-8D9B40640A6F}"/>
    <cellStyle name="Note 2 4 6 2 4 4" xfId="22318" xr:uid="{32FB9ED9-E6CE-42A7-979E-EF0B73C6C046}"/>
    <cellStyle name="Note 2 4 6 2 4 4 2" xfId="29642" xr:uid="{184C221D-E0AC-4CA6-A3CF-F4BB7D58AB40}"/>
    <cellStyle name="Note 2 4 6 2 4 5" xfId="53867" xr:uid="{6E26AE1E-9096-4E04-80C7-3DA716BC1FDD}"/>
    <cellStyle name="Note 2 4 6 2 5" xfId="6297" xr:uid="{00000000-0005-0000-0000-000084070000}"/>
    <cellStyle name="Note 2 4 6 2 5 2" xfId="13169" xr:uid="{E1A6A077-465A-4014-BF97-8A52EAAE1CFF}"/>
    <cellStyle name="Note 2 4 6 2 5 2 2" xfId="35653" xr:uid="{84E505DF-A286-4231-A3E9-DF8858ED48E4}"/>
    <cellStyle name="Note 2 4 6 2 5 2 3" xfId="52354" xr:uid="{B1895704-DE13-4CB6-9D68-80C6057A7DEF}"/>
    <cellStyle name="Note 2 4 6 2 5 3" xfId="18234" xr:uid="{1BE7A0C8-422E-48DB-BAEB-0F2D00880C30}"/>
    <cellStyle name="Note 2 4 6 2 5 3 2" xfId="40624" xr:uid="{A3843A43-47FB-4735-9A66-CD94704252A9}"/>
    <cellStyle name="Note 2 4 6 2 5 3 3" xfId="31468" xr:uid="{AB1BE2E4-FC4D-4DBD-865A-BA60457C7334}"/>
    <cellStyle name="Note 2 4 6 2 5 4" xfId="22658" xr:uid="{DFA40F14-1F4F-43C3-9940-04A2A989C7B5}"/>
    <cellStyle name="Note 2 4 6 2 5 4 2" xfId="49043" xr:uid="{3768B97D-2206-44AC-8FB2-9D5FBDC55728}"/>
    <cellStyle name="Note 2 4 6 2 5 5" xfId="46899" xr:uid="{3C284093-07EB-4E50-8ECE-C84D14195842}"/>
    <cellStyle name="Note 2 4 6 2 6" xfId="6652" xr:uid="{00000000-0005-0000-0000-000084070000}"/>
    <cellStyle name="Note 2 4 6 2 6 2" xfId="13518" xr:uid="{7E0B3FDD-AC25-4AB6-AA76-414A8596D1A3}"/>
    <cellStyle name="Note 2 4 6 2 6 2 2" xfId="36002" xr:uid="{6A9DCAB6-AD77-4100-933C-4EAB0E5C144F}"/>
    <cellStyle name="Note 2 4 6 2 6 2 3" xfId="24009" xr:uid="{323A1EC1-1DED-4065-A761-1A0CF5F82C52}"/>
    <cellStyle name="Note 2 4 6 2 6 3" xfId="18589" xr:uid="{6CBF516B-F0DC-48BF-BA19-505FD556FF28}"/>
    <cellStyle name="Note 2 4 6 2 6 3 2" xfId="40979" xr:uid="{C0DDA9A6-BD70-4047-91A9-7798E1DD9094}"/>
    <cellStyle name="Note 2 4 6 2 6 3 3" xfId="45849" xr:uid="{4B068166-16DE-4D28-8371-858070DF1E42}"/>
    <cellStyle name="Note 2 4 6 2 6 4" xfId="23013" xr:uid="{DFD59937-D77D-4FD1-9BB1-0EC93255D559}"/>
    <cellStyle name="Note 2 4 6 2 6 4 2" xfId="36526" xr:uid="{27F4DC09-4DF4-491C-BE1D-8FACB4721306}"/>
    <cellStyle name="Note 2 4 6 2 6 5" xfId="45266" xr:uid="{A89A89D6-32BA-48A8-B5F6-CBD2FE5E08CA}"/>
    <cellStyle name="Note 2 4 6 2 7" xfId="4559" xr:uid="{00000000-0005-0000-0000-000084070000}"/>
    <cellStyle name="Note 2 4 6 2 7 2" xfId="11461" xr:uid="{C69DD41B-1177-41AB-9747-DD5E531F72E7}"/>
    <cellStyle name="Note 2 4 6 2 7 2 2" xfId="33947" xr:uid="{74FB678D-EE6C-4D0F-877C-C84957977EF3}"/>
    <cellStyle name="Note 2 4 6 2 7 2 3" xfId="45719" xr:uid="{7A2AB47D-3DE9-4463-B97C-F682E6280E86}"/>
    <cellStyle name="Note 2 4 6 2 7 3" xfId="16496" xr:uid="{EE622D27-5D34-4292-B71E-85B26B8DF7AA}"/>
    <cellStyle name="Note 2 4 6 2 7 3 2" xfId="38886" xr:uid="{9752682B-8622-49BB-B02F-40746B260711}"/>
    <cellStyle name="Note 2 4 6 2 7 3 3" xfId="32003" xr:uid="{DF55F001-756B-4850-B7D1-8C1F4BF18C9C}"/>
    <cellStyle name="Note 2 4 6 2 7 4" xfId="14705" xr:uid="{8972AB50-AF8F-4C33-B6AB-D0969F7493BE}"/>
    <cellStyle name="Note 2 4 6 2 7 4 2" xfId="52927" xr:uid="{15326D70-FFBF-424D-846A-96FDED303E94}"/>
    <cellStyle name="Note 2 4 6 2 7 5" xfId="46169" xr:uid="{D5ED5848-D2CF-4911-BD21-23CA2296B46B}"/>
    <cellStyle name="Note 2 4 6 2 8" xfId="7107" xr:uid="{00000000-0005-0000-0000-000084070000}"/>
    <cellStyle name="Note 2 4 6 2 8 2" xfId="13943" xr:uid="{88F7FADC-6C6C-4BB5-9EE4-7FADA9049DF7}"/>
    <cellStyle name="Note 2 4 6 2 8 2 2" xfId="36427" xr:uid="{632E5308-CED1-4CE7-8C0A-5EBDE0A5098A}"/>
    <cellStyle name="Note 2 4 6 2 8 2 3" xfId="49199" xr:uid="{9ADEB6F8-1EC5-4917-B7AF-6A1F5739BC12}"/>
    <cellStyle name="Note 2 4 6 2 8 3" xfId="19044" xr:uid="{6C55739C-347F-46E1-8149-04525DE9A9DF}"/>
    <cellStyle name="Note 2 4 6 2 8 3 2" xfId="41434" xr:uid="{BFD68D3A-5A16-46A5-A9DF-A7B011C8E0F5}"/>
    <cellStyle name="Note 2 4 6 2 8 3 3" xfId="43684" xr:uid="{62706746-F920-4E44-844E-C1DF89D8F07C}"/>
    <cellStyle name="Note 2 4 6 2 8 4" xfId="23468" xr:uid="{55CC3402-896B-4F59-B76E-2990E268FD10}"/>
    <cellStyle name="Note 2 4 6 2 8 4 2" xfId="48549" xr:uid="{14DB8E49-6EF6-42A2-861D-515B74729A06}"/>
    <cellStyle name="Note 2 4 6 2 8 5" xfId="47592" xr:uid="{F7DFBD95-EBC7-4F76-B06F-3C441844AF86}"/>
    <cellStyle name="Note 2 4 6 2 9" xfId="7222" xr:uid="{00000000-0005-0000-0000-000084070000}"/>
    <cellStyle name="Note 2 4 6 2 9 2" xfId="19159" xr:uid="{FED2F297-ACAE-4BF2-8424-B9CB7BA91C4B}"/>
    <cellStyle name="Note 2 4 6 2 9 2 2" xfId="41549" xr:uid="{E6453EC9-DD73-4B59-9FAD-E380DA9BC1DB}"/>
    <cellStyle name="Note 2 4 6 2 9 2 3" xfId="45663" xr:uid="{72135473-6924-459E-BD14-CCC24FD1EBA4}"/>
    <cellStyle name="Note 2 4 6 2 9 3" xfId="23583" xr:uid="{5E03A614-0969-45B4-AF2D-6C27B16BDF73}"/>
    <cellStyle name="Note 2 4 6 2 9 3 2" xfId="44177" xr:uid="{35D7D9BE-6319-4150-BAB0-EB0BFC9E6831}"/>
    <cellStyle name="Note 2 4 6 2 9 4" xfId="51942" xr:uid="{0628F19B-F6B6-486C-88C0-96C7E26D2140}"/>
    <cellStyle name="Note 2 4 6 3" xfId="5024" xr:uid="{00000000-0005-0000-0000-000083070000}"/>
    <cellStyle name="Note 2 4 6 3 2" xfId="11918" xr:uid="{B064DAED-EC3D-471D-8220-0BE52433A2EC}"/>
    <cellStyle name="Note 2 4 6 3 2 2" xfId="34404" xr:uid="{7F8634D9-B599-45E1-AC49-EEB90F8D7F2A}"/>
    <cellStyle name="Note 2 4 6 3 2 3" xfId="42991" xr:uid="{FE90B69B-7062-4CBB-A269-27938A8BE5F3}"/>
    <cellStyle name="Note 2 4 6 3 3" xfId="16961" xr:uid="{B72C0BDB-4CAF-4212-9D7F-9346D5B25BBE}"/>
    <cellStyle name="Note 2 4 6 3 3 2" xfId="39351" xr:uid="{FD3E83EA-9817-4924-8FB0-E30EBD05498B}"/>
    <cellStyle name="Note 2 4 6 3 3 3" xfId="44736" xr:uid="{F45F9F55-2285-4166-AE7F-ABB83D09C59B}"/>
    <cellStyle name="Note 2 4 6 3 4" xfId="21385" xr:uid="{B80A70BB-ACDA-48C3-98B6-92A820C649AC}"/>
    <cellStyle name="Note 2 4 6 3 4 2" xfId="46352" xr:uid="{ABB67A38-8EBF-42D2-AF82-93F43CAF15AC}"/>
    <cellStyle name="Note 2 4 6 3 5" xfId="47875" xr:uid="{0FD93E9B-28B3-430C-A168-D39761D53AE6}"/>
    <cellStyle name="Note 2 4 6 4" xfId="3360" xr:uid="{00000000-0005-0000-0000-000083070000}"/>
    <cellStyle name="Note 2 4 6 4 2" xfId="10268" xr:uid="{63F19682-AB42-4D53-AFDF-228AF802BB67}"/>
    <cellStyle name="Note 2 4 6 4 2 2" xfId="32762" xr:uid="{3F46FA9E-3480-41A1-B3CA-EF590962F05C}"/>
    <cellStyle name="Note 2 4 6 4 2 3" xfId="50480" xr:uid="{98A20D1D-7839-4DBA-B17F-5563F90A33A9}"/>
    <cellStyle name="Note 2 4 6 4 3" xfId="15582" xr:uid="{9D30E281-A157-415A-B476-7E9C1CA22B02}"/>
    <cellStyle name="Note 2 4 6 4 3 2" xfId="38001" xr:uid="{A8C7F3CB-68C3-4097-838D-1BDCBC680623}"/>
    <cellStyle name="Note 2 4 6 4 3 3" xfId="51305" xr:uid="{0A930213-0E8B-48DD-BFCC-6E3FCCC480CE}"/>
    <cellStyle name="Note 2 4 6 4 4" xfId="8120" xr:uid="{D94D3462-7F27-413B-A6E3-58FD8C9030DD}"/>
    <cellStyle name="Note 2 4 6 4 4 2" xfId="50086" xr:uid="{A5E2A769-62D1-4D2D-9F70-19EA3E73C3A1}"/>
    <cellStyle name="Note 2 4 6 4 5" xfId="51289" xr:uid="{C0814FDE-10CD-4172-B097-ECC4815B2D56}"/>
    <cellStyle name="Note 2 4 6 5" xfId="4829" xr:uid="{00000000-0005-0000-0000-000083070000}"/>
    <cellStyle name="Note 2 4 6 5 2" xfId="11726" xr:uid="{F43094A0-5DF1-4EFF-B47E-3848E22C432C}"/>
    <cellStyle name="Note 2 4 6 5 2 2" xfId="34212" xr:uid="{8B1F10ED-439E-4294-80BC-D9BFA208BC79}"/>
    <cellStyle name="Note 2 4 6 5 2 3" xfId="29048" xr:uid="{12AF52D4-01C5-49B8-853B-F141911226F9}"/>
    <cellStyle name="Note 2 4 6 5 3" xfId="16766" xr:uid="{42F758CE-04BC-4816-B670-9BBE6BA7DC19}"/>
    <cellStyle name="Note 2 4 6 5 3 2" xfId="39156" xr:uid="{72203A4E-F7C1-41D7-9756-09AFBE9EF756}"/>
    <cellStyle name="Note 2 4 6 5 3 3" xfId="26777" xr:uid="{F4230DE0-DC02-482E-A9DD-BF936C7EE32C}"/>
    <cellStyle name="Note 2 4 6 5 4" xfId="14820" xr:uid="{F2C6D127-FD0D-4033-B926-8DBFB2C1AA25}"/>
    <cellStyle name="Note 2 4 6 5 4 2" xfId="50198" xr:uid="{273070AA-5A1D-4B21-8B48-4CFC1918B405}"/>
    <cellStyle name="Note 2 4 6 5 5" xfId="37646" xr:uid="{1A356226-66F4-4867-8107-19B08FA1D9CA}"/>
    <cellStyle name="Note 2 4 6 6" xfId="4395" xr:uid="{00000000-0005-0000-0000-000083070000}"/>
    <cellStyle name="Note 2 4 6 6 2" xfId="11297" xr:uid="{FF6398CC-1BB9-49A5-B6F8-6F3E60634F44}"/>
    <cellStyle name="Note 2 4 6 6 2 2" xfId="33783" xr:uid="{0FC169AD-E358-42DA-8ECE-E93370B0FFD3}"/>
    <cellStyle name="Note 2 4 6 6 2 3" xfId="28915" xr:uid="{BA5A9D2B-4586-43ED-8EB1-26EAE4CE45F9}"/>
    <cellStyle name="Note 2 4 6 6 3" xfId="16332" xr:uid="{E42A03AC-DAE5-400D-97B5-2C009D92C9A2}"/>
    <cellStyle name="Note 2 4 6 6 3 2" xfId="38722" xr:uid="{98C94068-99EC-48CD-BB5F-5F0CBCC6A992}"/>
    <cellStyle name="Note 2 4 6 6 3 3" xfId="42713" xr:uid="{33ABBCB9-3BB9-4BFE-A34F-6EDD9004CDD6}"/>
    <cellStyle name="Note 2 4 6 6 4" xfId="14244" xr:uid="{397898A0-FE58-4AA2-BBDA-3F5142E3E65B}"/>
    <cellStyle name="Note 2 4 6 6 4 2" xfId="52031" xr:uid="{CC66DEC3-8302-4AE8-8C69-692AC5063954}"/>
    <cellStyle name="Note 2 4 6 6 5" xfId="49969" xr:uid="{EC0DC9A4-1720-4E36-98B3-91D095501963}"/>
    <cellStyle name="Note 2 4 6 7" xfId="14206" xr:uid="{DAF2E16F-6E29-4889-A789-720DDF08A58E}"/>
    <cellStyle name="Note 2 4 6 7 2" xfId="36681" xr:uid="{9B129082-7B77-445D-AF36-378A1F6B8F8D}"/>
    <cellStyle name="Note 2 4 6 7 3" xfId="45965" xr:uid="{EBFBE0D4-CC5F-4905-AD03-4325B9D4A441}"/>
    <cellStyle name="Note 2 4 6 8" xfId="14626" xr:uid="{B4283F6F-BF1F-4516-B473-FCE4A898B4C7}"/>
    <cellStyle name="Note 2 4 6 8 2" xfId="37087" xr:uid="{BD510D0D-ADF2-43E5-A634-18F422F9F636}"/>
    <cellStyle name="Note 2 4 6 8 3" xfId="54045" xr:uid="{E1AD7563-0F65-4830-BA01-6795EE5AE15A}"/>
    <cellStyle name="Note 2 4 6 9" xfId="20066" xr:uid="{5903A3DB-4D40-4E95-A73D-BF4A8AEA2A2A}"/>
    <cellStyle name="Note 2 4 6 9 2" xfId="42099" xr:uid="{765DDA55-9C83-45DD-AC0A-F79234AE0D25}"/>
    <cellStyle name="Note 2 4 7" xfId="1659" xr:uid="{00000000-0005-0000-0000-000087070000}"/>
    <cellStyle name="Note 2 4 7 10" xfId="14373" xr:uid="{BB54CAB0-92DC-4385-9714-DE8C04ADAC3A}"/>
    <cellStyle name="Note 2 4 7 10 2" xfId="36841" xr:uid="{552EABEF-70E7-4729-A3F3-D8B0CE467D1E}"/>
    <cellStyle name="Note 2 4 7 10 3" xfId="46953" xr:uid="{620E09F7-5650-45AD-8EBB-4CD0708748E7}"/>
    <cellStyle name="Note 2 4 7 11" xfId="16281" xr:uid="{D91E227D-25E8-4EEE-B7AC-9C32BE7AE9E1}"/>
    <cellStyle name="Note 2 4 7 11 2" xfId="38672" xr:uid="{97CEE030-B5C4-412A-80E3-FE6BA943B27F}"/>
    <cellStyle name="Note 2 4 7 11 3" xfId="45681" xr:uid="{03489E5B-0FA6-4CBB-9E8D-81CFCE0B6C8B}"/>
    <cellStyle name="Note 2 4 7 12" xfId="21051" xr:uid="{3A3B9136-5111-4659-8F56-E0FF312FE3E7}"/>
    <cellStyle name="Note 2 4 7 12 2" xfId="28566" xr:uid="{D2FA8027-244C-4C23-A9D4-9F7367A229EB}"/>
    <cellStyle name="Note 2 4 7 13" xfId="29717" xr:uid="{3793C201-0DDA-4C27-B7C6-31E11750B59F}"/>
    <cellStyle name="Note 2 4 7 2" xfId="3757" xr:uid="{00000000-0005-0000-0000-000085070000}"/>
    <cellStyle name="Note 2 4 7 2 2" xfId="10661" xr:uid="{7E630C47-5648-4CBD-92E2-30BCBE00D5E5}"/>
    <cellStyle name="Note 2 4 7 2 2 2" xfId="33147" xr:uid="{188195D5-78C6-402A-8DE5-268C1C2B64E2}"/>
    <cellStyle name="Note 2 4 7 2 2 3" xfId="47300" xr:uid="{9818CD47-AD83-4599-BB40-29C4000354B0}"/>
    <cellStyle name="Note 2 4 7 2 3" xfId="15838" xr:uid="{73E0CA2B-BFD2-4CD7-87A6-1769CE1D337A}"/>
    <cellStyle name="Note 2 4 7 2 3 2" xfId="38246" xr:uid="{EE07B3D3-4AA5-4787-A280-F9E11F7F6D16}"/>
    <cellStyle name="Note 2 4 7 2 3 3" xfId="50318" xr:uid="{A8E1487C-34FF-48A8-8917-99468B0ABE38}"/>
    <cellStyle name="Note 2 4 7 2 4" xfId="11356" xr:uid="{C9A1A2BA-E4FB-45F2-BD6C-4CEE98071122}"/>
    <cellStyle name="Note 2 4 7 2 4 2" xfId="32790" xr:uid="{1898D6AE-434E-4A0F-B464-C6DE88C29C20}"/>
    <cellStyle name="Note 2 4 7 2 5" xfId="47867" xr:uid="{273FABE5-9E2B-42B1-B6E9-9CBBB28B1FA7}"/>
    <cellStyle name="Note 2 4 7 3" xfId="5192" xr:uid="{00000000-0005-0000-0000-000085070000}"/>
    <cellStyle name="Note 2 4 7 3 2" xfId="12085" xr:uid="{5F065359-7796-40A6-88CD-BBD6DF154887}"/>
    <cellStyle name="Note 2 4 7 3 2 2" xfId="34571" xr:uid="{155AC771-E8C2-4EBE-9BC2-5DA26F8FBCF2}"/>
    <cellStyle name="Note 2 4 7 3 2 3" xfId="27976" xr:uid="{46FF024A-81A3-455B-A4DB-764D0157B5C0}"/>
    <cellStyle name="Note 2 4 7 3 3" xfId="17129" xr:uid="{7C811145-4C56-4794-B96C-32A0AB111B92}"/>
    <cellStyle name="Note 2 4 7 3 3 2" xfId="39519" xr:uid="{645D4592-61A6-426A-85EB-5B2139DC8E85}"/>
    <cellStyle name="Note 2 4 7 3 3 3" xfId="31605" xr:uid="{6CEBDA37-98F6-4008-930A-68D149888BE2}"/>
    <cellStyle name="Note 2 4 7 3 4" xfId="21553" xr:uid="{D657836F-9343-4C54-95FB-F30AA5E844B8}"/>
    <cellStyle name="Note 2 4 7 3 4 2" xfId="50276" xr:uid="{7A6D045F-C893-43B8-A31B-98239322C65D}"/>
    <cellStyle name="Note 2 4 7 3 5" xfId="49139" xr:uid="{7C1ADD47-4271-4614-8E01-C1EA2962974E}"/>
    <cellStyle name="Note 2 4 7 4" xfId="2985" xr:uid="{00000000-0005-0000-0000-000085070000}"/>
    <cellStyle name="Note 2 4 7 4 2" xfId="9894" xr:uid="{E4F028B8-DD61-4E06-9808-3D30C53A2437}"/>
    <cellStyle name="Note 2 4 7 4 2 2" xfId="32417" xr:uid="{28BFB12D-2DF9-4C85-A103-458F89A7F942}"/>
    <cellStyle name="Note 2 4 7 4 2 3" xfId="51838" xr:uid="{505A262B-4908-4A11-9770-5A5EB4706729}"/>
    <cellStyle name="Note 2 4 7 4 3" xfId="15332" xr:uid="{9FF0DE53-1BB7-4238-8D9D-DAD9475AD936}"/>
    <cellStyle name="Note 2 4 7 4 3 2" xfId="37764" xr:uid="{CBDD6D5A-24C2-4E74-A9FB-96CEB15E74F0}"/>
    <cellStyle name="Note 2 4 7 4 3 3" xfId="47095" xr:uid="{746B69EF-9C70-49BC-A8DE-3D74B3F304C5}"/>
    <cellStyle name="Note 2 4 7 4 4" xfId="20331" xr:uid="{F272FDC2-FF3A-4D24-9392-0541BF8F08DB}"/>
    <cellStyle name="Note 2 4 7 4 4 2" xfId="32654" xr:uid="{95258B7A-FFD1-4A4A-BCF2-A5A10FD081D7}"/>
    <cellStyle name="Note 2 4 7 4 5" xfId="26701" xr:uid="{4439BA50-1089-483B-A917-212BF5FD4980}"/>
    <cellStyle name="Note 2 4 7 5" xfId="5040" xr:uid="{00000000-0005-0000-0000-000085070000}"/>
    <cellStyle name="Note 2 4 7 5 2" xfId="11934" xr:uid="{89018914-5032-43FF-8C4C-21E156BF77C9}"/>
    <cellStyle name="Note 2 4 7 5 2 2" xfId="34420" xr:uid="{54972D75-FE94-4F5E-96D4-E70F815A970B}"/>
    <cellStyle name="Note 2 4 7 5 2 3" xfId="28619" xr:uid="{1E74DC0A-8A56-4130-BC8F-B9ED761551E8}"/>
    <cellStyle name="Note 2 4 7 5 3" xfId="16977" xr:uid="{79B51D35-E46E-4E13-8F5E-00423DD142B8}"/>
    <cellStyle name="Note 2 4 7 5 3 2" xfId="39367" xr:uid="{844329A5-335F-4D66-9A8A-0AF02E8F9D5F}"/>
    <cellStyle name="Note 2 4 7 5 3 3" xfId="42981" xr:uid="{4953329D-9915-477A-A909-1296331C6AF1}"/>
    <cellStyle name="Note 2 4 7 5 4" xfId="21401" xr:uid="{4136414A-85B8-4A83-9FDF-3934314164EF}"/>
    <cellStyle name="Note 2 4 7 5 4 2" xfId="43760" xr:uid="{E6E61552-66D0-4140-AC6A-B24B85D7BE21}"/>
    <cellStyle name="Note 2 4 7 5 5" xfId="49533" xr:uid="{A57CDC8D-0BB7-41C7-B04A-C1DB33E8D32F}"/>
    <cellStyle name="Note 2 4 7 6" xfId="5687" xr:uid="{00000000-0005-0000-0000-000085070000}"/>
    <cellStyle name="Note 2 4 7 6 2" xfId="12571" xr:uid="{548DA598-5096-44BE-BC10-DE6A3A8691C1}"/>
    <cellStyle name="Note 2 4 7 6 2 2" xfId="35056" xr:uid="{37C2B09A-6AC0-4C73-9070-B0B28D6E9B19}"/>
    <cellStyle name="Note 2 4 7 6 2 3" xfId="28892" xr:uid="{4BACDF21-FC72-4759-867B-24AEE7435ACF}"/>
    <cellStyle name="Note 2 4 7 6 3" xfId="17624" xr:uid="{1CEB51D4-8A48-4EA3-A8BF-B44EAC8FF5FC}"/>
    <cellStyle name="Note 2 4 7 6 3 2" xfId="40014" xr:uid="{0555FA9A-6C93-4B05-9195-50FBD3881FCD}"/>
    <cellStyle name="Note 2 4 7 6 3 3" xfId="24239" xr:uid="{DD273300-BAD2-4D35-B7F1-910CB07345CC}"/>
    <cellStyle name="Note 2 4 7 6 4" xfId="22048" xr:uid="{2C2D8BA1-4960-48CD-8BB2-CC5F4A5B8A0D}"/>
    <cellStyle name="Note 2 4 7 6 4 2" xfId="42674" xr:uid="{C1D831B7-609C-4B64-A572-9DB5B54368D9}"/>
    <cellStyle name="Note 2 4 7 6 5" xfId="46870" xr:uid="{3F992ACC-8361-4CD6-92E2-99647BAA551A}"/>
    <cellStyle name="Note 2 4 7 7" xfId="4448" xr:uid="{00000000-0005-0000-0000-000085070000}"/>
    <cellStyle name="Note 2 4 7 7 2" xfId="11350" xr:uid="{0A46625D-B7E2-44D4-ADB0-72C4FA33E075}"/>
    <cellStyle name="Note 2 4 7 7 2 2" xfId="33836" xr:uid="{A310D515-B9E0-419F-859B-D47A7844B840}"/>
    <cellStyle name="Note 2 4 7 7 2 3" xfId="26722" xr:uid="{3EEA9702-4870-4F6B-AFF2-B4B89A2C821B}"/>
    <cellStyle name="Note 2 4 7 7 3" xfId="16385" xr:uid="{C95DBDA6-810D-4570-BF1A-11686F600874}"/>
    <cellStyle name="Note 2 4 7 7 3 2" xfId="38775" xr:uid="{B48A8F92-4AEE-4203-A7E9-7CCC229E4327}"/>
    <cellStyle name="Note 2 4 7 7 3 3" xfId="24517" xr:uid="{22BDA3C2-1302-4D15-81F9-089E93D43C84}"/>
    <cellStyle name="Note 2 4 7 7 4" xfId="14296" xr:uid="{20089A90-AC86-4373-96B6-AA0873093A76}"/>
    <cellStyle name="Note 2 4 7 7 4 2" xfId="51392" xr:uid="{A35B793C-608D-4D55-ACC0-FCDA81226C1F}"/>
    <cellStyle name="Note 2 4 7 7 5" xfId="45909" xr:uid="{486C2816-3B92-4180-BC79-56D74CE7CD84}"/>
    <cellStyle name="Note 2 4 7 8" xfId="5264" xr:uid="{00000000-0005-0000-0000-000085070000}"/>
    <cellStyle name="Note 2 4 7 8 2" xfId="12156" xr:uid="{ADFA2C21-E75B-426F-8E31-9F8A1EAD53C7}"/>
    <cellStyle name="Note 2 4 7 8 2 2" xfId="34641" xr:uid="{F4E27013-E441-43A5-A8A2-33DF153F7842}"/>
    <cellStyle name="Note 2 4 7 8 2 3" xfId="23902" xr:uid="{9DB328FF-10DB-411C-8E47-C72F0AF3A634}"/>
    <cellStyle name="Note 2 4 7 8 3" xfId="17201" xr:uid="{E76B6B62-F941-47CF-AC79-3351D1BED29A}"/>
    <cellStyle name="Note 2 4 7 8 3 2" xfId="39591" xr:uid="{8CB7483F-4531-4CBA-8C43-BCFD117B056E}"/>
    <cellStyle name="Note 2 4 7 8 3 3" xfId="24175" xr:uid="{332B56DD-9075-4BC3-A743-BBC239B2DCE8}"/>
    <cellStyle name="Note 2 4 7 8 4" xfId="21625" xr:uid="{3A50AC97-24D0-421F-A103-F9097AA5BAB1}"/>
    <cellStyle name="Note 2 4 7 8 4 2" xfId="28775" xr:uid="{6CF40B63-C533-4C6B-966D-7E1EAAFD2AC6}"/>
    <cellStyle name="Note 2 4 7 8 5" xfId="49094" xr:uid="{E8075829-530D-4ABF-873B-E8EB77B91900}"/>
    <cellStyle name="Note 2 4 7 9" xfId="6673" xr:uid="{00000000-0005-0000-0000-000085070000}"/>
    <cellStyle name="Note 2 4 7 9 2" xfId="18610" xr:uid="{0482AE45-6FD9-4F67-9502-E33590D88AD7}"/>
    <cellStyle name="Note 2 4 7 9 2 2" xfId="41000" xr:uid="{46E619D8-F063-4D0F-997A-1CC5C9625F87}"/>
    <cellStyle name="Note 2 4 7 9 2 3" xfId="28375" xr:uid="{65AC3DA2-0854-408A-BB07-C1B5AE8D6066}"/>
    <cellStyle name="Note 2 4 7 9 3" xfId="23034" xr:uid="{BC24360C-7A45-43E6-8C7B-E2BA1EE58FB6}"/>
    <cellStyle name="Note 2 4 7 9 3 2" xfId="52142" xr:uid="{CCB9A513-1465-46B3-93D5-709D4E704AA8}"/>
    <cellStyle name="Note 2 4 7 9 4" xfId="51472" xr:uid="{A67699BA-02C2-4A66-ADF4-E88BE15EBEDD}"/>
    <cellStyle name="Note 2 4 8" xfId="4437" xr:uid="{00000000-0005-0000-0000-00007A070000}"/>
    <cellStyle name="Note 2 4 8 2" xfId="11339" xr:uid="{2EBE3705-9FEB-4938-A6B5-312184842ECC}"/>
    <cellStyle name="Note 2 4 8 2 2" xfId="33825" xr:uid="{87BA769B-CAAA-4B7F-8E51-44CA0233C748}"/>
    <cellStyle name="Note 2 4 8 2 3" xfId="26136" xr:uid="{12A003C9-DDB6-4F3D-865C-008CEE973548}"/>
    <cellStyle name="Note 2 4 8 3" xfId="16374" xr:uid="{F929304A-C01D-4825-B64B-39712126FBAA}"/>
    <cellStyle name="Note 2 4 8 3 2" xfId="38764" xr:uid="{1558C166-A40C-4EFA-9FA2-4F24D0CB2559}"/>
    <cellStyle name="Note 2 4 8 3 3" xfId="44961" xr:uid="{6E045ACB-FAAD-478F-9056-A8FCE0CA97DD}"/>
    <cellStyle name="Note 2 4 8 4" xfId="20795" xr:uid="{4B149441-CB91-457B-8CFC-8CEA87DEA55D}"/>
    <cellStyle name="Note 2 4 8 4 2" xfId="46232" xr:uid="{E143E6DE-4B62-4137-99ED-3F82D01F65FA}"/>
    <cellStyle name="Note 2 4 8 5" xfId="48287" xr:uid="{46327EC0-A2F0-439C-ADB8-D6E506DA5E6A}"/>
    <cellStyle name="Note 2 4 9" xfId="5478" xr:uid="{00000000-0005-0000-0000-00007A070000}"/>
    <cellStyle name="Note 2 4 9 2" xfId="12367" xr:uid="{77094B83-62A9-4F3D-91B1-6A4607490689}"/>
    <cellStyle name="Note 2 4 9 2 2" xfId="34852" xr:uid="{81715A60-E8FF-495C-9B98-945443F6066B}"/>
    <cellStyle name="Note 2 4 9 2 3" xfId="45848" xr:uid="{613F0661-667A-4910-8A5F-F57038B8031D}"/>
    <cellStyle name="Note 2 4 9 3" xfId="17415" xr:uid="{AD491950-17FA-4587-8725-1F384CDD5FA0}"/>
    <cellStyle name="Note 2 4 9 3 2" xfId="39805" xr:uid="{1B2070D9-7123-4BF3-85BC-B8F4513B16B2}"/>
    <cellStyle name="Note 2 4 9 3 3" xfId="27784" xr:uid="{63124B3C-089C-4561-8A76-6B31315F58DB}"/>
    <cellStyle name="Note 2 4 9 4" xfId="21839" xr:uid="{CFFACD13-DA21-4B0B-8E23-84BFE0B70D38}"/>
    <cellStyle name="Note 2 4 9 4 2" xfId="48761" xr:uid="{F43E40E3-2849-482C-AB20-694FB783CDDC}"/>
    <cellStyle name="Note 2 4 9 5" xfId="46459" xr:uid="{93C9ED3B-4A97-431C-89E7-16E207F05D48}"/>
    <cellStyle name="Note 2 5" xfId="453" xr:uid="{00000000-0005-0000-0000-000088070000}"/>
    <cellStyle name="Note 2 5 10" xfId="4932" xr:uid="{00000000-0005-0000-0000-000086070000}"/>
    <cellStyle name="Note 2 5 10 2" xfId="11827" xr:uid="{468512AB-17F1-4033-8F69-448F039455A2}"/>
    <cellStyle name="Note 2 5 10 2 2" xfId="34313" xr:uid="{036F08F2-E79E-4129-9064-0CB9DA31A0BE}"/>
    <cellStyle name="Note 2 5 10 2 3" xfId="29217" xr:uid="{64470A2B-B99A-48DE-B708-D043FD806D7A}"/>
    <cellStyle name="Note 2 5 10 3" xfId="16869" xr:uid="{D59631F3-A888-4E1E-A032-AB59F8BE70B3}"/>
    <cellStyle name="Note 2 5 10 3 2" xfId="39259" xr:uid="{7E4D938D-12EA-4F2F-A823-2A97D64E1F0A}"/>
    <cellStyle name="Note 2 5 10 3 3" xfId="32849" xr:uid="{0CC537E7-9AF2-4BF7-9CB4-FA8DE8C1B4F4}"/>
    <cellStyle name="Note 2 5 10 4" xfId="21293" xr:uid="{2C8BF7DA-9925-4E76-9B63-173F64018D54}"/>
    <cellStyle name="Note 2 5 10 4 2" xfId="50157" xr:uid="{DC6ADDA5-DE71-4ABD-A771-F348DC37267E}"/>
    <cellStyle name="Note 2 5 10 5" xfId="49380" xr:uid="{5D2C9224-7331-471B-B677-E441B0CD8956}"/>
    <cellStyle name="Note 2 5 11" xfId="5485" xr:uid="{00000000-0005-0000-0000-000086070000}"/>
    <cellStyle name="Note 2 5 11 2" xfId="12374" xr:uid="{2F60B5D1-DAD0-49EA-9C38-49ADD52E537F}"/>
    <cellStyle name="Note 2 5 11 2 2" xfId="34859" xr:uid="{C370BD4A-A195-4D96-882B-83FD2EDD6A89}"/>
    <cellStyle name="Note 2 5 11 2 3" xfId="37573" xr:uid="{5E1F1F20-C3F0-4000-A9A7-D9DBD11DBDA4}"/>
    <cellStyle name="Note 2 5 11 3" xfId="17422" xr:uid="{CB09A4F3-E4BF-45C8-BB7A-40ADAB92D12A}"/>
    <cellStyle name="Note 2 5 11 3 2" xfId="39812" xr:uid="{60B01E67-4A25-44EC-AFBF-BF078CFAD0B0}"/>
    <cellStyle name="Note 2 5 11 3 3" xfId="24818" xr:uid="{055608CD-3F13-47E3-8155-8F5F1C85C7BC}"/>
    <cellStyle name="Note 2 5 11 4" xfId="21846" xr:uid="{BA4EB134-201A-4E18-9CED-CA1D69EDA205}"/>
    <cellStyle name="Note 2 5 11 4 2" xfId="30479" xr:uid="{BAFFAA35-0FEC-4F71-9B33-19A3647F12F6}"/>
    <cellStyle name="Note 2 5 11 5" xfId="51969" xr:uid="{454968E5-AD00-4B97-A5FD-E98424EB1484}"/>
    <cellStyle name="Note 2 5 12" xfId="8674" xr:uid="{5D193018-3256-43A8-B82E-183EBAB2064F}"/>
    <cellStyle name="Note 2 5 12 2" xfId="31260" xr:uid="{A3A6D9E0-309B-4CA1-AD3F-B3439EA69D5D}"/>
    <cellStyle name="Note 2 5 12 3" xfId="47074" xr:uid="{0D7AFA75-622A-437D-B983-EB32132C961E}"/>
    <cellStyle name="Note 2 5 13" xfId="19992" xr:uid="{8F9B9D23-2F82-48B3-92C0-3CE0725E077A}"/>
    <cellStyle name="Note 2 5 13 2" xfId="42317" xr:uid="{FF89FA5B-1229-4CE4-95D6-0EA72A065A3B}"/>
    <cellStyle name="Note 2 5 13 3" xfId="26450" xr:uid="{8F1F26BA-1D99-4EA7-9004-295027E26C2B}"/>
    <cellStyle name="Note 2 5 14" xfId="20031" xr:uid="{FF055C1F-BFA3-42A8-A4EA-6489562D6B45}"/>
    <cellStyle name="Note 2 5 14 2" xfId="25483" xr:uid="{DBE16E3D-D77C-4D37-A026-9F5CFE2380EC}"/>
    <cellStyle name="Note 2 5 15" xfId="51798" xr:uid="{49155F4E-D8D1-464E-8DFE-2F0B0AFB8994}"/>
    <cellStyle name="Note 2 5 2" xfId="606" xr:uid="{00000000-0005-0000-0000-000089070000}"/>
    <cellStyle name="Note 2 5 2 10" xfId="48836" xr:uid="{421CADBC-02F9-4435-8E28-4D6DA524D7DB}"/>
    <cellStyle name="Note 2 5 2 2" xfId="1740" xr:uid="{00000000-0005-0000-0000-00008A070000}"/>
    <cellStyle name="Note 2 5 2 2 10" xfId="14441" xr:uid="{FC499EBF-8A3E-4D77-A871-FD64034B72AD}"/>
    <cellStyle name="Note 2 5 2 2 10 2" xfId="36907" xr:uid="{E217357A-E5D3-4BAF-837B-98C15C2890A5}"/>
    <cellStyle name="Note 2 5 2 2 10 3" xfId="41593" xr:uid="{62368EEC-6EB1-4A66-AF90-7C674D3E1D04}"/>
    <cellStyle name="Note 2 5 2 2 11" xfId="20652" xr:uid="{561F9363-C23F-4B4E-BC75-9D6A2DFAC4BC}"/>
    <cellStyle name="Note 2 5 2 2 11 2" xfId="42930" xr:uid="{858AF52A-1C6D-4EF4-B286-805C3FC947F4}"/>
    <cellStyle name="Note 2 5 2 2 11 3" xfId="42560" xr:uid="{EF4D0BDB-F8CE-44AF-875F-B6C21CBF53F7}"/>
    <cellStyle name="Note 2 5 2 2 12" xfId="8508" xr:uid="{DCFB773B-E9A5-49B0-9456-011BD9A9675E}"/>
    <cellStyle name="Note 2 5 2 2 12 2" xfId="50580" xr:uid="{CB0CCDA8-6C38-439A-9871-E14077BB6DDD}"/>
    <cellStyle name="Note 2 5 2 2 13" xfId="52029" xr:uid="{6CF7D6E2-41B4-4C7F-9218-495D5EAFAF15}"/>
    <cellStyle name="Note 2 5 2 2 2" xfId="3838" xr:uid="{00000000-0005-0000-0000-000088070000}"/>
    <cellStyle name="Note 2 5 2 2 2 2" xfId="10742" xr:uid="{DDF9CAC7-B822-4AFF-AFB7-582885D1CD19}"/>
    <cellStyle name="Note 2 5 2 2 2 2 2" xfId="33228" xr:uid="{6C7159B5-D3A5-4950-87B4-8C0295F9E02B}"/>
    <cellStyle name="Note 2 5 2 2 2 2 3" xfId="53883" xr:uid="{4A2232CF-07E1-438B-ABC2-4C301EEDCB4A}"/>
    <cellStyle name="Note 2 5 2 2 2 3" xfId="15898" xr:uid="{B65EFE8D-CF75-47E0-9B02-64054188579B}"/>
    <cellStyle name="Note 2 5 2 2 2 3 2" xfId="38304" xr:uid="{78CB8B32-F180-4B02-B6B8-EC2DD29FBE5C}"/>
    <cellStyle name="Note 2 5 2 2 2 3 3" xfId="46894" xr:uid="{9EF3CF10-6355-4106-A673-5C271182CB89}"/>
    <cellStyle name="Note 2 5 2 2 2 4" xfId="15767" xr:uid="{C8863844-A52D-42D4-8CBF-86B2E1C1543B}"/>
    <cellStyle name="Note 2 5 2 2 2 4 2" xfId="49678" xr:uid="{B08F3A2D-EEEC-4E72-AE6E-02A8704239DE}"/>
    <cellStyle name="Note 2 5 2 2 2 5" xfId="53968" xr:uid="{7DF2FE1A-C220-4962-ADCA-BBB55066CB02}"/>
    <cellStyle name="Note 2 5 2 2 3" xfId="5254" xr:uid="{00000000-0005-0000-0000-000088070000}"/>
    <cellStyle name="Note 2 5 2 2 3 2" xfId="12146" xr:uid="{B9BE00A7-5959-4AF2-B28C-73E257DCB729}"/>
    <cellStyle name="Note 2 5 2 2 3 2 2" xfId="34631" xr:uid="{1F3A5E2C-4100-47C9-916D-144359145BA8}"/>
    <cellStyle name="Note 2 5 2 2 3 2 3" xfId="42032" xr:uid="{A7B13642-D6E2-47DC-9F44-813539A4FF89}"/>
    <cellStyle name="Note 2 5 2 2 3 3" xfId="17191" xr:uid="{2F8BB39A-0774-48A8-A69E-5691D42CB227}"/>
    <cellStyle name="Note 2 5 2 2 3 3 2" xfId="39581" xr:uid="{8591F286-1D13-4D94-AB92-37E6C7DB1E2C}"/>
    <cellStyle name="Note 2 5 2 2 3 3 3" xfId="26272" xr:uid="{230C526E-0583-406C-B098-621666CAFE29}"/>
    <cellStyle name="Note 2 5 2 2 3 4" xfId="21615" xr:uid="{96935960-F59E-41D7-9792-8F7420481770}"/>
    <cellStyle name="Note 2 5 2 2 3 4 2" xfId="52213" xr:uid="{19C55EB0-E3F1-46B6-B29B-A69DB27B8D7D}"/>
    <cellStyle name="Note 2 5 2 2 3 5" xfId="50247" xr:uid="{2715E60B-CEFE-4172-8E2C-07847762D3B9}"/>
    <cellStyle name="Note 2 5 2 2 4" xfId="5666" xr:uid="{00000000-0005-0000-0000-000088070000}"/>
    <cellStyle name="Note 2 5 2 2 4 2" xfId="12550" xr:uid="{E32A3CF0-FA52-45CF-877D-B3BB266CC55D}"/>
    <cellStyle name="Note 2 5 2 2 4 2 2" xfId="35035" xr:uid="{1E38A74D-C65E-4839-8B4D-5823E1AE3AD1}"/>
    <cellStyle name="Note 2 5 2 2 4 2 3" xfId="29050" xr:uid="{41BDDF3C-AABD-4BDC-A7EE-226D426DFE4A}"/>
    <cellStyle name="Note 2 5 2 2 4 3" xfId="17603" xr:uid="{73870CD1-A2ED-4DF4-936A-64E11EE301A1}"/>
    <cellStyle name="Note 2 5 2 2 4 3 2" xfId="39993" xr:uid="{D72ABE66-5FE7-4EB3-8263-9D8A903F64FB}"/>
    <cellStyle name="Note 2 5 2 2 4 3 3" xfId="24625" xr:uid="{3A903453-B9AD-4F53-94B6-C3B9755AA066}"/>
    <cellStyle name="Note 2 5 2 2 4 4" xfId="22027" xr:uid="{6CF15805-B33D-4E19-B0A4-CE0BEBEB7610}"/>
    <cellStyle name="Note 2 5 2 2 4 4 2" xfId="46119" xr:uid="{C79D7B9C-BA53-49D0-8048-30B73AF1B11C}"/>
    <cellStyle name="Note 2 5 2 2 4 5" xfId="51065" xr:uid="{CFB6558B-7174-4B68-99E1-2463EFFCD027}"/>
    <cellStyle name="Note 2 5 2 2 5" xfId="5418" xr:uid="{00000000-0005-0000-0000-000088070000}"/>
    <cellStyle name="Note 2 5 2 2 5 2" xfId="12309" xr:uid="{822EB31D-8D68-44D4-A683-1A86FC7602DA}"/>
    <cellStyle name="Note 2 5 2 2 5 2 2" xfId="34794" xr:uid="{58B9C819-F8BB-452E-A6F3-55B48CDABAA8}"/>
    <cellStyle name="Note 2 5 2 2 5 2 3" xfId="28930" xr:uid="{0F3D14E6-CF78-4009-A7F1-EDB43F3D0680}"/>
    <cellStyle name="Note 2 5 2 2 5 3" xfId="17355" xr:uid="{13631319-160E-43C9-B563-2B2AF8CDAA08}"/>
    <cellStyle name="Note 2 5 2 2 5 3 2" xfId="39745" xr:uid="{D9DBD842-976D-4108-AF51-B1AB0D1D93CF}"/>
    <cellStyle name="Note 2 5 2 2 5 3 3" xfId="26195" xr:uid="{EC424D47-AE4D-4C45-B881-994EC8B493FF}"/>
    <cellStyle name="Note 2 5 2 2 5 4" xfId="21779" xr:uid="{E4A79BC7-79D1-4CEC-B1D1-CE1FCA45A39F}"/>
    <cellStyle name="Note 2 5 2 2 5 4 2" xfId="24797" xr:uid="{7C9DC037-ADDE-4268-8BC0-21C147B7A9EC}"/>
    <cellStyle name="Note 2 5 2 2 5 5" xfId="51755" xr:uid="{C4432EBF-2DB2-4AF2-A421-4D9107D49349}"/>
    <cellStyle name="Note 2 5 2 2 6" xfId="6405" xr:uid="{00000000-0005-0000-0000-000088070000}"/>
    <cellStyle name="Note 2 5 2 2 6 2" xfId="13277" xr:uid="{F19926C2-A308-4065-AD61-EB2F426E5966}"/>
    <cellStyle name="Note 2 5 2 2 6 2 2" xfId="35761" xr:uid="{AF55760D-8569-419F-85D3-E220F3A44784}"/>
    <cellStyle name="Note 2 5 2 2 6 2 3" xfId="53697" xr:uid="{0105FCEB-5D62-4A20-9A83-5B0808834A4A}"/>
    <cellStyle name="Note 2 5 2 2 6 3" xfId="18342" xr:uid="{30031842-B83E-44CA-BCDB-DDC53335FE59}"/>
    <cellStyle name="Note 2 5 2 2 6 3 2" xfId="40732" xr:uid="{F3B29176-8F00-43CA-BF2E-40147333E657}"/>
    <cellStyle name="Note 2 5 2 2 6 3 3" xfId="29391" xr:uid="{EEF1D9E1-D534-4A41-9FE6-51BEC32B9E1D}"/>
    <cellStyle name="Note 2 5 2 2 6 4" xfId="22766" xr:uid="{8ED60D0B-954A-4558-B4B2-91E261ADA28F}"/>
    <cellStyle name="Note 2 5 2 2 6 4 2" xfId="50072" xr:uid="{83433AD6-296A-4EF0-BC05-B128D6E4AF61}"/>
    <cellStyle name="Note 2 5 2 2 6 5" xfId="48813" xr:uid="{A3BC65EB-567E-44CB-8F62-E4D2010870EF}"/>
    <cellStyle name="Note 2 5 2 2 7" xfId="6423" xr:uid="{00000000-0005-0000-0000-000088070000}"/>
    <cellStyle name="Note 2 5 2 2 7 2" xfId="13295" xr:uid="{CB66E0BB-A53B-4DE8-8A04-3D935C117E39}"/>
    <cellStyle name="Note 2 5 2 2 7 2 2" xfId="35779" xr:uid="{C89F6EA6-851E-40BE-B94B-B5A620E7EF95}"/>
    <cellStyle name="Note 2 5 2 2 7 2 3" xfId="45705" xr:uid="{50BFD1B4-E83D-49FB-9EB7-5F964C87C3E6}"/>
    <cellStyle name="Note 2 5 2 2 7 3" xfId="18360" xr:uid="{48FB47E6-42F8-4FA3-B707-9BF6F3068C96}"/>
    <cellStyle name="Note 2 5 2 2 7 3 2" xfId="40750" xr:uid="{05A37AC0-889C-4F61-9FD5-DD877C662EA8}"/>
    <cellStyle name="Note 2 5 2 2 7 3 3" xfId="27367" xr:uid="{34CD3610-3570-4E21-948A-87F1DF0A4D93}"/>
    <cellStyle name="Note 2 5 2 2 7 4" xfId="22784" xr:uid="{080DAC81-792A-477D-A455-0C199990AC90}"/>
    <cellStyle name="Note 2 5 2 2 7 4 2" xfId="51754" xr:uid="{D4AC0176-FD3E-4C60-832B-BCF80FDE25D3}"/>
    <cellStyle name="Note 2 5 2 2 7 5" xfId="48643" xr:uid="{D5870770-E984-4DB4-AAC2-FD4669597FFB}"/>
    <cellStyle name="Note 2 5 2 2 8" xfId="6922" xr:uid="{00000000-0005-0000-0000-000088070000}"/>
    <cellStyle name="Note 2 5 2 2 8 2" xfId="13760" xr:uid="{812F1CBC-7F00-4780-B6A3-8784A5C0A21E}"/>
    <cellStyle name="Note 2 5 2 2 8 2 2" xfId="36244" xr:uid="{1A890370-04E5-4D26-831F-BBAF4FA9C2D8}"/>
    <cellStyle name="Note 2 5 2 2 8 2 3" xfId="29491" xr:uid="{2D81F209-21BD-42F5-A54E-4B4F0D282C2A}"/>
    <cellStyle name="Note 2 5 2 2 8 3" xfId="18859" xr:uid="{46A4B250-4D2A-4E2B-B562-62B6A6E81051}"/>
    <cellStyle name="Note 2 5 2 2 8 3 2" xfId="41249" xr:uid="{1861A229-4D20-45A8-869E-D01F05EC3F66}"/>
    <cellStyle name="Note 2 5 2 2 8 3 3" xfId="27733" xr:uid="{37CF6C24-58CD-4F10-A24B-1FCF257C033C}"/>
    <cellStyle name="Note 2 5 2 2 8 4" xfId="23283" xr:uid="{0E1007AF-7E9F-403F-AACE-0015D8DEA86E}"/>
    <cellStyle name="Note 2 5 2 2 8 4 2" xfId="50394" xr:uid="{E2BD43AD-8FB3-4A47-8329-0103AF253248}"/>
    <cellStyle name="Note 2 5 2 2 8 5" xfId="27298" xr:uid="{F4A2E26C-C55E-45A9-909D-5B0981E26C5A}"/>
    <cellStyle name="Note 2 5 2 2 9" xfId="6863" xr:uid="{00000000-0005-0000-0000-000088070000}"/>
    <cellStyle name="Note 2 5 2 2 9 2" xfId="18800" xr:uid="{EFC55E1C-5F08-4614-9098-3C5654EB4677}"/>
    <cellStyle name="Note 2 5 2 2 9 2 2" xfId="41190" xr:uid="{92870A80-7531-49A8-906A-ABBCD1AA17F5}"/>
    <cellStyle name="Note 2 5 2 2 9 2 3" xfId="44815" xr:uid="{73C0859D-149A-4169-AE4C-60ACDDD07F7F}"/>
    <cellStyle name="Note 2 5 2 2 9 3" xfId="23224" xr:uid="{05970DE5-FCE7-48C4-AF0F-F93F66C8A96D}"/>
    <cellStyle name="Note 2 5 2 2 9 3 2" xfId="49546" xr:uid="{E2D74307-81B6-4597-B16C-E203843A4559}"/>
    <cellStyle name="Note 2 5 2 2 9 4" xfId="44023" xr:uid="{70886F8F-F5E9-4322-ABCF-E12EE93DB790}"/>
    <cellStyle name="Note 2 5 2 3" xfId="4545" xr:uid="{00000000-0005-0000-0000-000087070000}"/>
    <cellStyle name="Note 2 5 2 3 2" xfId="11447" xr:uid="{233CC427-0990-43F8-8117-0830745E8703}"/>
    <cellStyle name="Note 2 5 2 3 2 2" xfId="33933" xr:uid="{4CA00C0B-31EC-40B0-BED8-DD217A1F33B1}"/>
    <cellStyle name="Note 2 5 2 3 2 3" xfId="28475" xr:uid="{6567C79B-3447-4CA5-B4A3-183D2578FA6F}"/>
    <cellStyle name="Note 2 5 2 3 3" xfId="16482" xr:uid="{1D4CBAEA-53E2-4D01-A8C9-C3CD0C2BEDD3}"/>
    <cellStyle name="Note 2 5 2 3 3 2" xfId="38872" xr:uid="{8F535917-E6D1-43E7-9B1C-506957A9F079}"/>
    <cellStyle name="Note 2 5 2 3 3 3" xfId="45468" xr:uid="{12D3983F-E52E-49BA-8BC8-D78F92E3A9EC}"/>
    <cellStyle name="Note 2 5 2 3 4" xfId="8283" xr:uid="{BBDC55DE-F896-4111-8085-24DA6B97912D}"/>
    <cellStyle name="Note 2 5 2 3 4 2" xfId="53653" xr:uid="{0440360B-B348-4D16-A557-A2B90479C45C}"/>
    <cellStyle name="Note 2 5 2 3 5" xfId="23641" xr:uid="{CB9B1164-F908-4F54-B1D3-3751A7AA01DC}"/>
    <cellStyle name="Note 2 5 2 4" xfId="5704" xr:uid="{00000000-0005-0000-0000-000087070000}"/>
    <cellStyle name="Note 2 5 2 4 2" xfId="12588" xr:uid="{728C3DA8-7B2B-463C-943A-216068694F01}"/>
    <cellStyle name="Note 2 5 2 4 2 2" xfId="35073" xr:uid="{A0676C21-4616-4590-AC3B-3CA4E61F50BA}"/>
    <cellStyle name="Note 2 5 2 4 2 3" xfId="32398" xr:uid="{CB89AA4D-33DD-4295-ACA9-8F90426FA69D}"/>
    <cellStyle name="Note 2 5 2 4 3" xfId="17641" xr:uid="{2F57AEBA-C585-4745-B4A3-8ABA6B57E6DC}"/>
    <cellStyle name="Note 2 5 2 4 3 2" xfId="40031" xr:uid="{A4DF7ED6-5EA8-43C6-B526-1C218E9EE07B}"/>
    <cellStyle name="Note 2 5 2 4 3 3" xfId="23717" xr:uid="{EBE79FD8-9C10-4CDE-B4B6-5F9B5B0EDB5D}"/>
    <cellStyle name="Note 2 5 2 4 4" xfId="22065" xr:uid="{F89DBD48-C8D7-4257-AD1C-22BDA87E4AD0}"/>
    <cellStyle name="Note 2 5 2 4 4 2" xfId="52739" xr:uid="{FCACC5D6-527B-41A8-B4E8-D8A969F674B7}"/>
    <cellStyle name="Note 2 5 2 4 5" xfId="45077" xr:uid="{B2645E66-819F-45B8-8D0F-3E7DA8924589}"/>
    <cellStyle name="Note 2 5 2 5" xfId="5055" xr:uid="{00000000-0005-0000-0000-000087070000}"/>
    <cellStyle name="Note 2 5 2 5 2" xfId="11948" xr:uid="{2C4C0B69-38B0-4029-B545-BEEC80E6E8E6}"/>
    <cellStyle name="Note 2 5 2 5 2 2" xfId="34434" xr:uid="{7B96998C-B925-4061-8E56-995C476494BD}"/>
    <cellStyle name="Note 2 5 2 5 2 3" xfId="42539" xr:uid="{4F58AD49-2DCF-4291-984F-DCC7532308CB}"/>
    <cellStyle name="Note 2 5 2 5 3" xfId="16992" xr:uid="{DEA7BB1C-5CF2-43B3-B32B-98D2902EEBCC}"/>
    <cellStyle name="Note 2 5 2 5 3 2" xfId="39382" xr:uid="{2DD36C67-682A-4359-8EEA-9936DE5BB3FE}"/>
    <cellStyle name="Note 2 5 2 5 3 3" xfId="45007" xr:uid="{B2EA8C6E-3066-43D0-9D3B-F2B01DD26597}"/>
    <cellStyle name="Note 2 5 2 5 4" xfId="21416" xr:uid="{09A02FCD-4FC6-4326-BA9F-D1AD23BB91D8}"/>
    <cellStyle name="Note 2 5 2 5 4 2" xfId="46688" xr:uid="{73012250-B2B5-48E2-8431-6EFD574987B5}"/>
    <cellStyle name="Note 2 5 2 5 5" xfId="47987" xr:uid="{319F44D8-F841-49E1-ABD4-5B17BA7BEB5E}"/>
    <cellStyle name="Note 2 5 2 6" xfId="4874" xr:uid="{00000000-0005-0000-0000-000087070000}"/>
    <cellStyle name="Note 2 5 2 6 2" xfId="11769" xr:uid="{27403855-F0A6-4CA5-8313-B350C6B7725C}"/>
    <cellStyle name="Note 2 5 2 6 2 2" xfId="34255" xr:uid="{A7CABD76-567B-452E-827B-BFFBAE65A5C8}"/>
    <cellStyle name="Note 2 5 2 6 2 3" xfId="45592" xr:uid="{B1E1EE70-9C12-41FA-82C0-65DA4FBCC43D}"/>
    <cellStyle name="Note 2 5 2 6 3" xfId="16811" xr:uid="{3AB0C45B-0DBA-44FB-AB09-77091041291D}"/>
    <cellStyle name="Note 2 5 2 6 3 2" xfId="39201" xr:uid="{FCD29324-6F33-4FB1-806B-DC973AF29C95}"/>
    <cellStyle name="Note 2 5 2 6 3 3" xfId="44357" xr:uid="{5F0257AE-C80B-47A1-9859-382F538EC3BF}"/>
    <cellStyle name="Note 2 5 2 6 4" xfId="19283" xr:uid="{3218791A-B7B1-4BA4-94D2-28EF98F160F4}"/>
    <cellStyle name="Note 2 5 2 6 4 2" xfId="45148" xr:uid="{ABD35B6F-BCE9-4696-81AC-97D5882F15DA}"/>
    <cellStyle name="Note 2 5 2 6 5" xfId="51043" xr:uid="{270D4677-DE76-40C4-B900-38046BBDF717}"/>
    <cellStyle name="Note 2 5 2 7" xfId="9149" xr:uid="{EFA382E0-572A-4996-B64E-637089D53E77}"/>
    <cellStyle name="Note 2 5 2 7 2" xfId="31725" xr:uid="{8F9EC5C8-69D2-4AEF-8100-D5C27944A1FA}"/>
    <cellStyle name="Note 2 5 2 7 3" xfId="49697" xr:uid="{87440E36-5FE9-4683-AC0B-AC81AD7BAADA}"/>
    <cellStyle name="Note 2 5 2 8" xfId="20366" xr:uid="{955070D9-D758-42BC-98DE-D694E0D209D9}"/>
    <cellStyle name="Note 2 5 2 8 2" xfId="42663" xr:uid="{8566558C-6D5F-4E8D-B72D-02C64DD33688}"/>
    <cellStyle name="Note 2 5 2 8 3" xfId="52185" xr:uid="{04BDD5D3-3C8A-48D8-83B0-47B07DCDB827}"/>
    <cellStyle name="Note 2 5 2 9" xfId="20643" xr:uid="{D3BCCEEE-B9C1-4108-B12B-11E14A827FC1}"/>
    <cellStyle name="Note 2 5 2 9 2" xfId="46998" xr:uid="{4B062DD4-A3AA-4832-B94A-13F1FEC095E3}"/>
    <cellStyle name="Note 2 5 3" xfId="853" xr:uid="{00000000-0005-0000-0000-00008B070000}"/>
    <cellStyle name="Note 2 5 3 10" xfId="46605" xr:uid="{E6158272-3CD1-4971-9A5A-66394F45ABDA}"/>
    <cellStyle name="Note 2 5 3 2" xfId="1838" xr:uid="{00000000-0005-0000-0000-00008C070000}"/>
    <cellStyle name="Note 2 5 3 2 10" xfId="14522" xr:uid="{BF77861B-F47B-4FE2-BA10-A40EE5E91E2B}"/>
    <cellStyle name="Note 2 5 3 2 10 2" xfId="36983" xr:uid="{6832D2BF-EA7C-43EC-AE78-38E79F174C27}"/>
    <cellStyle name="Note 2 5 3 2 10 3" xfId="46245" xr:uid="{51845ED0-5363-420A-9EE3-6F50F5E47305}"/>
    <cellStyle name="Note 2 5 3 2 11" xfId="21110" xr:uid="{19C34F01-90BC-44B2-AB9B-DF0E767A499D}"/>
    <cellStyle name="Note 2 5 3 2 11 2" xfId="43356" xr:uid="{6B51B6A8-5565-449E-B1F8-C9106989D7C5}"/>
    <cellStyle name="Note 2 5 3 2 11 3" xfId="45300" xr:uid="{261A747B-AA41-473E-BE5F-19F56B2D708E}"/>
    <cellStyle name="Note 2 5 3 2 12" xfId="19454" xr:uid="{18082DBE-E7B4-462B-BFD6-0FCE94572B4A}"/>
    <cellStyle name="Note 2 5 3 2 12 2" xfId="27517" xr:uid="{C6025FBD-44D8-47C2-8AC1-07D3599694DB}"/>
    <cellStyle name="Note 2 5 3 2 13" xfId="43807" xr:uid="{BF02F1E4-108B-45D9-B509-ADB1D8552D61}"/>
    <cellStyle name="Note 2 5 3 2 2" xfId="3936" xr:uid="{00000000-0005-0000-0000-00008A070000}"/>
    <cellStyle name="Note 2 5 3 2 2 2" xfId="10840" xr:uid="{2A10D4FE-6B63-4354-BFFC-F18504697F5D}"/>
    <cellStyle name="Note 2 5 3 2 2 2 2" xfId="33326" xr:uid="{4CED8FC6-6257-46DF-9ED6-12A9AF6ECED0}"/>
    <cellStyle name="Note 2 5 3 2 2 2 3" xfId="49021" xr:uid="{76677836-58AD-454A-9463-F64A59C59E5C}"/>
    <cellStyle name="Note 2 5 3 2 2 3" xfId="15978" xr:uid="{AFD019F2-16CC-449C-93C3-BCB30353A0A8}"/>
    <cellStyle name="Note 2 5 3 2 2 3 2" xfId="38381" xr:uid="{F0E3B56C-C4D0-4300-B16A-EABD7D6E3EEB}"/>
    <cellStyle name="Note 2 5 3 2 2 3 3" xfId="24725" xr:uid="{269F5CF3-96A3-47C0-8060-31E4D291701E}"/>
    <cellStyle name="Note 2 5 3 2 2 4" xfId="19563" xr:uid="{915CEF4D-320F-479B-AECE-4D7C223A5C32}"/>
    <cellStyle name="Note 2 5 3 2 2 4 2" xfId="24044" xr:uid="{4F24C812-A854-4361-971B-742BB1981521}"/>
    <cellStyle name="Note 2 5 3 2 2 5" xfId="49077" xr:uid="{A14FF5CD-8728-4422-9C85-E8CC2A6F0F15}"/>
    <cellStyle name="Note 2 5 3 2 3" xfId="5331" xr:uid="{00000000-0005-0000-0000-00008A070000}"/>
    <cellStyle name="Note 2 5 3 2 3 2" xfId="12223" xr:uid="{3B612536-EF0E-46BF-B91E-50DD88FE035E}"/>
    <cellStyle name="Note 2 5 3 2 3 2 2" xfId="34708" xr:uid="{9F172F43-4A99-40C6-9064-64139A349B85}"/>
    <cellStyle name="Note 2 5 3 2 3 2 3" xfId="32295" xr:uid="{8C647481-65C7-48C7-A5F0-3B16289DF930}"/>
    <cellStyle name="Note 2 5 3 2 3 3" xfId="17268" xr:uid="{C474EB14-9615-4CF9-94B3-B4E05D658112}"/>
    <cellStyle name="Note 2 5 3 2 3 3 2" xfId="39658" xr:uid="{127F8196-A0D7-4B78-94DE-43E0148850EE}"/>
    <cellStyle name="Note 2 5 3 2 3 3 3" xfId="30628" xr:uid="{8233B1D6-05DD-49D5-B757-F22A7C8F1110}"/>
    <cellStyle name="Note 2 5 3 2 3 4" xfId="21692" xr:uid="{5D49CDEA-0BF4-44BC-9261-5DBB7286AB7D}"/>
    <cellStyle name="Note 2 5 3 2 3 4 2" xfId="50897" xr:uid="{B67ADB87-C800-4523-9B0A-E87F97300394}"/>
    <cellStyle name="Note 2 5 3 2 3 5" xfId="49921" xr:uid="{62F14906-15BD-4DA9-AD04-7810933B78B0}"/>
    <cellStyle name="Note 2 5 3 2 4" xfId="5741" xr:uid="{00000000-0005-0000-0000-00008A070000}"/>
    <cellStyle name="Note 2 5 3 2 4 2" xfId="12625" xr:uid="{304A36B0-8790-48EB-9FA8-00777CB281F3}"/>
    <cellStyle name="Note 2 5 3 2 4 2 2" xfId="35110" xr:uid="{1D2D5EDD-A811-4348-9347-1B6CACEC596B}"/>
    <cellStyle name="Note 2 5 3 2 4 2 3" xfId="26367" xr:uid="{B0655DC2-8108-4BFA-B9BD-DB2D25AE358F}"/>
    <cellStyle name="Note 2 5 3 2 4 3" xfId="17678" xr:uid="{9F3166ED-072B-41ED-BD15-3B80F599A2D3}"/>
    <cellStyle name="Note 2 5 3 2 4 3 2" xfId="40068" xr:uid="{7A494853-040E-4CFB-9475-249673A8BB6C}"/>
    <cellStyle name="Note 2 5 3 2 4 3 3" xfId="44602" xr:uid="{A242D90A-9A0B-4E88-937F-E83CDEFE3E85}"/>
    <cellStyle name="Note 2 5 3 2 4 4" xfId="22102" xr:uid="{450B12C4-5DFC-436E-86AC-E2D15FDA5109}"/>
    <cellStyle name="Note 2 5 3 2 4 4 2" xfId="54041" xr:uid="{BEB3EC82-6679-4A4F-A6B7-1B07CF57D784}"/>
    <cellStyle name="Note 2 5 3 2 4 5" xfId="52717" xr:uid="{C1174424-CE2C-4E4E-9C58-F428D4515A94}"/>
    <cellStyle name="Note 2 5 3 2 5" xfId="6095" xr:uid="{00000000-0005-0000-0000-00008A070000}"/>
    <cellStyle name="Note 2 5 3 2 5 2" xfId="12973" xr:uid="{E191B058-C273-4F2D-9F7C-8683F900255A}"/>
    <cellStyle name="Note 2 5 3 2 5 2 2" xfId="35457" xr:uid="{B33996F5-79FD-4A2D-B2D8-7204D3F27692}"/>
    <cellStyle name="Note 2 5 3 2 5 2 3" xfId="28780" xr:uid="{874D3426-07AD-4060-913A-796C83E6C913}"/>
    <cellStyle name="Note 2 5 3 2 5 3" xfId="18032" xr:uid="{6BB695BC-7FFA-4FFC-97E3-D4CE847E4A9E}"/>
    <cellStyle name="Note 2 5 3 2 5 3 2" xfId="40422" xr:uid="{7CB4BF71-55B9-465F-A01C-2237A1E9E0B4}"/>
    <cellStyle name="Note 2 5 3 2 5 3 3" xfId="28545" xr:uid="{06BBACD6-A4B0-4E30-B08E-F5FE2BDA8E8B}"/>
    <cellStyle name="Note 2 5 3 2 5 4" xfId="22456" xr:uid="{183BAED1-0D34-49BD-A9D6-5755D65EF461}"/>
    <cellStyle name="Note 2 5 3 2 5 4 2" xfId="54038" xr:uid="{0FC8430A-520D-4C9B-B0FD-4DE4BCEB6993}"/>
    <cellStyle name="Note 2 5 3 2 5 5" xfId="30418" xr:uid="{1694F9AE-71DF-4F2B-8F90-A0293F8BBBAA}"/>
    <cellStyle name="Note 2 5 3 2 6" xfId="6470" xr:uid="{00000000-0005-0000-0000-00008A070000}"/>
    <cellStyle name="Note 2 5 3 2 6 2" xfId="13340" xr:uid="{1C77A27A-E4B6-4A6B-94DB-7A40B0DC1911}"/>
    <cellStyle name="Note 2 5 3 2 6 2 2" xfId="35824" xr:uid="{29B54A84-73A4-4E9D-9B67-66A951648DC5}"/>
    <cellStyle name="Note 2 5 3 2 6 2 3" xfId="53408" xr:uid="{CDFFE8FE-466B-4A57-947B-DBB6205065BD}"/>
    <cellStyle name="Note 2 5 3 2 6 3" xfId="18407" xr:uid="{90498F6B-B896-4DD6-B4AE-32358FFE71A6}"/>
    <cellStyle name="Note 2 5 3 2 6 3 2" xfId="40797" xr:uid="{E3BFA5F6-B2FF-4FB9-9962-FD3B897E2A87}"/>
    <cellStyle name="Note 2 5 3 2 6 3 3" xfId="30325" xr:uid="{240D85D1-A243-49BE-ACE7-DCEF942FA236}"/>
    <cellStyle name="Note 2 5 3 2 6 4" xfId="22831" xr:uid="{C1D099EA-5059-4D52-8E2D-129E7221C146}"/>
    <cellStyle name="Note 2 5 3 2 6 4 2" xfId="47453" xr:uid="{7B561222-8189-4212-AAF8-3B552464302A}"/>
    <cellStyle name="Note 2 5 3 2 6 5" xfId="30377" xr:uid="{7743E109-279F-4FD0-81F7-A0E9300C8FDE}"/>
    <cellStyle name="Note 2 5 3 2 7" xfId="6346" xr:uid="{00000000-0005-0000-0000-00008A070000}"/>
    <cellStyle name="Note 2 5 3 2 7 2" xfId="13218" xr:uid="{A1D1651D-3340-4EA3-9116-B51E990A4C0B}"/>
    <cellStyle name="Note 2 5 3 2 7 2 2" xfId="35702" xr:uid="{388BC0C4-2136-4E89-85F0-003C50C0658D}"/>
    <cellStyle name="Note 2 5 3 2 7 2 3" xfId="53733" xr:uid="{C4401399-B71F-41DD-B451-2BF8A9841B79}"/>
    <cellStyle name="Note 2 5 3 2 7 3" xfId="18283" xr:uid="{28549B9E-7DAC-4FC8-9731-B9BCBDA50672}"/>
    <cellStyle name="Note 2 5 3 2 7 3 2" xfId="40673" xr:uid="{8CFDBC94-B700-4D5F-A7BA-32FE95EF68A3}"/>
    <cellStyle name="Note 2 5 3 2 7 3 3" xfId="30185" xr:uid="{DCD57730-5BF9-44C9-B82E-E90F45FB3D69}"/>
    <cellStyle name="Note 2 5 3 2 7 4" xfId="22707" xr:uid="{04285FD5-9E53-435C-95F3-3094951937B8}"/>
    <cellStyle name="Note 2 5 3 2 7 4 2" xfId="29503" xr:uid="{30C454B3-73A1-496E-8651-DEA5CC101E07}"/>
    <cellStyle name="Note 2 5 3 2 7 5" xfId="48962" xr:uid="{0BA3ADC0-09A8-483E-8F8D-32EF4F773E10}"/>
    <cellStyle name="Note 2 5 3 2 8" xfId="6970" xr:uid="{00000000-0005-0000-0000-00008A070000}"/>
    <cellStyle name="Note 2 5 3 2 8 2" xfId="13807" xr:uid="{A217C44D-CDDC-4C15-83FC-FC0D84903CC9}"/>
    <cellStyle name="Note 2 5 3 2 8 2 2" xfId="36291" xr:uid="{59654DF7-A107-483E-AD25-7C0F9D207080}"/>
    <cellStyle name="Note 2 5 3 2 8 2 3" xfId="25046" xr:uid="{A86EC305-3D98-499D-A01F-41B2FCFE3F85}"/>
    <cellStyle name="Note 2 5 3 2 8 3" xfId="18907" xr:uid="{0BE98516-40E4-4181-9E84-0A639E8F4025}"/>
    <cellStyle name="Note 2 5 3 2 8 3 2" xfId="41297" xr:uid="{C7E51767-355D-4AB4-A6D0-1FC30944CDC7}"/>
    <cellStyle name="Note 2 5 3 2 8 3 3" xfId="25863" xr:uid="{92CE9047-F37B-4080-9E9D-0149ADA0CCF6}"/>
    <cellStyle name="Note 2 5 3 2 8 4" xfId="23331" xr:uid="{8BE45D9C-2415-4A8A-97BC-6F14FA54C44E}"/>
    <cellStyle name="Note 2 5 3 2 8 4 2" xfId="52133" xr:uid="{5B96E9A2-1C0E-4D02-8F33-CCEDA45A7620}"/>
    <cellStyle name="Note 2 5 3 2 8 5" xfId="53648" xr:uid="{16805B43-3AA0-4CEC-8692-3CAABEDFE9ED}"/>
    <cellStyle name="Note 2 5 3 2 9" xfId="6204" xr:uid="{00000000-0005-0000-0000-00008A070000}"/>
    <cellStyle name="Note 2 5 3 2 9 2" xfId="18141" xr:uid="{5DC254EF-64D3-46EC-8135-7C56A05753F0}"/>
    <cellStyle name="Note 2 5 3 2 9 2 2" xfId="40531" xr:uid="{B67304B6-2F88-4549-B1F5-1B111CA51BB6}"/>
    <cellStyle name="Note 2 5 3 2 9 2 3" xfId="30987" xr:uid="{7F605281-AE66-4B23-9C0A-7EEF8B84D126}"/>
    <cellStyle name="Note 2 5 3 2 9 3" xfId="22565" xr:uid="{B70D2572-40C7-4149-A257-12055582AF35}"/>
    <cellStyle name="Note 2 5 3 2 9 3 2" xfId="46216" xr:uid="{7CCD782C-5395-4E49-A0A6-A281255EB283}"/>
    <cellStyle name="Note 2 5 3 2 9 4" xfId="51979" xr:uid="{25642426-89EE-4AA6-8772-8176EB556CE5}"/>
    <cellStyle name="Note 2 5 3 3" xfId="4697" xr:uid="{00000000-0005-0000-0000-000089070000}"/>
    <cellStyle name="Note 2 5 3 3 2" xfId="11595" xr:uid="{02FB51D2-792B-4121-9358-E02E5B242A3D}"/>
    <cellStyle name="Note 2 5 3 3 2 2" xfId="34081" xr:uid="{C79BBAFE-F31C-47D1-9CDB-DB83863F2EE1}"/>
    <cellStyle name="Note 2 5 3 3 2 3" xfId="26047" xr:uid="{76544E33-ECA4-4F31-9671-28AE5CA38EE0}"/>
    <cellStyle name="Note 2 5 3 3 3" xfId="16634" xr:uid="{7ACFC22F-9B0B-4E00-976F-1FC4E6BCB4BD}"/>
    <cellStyle name="Note 2 5 3 3 3 2" xfId="39024" xr:uid="{B3D2176D-9B0D-4636-91C2-7D000E7A0861}"/>
    <cellStyle name="Note 2 5 3 3 3 3" xfId="42369" xr:uid="{CDE08F7B-AD5A-43C1-B567-0DEA088845B6}"/>
    <cellStyle name="Note 2 5 3 3 4" xfId="20418" xr:uid="{9B7C8555-D49F-463C-8224-2F283929382C}"/>
    <cellStyle name="Note 2 5 3 3 4 2" xfId="27748" xr:uid="{398E088E-D5A2-4E32-A8FC-4531F3A741E8}"/>
    <cellStyle name="Note 2 5 3 3 5" xfId="51694" xr:uid="{1EC9CA6C-87F9-489E-9483-E1967B592F50}"/>
    <cellStyle name="Note 2 5 3 4" xfId="5127" xr:uid="{00000000-0005-0000-0000-000089070000}"/>
    <cellStyle name="Note 2 5 3 4 2" xfId="12020" xr:uid="{A0BAA302-54F0-4A4F-94BE-C3D0D76D8CFE}"/>
    <cellStyle name="Note 2 5 3 4 2 2" xfId="34506" xr:uid="{9B8D5852-DFFF-493C-BD21-D6F9C06FF4B0}"/>
    <cellStyle name="Note 2 5 3 4 2 3" xfId="26384" xr:uid="{8D28E0F3-9179-4D6B-865A-7B16246684A3}"/>
    <cellStyle name="Note 2 5 3 4 3" xfId="17064" xr:uid="{65360CAA-E104-4BFD-9155-757CD39DA28C}"/>
    <cellStyle name="Note 2 5 3 4 3 2" xfId="39454" xr:uid="{314CBAA9-B285-4442-8576-CC2E92B22529}"/>
    <cellStyle name="Note 2 5 3 4 3 3" xfId="29855" xr:uid="{14648008-502D-472C-9137-BE23FA96617E}"/>
    <cellStyle name="Note 2 5 3 4 4" xfId="21488" xr:uid="{BC1D26CB-1987-427B-8A0F-D29A48C7086E}"/>
    <cellStyle name="Note 2 5 3 4 4 2" xfId="32240" xr:uid="{B3EBFB63-67F7-4953-8B7A-F97177EF0BB5}"/>
    <cellStyle name="Note 2 5 3 4 5" xfId="52438" xr:uid="{53D63BA8-78FF-4227-B27B-39A562C0ADCC}"/>
    <cellStyle name="Note 2 5 3 5" xfId="6030" xr:uid="{00000000-0005-0000-0000-000089070000}"/>
    <cellStyle name="Note 2 5 3 5 2" xfId="12910" xr:uid="{12403B0B-32AD-40D2-A107-B39E4B7E422D}"/>
    <cellStyle name="Note 2 5 3 5 2 2" xfId="35394" xr:uid="{03A86E22-35CD-4F11-9E52-5FE560A9B680}"/>
    <cellStyle name="Note 2 5 3 5 2 3" xfId="41767" xr:uid="{A8B27ACD-8ED3-49F8-9638-A15628A4F91A}"/>
    <cellStyle name="Note 2 5 3 5 3" xfId="17967" xr:uid="{A30FD405-EE6E-4F32-8B08-9C5458E4ADEA}"/>
    <cellStyle name="Note 2 5 3 5 3 2" xfId="40357" xr:uid="{E983B74C-4749-4DC1-8212-437175E1D4A3}"/>
    <cellStyle name="Note 2 5 3 5 3 3" xfId="45298" xr:uid="{12528641-5F5B-4BEA-8D00-BB377E5E2583}"/>
    <cellStyle name="Note 2 5 3 5 4" xfId="22391" xr:uid="{72A44BE9-24EC-4BB3-B609-910621A118AD}"/>
    <cellStyle name="Note 2 5 3 5 4 2" xfId="25473" xr:uid="{889C10BE-B17A-4606-B84F-48D850DA0BE9}"/>
    <cellStyle name="Note 2 5 3 5 5" xfId="46997" xr:uid="{B0C7A161-78C1-48C9-93AE-6E7DB1424840}"/>
    <cellStyle name="Note 2 5 3 6" xfId="6695" xr:uid="{00000000-0005-0000-0000-000089070000}"/>
    <cellStyle name="Note 2 5 3 6 2" xfId="13561" xr:uid="{B33ED79B-B837-4DE0-83AF-93ED30EE828C}"/>
    <cellStyle name="Note 2 5 3 6 2 2" xfId="36045" xr:uid="{EE366A36-A2B7-416D-BA4A-6095B62B9297}"/>
    <cellStyle name="Note 2 5 3 6 2 3" xfId="54118" xr:uid="{F1347252-D122-437D-B35D-F77159B8245E}"/>
    <cellStyle name="Note 2 5 3 6 3" xfId="18632" xr:uid="{6FC7CCCC-9473-451B-B8D4-D14C99518406}"/>
    <cellStyle name="Note 2 5 3 6 3 2" xfId="41022" xr:uid="{52436BC6-56B2-4938-9DF0-1568F0F0EC8D}"/>
    <cellStyle name="Note 2 5 3 6 3 3" xfId="28991" xr:uid="{62149703-CE88-4A9E-AE7D-77B049F2378B}"/>
    <cellStyle name="Note 2 5 3 6 4" xfId="23056" xr:uid="{5173A1C0-56A6-4722-A52B-FBDC8A6C7DFD}"/>
    <cellStyle name="Note 2 5 3 6 4 2" xfId="29757" xr:uid="{56DE3EB9-D5ED-4334-8314-99C397E4DD45}"/>
    <cellStyle name="Note 2 5 3 6 5" xfId="46790" xr:uid="{C5508FA7-BF47-4255-9AEB-5417E51152EA}"/>
    <cellStyle name="Note 2 5 3 7" xfId="7370" xr:uid="{4F20E0D8-EEC1-4577-8FBE-716EBE4B8B8B}"/>
    <cellStyle name="Note 2 5 3 7 2" xfId="30055" xr:uid="{DDFCF243-110E-4806-BACF-285E5DC6A429}"/>
    <cellStyle name="Note 2 5 3 7 3" xfId="48171" xr:uid="{EB0A282E-B848-4FBC-A487-022046F4C543}"/>
    <cellStyle name="Note 2 5 3 8" xfId="15015" xr:uid="{652E1E14-F8B7-413A-92CD-822306D936CF}"/>
    <cellStyle name="Note 2 5 3 8 2" xfId="37465" xr:uid="{371B4383-B1A8-4B09-B0DE-D1CA9B185008}"/>
    <cellStyle name="Note 2 5 3 8 3" xfId="47817" xr:uid="{5D313949-07BA-4E2B-B2A0-1805D72AB94E}"/>
    <cellStyle name="Note 2 5 3 9" xfId="20048" xr:uid="{70DD175B-E7D9-4E3A-B373-00A2309515AB}"/>
    <cellStyle name="Note 2 5 3 9 2" xfId="43929" xr:uid="{876C540F-CD54-47A6-A039-4BC6FE8DBFF4}"/>
    <cellStyle name="Note 2 5 4" xfId="1040" xr:uid="{00000000-0005-0000-0000-00008D070000}"/>
    <cellStyle name="Note 2 5 4 10" xfId="46936" xr:uid="{FE54DCDA-15E1-4ADC-B93C-8F54953A5AD0}"/>
    <cellStyle name="Note 2 5 4 2" xfId="1930" xr:uid="{00000000-0005-0000-0000-00008E070000}"/>
    <cellStyle name="Note 2 5 4 2 10" xfId="14600" xr:uid="{4A42A052-6031-433C-81F3-DDEE54D829B7}"/>
    <cellStyle name="Note 2 5 4 2 10 2" xfId="37061" xr:uid="{1A7443D9-D509-4A83-B276-443DB928250D}"/>
    <cellStyle name="Note 2 5 4 2 10 3" xfId="27058" xr:uid="{BE4AA9AB-CC46-4A3D-8D05-A303B375EAF3}"/>
    <cellStyle name="Note 2 5 4 2 11" xfId="20118" xr:uid="{0527E1EA-D6C3-4C86-875D-A9477DF84567}"/>
    <cellStyle name="Note 2 5 4 2 11 2" xfId="42432" xr:uid="{68C96C0A-F01D-4A56-84FF-C74A3D45D37C}"/>
    <cellStyle name="Note 2 5 4 2 11 3" xfId="31255" xr:uid="{74F1314D-8B83-41E6-AA3B-61E5812D1700}"/>
    <cellStyle name="Note 2 5 4 2 12" xfId="7589" xr:uid="{28541178-0F37-40F4-9778-FB576851AD96}"/>
    <cellStyle name="Note 2 5 4 2 12 2" xfId="42502" xr:uid="{B2B6EE31-42DC-498C-8CC5-E4F896ADC213}"/>
    <cellStyle name="Note 2 5 4 2 13" xfId="48879" xr:uid="{F8273B1A-1F16-4FC5-835E-4C792AB69DE2}"/>
    <cellStyle name="Note 2 5 4 2 2" xfId="4027" xr:uid="{00000000-0005-0000-0000-00008C070000}"/>
    <cellStyle name="Note 2 5 4 2 2 2" xfId="10931" xr:uid="{321031AE-1830-4F5C-B626-0232BBBC6A27}"/>
    <cellStyle name="Note 2 5 4 2 2 2 2" xfId="33417" xr:uid="{54DE7239-DD84-458B-8704-A7F9DECA0792}"/>
    <cellStyle name="Note 2 5 4 2 2 2 3" xfId="49283" xr:uid="{8C072036-53B0-4D7E-98E8-63C114C4CB6B}"/>
    <cellStyle name="Note 2 5 4 2 2 3" xfId="16051" xr:uid="{5686F93E-BC5C-4682-9BE3-21D8F90B2D46}"/>
    <cellStyle name="Note 2 5 4 2 2 3 2" xfId="38452" xr:uid="{9EA90395-31F3-41DF-B6D7-693F629B60BE}"/>
    <cellStyle name="Note 2 5 4 2 2 3 3" xfId="48391" xr:uid="{545F0A02-B67F-4427-AF3E-27F070D63C57}"/>
    <cellStyle name="Note 2 5 4 2 2 4" xfId="20667" xr:uid="{3467877D-91AA-4CD0-9C80-30040CF488DB}"/>
    <cellStyle name="Note 2 5 4 2 2 4 2" xfId="53341" xr:uid="{7D208B4C-D637-4391-BBB6-B245F0B5948C}"/>
    <cellStyle name="Note 2 5 4 2 2 5" xfId="44296" xr:uid="{40AD9269-ACB0-4E90-B11E-8F0427739C9E}"/>
    <cellStyle name="Note 2 5 4 2 3" xfId="5402" xr:uid="{00000000-0005-0000-0000-00008C070000}"/>
    <cellStyle name="Note 2 5 4 2 3 2" xfId="12293" xr:uid="{9ECD8763-D8F0-4599-B872-B3E434061AF5}"/>
    <cellStyle name="Note 2 5 4 2 3 2 2" xfId="34778" xr:uid="{CDCD36AE-7336-4704-809E-15BC2F100D43}"/>
    <cellStyle name="Note 2 5 4 2 3 2 3" xfId="25130" xr:uid="{5FC8B096-297B-475F-BAE2-263C956FF85E}"/>
    <cellStyle name="Note 2 5 4 2 3 3" xfId="17339" xr:uid="{8C43F9FD-0BDD-45B7-86A9-EFE96A0F7953}"/>
    <cellStyle name="Note 2 5 4 2 3 3 2" xfId="39729" xr:uid="{CA96A6F8-20F1-48EE-A7FA-B23C5FC96927}"/>
    <cellStyle name="Note 2 5 4 2 3 3 3" xfId="30827" xr:uid="{E5F27CD1-98B3-4038-BCF9-40C8E2FC6EBC}"/>
    <cellStyle name="Note 2 5 4 2 3 4" xfId="21763" xr:uid="{9CF14272-AD01-4B9D-8D81-2EC030E341E1}"/>
    <cellStyle name="Note 2 5 4 2 3 4 2" xfId="28246" xr:uid="{1B68D167-3F25-4FB2-BB36-080562853198}"/>
    <cellStyle name="Note 2 5 4 2 3 5" xfId="23802" xr:uid="{19F9789C-277B-40F4-BEED-A1D36220EE1A}"/>
    <cellStyle name="Note 2 5 4 2 4" xfId="5815" xr:uid="{00000000-0005-0000-0000-00008C070000}"/>
    <cellStyle name="Note 2 5 4 2 4 2" xfId="12698" xr:uid="{35565344-F55E-4898-9004-D8129449F3CD}"/>
    <cellStyle name="Note 2 5 4 2 4 2 2" xfId="35183" xr:uid="{C6E5DFA4-DC44-4B4A-B6AF-F5DDAAD83E77}"/>
    <cellStyle name="Note 2 5 4 2 4 2 3" xfId="25728" xr:uid="{04668DFE-4826-4114-9494-16218056AC05}"/>
    <cellStyle name="Note 2 5 4 2 4 3" xfId="17752" xr:uid="{16CFCB58-2CAA-4335-99EF-8B86C9A4D8C1}"/>
    <cellStyle name="Note 2 5 4 2 4 3 2" xfId="40142" xr:uid="{74F13EBE-196B-4497-B764-85146CA1633C}"/>
    <cellStyle name="Note 2 5 4 2 4 3 3" xfId="29206" xr:uid="{20CF0BE4-68C2-48EC-ACC3-F05359ACAB79}"/>
    <cellStyle name="Note 2 5 4 2 4 4" xfId="22176" xr:uid="{0C95BCA0-0138-49D3-BD87-CDE876F0F16D}"/>
    <cellStyle name="Note 2 5 4 2 4 4 2" xfId="44543" xr:uid="{3BAABF13-EB53-4201-BBEF-660C52016930}"/>
    <cellStyle name="Note 2 5 4 2 4 5" xfId="50894" xr:uid="{D99E60AC-7BF6-42CA-BF41-9C295EE2858D}"/>
    <cellStyle name="Note 2 5 4 2 5" xfId="6159" xr:uid="{00000000-0005-0000-0000-00008C070000}"/>
    <cellStyle name="Note 2 5 4 2 5 2" xfId="13036" xr:uid="{2A21DF56-F006-4239-B544-037B01E883AD}"/>
    <cellStyle name="Note 2 5 4 2 5 2 2" xfId="35520" xr:uid="{7D111A90-21BB-45A2-A1A0-4E1484EBA82C}"/>
    <cellStyle name="Note 2 5 4 2 5 2 3" xfId="30096" xr:uid="{0FB584BD-E74A-4C26-A943-E28D95A642DF}"/>
    <cellStyle name="Note 2 5 4 2 5 3" xfId="18096" xr:uid="{CC3E1583-9131-4552-A8D5-0224DFADD51E}"/>
    <cellStyle name="Note 2 5 4 2 5 3 2" xfId="40486" xr:uid="{C00F9D4A-70DD-4DB7-9BBD-5152BE25C441}"/>
    <cellStyle name="Note 2 5 4 2 5 3 3" xfId="42245" xr:uid="{795CCCF3-90ED-4E7D-844A-89B3D1251022}"/>
    <cellStyle name="Note 2 5 4 2 5 4" xfId="22520" xr:uid="{F4F3C9A7-C6F2-4920-B981-D680568F76F9}"/>
    <cellStyle name="Note 2 5 4 2 5 4 2" xfId="49685" xr:uid="{1E9EF143-2C11-4B7B-B902-8A91375EA6F1}"/>
    <cellStyle name="Note 2 5 4 2 5 5" xfId="52398" xr:uid="{DD9D7902-EEF4-4E3F-9706-E44BE2488361}"/>
    <cellStyle name="Note 2 5 4 2 6" xfId="6532" xr:uid="{00000000-0005-0000-0000-00008C070000}"/>
    <cellStyle name="Note 2 5 4 2 6 2" xfId="13401" xr:uid="{1F51F7F4-BD0E-47F0-A2E5-45263DAED5CB}"/>
    <cellStyle name="Note 2 5 4 2 6 2 2" xfId="35885" xr:uid="{92D1C6AB-92B8-465D-90C2-A9D5797CEF4D}"/>
    <cellStyle name="Note 2 5 4 2 6 2 3" xfId="47075" xr:uid="{CE451245-190D-470F-B56E-0025865DAB66}"/>
    <cellStyle name="Note 2 5 4 2 6 3" xfId="18469" xr:uid="{89A78878-1AC9-4D24-B772-0FCE5E76DEF6}"/>
    <cellStyle name="Note 2 5 4 2 6 3 2" xfId="40859" xr:uid="{49E42437-0681-4646-9AF1-D30234C4FF0B}"/>
    <cellStyle name="Note 2 5 4 2 6 3 3" xfId="29679" xr:uid="{62E8927E-1BC6-4825-9834-3A216DBAA90F}"/>
    <cellStyle name="Note 2 5 4 2 6 4" xfId="22893" xr:uid="{8FB14DB4-6D22-454B-B400-42061ACE9A4E}"/>
    <cellStyle name="Note 2 5 4 2 6 4 2" xfId="50761" xr:uid="{CA8DA226-C9D0-4EF0-B3E7-51F3C7357C54}"/>
    <cellStyle name="Note 2 5 4 2 6 5" xfId="23925" xr:uid="{A24B9C94-522D-4A3C-BFE2-10F1B829C33E}"/>
    <cellStyle name="Note 2 5 4 2 7" xfId="2727" xr:uid="{00000000-0005-0000-0000-00008C070000}"/>
    <cellStyle name="Note 2 5 4 2 7 2" xfId="9636" xr:uid="{AC17E77E-00F9-4310-AF9E-0AAEB27DD5D9}"/>
    <cellStyle name="Note 2 5 4 2 7 2 2" xfId="32184" xr:uid="{8E2DFBC4-DE39-470B-BF77-63C0C707BB7C}"/>
    <cellStyle name="Note 2 5 4 2 7 2 3" xfId="50407" xr:uid="{440319ED-A5B2-475C-A8F7-61A448CD8984}"/>
    <cellStyle name="Note 2 5 4 2 7 3" xfId="15154" xr:uid="{E39C4C76-E554-4139-AFA6-B024FCDD3E9F}"/>
    <cellStyle name="Note 2 5 4 2 7 3 2" xfId="37594" xr:uid="{475F2B49-3E40-499C-BF1B-A41860713562}"/>
    <cellStyle name="Note 2 5 4 2 7 3 3" xfId="51484" xr:uid="{21605878-5098-4878-A6A9-CE50726CB597}"/>
    <cellStyle name="Note 2 5 4 2 7 4" xfId="19219" xr:uid="{AE57412B-05A2-4A0E-81A3-B11D9454DD0E}"/>
    <cellStyle name="Note 2 5 4 2 7 4 2" xfId="30826" xr:uid="{4D3A9F51-8664-4C51-B64F-A46C2FF6881E}"/>
    <cellStyle name="Note 2 5 4 2 7 5" xfId="48253" xr:uid="{0C3977EA-4DC9-40CB-AB8C-97D6382321F6}"/>
    <cellStyle name="Note 2 5 4 2 8" xfId="7016" xr:uid="{00000000-0005-0000-0000-00008C070000}"/>
    <cellStyle name="Note 2 5 4 2 8 2" xfId="13853" xr:uid="{AB0DE982-E448-4D6E-96F8-10DDE35BA02B}"/>
    <cellStyle name="Note 2 5 4 2 8 2 2" xfId="36337" xr:uid="{D66C086C-A5DD-40C7-A4DB-995DC560E798}"/>
    <cellStyle name="Note 2 5 4 2 8 2 3" xfId="24651" xr:uid="{25243ADC-626A-4FAB-BBF4-FDAFB014C701}"/>
    <cellStyle name="Note 2 5 4 2 8 3" xfId="18953" xr:uid="{6C3B9800-A397-4B9F-9D26-A32E57FACF49}"/>
    <cellStyle name="Note 2 5 4 2 8 3 2" xfId="41343" xr:uid="{242820EF-0070-4115-BFC3-4A02395D4317}"/>
    <cellStyle name="Note 2 5 4 2 8 3 3" xfId="42835" xr:uid="{9C596ABC-38D8-440C-A2D3-82FC974F5270}"/>
    <cellStyle name="Note 2 5 4 2 8 4" xfId="23377" xr:uid="{513C1DFE-85F7-485B-BD32-F41F7F7FEEAA}"/>
    <cellStyle name="Note 2 5 4 2 8 4 2" xfId="49979" xr:uid="{027A276F-A11C-4D81-892E-30C5657A55F9}"/>
    <cellStyle name="Note 2 5 4 2 8 5" xfId="46746" xr:uid="{3E94AE1D-6408-4461-A7C8-A130824BC57D}"/>
    <cellStyle name="Note 2 5 4 2 9" xfId="7132" xr:uid="{00000000-0005-0000-0000-00008C070000}"/>
    <cellStyle name="Note 2 5 4 2 9 2" xfId="19069" xr:uid="{8E1FCD92-D4F1-487E-9638-73F6E92B854C}"/>
    <cellStyle name="Note 2 5 4 2 9 2 2" xfId="41459" xr:uid="{CCEBEB52-ADCB-40C5-8232-02950C438538}"/>
    <cellStyle name="Note 2 5 4 2 9 2 3" xfId="45366" xr:uid="{2B5D7F5D-5F9F-4442-A3C5-DAD8027712AF}"/>
    <cellStyle name="Note 2 5 4 2 9 3" xfId="23493" xr:uid="{AAF364BF-17EF-418E-8359-ED3B99CAF55A}"/>
    <cellStyle name="Note 2 5 4 2 9 3 2" xfId="42531" xr:uid="{A8009BA2-DAEE-412B-A45D-0B0BF3E18E0A}"/>
    <cellStyle name="Note 2 5 4 2 9 4" xfId="46514" xr:uid="{A1195C54-B752-4F1C-9239-2B9486EACD6C}"/>
    <cellStyle name="Note 2 5 4 3" xfId="4814" xr:uid="{00000000-0005-0000-0000-00008B070000}"/>
    <cellStyle name="Note 2 5 4 3 2" xfId="11711" xr:uid="{4979A51F-51E1-4990-8B05-0892CEB39121}"/>
    <cellStyle name="Note 2 5 4 3 2 2" xfId="34197" xr:uid="{4C05E0A8-BD7B-4C4D-A00C-3AC5539D5157}"/>
    <cellStyle name="Note 2 5 4 3 2 3" xfId="44328" xr:uid="{C126D69D-44F0-42E4-9250-76D850CFCA74}"/>
    <cellStyle name="Note 2 5 4 3 3" xfId="16751" xr:uid="{DC6612BF-E8B7-4E3B-82C1-CB3ED5D7BB5A}"/>
    <cellStyle name="Note 2 5 4 3 3 2" xfId="39141" xr:uid="{5F7ECE76-711B-4528-92CB-34F1229FCA2D}"/>
    <cellStyle name="Note 2 5 4 3 3 3" xfId="45130" xr:uid="{560067AC-F271-4BF6-8F2B-C069F96C10D6}"/>
    <cellStyle name="Note 2 5 4 3 4" xfId="14033" xr:uid="{65F7312D-C797-4048-A3AE-DA31E983EF9B}"/>
    <cellStyle name="Note 2 5 4 3 4 2" xfId="54071" xr:uid="{5272F783-BEDA-4EF7-8D7C-284AA3884A92}"/>
    <cellStyle name="Note 2 5 4 3 5" xfId="28898" xr:uid="{3C8BE1EA-7FF6-443B-A452-554A1B1D9A82}"/>
    <cellStyle name="Note 2 5 4 4" xfId="4846" xr:uid="{00000000-0005-0000-0000-00008B070000}"/>
    <cellStyle name="Note 2 5 4 4 2" xfId="11742" xr:uid="{1AA78C27-6182-4C89-BDEE-94098C47EA7C}"/>
    <cellStyle name="Note 2 5 4 4 2 2" xfId="34228" xr:uid="{9771663B-C255-42D3-AB7F-53EEA0D96FA3}"/>
    <cellStyle name="Note 2 5 4 4 2 3" xfId="43647" xr:uid="{EB4B4DD0-07D0-4696-BC52-FBF9D3966EC3}"/>
    <cellStyle name="Note 2 5 4 4 3" xfId="16783" xr:uid="{757165BD-9D92-441A-9472-10184E5AEF76}"/>
    <cellStyle name="Note 2 5 4 4 3 2" xfId="39173" xr:uid="{5DF72A7C-E578-4E2B-AB45-520130FF56A9}"/>
    <cellStyle name="Note 2 5 4 4 3 3" xfId="29616" xr:uid="{1AA50FA5-EE61-49F7-989F-BB2804A05D95}"/>
    <cellStyle name="Note 2 5 4 4 4" xfId="14261" xr:uid="{BEE1E844-C0AF-4260-B984-67B3F6BD281F}"/>
    <cellStyle name="Note 2 5 4 4 4 2" xfId="52638" xr:uid="{46D0F844-295F-4F29-A6C7-713273B4DB65}"/>
    <cellStyle name="Note 2 5 4 4 5" xfId="47566" xr:uid="{3328FC1B-A671-4E0D-9DEA-EE4F54B6BFFD}"/>
    <cellStyle name="Note 2 5 4 5" xfId="5084" xr:uid="{00000000-0005-0000-0000-00008B070000}"/>
    <cellStyle name="Note 2 5 4 5 2" xfId="11977" xr:uid="{6AD07C38-0707-40A3-AA07-59F38AA825AE}"/>
    <cellStyle name="Note 2 5 4 5 2 2" xfId="34463" xr:uid="{A837D94D-28C9-45DE-9442-2F0D4BC77C59}"/>
    <cellStyle name="Note 2 5 4 5 2 3" xfId="28862" xr:uid="{FEECA03C-4E47-4FFB-BFCE-030770831B30}"/>
    <cellStyle name="Note 2 5 4 5 3" xfId="17021" xr:uid="{C2E6175E-FD59-4328-A88D-3C50A4FCC73F}"/>
    <cellStyle name="Note 2 5 4 5 3 2" xfId="39411" xr:uid="{1C0E0A99-6C4B-43C7-84A1-89140F9C1C58}"/>
    <cellStyle name="Note 2 5 4 5 3 3" xfId="32670" xr:uid="{0312F52F-04E2-4AE9-BD0C-0E95C99657A7}"/>
    <cellStyle name="Note 2 5 4 5 4" xfId="21445" xr:uid="{E0ED0050-F3C9-4C4F-BD91-0CBB2BC969D0}"/>
    <cellStyle name="Note 2 5 4 5 4 2" xfId="43277" xr:uid="{A7FEB489-8C9B-4DCD-A9F4-8B8BBF9CDAA8}"/>
    <cellStyle name="Note 2 5 4 5 5" xfId="54123" xr:uid="{1E72282F-BF92-4FB9-B84B-FECD3158B8AF}"/>
    <cellStyle name="Note 2 5 4 6" xfId="2344" xr:uid="{00000000-0005-0000-0000-00008B070000}"/>
    <cellStyle name="Note 2 5 4 6 2" xfId="9253" xr:uid="{5200736F-EBDA-4320-8965-D3D950703CBD}"/>
    <cellStyle name="Note 2 5 4 6 2 2" xfId="31828" xr:uid="{415BF206-FCB0-4C66-A258-8B83BA7FE1CC}"/>
    <cellStyle name="Note 2 5 4 6 2 3" xfId="42085" xr:uid="{5DACD0E3-6328-44F8-9328-FDDF6961636F}"/>
    <cellStyle name="Note 2 5 4 6 3" xfId="14902" xr:uid="{723ED82C-76AF-4888-A235-84D970A46826}"/>
    <cellStyle name="Note 2 5 4 6 3 2" xfId="37356" xr:uid="{436AAFB9-BF0E-4714-8731-A7343F5B89DA}"/>
    <cellStyle name="Note 2 5 4 6 3 3" xfId="28309" xr:uid="{42325BE7-CCD1-4C3B-A43F-C00A6C9057A8}"/>
    <cellStyle name="Note 2 5 4 6 4" xfId="16004" xr:uid="{C9B887ED-9A55-46FC-8A9B-34BEB6108100}"/>
    <cellStyle name="Note 2 5 4 6 4 2" xfId="47537" xr:uid="{5CD5EB17-D25C-4C77-838F-388924BE6CFC}"/>
    <cellStyle name="Note 2 5 4 6 5" xfId="51813" xr:uid="{F916AD1A-D143-4D34-96F4-B7D35AD87015}"/>
    <cellStyle name="Note 2 5 4 7" xfId="13986" xr:uid="{FBF36640-859C-4177-862F-82E89B3BCA86}"/>
    <cellStyle name="Note 2 5 4 7 2" xfId="36470" xr:uid="{A92CAA2D-B360-4235-B9E3-7FB298101160}"/>
    <cellStyle name="Note 2 5 4 7 3" xfId="50789" xr:uid="{B34C5B19-63FA-42CB-95F1-558AEBA5A041}"/>
    <cellStyle name="Note 2 5 4 8" xfId="19751" xr:uid="{3CAD04CA-C50C-4C5C-88D2-7313F8C746D1}"/>
    <cellStyle name="Note 2 5 4 8 2" xfId="42094" xr:uid="{959CC4E7-BFBB-4B37-869C-1F08FCDFD2B2}"/>
    <cellStyle name="Note 2 5 4 8 3" xfId="45010" xr:uid="{46E860B1-F3D6-4379-9169-48723A31C57B}"/>
    <cellStyle name="Note 2 5 4 9" xfId="19602" xr:uid="{EE9317B6-7EE9-4230-80A4-37AB8CFEC5DC}"/>
    <cellStyle name="Note 2 5 4 9 2" xfId="44387" xr:uid="{42EFE592-E26D-40FE-B7E5-FB8C927A9062}"/>
    <cellStyle name="Note 2 5 5" xfId="1224" xr:uid="{00000000-0005-0000-0000-00008F070000}"/>
    <cellStyle name="Note 2 5 5 10" xfId="48940" xr:uid="{5CDC1E65-1FA4-4522-81E7-5F4D7DCB931B}"/>
    <cellStyle name="Note 2 5 5 2" xfId="2024" xr:uid="{00000000-0005-0000-0000-000090070000}"/>
    <cellStyle name="Note 2 5 5 2 10" xfId="14672" xr:uid="{8ABA8837-F416-4BD1-B86A-A2CD8B12B34F}"/>
    <cellStyle name="Note 2 5 5 2 10 2" xfId="37132" xr:uid="{5D3AB5CA-9D54-46A4-A71B-231814FBFF55}"/>
    <cellStyle name="Note 2 5 5 2 10 3" xfId="46766" xr:uid="{2F06056B-C190-4953-81E8-300F3339CDBF}"/>
    <cellStyle name="Note 2 5 5 2 11" xfId="20414" xr:uid="{151C55A0-CEA8-4CA4-8EE8-0C4A8FBB5F21}"/>
    <cellStyle name="Note 2 5 5 2 11 2" xfId="42708" xr:uid="{6C4A99D3-12FB-405C-BE6B-3C55162A83DE}"/>
    <cellStyle name="Note 2 5 5 2 11 3" xfId="37713" xr:uid="{8E68D2F4-71EE-4BB4-9D70-D7997C04ED62}"/>
    <cellStyle name="Note 2 5 5 2 12" xfId="20951" xr:uid="{659772BE-A184-4DE6-9D88-EEDCE2197817}"/>
    <cellStyle name="Note 2 5 5 2 12 2" xfId="51792" xr:uid="{9FEF0A5A-36DB-45B7-8A15-98BF221CAFA5}"/>
    <cellStyle name="Note 2 5 5 2 13" xfId="30405" xr:uid="{9219F8E0-DA5C-4C5F-AC59-F46EB65D0986}"/>
    <cellStyle name="Note 2 5 5 2 2" xfId="4119" xr:uid="{00000000-0005-0000-0000-00008E070000}"/>
    <cellStyle name="Note 2 5 5 2 2 2" xfId="11023" xr:uid="{74A3496D-5885-4224-9E24-0BBA0B85C2D4}"/>
    <cellStyle name="Note 2 5 5 2 2 2 2" xfId="33509" xr:uid="{0E77F195-1A69-4C0B-BC0E-E7861018C751}"/>
    <cellStyle name="Note 2 5 5 2 2 2 3" xfId="46593" xr:uid="{A921F552-E04C-4009-A74B-8AF0663DA74A}"/>
    <cellStyle name="Note 2 5 5 2 2 3" xfId="16123" xr:uid="{03FE080A-52EB-4DCC-8E04-C7CA7EEC578D}"/>
    <cellStyle name="Note 2 5 5 2 2 3 2" xfId="38523" xr:uid="{5D7B38B2-5040-4FD1-ADF6-5B651ADBEB59}"/>
    <cellStyle name="Note 2 5 5 2 2 3 3" xfId="29073" xr:uid="{05448615-149C-4E1E-8446-234844859451}"/>
    <cellStyle name="Note 2 5 5 2 2 4" xfId="8614" xr:uid="{D1742854-E8A6-40CF-9B42-F5AB8277486A}"/>
    <cellStyle name="Note 2 5 5 2 2 4 2" xfId="50738" xr:uid="{CA00217A-2D81-46CA-AE47-6AD535336A20}"/>
    <cellStyle name="Note 2 5 5 2 2 5" xfId="43654" xr:uid="{14762551-167E-47C1-8B9A-7D30B47E0A61}"/>
    <cellStyle name="Note 2 5 5 2 3" xfId="5465" xr:uid="{00000000-0005-0000-0000-00008E070000}"/>
    <cellStyle name="Note 2 5 5 2 3 2" xfId="12354" xr:uid="{18432A15-438B-45CC-9461-643F6A826740}"/>
    <cellStyle name="Note 2 5 5 2 3 2 2" xfId="34839" xr:uid="{F91AEB91-043F-47DE-9E93-732587BF756C}"/>
    <cellStyle name="Note 2 5 5 2 3 2 3" xfId="28091" xr:uid="{5C69B0EE-7BF0-466A-AB33-1B7D6B99F686}"/>
    <cellStyle name="Note 2 5 5 2 3 3" xfId="17402" xr:uid="{60392125-A194-4401-8D99-02EADE78BD47}"/>
    <cellStyle name="Note 2 5 5 2 3 3 2" xfId="39792" xr:uid="{7BA06E8D-117F-479F-AA67-5399051AF04A}"/>
    <cellStyle name="Note 2 5 5 2 3 3 3" xfId="24666" xr:uid="{FD8830AB-54C5-4801-AB0B-D4D45ACCDBD1}"/>
    <cellStyle name="Note 2 5 5 2 3 4" xfId="21826" xr:uid="{BA00EAF6-B02A-40B3-8009-461A67A39C72}"/>
    <cellStyle name="Note 2 5 5 2 3 4 2" xfId="38030" xr:uid="{B8410F66-F426-456F-9D1C-04D153EEED4D}"/>
    <cellStyle name="Note 2 5 5 2 3 5" xfId="51267" xr:uid="{1818C8A1-0A71-46E9-85C3-AB143B06CEEB}"/>
    <cellStyle name="Note 2 5 5 2 4" xfId="5888" xr:uid="{00000000-0005-0000-0000-00008E070000}"/>
    <cellStyle name="Note 2 5 5 2 4 2" xfId="12770" xr:uid="{8559994A-31F2-4821-A48D-EDB7FB0E4467}"/>
    <cellStyle name="Note 2 5 5 2 4 2 2" xfId="35254" xr:uid="{AF790930-D898-43F5-9A41-911073D7304A}"/>
    <cellStyle name="Note 2 5 5 2 4 2 3" xfId="37729" xr:uid="{58E442DE-CC4F-4898-A472-510EA34CF508}"/>
    <cellStyle name="Note 2 5 5 2 4 3" xfId="17825" xr:uid="{531EE96E-00B8-49EA-A658-294BAE416A65}"/>
    <cellStyle name="Note 2 5 5 2 4 3 2" xfId="40215" xr:uid="{A42A0657-5545-4ADF-AEA4-91571CAB659F}"/>
    <cellStyle name="Note 2 5 5 2 4 3 3" xfId="32229" xr:uid="{C95D4ACB-9403-4D7A-8D1E-9F1016A743C1}"/>
    <cellStyle name="Note 2 5 5 2 4 4" xfId="22249" xr:uid="{5E63563E-375F-4AA4-B784-044B04B24B1D}"/>
    <cellStyle name="Note 2 5 5 2 4 4 2" xfId="51839" xr:uid="{8C6D3706-5B25-4C25-AB8C-29F1F295E454}"/>
    <cellStyle name="Note 2 5 5 2 4 5" xfId="51917" xr:uid="{1C99C9FF-EBCF-4FF9-AFCD-F516041526DD}"/>
    <cellStyle name="Note 2 5 5 2 5" xfId="6226" xr:uid="{00000000-0005-0000-0000-00008E070000}"/>
    <cellStyle name="Note 2 5 5 2 5 2" xfId="13101" xr:uid="{E5AD41FE-3AF2-49F1-8E40-6BB9C3AA10C6}"/>
    <cellStyle name="Note 2 5 5 2 5 2 2" xfId="35585" xr:uid="{31E606B6-62AD-4168-9665-75C3198D866F}"/>
    <cellStyle name="Note 2 5 5 2 5 2 3" xfId="50642" xr:uid="{75FE6567-0DCA-4B6F-B905-87BD36202717}"/>
    <cellStyle name="Note 2 5 5 2 5 3" xfId="18163" xr:uid="{75A5618A-1C25-45CC-BDFD-D23D1C50BFBB}"/>
    <cellStyle name="Note 2 5 5 2 5 3 2" xfId="40553" xr:uid="{6152B9FF-309D-4894-B982-EA8827F0CD0A}"/>
    <cellStyle name="Note 2 5 5 2 5 3 3" xfId="29043" xr:uid="{6A95A432-8224-49DC-A7E3-3D2453510908}"/>
    <cellStyle name="Note 2 5 5 2 5 4" xfId="22587" xr:uid="{00A268CE-E793-4BC0-BE4F-D5CB12E06561}"/>
    <cellStyle name="Note 2 5 5 2 5 4 2" xfId="50476" xr:uid="{D376898A-942E-4636-9CB5-A7B2255BC0E8}"/>
    <cellStyle name="Note 2 5 5 2 5 5" xfId="52091" xr:uid="{13AE781D-65E8-4B7E-AE61-87EFB54AF9EA}"/>
    <cellStyle name="Note 2 5 5 2 6" xfId="6592" xr:uid="{00000000-0005-0000-0000-00008E070000}"/>
    <cellStyle name="Note 2 5 5 2 6 2" xfId="13458" xr:uid="{D93902EC-F3CA-414B-8460-E8F378BB5F81}"/>
    <cellStyle name="Note 2 5 5 2 6 2 2" xfId="35942" xr:uid="{145B694D-BD00-4365-8C3F-67A1EBFD3253}"/>
    <cellStyle name="Note 2 5 5 2 6 2 3" xfId="48165" xr:uid="{D633FD38-A653-408F-8A00-43F4E7CE32EF}"/>
    <cellStyle name="Note 2 5 5 2 6 3" xfId="18529" xr:uid="{F4A5B046-00B7-4BFE-A1C9-48DCA45D7E36}"/>
    <cellStyle name="Note 2 5 5 2 6 3 2" xfId="40919" xr:uid="{7E4728C7-B67A-4B3C-AF69-9DE36604CE82}"/>
    <cellStyle name="Note 2 5 5 2 6 3 3" xfId="30419" xr:uid="{99940AE1-839E-458E-84F7-7E3EEDE51749}"/>
    <cellStyle name="Note 2 5 5 2 6 4" xfId="22953" xr:uid="{9F93FCB9-20E3-4749-A30A-E6864EF9CBBF}"/>
    <cellStyle name="Note 2 5 5 2 6 4 2" xfId="47334" xr:uid="{880FBD4C-A777-43CA-BF09-0510D87EC8AF}"/>
    <cellStyle name="Note 2 5 5 2 6 5" xfId="48910" xr:uid="{AAE528CC-903D-4FE4-9880-710E8FFEC438}"/>
    <cellStyle name="Note 2 5 5 2 7" xfId="4629" xr:uid="{00000000-0005-0000-0000-00008E070000}"/>
    <cellStyle name="Note 2 5 5 2 7 2" xfId="11530" xr:uid="{851C8477-C767-43F5-8AFD-06D779A8204F}"/>
    <cellStyle name="Note 2 5 5 2 7 2 2" xfId="34016" xr:uid="{6419D3F3-60CE-4CA5-9863-A0D005EE836C}"/>
    <cellStyle name="Note 2 5 5 2 7 2 3" xfId="29777" xr:uid="{62309510-3333-4C99-9EC6-6CC54330E360}"/>
    <cellStyle name="Note 2 5 5 2 7 3" xfId="16566" xr:uid="{2C16FC4D-FC83-4E52-AFD1-337AF2C8D36C}"/>
    <cellStyle name="Note 2 5 5 2 7 3 2" xfId="38956" xr:uid="{E09E161E-872E-428E-ABF6-0EE4CACAD47B}"/>
    <cellStyle name="Note 2 5 5 2 7 3 3" xfId="28154" xr:uid="{AB8827A1-043A-4AB4-982B-743734CB180D}"/>
    <cellStyle name="Note 2 5 5 2 7 4" xfId="19531" xr:uid="{C8E94EA4-BAC3-42A5-8C2C-48DCDF53D0D9}"/>
    <cellStyle name="Note 2 5 5 2 7 4 2" xfId="45248" xr:uid="{506633E5-FF2D-49FF-A6BF-1CB18C7EE1D1}"/>
    <cellStyle name="Note 2 5 5 2 7 5" xfId="49837" xr:uid="{9BCAAD4E-8DDA-42CE-BA25-960036D11F07}"/>
    <cellStyle name="Note 2 5 5 2 8" xfId="7062" xr:uid="{00000000-0005-0000-0000-00008E070000}"/>
    <cellStyle name="Note 2 5 5 2 8 2" xfId="13898" xr:uid="{F95134CA-C72C-4281-868E-EE4CC51D58A0}"/>
    <cellStyle name="Note 2 5 5 2 8 2 2" xfId="36382" xr:uid="{C62D3FA4-18A7-4DD4-8998-647EAB003F93}"/>
    <cellStyle name="Note 2 5 5 2 8 2 3" xfId="29053" xr:uid="{A09D3EDE-EA54-4FDE-8C34-965A8B56F4F0}"/>
    <cellStyle name="Note 2 5 5 2 8 3" xfId="18999" xr:uid="{D9DA9299-CE69-442D-85D6-25A0289DC6FC}"/>
    <cellStyle name="Note 2 5 5 2 8 3 2" xfId="41389" xr:uid="{CAFBB67C-AB0D-4B5D-B6C7-68516651F9E6}"/>
    <cellStyle name="Note 2 5 5 2 8 3 3" xfId="45844" xr:uid="{F9157107-C7CD-40E8-B031-511290875986}"/>
    <cellStyle name="Note 2 5 5 2 8 4" xfId="23423" xr:uid="{03E370D8-E6B6-45FD-8DA1-93854B7A72D3}"/>
    <cellStyle name="Note 2 5 5 2 8 4 2" xfId="53626" xr:uid="{677C8579-7CAB-40C9-ADF2-A0FDE25287A5}"/>
    <cellStyle name="Note 2 5 5 2 8 5" xfId="51513" xr:uid="{DEA7BA14-BE06-4E6A-8396-46E65F557F90}"/>
    <cellStyle name="Note 2 5 5 2 9" xfId="7177" xr:uid="{00000000-0005-0000-0000-00008E070000}"/>
    <cellStyle name="Note 2 5 5 2 9 2" xfId="19114" xr:uid="{1DF85E5E-51F5-43AB-A911-6FFA141EB7C0}"/>
    <cellStyle name="Note 2 5 5 2 9 2 2" xfId="41504" xr:uid="{CC471DAA-577A-4E96-8471-7D51F549A27B}"/>
    <cellStyle name="Note 2 5 5 2 9 2 3" xfId="43794" xr:uid="{231FF6FC-3D3A-4621-A88E-7BBA82F76EB2}"/>
    <cellStyle name="Note 2 5 5 2 9 3" xfId="23538" xr:uid="{50AB1A78-F9B0-4043-B89A-E1944908CA55}"/>
    <cellStyle name="Note 2 5 5 2 9 3 2" xfId="50629" xr:uid="{16162F1B-FB7A-4B30-8DAE-0CAC28A762B3}"/>
    <cellStyle name="Note 2 5 5 2 9 4" xfId="47860" xr:uid="{FAF80720-7846-4F2D-98A8-18E9525569AF}"/>
    <cellStyle name="Note 2 5 5 3" xfId="4924" xr:uid="{00000000-0005-0000-0000-00008D070000}"/>
    <cellStyle name="Note 2 5 5 3 2" xfId="11819" xr:uid="{9E8BA950-6493-46D5-A3C6-FF58495300A5}"/>
    <cellStyle name="Note 2 5 5 3 2 2" xfId="34305" xr:uid="{DE920880-DA29-4A86-99E1-C7BEB2734546}"/>
    <cellStyle name="Note 2 5 5 3 2 3" xfId="29724" xr:uid="{39E1DDD9-87D6-41A2-9071-56BFF66DDEF5}"/>
    <cellStyle name="Note 2 5 5 3 3" xfId="16861" xr:uid="{46889335-BBB4-4E65-8445-A0E842D93645}"/>
    <cellStyle name="Note 2 5 5 3 3 2" xfId="39251" xr:uid="{9FA0D5BB-CA55-44C0-941F-99731DC714D4}"/>
    <cellStyle name="Note 2 5 5 3 3 3" xfId="26591" xr:uid="{80A97B86-630E-4EF7-A78E-D02E87059402}"/>
    <cellStyle name="Note 2 5 5 3 4" xfId="20957" xr:uid="{5AE23922-C65D-4559-884F-59AC3A26785A}"/>
    <cellStyle name="Note 2 5 5 3 4 2" xfId="51921" xr:uid="{D6C92231-22A5-4437-A482-07B89E49038B}"/>
    <cellStyle name="Note 2 5 5 3 5" xfId="42672" xr:uid="{D8A5FB8A-1442-466C-AF05-0E992BB23062}"/>
    <cellStyle name="Note 2 5 5 4" xfId="4349" xr:uid="{00000000-0005-0000-0000-00008D070000}"/>
    <cellStyle name="Note 2 5 5 4 2" xfId="11252" xr:uid="{4AE8A8A3-E90C-44B5-9B3C-3A2732839110}"/>
    <cellStyle name="Note 2 5 5 4 2 2" xfId="33738" xr:uid="{4E32625C-2892-4B5F-9A13-C00A26862E23}"/>
    <cellStyle name="Note 2 5 5 4 2 3" xfId="30523" xr:uid="{0EE72873-A210-408C-84BB-28C357E04AC2}"/>
    <cellStyle name="Note 2 5 5 4 3" xfId="16286" xr:uid="{ED5C9A5F-A063-4225-B8A7-1A908CD88069}"/>
    <cellStyle name="Note 2 5 5 4 3 2" xfId="38676" xr:uid="{54A367A2-58F3-4C97-A346-42860E2C2642}"/>
    <cellStyle name="Note 2 5 5 4 3 3" xfId="29316" xr:uid="{4C95420E-46DA-4855-B754-A654EC3641C6}"/>
    <cellStyle name="Note 2 5 5 4 4" xfId="14306" xr:uid="{1BAA6B39-8E72-4C2B-B1BE-0D7BAA8E3D80}"/>
    <cellStyle name="Note 2 5 5 4 4 2" xfId="52347" xr:uid="{7ECC8389-0DD7-442B-B39A-43765D8048FF}"/>
    <cellStyle name="Note 2 5 5 4 5" xfId="47911" xr:uid="{7360D26E-B0F6-4A02-91F8-56BB4ECD0F50}"/>
    <cellStyle name="Note 2 5 5 5" xfId="6335" xr:uid="{00000000-0005-0000-0000-00008D070000}"/>
    <cellStyle name="Note 2 5 5 5 2" xfId="13207" xr:uid="{58462A12-BD82-4CEA-8E98-B8A304BEE98E}"/>
    <cellStyle name="Note 2 5 5 5 2 2" xfId="35691" xr:uid="{00B3EB23-7E29-4575-8A9D-1D3ADEBDE915}"/>
    <cellStyle name="Note 2 5 5 5 2 3" xfId="54126" xr:uid="{2B979289-0431-4172-BF72-EB6D9FA8A5EA}"/>
    <cellStyle name="Note 2 5 5 5 3" xfId="18272" xr:uid="{7D39288D-E270-468D-966F-68859BA67EC1}"/>
    <cellStyle name="Note 2 5 5 5 3 2" xfId="40662" xr:uid="{0EE61BDE-0914-4E94-BE3A-3C1BBDBD5E15}"/>
    <cellStyle name="Note 2 5 5 5 3 3" xfId="26947" xr:uid="{7A3BB536-75E8-4624-BCF5-72F1E312C697}"/>
    <cellStyle name="Note 2 5 5 5 4" xfId="22696" xr:uid="{9B46371F-2824-4665-B97F-845AB70F145D}"/>
    <cellStyle name="Note 2 5 5 5 4 2" xfId="51286" xr:uid="{AADB1841-75E5-4ED2-A39F-22480884672C}"/>
    <cellStyle name="Note 2 5 5 5 5" xfId="48497" xr:uid="{C25879F2-7120-4F8F-9BB3-6F9C456FF46B}"/>
    <cellStyle name="Note 2 5 5 6" xfId="6049" xr:uid="{00000000-0005-0000-0000-00008D070000}"/>
    <cellStyle name="Note 2 5 5 6 2" xfId="12928" xr:uid="{C8515FDA-E29F-41CB-AC3A-B0B043B6C7B6}"/>
    <cellStyle name="Note 2 5 5 6 2 2" xfId="35412" xr:uid="{7EF084D2-FADF-4DD1-ABF4-78BC525AFFDA}"/>
    <cellStyle name="Note 2 5 5 6 2 3" xfId="50518" xr:uid="{6AD1CB01-9FB3-4E05-8E64-90470B23F166}"/>
    <cellStyle name="Note 2 5 5 6 3" xfId="17986" xr:uid="{D8F833A7-DE52-4742-9D4D-6C9A6E77A23C}"/>
    <cellStyle name="Note 2 5 5 6 3 2" xfId="40376" xr:uid="{7BE8A173-EA5C-4CBD-9CDA-2FE39C23BC10}"/>
    <cellStyle name="Note 2 5 5 6 3 3" xfId="29864" xr:uid="{539E326F-A998-4F6D-BBE9-4242FB78A110}"/>
    <cellStyle name="Note 2 5 5 6 4" xfId="22410" xr:uid="{BF4DD231-DC6F-4502-A93E-C39D6E40EC7C}"/>
    <cellStyle name="Note 2 5 5 6 4 2" xfId="41615" xr:uid="{2B3205CC-CE2D-438D-B7A0-EE4695509D20}"/>
    <cellStyle name="Note 2 5 5 6 5" xfId="52932" xr:uid="{2A4D6EA6-1FD9-4410-BBAF-5728EDCA84CB}"/>
    <cellStyle name="Note 2 5 5 7" xfId="14099" xr:uid="{ED892C59-678C-4585-B2C6-1DC1F8F147C3}"/>
    <cellStyle name="Note 2 5 5 7 2" xfId="36577" xr:uid="{616899C5-81F1-4526-A3BA-DD292BDE2E86}"/>
    <cellStyle name="Note 2 5 5 7 3" xfId="30680" xr:uid="{D9AE5F3E-875E-4712-A550-D3B6A82F7CEA}"/>
    <cellStyle name="Note 2 5 5 8" xfId="20625" xr:uid="{17DD61D4-7467-4F86-86BB-AA9180E04685}"/>
    <cellStyle name="Note 2 5 5 8 2" xfId="42905" xr:uid="{02A79569-EA98-4E34-9D97-F6CC10F22FA5}"/>
    <cellStyle name="Note 2 5 5 8 3" xfId="25926" xr:uid="{D4DE1B6A-82A2-4DDE-807B-BE8B472F8B17}"/>
    <cellStyle name="Note 2 5 5 9" xfId="20728" xr:uid="{738B565C-90E2-4D0D-8710-E0E5D74148B0}"/>
    <cellStyle name="Note 2 5 5 9 2" xfId="47136" xr:uid="{5864145B-7939-48DE-A978-03D4687FD620}"/>
    <cellStyle name="Note 2 5 6" xfId="1386" xr:uid="{00000000-0005-0000-0000-000091070000}"/>
    <cellStyle name="Note 2 5 6 10" xfId="37694" xr:uid="{417DE137-19BC-42B1-ABDB-C4D4D5FDA554}"/>
    <cellStyle name="Note 2 5 6 2" xfId="2115" xr:uid="{00000000-0005-0000-0000-000092070000}"/>
    <cellStyle name="Note 2 5 6 2 10" xfId="14744" xr:uid="{6AED734B-5014-4D36-86DC-15B396A0E716}"/>
    <cellStyle name="Note 2 5 6 2 10 2" xfId="37202" xr:uid="{FC9537E8-C24A-4E90-AFCB-15DE4F3869B9}"/>
    <cellStyle name="Note 2 5 6 2 10 3" xfId="53984" xr:uid="{B28A0566-A23F-493D-9D4E-61C16160825B}"/>
    <cellStyle name="Note 2 5 6 2 11" xfId="20097" xr:uid="{FFFA0735-733C-4327-BA7D-B5D455FA8ED2}"/>
    <cellStyle name="Note 2 5 6 2 11 2" xfId="42414" xr:uid="{78FE67EE-0B73-43E7-84BE-DB22D0972D73}"/>
    <cellStyle name="Note 2 5 6 2 11 3" xfId="44041" xr:uid="{449F488D-0BEF-484D-A698-1CAAD677117A}"/>
    <cellStyle name="Note 2 5 6 2 12" xfId="20141" xr:uid="{112766CD-7AFB-43EC-9898-0352DAE0BB6F}"/>
    <cellStyle name="Note 2 5 6 2 12 2" xfId="30437" xr:uid="{2B7213AA-32A9-47CF-B038-88A01A72A0F1}"/>
    <cellStyle name="Note 2 5 6 2 13" xfId="46164" xr:uid="{5D3224C5-CADD-4B16-8768-42DD08DEBBD5}"/>
    <cellStyle name="Note 2 5 6 2 2" xfId="4208" xr:uid="{00000000-0005-0000-0000-000090070000}"/>
    <cellStyle name="Note 2 5 6 2 2 2" xfId="11112" xr:uid="{97A1F798-45EB-43DF-B0AC-E38FD01EF77A}"/>
    <cellStyle name="Note 2 5 6 2 2 2 2" xfId="33598" xr:uid="{EE950A6C-187D-4F90-BC35-E872FCE7A5C2}"/>
    <cellStyle name="Note 2 5 6 2 2 2 3" xfId="49886" xr:uid="{5FE19558-BF4A-4525-A103-C55B1EBA7BFC}"/>
    <cellStyle name="Note 2 5 6 2 2 3" xfId="16201" xr:uid="{9355C483-B75F-4615-8A2D-FF1DE1FC27EB}"/>
    <cellStyle name="Note 2 5 6 2 2 3 2" xfId="38600" xr:uid="{1D71A195-691E-4E64-95A1-C5D1D6F1CD00}"/>
    <cellStyle name="Note 2 5 6 2 2 3 3" xfId="43176" xr:uid="{792FDAD3-6F99-488A-B251-CA9572F4F047}"/>
    <cellStyle name="Note 2 5 6 2 2 4" xfId="15300" xr:uid="{1C40B62F-B5D8-4DCA-B928-A0A60EEAA077}"/>
    <cellStyle name="Note 2 5 6 2 2 4 2" xfId="48939" xr:uid="{9039C7EF-E773-43DB-9948-ABD1D7DAA152}"/>
    <cellStyle name="Note 2 5 6 2 2 5" xfId="47023" xr:uid="{9AFDBF0C-4028-4AFE-9E09-76B3425D970F}"/>
    <cellStyle name="Note 2 5 6 2 3" xfId="5534" xr:uid="{00000000-0005-0000-0000-000090070000}"/>
    <cellStyle name="Note 2 5 6 2 3 2" xfId="12423" xr:uid="{C1A7A14A-26A6-4147-BFF0-8DF761CBC443}"/>
    <cellStyle name="Note 2 5 6 2 3 2 2" xfId="34908" xr:uid="{86FD4C1C-32D3-4F2E-AB4F-AB588D09AEC2}"/>
    <cellStyle name="Note 2 5 6 2 3 2 3" xfId="36792" xr:uid="{29FF4A58-11FE-478D-B9B1-E50E7B8D1EA5}"/>
    <cellStyle name="Note 2 5 6 2 3 3" xfId="17471" xr:uid="{4491E0E0-B525-421A-9F98-98972AA56EB0}"/>
    <cellStyle name="Note 2 5 6 2 3 3 2" xfId="39861" xr:uid="{40DA4EAA-AFEC-4898-B44D-D9CE1EB19019}"/>
    <cellStyle name="Note 2 5 6 2 3 3 3" xfId="31967" xr:uid="{83E1BFE6-3D0A-4C8B-BECF-89AF39B06C61}"/>
    <cellStyle name="Note 2 5 6 2 3 4" xfId="21895" xr:uid="{E1CE7386-60AF-44E1-B874-DB7EAE848517}"/>
    <cellStyle name="Note 2 5 6 2 3 4 2" xfId="52382" xr:uid="{D93DA42F-3B91-4F37-93EB-5E1C4BA21B9B}"/>
    <cellStyle name="Note 2 5 6 2 3 5" xfId="45018" xr:uid="{23B04762-E71B-4723-9A43-781590318C00}"/>
    <cellStyle name="Note 2 5 6 2 4" xfId="5956" xr:uid="{00000000-0005-0000-0000-000090070000}"/>
    <cellStyle name="Note 2 5 6 2 4 2" xfId="12837" xr:uid="{0DD73BF5-288F-4A5E-8C88-BEFD0B444957}"/>
    <cellStyle name="Note 2 5 6 2 4 2 2" xfId="35321" xr:uid="{2B3440ED-451D-43F0-BE30-76088BE8DF0E}"/>
    <cellStyle name="Note 2 5 6 2 4 2 3" xfId="51648" xr:uid="{EA1D2D8C-162E-4C7A-91AD-FE5B98783AA6}"/>
    <cellStyle name="Note 2 5 6 2 4 3" xfId="17893" xr:uid="{F20C02DF-B7B4-479C-B6EE-7D0E2B5823D4}"/>
    <cellStyle name="Note 2 5 6 2 4 3 2" xfId="40283" xr:uid="{F466F291-7F9E-4CED-84C3-C1660F3A40FB}"/>
    <cellStyle name="Note 2 5 6 2 4 3 3" xfId="45028" xr:uid="{7034D112-B608-44F1-A55C-3FC7F4EA75DC}"/>
    <cellStyle name="Note 2 5 6 2 4 4" xfId="22317" xr:uid="{B9A2C9B5-B43C-4C05-BB46-1EBA5F682B1B}"/>
    <cellStyle name="Note 2 5 6 2 4 4 2" xfId="46708" xr:uid="{55363F14-0935-4B16-B65D-070E28FFB158}"/>
    <cellStyle name="Note 2 5 6 2 4 5" xfId="24191" xr:uid="{8AE806E5-37D9-4132-9492-668222A06B3B}"/>
    <cellStyle name="Note 2 5 6 2 5" xfId="6296" xr:uid="{00000000-0005-0000-0000-000090070000}"/>
    <cellStyle name="Note 2 5 6 2 5 2" xfId="13168" xr:uid="{147DF913-D9EB-4562-AFDF-5FD8A26AE687}"/>
    <cellStyle name="Note 2 5 6 2 5 2 2" xfId="35652" xr:uid="{FF25B3CB-FAB6-4B9F-86CB-FCF018017D34}"/>
    <cellStyle name="Note 2 5 6 2 5 2 3" xfId="28181" xr:uid="{6FAD614D-1126-4522-B41A-49104ED91397}"/>
    <cellStyle name="Note 2 5 6 2 5 3" xfId="18233" xr:uid="{2DF8D2FA-37A3-4AF0-9D9E-1AB91DE4281F}"/>
    <cellStyle name="Note 2 5 6 2 5 3 2" xfId="40623" xr:uid="{27BE4A45-E3BA-43E4-8DBD-6B795A19B6E4}"/>
    <cellStyle name="Note 2 5 6 2 5 3 3" xfId="30670" xr:uid="{BF42F7E2-0984-476D-802D-ECD5FE656DA5}"/>
    <cellStyle name="Note 2 5 6 2 5 4" xfId="22657" xr:uid="{01DECFEB-ACD5-435D-BA44-23C868BE3B69}"/>
    <cellStyle name="Note 2 5 6 2 5 4 2" xfId="52346" xr:uid="{5D2D8AD9-4B67-441A-B3F9-EB77E945144F}"/>
    <cellStyle name="Note 2 5 6 2 5 5" xfId="50267" xr:uid="{99386B55-329E-4E0E-85EF-852A81E8A601}"/>
    <cellStyle name="Note 2 5 6 2 6" xfId="6651" xr:uid="{00000000-0005-0000-0000-000090070000}"/>
    <cellStyle name="Note 2 5 6 2 6 2" xfId="13517" xr:uid="{835E79A7-D898-4933-A8A7-13FF31F8F317}"/>
    <cellStyle name="Note 2 5 6 2 6 2 2" xfId="36001" xr:uid="{9F946F61-780B-406C-8472-DBC771E65436}"/>
    <cellStyle name="Note 2 5 6 2 6 2 3" xfId="46313" xr:uid="{DBF28191-2621-4586-BF6D-54F3AFB4F05E}"/>
    <cellStyle name="Note 2 5 6 2 6 3" xfId="18588" xr:uid="{9A5BFBCB-151E-4467-81AA-442100BB9F66}"/>
    <cellStyle name="Note 2 5 6 2 6 3 2" xfId="40978" xr:uid="{2B0699B1-D1E5-4DAC-8A57-2EEF341F5D21}"/>
    <cellStyle name="Note 2 5 6 2 6 3 3" xfId="27275" xr:uid="{20E7ECAB-55D4-4759-8D2E-4B5793CD30D5}"/>
    <cellStyle name="Note 2 5 6 2 6 4" xfId="23012" xr:uid="{AB484D1E-690B-43D2-B29F-33D90FE9E05E}"/>
    <cellStyle name="Note 2 5 6 2 6 4 2" xfId="47298" xr:uid="{9D390B6B-9F42-49C2-B8BD-E409862D7AD4}"/>
    <cellStyle name="Note 2 5 6 2 6 5" xfId="46099" xr:uid="{4213E997-CA78-49A4-B3AB-AA7885165222}"/>
    <cellStyle name="Note 2 5 6 2 7" xfId="6837" xr:uid="{00000000-0005-0000-0000-000090070000}"/>
    <cellStyle name="Note 2 5 6 2 7 2" xfId="13682" xr:uid="{E3A23C11-C372-4F4C-8782-E1BE5F062A23}"/>
    <cellStyle name="Note 2 5 6 2 7 2 2" xfId="36166" xr:uid="{D061A87A-9601-4B66-BB22-9D35FE8A3B46}"/>
    <cellStyle name="Note 2 5 6 2 7 2 3" xfId="53978" xr:uid="{D2FD3038-7177-4B08-81DC-9A34DF1C9419}"/>
    <cellStyle name="Note 2 5 6 2 7 3" xfId="18774" xr:uid="{A0E9DC9A-4885-4CA2-94A9-D7395D3768F9}"/>
    <cellStyle name="Note 2 5 6 2 7 3 2" xfId="41164" xr:uid="{C29DFBA2-8DAD-440A-B8D2-C77836A21D9B}"/>
    <cellStyle name="Note 2 5 6 2 7 3 3" xfId="23844" xr:uid="{35CDCE28-D44E-4B7C-8987-1960605B02A5}"/>
    <cellStyle name="Note 2 5 6 2 7 4" xfId="23198" xr:uid="{54B76B59-BFA9-49FC-BAD0-08736899C4EB}"/>
    <cellStyle name="Note 2 5 6 2 7 4 2" xfId="43967" xr:uid="{A70FE92A-D978-40F9-8A1B-3BA02542F5EC}"/>
    <cellStyle name="Note 2 5 6 2 7 5" xfId="51332" xr:uid="{746932FF-7272-402E-8D8F-B52CA80ED39A}"/>
    <cellStyle name="Note 2 5 6 2 8" xfId="7106" xr:uid="{00000000-0005-0000-0000-000090070000}"/>
    <cellStyle name="Note 2 5 6 2 8 2" xfId="13942" xr:uid="{B7AF6A6A-0D6B-4480-85CF-9BEE46BA7B0E}"/>
    <cellStyle name="Note 2 5 6 2 8 2 2" xfId="36426" xr:uid="{F3E858D5-FBD0-4D77-83FC-4795597F675B}"/>
    <cellStyle name="Note 2 5 6 2 8 2 3" xfId="48257" xr:uid="{25B1E411-D524-481B-9A10-848BE3FE3F2C}"/>
    <cellStyle name="Note 2 5 6 2 8 3" xfId="19043" xr:uid="{CEED5C3F-E65A-4809-AABE-DFA12DDEB746}"/>
    <cellStyle name="Note 2 5 6 2 8 3 2" xfId="41433" xr:uid="{D800B23A-43C7-49C3-84D9-E6AD12DCBF75}"/>
    <cellStyle name="Note 2 5 6 2 8 3 3" xfId="30416" xr:uid="{FC8C1FD6-3309-4BA7-9EC4-E2549BEF1D9E}"/>
    <cellStyle name="Note 2 5 6 2 8 4" xfId="23467" xr:uid="{4681E9CD-E333-4C36-85B1-04450994666C}"/>
    <cellStyle name="Note 2 5 6 2 8 4 2" xfId="48557" xr:uid="{A4187EEC-4EFC-49FE-A4FC-5E3B66D0E0BC}"/>
    <cellStyle name="Note 2 5 6 2 8 5" xfId="51007" xr:uid="{35A0A412-97F6-4D13-AD84-AFCF26172F3B}"/>
    <cellStyle name="Note 2 5 6 2 9" xfId="7221" xr:uid="{00000000-0005-0000-0000-000090070000}"/>
    <cellStyle name="Note 2 5 6 2 9 2" xfId="19158" xr:uid="{54EA227E-EF67-49E7-8581-2C24797418B2}"/>
    <cellStyle name="Note 2 5 6 2 9 2 2" xfId="41548" xr:uid="{3B44FACD-C8FE-43CC-A429-5F0C76F90BC9}"/>
    <cellStyle name="Note 2 5 6 2 9 2 3" xfId="25999" xr:uid="{88B9D359-6D33-4A45-A986-38880661C4AD}"/>
    <cellStyle name="Note 2 5 6 2 9 3" xfId="23582" xr:uid="{A370D30D-4F1C-4BD0-B8C4-3FFB68816FE0}"/>
    <cellStyle name="Note 2 5 6 2 9 3 2" xfId="28650" xr:uid="{5EB907AB-55D0-4CE3-A2F1-2E3C9A49F221}"/>
    <cellStyle name="Note 2 5 6 2 9 4" xfId="51941" xr:uid="{87CF5FA2-CFFD-40CF-8368-B61502748E85}"/>
    <cellStyle name="Note 2 5 6 3" xfId="5023" xr:uid="{00000000-0005-0000-0000-00008F070000}"/>
    <cellStyle name="Note 2 5 6 3 2" xfId="11917" xr:uid="{0EE3117B-7E40-4313-92E6-AB8C8C39CA4A}"/>
    <cellStyle name="Note 2 5 6 3 2 2" xfId="34403" xr:uid="{CA76950E-7535-430F-B7E2-E78A2E71AECE}"/>
    <cellStyle name="Note 2 5 6 3 2 3" xfId="30938" xr:uid="{5D2CC3A8-2904-494F-8AFA-1A2FFAC343B1}"/>
    <cellStyle name="Note 2 5 6 3 3" xfId="16960" xr:uid="{F934BC34-ABB7-48F3-8926-FC45FC9802D1}"/>
    <cellStyle name="Note 2 5 6 3 3 2" xfId="39350" xr:uid="{E9801FB9-235E-4A05-AF9E-A251726DE3F5}"/>
    <cellStyle name="Note 2 5 6 3 3 3" xfId="23814" xr:uid="{01FFB182-057D-4126-B6E0-70C95359E20E}"/>
    <cellStyle name="Note 2 5 6 3 4" xfId="21384" xr:uid="{76FDE06A-05B9-42B1-BDCA-4A941C7198F2}"/>
    <cellStyle name="Note 2 5 6 3 4 2" xfId="49702" xr:uid="{67FB0EC1-D216-4A65-8C04-A88B6D9EACAE}"/>
    <cellStyle name="Note 2 5 6 3 5" xfId="53519" xr:uid="{F54870D4-9A8D-4825-9E82-99C38547D53C}"/>
    <cellStyle name="Note 2 5 6 4" xfId="5268" xr:uid="{00000000-0005-0000-0000-00008F070000}"/>
    <cellStyle name="Note 2 5 6 4 2" xfId="12160" xr:uid="{682B1808-95B1-4280-9AD2-89081D7EAFE4}"/>
    <cellStyle name="Note 2 5 6 4 2 2" xfId="34645" xr:uid="{71E2A62C-CB07-4AAD-B49C-39514EA8329A}"/>
    <cellStyle name="Note 2 5 6 4 2 3" xfId="45667" xr:uid="{6D666AEC-1635-4577-A2A8-A633141420A1}"/>
    <cellStyle name="Note 2 5 6 4 3" xfId="17205" xr:uid="{45359233-05D9-415E-8C58-E8FBBE41110E}"/>
    <cellStyle name="Note 2 5 6 4 3 2" xfId="39595" xr:uid="{CAB77E65-677D-44B6-97A2-428EE98E680C}"/>
    <cellStyle name="Note 2 5 6 4 3 3" xfId="23835" xr:uid="{C44DC5E1-717F-4A68-9F54-6BEBC82D2AAB}"/>
    <cellStyle name="Note 2 5 6 4 4" xfId="21629" xr:uid="{174B3EC9-1B22-4EC1-BF1F-82A0BCD488FC}"/>
    <cellStyle name="Note 2 5 6 4 4 2" xfId="45417" xr:uid="{82D6815F-A2B3-4D6F-83B1-C8E9458D6B64}"/>
    <cellStyle name="Note 2 5 6 4 5" xfId="51769" xr:uid="{E726E10A-0501-472E-9467-33FE5748DFEA}"/>
    <cellStyle name="Note 2 5 6 5" xfId="6175" xr:uid="{00000000-0005-0000-0000-00008F070000}"/>
    <cellStyle name="Note 2 5 6 5 2" xfId="13052" xr:uid="{A4BF31D4-8607-4FB8-9E82-6B816B475854}"/>
    <cellStyle name="Note 2 5 6 5 2 2" xfId="35536" xr:uid="{3BD2CB7B-BA92-4EBA-A050-37DFDBF19946}"/>
    <cellStyle name="Note 2 5 6 5 2 3" xfId="30890" xr:uid="{BB89EADD-365D-41C0-9928-B582316DF80E}"/>
    <cellStyle name="Note 2 5 6 5 3" xfId="18112" xr:uid="{143EAA10-EFD1-488F-A7FF-9718B3506F52}"/>
    <cellStyle name="Note 2 5 6 5 3 2" xfId="40502" xr:uid="{11522327-DF97-46BC-86A7-E371E8CE54ED}"/>
    <cellStyle name="Note 2 5 6 5 3 3" xfId="44447" xr:uid="{B70C9210-9CAF-49D9-852D-5BB75FD8ABC7}"/>
    <cellStyle name="Note 2 5 6 5 4" xfId="22536" xr:uid="{425DA952-09F9-42FF-AD67-8EA1A53D27B3}"/>
    <cellStyle name="Note 2 5 6 5 4 2" xfId="49997" xr:uid="{6DF8EC33-9456-4A54-BBE4-F431BB8A9D53}"/>
    <cellStyle name="Note 2 5 6 5 5" xfId="50904" xr:uid="{89EE0EE5-9AFB-41FB-91F2-70880F1B1B53}"/>
    <cellStyle name="Note 2 5 6 6" xfId="6428" xr:uid="{00000000-0005-0000-0000-00008F070000}"/>
    <cellStyle name="Note 2 5 6 6 2" xfId="13300" xr:uid="{BAB7C4A4-4F88-41D3-8906-61F4F89282C2}"/>
    <cellStyle name="Note 2 5 6 6 2 2" xfId="35784" xr:uid="{59600775-FFA7-4186-B4A1-B4F08B3A0679}"/>
    <cellStyle name="Note 2 5 6 6 2 3" xfId="44814" xr:uid="{ED3F0A8E-9E68-41EE-818F-69A7E2C949A9}"/>
    <cellStyle name="Note 2 5 6 6 3" xfId="18365" xr:uid="{4ECD90FF-6B91-427A-9F26-1BB340645BF3}"/>
    <cellStyle name="Note 2 5 6 6 3 2" xfId="40755" xr:uid="{BD45A3A2-CAC0-4CFD-A017-F571D90D8A34}"/>
    <cellStyle name="Note 2 5 6 6 3 3" xfId="24626" xr:uid="{F833A66D-8D14-4EE4-9B88-456FD22E0489}"/>
    <cellStyle name="Note 2 5 6 6 4" xfId="22789" xr:uid="{D264C073-4A61-48B0-BB8E-C2DB0CF78EB8}"/>
    <cellStyle name="Note 2 5 6 6 4 2" xfId="49804" xr:uid="{5F7329CB-61D4-474F-B342-4B824A057A89}"/>
    <cellStyle name="Note 2 5 6 6 5" xfId="51294" xr:uid="{53594813-FDC6-4DB2-B9F4-AA4228CB613F}"/>
    <cellStyle name="Note 2 5 6 7" xfId="14205" xr:uid="{044A326B-5182-42A6-A6AB-EAB43E6BC03D}"/>
    <cellStyle name="Note 2 5 6 7 2" xfId="36680" xr:uid="{CD233093-9697-4211-A5D3-E0095C71562D}"/>
    <cellStyle name="Note 2 5 6 7 3" xfId="49310" xr:uid="{0FB49A14-A4BF-49E9-83C6-F16821992EDA}"/>
    <cellStyle name="Note 2 5 6 8" xfId="15105" xr:uid="{D1AA5CB4-1184-41BF-B86D-F6DE5DFDDD84}"/>
    <cellStyle name="Note 2 5 6 8 2" xfId="37549" xr:uid="{DC0B0A97-6C71-47C3-B256-835797AB1259}"/>
    <cellStyle name="Note 2 5 6 8 3" xfId="28688" xr:uid="{97310C1D-F54F-43CD-8156-BE65B0490E68}"/>
    <cellStyle name="Note 2 5 6 9" xfId="15092" xr:uid="{47B5F8D0-2456-43C9-A698-39BBFDE7C447}"/>
    <cellStyle name="Note 2 5 6 9 2" xfId="48699" xr:uid="{9C0FE560-5C8E-4174-9463-BE1B72766A05}"/>
    <cellStyle name="Note 2 5 7" xfId="1658" xr:uid="{00000000-0005-0000-0000-000093070000}"/>
    <cellStyle name="Note 2 5 7 10" xfId="14372" xr:uid="{39116781-7181-47F0-9043-F01D28DEB46C}"/>
    <cellStyle name="Note 2 5 7 10 2" xfId="36840" xr:uid="{26068231-5F4C-4C7F-A89E-09703A10AFF5}"/>
    <cellStyle name="Note 2 5 7 10 3" xfId="50322" xr:uid="{63F78342-FF30-4C9A-A841-D3E64E8C6A2C}"/>
    <cellStyle name="Note 2 5 7 11" xfId="19818" xr:uid="{641678BF-8183-479F-AAF0-5481AD2BC3E7}"/>
    <cellStyle name="Note 2 5 7 11 2" xfId="42156" xr:uid="{E1480405-452E-4722-B156-E5E12E360115}"/>
    <cellStyle name="Note 2 5 7 11 3" xfId="25135" xr:uid="{EECC9A66-378C-4D57-B7BE-240CAED96D3E}"/>
    <cellStyle name="Note 2 5 7 12" xfId="20025" xr:uid="{AC5B83A2-1316-4CBD-9FB0-FC07ED69441A}"/>
    <cellStyle name="Note 2 5 7 12 2" xfId="30505" xr:uid="{8423A526-B684-44F2-A227-A62AD71268B7}"/>
    <cellStyle name="Note 2 5 7 13" xfId="48523" xr:uid="{9DC4F957-EFA2-4936-8C33-87961872453F}"/>
    <cellStyle name="Note 2 5 7 2" xfId="3756" xr:uid="{00000000-0005-0000-0000-000091070000}"/>
    <cellStyle name="Note 2 5 7 2 2" xfId="10660" xr:uid="{AFE3625B-E1E2-4F8C-A786-EE756AB8AD5D}"/>
    <cellStyle name="Note 2 5 7 2 2 2" xfId="33146" xr:uid="{8F2C0C60-DC53-4557-A52F-6C73427034A1}"/>
    <cellStyle name="Note 2 5 7 2 2 3" xfId="50684" xr:uid="{190EBD55-9522-466A-9187-FFEF167069D3}"/>
    <cellStyle name="Note 2 5 7 2 3" xfId="15837" xr:uid="{51723F38-7505-4A72-A17C-0E5E39BFBACF}"/>
    <cellStyle name="Note 2 5 7 2 3 2" xfId="38245" xr:uid="{448277B0-9E8B-4A34-B307-F760CF6A3FF3}"/>
    <cellStyle name="Note 2 5 7 2 3 3" xfId="53240" xr:uid="{F756C9F7-0163-4717-8A89-2E2A1A26BF0E}"/>
    <cellStyle name="Note 2 5 7 2 4" xfId="21247" xr:uid="{EDC96EDD-C077-4440-A32B-A3D1A1091C46}"/>
    <cellStyle name="Note 2 5 7 2 4 2" xfId="48099" xr:uid="{6F9A8D55-C965-4DF1-9075-5D055BF58363}"/>
    <cellStyle name="Note 2 5 7 2 5" xfId="44275" xr:uid="{60FC14A9-13E6-4365-9E7B-39EC213D1442}"/>
    <cellStyle name="Note 2 5 7 3" xfId="5191" xr:uid="{00000000-0005-0000-0000-000091070000}"/>
    <cellStyle name="Note 2 5 7 3 2" xfId="12084" xr:uid="{3D672064-2375-4217-8DEC-E718CD0F7E1C}"/>
    <cellStyle name="Note 2 5 7 3 2 2" xfId="34570" xr:uid="{CF0173F9-A8A1-4FE1-9793-24664A15294A}"/>
    <cellStyle name="Note 2 5 7 3 2 3" xfId="32105" xr:uid="{017B157D-1429-4EF0-A34D-2DC695DCAE9A}"/>
    <cellStyle name="Note 2 5 7 3 3" xfId="17128" xr:uid="{B9C95444-36FB-4C86-9169-D5D8B4D42079}"/>
    <cellStyle name="Note 2 5 7 3 3 2" xfId="39518" xr:uid="{0F521DFA-8D95-412C-9A43-A799FE7BDE23}"/>
    <cellStyle name="Note 2 5 7 3 3 3" xfId="30797" xr:uid="{13FD54EB-69CF-48AA-AA17-BE72692FE963}"/>
    <cellStyle name="Note 2 5 7 3 4" xfId="21552" xr:uid="{00D584FE-C1F8-4EB4-96FA-58F1CE1BF47D}"/>
    <cellStyle name="Note 2 5 7 3 4 2" xfId="53200" xr:uid="{297C8718-569B-42E0-AFC1-57770DC18D9C}"/>
    <cellStyle name="Note 2 5 7 3 5" xfId="51670" xr:uid="{E240FAE5-DC10-470F-B913-5FD854E560B6}"/>
    <cellStyle name="Note 2 5 7 4" xfId="4676" xr:uid="{00000000-0005-0000-0000-000091070000}"/>
    <cellStyle name="Note 2 5 7 4 2" xfId="11574" xr:uid="{D60A5F54-EC49-456A-8965-97AD5DA6168F}"/>
    <cellStyle name="Note 2 5 7 4 2 2" xfId="34060" xr:uid="{33B64421-D475-4E27-A1A6-7A698F27D286}"/>
    <cellStyle name="Note 2 5 7 4 2 3" xfId="27615" xr:uid="{168987CC-A2CF-4592-8C09-EEE6D3B71670}"/>
    <cellStyle name="Note 2 5 7 4 3" xfId="16613" xr:uid="{4AD5F795-ECD5-4018-B89D-CF17095D8D09}"/>
    <cellStyle name="Note 2 5 7 4 3 2" xfId="39003" xr:uid="{E7ACF565-DF48-4691-805B-5996E9827CC4}"/>
    <cellStyle name="Note 2 5 7 4 3 3" xfId="30679" xr:uid="{DE0C6DB5-748F-4AF9-8C30-CFEBF15AEA80}"/>
    <cellStyle name="Note 2 5 7 4 4" xfId="7343" xr:uid="{103427B7-85E1-474C-A070-167B4BF73EFE}"/>
    <cellStyle name="Note 2 5 7 4 4 2" xfId="53680" xr:uid="{CB6FAD27-80A3-497E-852D-64B5EF0B97EF}"/>
    <cellStyle name="Note 2 5 7 4 5" xfId="53270" xr:uid="{4AED63B6-D168-4B62-ADF9-5480C1351749}"/>
    <cellStyle name="Note 2 5 7 5" xfId="5970" xr:uid="{00000000-0005-0000-0000-000091070000}"/>
    <cellStyle name="Note 2 5 7 5 2" xfId="12851" xr:uid="{D34E68D0-BDD3-4CC0-A846-0440FB04DBC2}"/>
    <cellStyle name="Note 2 5 7 5 2 2" xfId="35335" xr:uid="{826DDE50-EC58-437F-94A8-61ED320B0FAD}"/>
    <cellStyle name="Note 2 5 7 5 2 3" xfId="25375" xr:uid="{2EBC27ED-4F46-4E56-B0AC-B6C7329E18DC}"/>
    <cellStyle name="Note 2 5 7 5 3" xfId="17907" xr:uid="{4AD16A2C-8FEE-4B1A-AFA0-70B1EF619DF3}"/>
    <cellStyle name="Note 2 5 7 5 3 2" xfId="40297" xr:uid="{08B0562C-1B69-499D-B724-7E02B75F47EA}"/>
    <cellStyle name="Note 2 5 7 5 3 3" xfId="44214" xr:uid="{418B3D9A-644E-4574-8108-D5B3F6F2E641}"/>
    <cellStyle name="Note 2 5 7 5 4" xfId="22331" xr:uid="{1297236D-A8AB-454E-B391-11B57622F5C9}"/>
    <cellStyle name="Note 2 5 7 5 4 2" xfId="52474" xr:uid="{316AE0BE-FB7B-41EE-9673-4A34C7165C96}"/>
    <cellStyle name="Note 2 5 7 5 5" xfId="47202" xr:uid="{EAD29057-9B23-4A85-906D-B299A80D8B7B}"/>
    <cellStyle name="Note 2 5 7 6" xfId="5558" xr:uid="{00000000-0005-0000-0000-000091070000}"/>
    <cellStyle name="Note 2 5 7 6 2" xfId="12445" xr:uid="{009A30F6-554E-4B3C-B8F6-41A29D558CCE}"/>
    <cellStyle name="Note 2 5 7 6 2 2" xfId="34930" xr:uid="{D1E2E807-6A17-4E7F-8ED0-65A1D9780AA8}"/>
    <cellStyle name="Note 2 5 7 6 2 3" xfId="29878" xr:uid="{0E968713-6EDD-4B1E-802C-9E855DD7A5BF}"/>
    <cellStyle name="Note 2 5 7 6 3" xfId="17495" xr:uid="{D6030661-5779-4C9B-9C69-40B53932537F}"/>
    <cellStyle name="Note 2 5 7 6 3 2" xfId="39885" xr:uid="{C8E719B8-40B2-40B6-A4FE-366B50976217}"/>
    <cellStyle name="Note 2 5 7 6 3 3" xfId="37581" xr:uid="{7245CB18-7155-4DCA-85F9-ED3C4E6F820D}"/>
    <cellStyle name="Note 2 5 7 6 4" xfId="21919" xr:uid="{FFB0F075-97C9-44D1-8235-7010EDC339C8}"/>
    <cellStyle name="Note 2 5 7 6 4 2" xfId="48632" xr:uid="{BD03070D-532A-4C45-A1C8-3C2599E3DE78}"/>
    <cellStyle name="Note 2 5 7 6 5" xfId="28212" xr:uid="{7577F423-268F-4FA8-8F5D-4D7BCD0CCD37}"/>
    <cellStyle name="Note 2 5 7 7" xfId="6776" xr:uid="{00000000-0005-0000-0000-000091070000}"/>
    <cellStyle name="Note 2 5 7 7 2" xfId="13627" xr:uid="{D0E8521B-472D-4241-A7E1-9EDFD67E64B1}"/>
    <cellStyle name="Note 2 5 7 7 2 2" xfId="36111" xr:uid="{3E70A39F-C6E6-42C2-8DF9-92AAE72365E1}"/>
    <cellStyle name="Note 2 5 7 7 2 3" xfId="48673" xr:uid="{D686C5F9-F7EB-4B81-840E-EA57CB984FB1}"/>
    <cellStyle name="Note 2 5 7 7 3" xfId="18713" xr:uid="{08CFF861-847C-458C-8C5B-E2A56B49C78B}"/>
    <cellStyle name="Note 2 5 7 7 3 2" xfId="41103" xr:uid="{4CC49849-6A6B-46FF-8C39-0CA18DD023A9}"/>
    <cellStyle name="Note 2 5 7 7 3 3" xfId="32459" xr:uid="{BA48D4DC-B004-4AAC-8080-2991A4F25A8D}"/>
    <cellStyle name="Note 2 5 7 7 4" xfId="23137" xr:uid="{7982ADD4-91C4-4936-8331-C472317E9FB7}"/>
    <cellStyle name="Note 2 5 7 7 4 2" xfId="26948" xr:uid="{3C95CC1D-E3CE-4C81-931B-C1B8E3D31E9D}"/>
    <cellStyle name="Note 2 5 7 7 5" xfId="52227" xr:uid="{93DC34A6-9DF1-4F05-BE66-AC1513877E30}"/>
    <cellStyle name="Note 2 5 7 8" xfId="2587" xr:uid="{00000000-0005-0000-0000-000091070000}"/>
    <cellStyle name="Note 2 5 7 8 2" xfId="9496" xr:uid="{E310A454-85E5-4B76-A38E-004B64A9B170}"/>
    <cellStyle name="Note 2 5 7 8 2 2" xfId="32048" xr:uid="{05600A11-4FAF-4AF9-82F7-EA7B54884F19}"/>
    <cellStyle name="Note 2 5 7 8 2 3" xfId="28637" xr:uid="{BC869CF2-D65E-47BC-A96C-06E94E0B094C}"/>
    <cellStyle name="Note 2 5 7 8 3" xfId="15065" xr:uid="{722CFA2D-7877-429B-B4B7-1070DCA69E91}"/>
    <cellStyle name="Note 2 5 7 8 3 2" xfId="37510" xr:uid="{7399B16D-595C-41D7-B75D-6A60706CA31E}"/>
    <cellStyle name="Note 2 5 7 8 3 3" xfId="45698" xr:uid="{E2B483DD-D72F-4ADF-846A-1295431328D0}"/>
    <cellStyle name="Note 2 5 7 8 4" xfId="19710" xr:uid="{1FECA0FA-8223-46B6-AABB-972BCF2620A6}"/>
    <cellStyle name="Note 2 5 7 8 4 2" xfId="29370" xr:uid="{ED6388E6-7B9E-4D2E-A97A-A2EA356E87DA}"/>
    <cellStyle name="Note 2 5 7 8 5" xfId="45955" xr:uid="{8197B321-1721-40AB-9E5D-14D14FDFC54B}"/>
    <cellStyle name="Note 2 5 7 9" xfId="6862" xr:uid="{00000000-0005-0000-0000-000091070000}"/>
    <cellStyle name="Note 2 5 7 9 2" xfId="18799" xr:uid="{FEC4565E-D4EC-42F9-8F4F-77D95616248D}"/>
    <cellStyle name="Note 2 5 7 9 2 2" xfId="41189" xr:uid="{A7A43838-3556-4ABB-9368-1AA3D5306C86}"/>
    <cellStyle name="Note 2 5 7 9 2 3" xfId="29027" xr:uid="{9EE7D7C5-30EC-49F0-8E4D-622A1F3229C7}"/>
    <cellStyle name="Note 2 5 7 9 3" xfId="23223" xr:uid="{4702B7DB-DF19-4200-9D91-5FA061D4AD60}"/>
    <cellStyle name="Note 2 5 7 9 3 2" xfId="51473" xr:uid="{98B7FA8B-2197-4D6A-A52C-65DCF413A79E}"/>
    <cellStyle name="Note 2 5 7 9 4" xfId="46999" xr:uid="{E9D97953-6E79-4831-8E07-7BCCF55185FA}"/>
    <cellStyle name="Note 2 5 8" xfId="4436" xr:uid="{00000000-0005-0000-0000-000086070000}"/>
    <cellStyle name="Note 2 5 8 2" xfId="11338" xr:uid="{68DFA345-527F-40C6-996B-56532B3B77CE}"/>
    <cellStyle name="Note 2 5 8 2 2" xfId="33824" xr:uid="{49156731-0B67-42F5-8ADD-3BD9448055DC}"/>
    <cellStyle name="Note 2 5 8 2 3" xfId="42812" xr:uid="{A91BE92E-7C77-41BE-8501-7C4E50296A06}"/>
    <cellStyle name="Note 2 5 8 3" xfId="16373" xr:uid="{9451709D-389E-47D9-AC42-ABDD5D42A766}"/>
    <cellStyle name="Note 2 5 8 3 2" xfId="38763" xr:uid="{3A545A9C-3CBF-44AE-8629-63137854CFE7}"/>
    <cellStyle name="Note 2 5 8 3 3" xfId="24219" xr:uid="{0B496EB9-CF02-4951-B0B6-E77CC8A0DD3B}"/>
    <cellStyle name="Note 2 5 8 4" xfId="19224" xr:uid="{0603D472-A8B0-4C13-B072-93BDA4D3AF4B}"/>
    <cellStyle name="Note 2 5 8 4 2" xfId="44601" xr:uid="{8E5627D3-E15C-4222-96D9-9F8778EFA739}"/>
    <cellStyle name="Note 2 5 8 5" xfId="53152" xr:uid="{986C5419-F6F8-4B7F-B9F3-60C253213538}"/>
    <cellStyle name="Note 2 5 9" xfId="5689" xr:uid="{00000000-0005-0000-0000-000086070000}"/>
    <cellStyle name="Note 2 5 9 2" xfId="12573" xr:uid="{21C824D0-31C1-40FA-8078-AE604B21C800}"/>
    <cellStyle name="Note 2 5 9 2 2" xfId="35058" xr:uid="{35035CE0-9550-4608-9130-1CDDF5F41D3D}"/>
    <cellStyle name="Note 2 5 9 2 3" xfId="45889" xr:uid="{EB15E739-C034-4B72-BAC4-D0B395B4B7D0}"/>
    <cellStyle name="Note 2 5 9 3" xfId="17626" xr:uid="{5D8E6CE8-334A-4249-8C78-CB10CCBD2C6B}"/>
    <cellStyle name="Note 2 5 9 3 2" xfId="40016" xr:uid="{027F9D86-9608-49F2-87D4-D5A106B1EEE9}"/>
    <cellStyle name="Note 2 5 9 3 3" xfId="43678" xr:uid="{ED586BF9-FFCF-4D9E-8C1F-4486C3413D62}"/>
    <cellStyle name="Note 2 5 9 4" xfId="22050" xr:uid="{C2BBAACB-6A3D-448C-A7F8-79A5D0A2B911}"/>
    <cellStyle name="Note 2 5 9 4 2" xfId="50992" xr:uid="{94EED595-975F-422D-83E0-B3965CA9E774}"/>
    <cellStyle name="Note 2 5 9 5" xfId="52874" xr:uid="{F6326270-E01A-4E63-9CCB-2105C718D46A}"/>
    <cellStyle name="Note 2 6" xfId="423" xr:uid="{00000000-0005-0000-0000-000094070000}"/>
    <cellStyle name="Note 2 6 10" xfId="5045" xr:uid="{00000000-0005-0000-0000-000092070000}"/>
    <cellStyle name="Note 2 6 10 2" xfId="11939" xr:uid="{74C9E03D-C97F-4BE5-BF7B-DBA6EB3F43CC}"/>
    <cellStyle name="Note 2 6 10 2 2" xfId="34425" xr:uid="{39D68E45-0AB3-49E0-992C-22E3DB746354}"/>
    <cellStyle name="Note 2 6 10 2 3" xfId="43933" xr:uid="{392A9BAD-33DC-4797-BDD0-9A2BF89208F1}"/>
    <cellStyle name="Note 2 6 10 3" xfId="16982" xr:uid="{9B01C7F2-A0A2-4608-AA17-8E03537B3A87}"/>
    <cellStyle name="Note 2 6 10 3 2" xfId="39372" xr:uid="{EAF448D5-10AC-4D3B-A1DF-23ED871A030B}"/>
    <cellStyle name="Note 2 6 10 3 3" xfId="43674" xr:uid="{B9A15A60-D225-4E16-8D68-246FA84E61C2}"/>
    <cellStyle name="Note 2 6 10 4" xfId="21406" xr:uid="{492712D6-F574-435A-98B4-66C5B9E71455}"/>
    <cellStyle name="Note 2 6 10 4 2" xfId="53486" xr:uid="{E9D1CBFA-5DB2-439E-9AE8-06919934E398}"/>
    <cellStyle name="Note 2 6 10 5" xfId="49820" xr:uid="{6C186A27-D0E9-4319-8896-4B89B39703C2}"/>
    <cellStyle name="Note 2 6 11" xfId="5843" xr:uid="{00000000-0005-0000-0000-000092070000}"/>
    <cellStyle name="Note 2 6 11 2" xfId="12725" xr:uid="{D296E7BE-DE64-4B44-8FB2-F60C4B7EA8C5}"/>
    <cellStyle name="Note 2 6 11 2 2" xfId="35209" xr:uid="{595A5C58-8FAC-4A80-9559-20E87B080869}"/>
    <cellStyle name="Note 2 6 11 2 3" xfId="45840" xr:uid="{5EBBBF2E-4D99-41B9-B5B6-530694532B17}"/>
    <cellStyle name="Note 2 6 11 3" xfId="17780" xr:uid="{DE3BC2BD-43E2-4DCE-A45F-405B95B951DF}"/>
    <cellStyle name="Note 2 6 11 3 2" xfId="40170" xr:uid="{42D2D1AC-2695-4D2F-A609-A137BC7464E3}"/>
    <cellStyle name="Note 2 6 11 3 3" xfId="32306" xr:uid="{6D007A4E-2C51-47B9-9374-41F9412C4BB5}"/>
    <cellStyle name="Note 2 6 11 4" xfId="22204" xr:uid="{2FE7A602-12DC-40F5-9338-270B5048E08B}"/>
    <cellStyle name="Note 2 6 11 4 2" xfId="26702" xr:uid="{5F2A5309-FDEF-4A98-8DB9-1C9F28C7E833}"/>
    <cellStyle name="Note 2 6 11 5" xfId="51654" xr:uid="{5FAE6A3D-8EFB-492F-BF4A-A7F908A14021}"/>
    <cellStyle name="Note 2 6 12" xfId="8274" xr:uid="{54936176-67FE-4A90-8426-A71D2FC57CA6}"/>
    <cellStyle name="Note 2 6 12 2" xfId="30874" xr:uid="{BED93B2B-C4B0-4041-91B0-1691A7540499}"/>
    <cellStyle name="Note 2 6 12 3" xfId="26609" xr:uid="{E49DB63D-E4E4-4D6F-BE89-4B3B00A4D8B7}"/>
    <cellStyle name="Note 2 6 13" xfId="20926" xr:uid="{88873373-D73B-46CC-9797-CB18DB6F77AC}"/>
    <cellStyle name="Note 2 6 13 2" xfId="43185" xr:uid="{2A2AF238-0ED1-424E-8317-571F2E5F3203}"/>
    <cellStyle name="Note 2 6 13 3" xfId="53034" xr:uid="{DD6BA2BB-2AF9-4F47-B30D-6E8465F00F48}"/>
    <cellStyle name="Note 2 6 14" xfId="21192" xr:uid="{FD842B84-5606-4AB4-9C7A-98CECFEDB218}"/>
    <cellStyle name="Note 2 6 14 2" xfId="51603" xr:uid="{8185BD27-6689-4EB1-9DAF-646E9789A25D}"/>
    <cellStyle name="Note 2 6 15" xfId="52645" xr:uid="{88B98007-FC42-4CB5-A9BD-730F18F93B3A}"/>
    <cellStyle name="Note 2 6 2" xfId="579" xr:uid="{00000000-0005-0000-0000-000095070000}"/>
    <cellStyle name="Note 2 6 2 10" xfId="29266" xr:uid="{E2D53A68-71AD-47BA-A439-B86AD300A6B5}"/>
    <cellStyle name="Note 2 6 2 2" xfId="1713" xr:uid="{00000000-0005-0000-0000-000096070000}"/>
    <cellStyle name="Note 2 6 2 2 10" xfId="14414" xr:uid="{F8862BA2-61C2-4362-A811-8981B3036F8C}"/>
    <cellStyle name="Note 2 6 2 2 10 2" xfId="36880" xr:uid="{8DDE45D9-582D-40C5-8058-88BCDB19E296}"/>
    <cellStyle name="Note 2 6 2 2 10 3" xfId="48823" xr:uid="{A9C9571D-F5C6-405D-9E3A-D47FF603428D}"/>
    <cellStyle name="Note 2 6 2 2 11" xfId="21086" xr:uid="{A4FA63DF-1091-43D4-A018-EDF93C4DDADD}"/>
    <cellStyle name="Note 2 6 2 2 11 2" xfId="43333" xr:uid="{0CC575E9-C925-4FEE-A5F2-0690ED15BD7C}"/>
    <cellStyle name="Note 2 6 2 2 11 3" xfId="46752" xr:uid="{3C1D9D8D-11D4-421C-A671-799EDEF30CB5}"/>
    <cellStyle name="Note 2 6 2 2 12" xfId="19263" xr:uid="{3AB34B5B-74F0-40CB-B4F7-0261AD020A88}"/>
    <cellStyle name="Note 2 6 2 2 12 2" xfId="29845" xr:uid="{96CCE6D5-2F67-4138-8792-110B13AD7DA1}"/>
    <cellStyle name="Note 2 6 2 2 13" xfId="38166" xr:uid="{033C7A14-6C3B-4D57-ABF4-D4AC6F1C68E3}"/>
    <cellStyle name="Note 2 6 2 2 2" xfId="3811" xr:uid="{00000000-0005-0000-0000-000094070000}"/>
    <cellStyle name="Note 2 6 2 2 2 2" xfId="10715" xr:uid="{F64E8F2E-0E57-4F83-A221-E1252AACDF6C}"/>
    <cellStyle name="Note 2 6 2 2 2 2 2" xfId="33201" xr:uid="{9D065340-2098-4E80-85D8-34384152736C}"/>
    <cellStyle name="Note 2 6 2 2 2 2 3" xfId="50639" xr:uid="{26EC2D37-7292-4169-BCE2-4E8F73EDA91F}"/>
    <cellStyle name="Note 2 6 2 2 2 3" xfId="15871" xr:uid="{F5D0D507-1568-4FF2-A9BB-74C37E973E5E}"/>
    <cellStyle name="Note 2 6 2 2 2 3 2" xfId="38277" xr:uid="{D4031880-28AD-49BB-9336-47D74C0453EE}"/>
    <cellStyle name="Note 2 6 2 2 2 3 3" xfId="46239" xr:uid="{78BBA343-795D-4F44-8471-2BBED262D241}"/>
    <cellStyle name="Note 2 6 2 2 2 4" xfId="20456" xr:uid="{AEE83B87-E3A8-41EA-9A5A-79596BD8C841}"/>
    <cellStyle name="Note 2 6 2 2 2 4 2" xfId="47413" xr:uid="{084A6EAC-739F-4A5D-9A72-6CCE27CA6C93}"/>
    <cellStyle name="Note 2 6 2 2 2 5" xfId="50632" xr:uid="{5E133262-9792-4B7D-BA23-588771F279C8}"/>
    <cellStyle name="Note 2 6 2 2 3" xfId="5227" xr:uid="{00000000-0005-0000-0000-000094070000}"/>
    <cellStyle name="Note 2 6 2 2 3 2" xfId="12119" xr:uid="{016E34E0-E751-462F-91D0-2AD28221EB95}"/>
    <cellStyle name="Note 2 6 2 2 3 2 2" xfId="34604" xr:uid="{C7C596F9-657E-4FFF-9D29-ADC4E8DCF324}"/>
    <cellStyle name="Note 2 6 2 2 3 2 3" xfId="23801" xr:uid="{47B31A50-3795-44F1-AB49-2336A8AD468F}"/>
    <cellStyle name="Note 2 6 2 2 3 3" xfId="17164" xr:uid="{A5B32DF6-2883-46C5-B327-CCAF4631CAC2}"/>
    <cellStyle name="Note 2 6 2 2 3 3 2" xfId="39554" xr:uid="{05C074CB-AEB5-44E6-817A-39D3A99FF05D}"/>
    <cellStyle name="Note 2 6 2 2 3 3 3" xfId="30537" xr:uid="{B26C57B8-0CA7-4A3A-90EA-07058F4628F4}"/>
    <cellStyle name="Note 2 6 2 2 3 4" xfId="21588" xr:uid="{32BDC2FE-A88C-460C-8E4D-E693646745D4}"/>
    <cellStyle name="Note 2 6 2 2 3 4 2" xfId="50190" xr:uid="{645BFA9A-F34C-41F4-B99C-F528771FF954}"/>
    <cellStyle name="Note 2 6 2 2 3 5" xfId="37586" xr:uid="{5F4501F3-E49C-444B-8751-162861A01613}"/>
    <cellStyle name="Note 2 6 2 2 4" xfId="5639" xr:uid="{00000000-0005-0000-0000-000094070000}"/>
    <cellStyle name="Note 2 6 2 2 4 2" xfId="12523" xr:uid="{91895943-F069-45FC-8CA9-8E3A03BC4511}"/>
    <cellStyle name="Note 2 6 2 2 4 2 2" xfId="35008" xr:uid="{9A18B499-77A1-49E1-9221-3EF25E9708BE}"/>
    <cellStyle name="Note 2 6 2 2 4 2 3" xfId="37719" xr:uid="{A4775E55-356F-4FF0-A237-221AB5404028}"/>
    <cellStyle name="Note 2 6 2 2 4 3" xfId="17576" xr:uid="{16F82520-7B2E-4BFF-B7E3-86C77AF49110}"/>
    <cellStyle name="Note 2 6 2 2 4 3 2" xfId="39966" xr:uid="{CE9A677E-F707-4D06-99D2-4668EA16BEDB}"/>
    <cellStyle name="Note 2 6 2 2 4 3 3" xfId="43771" xr:uid="{F0FD5B38-1BFA-4B36-BBBB-26F8D8A9A65D}"/>
    <cellStyle name="Note 2 6 2 2 4 4" xfId="22000" xr:uid="{2A9AE863-FC55-4125-89BD-478D9C38CCB1}"/>
    <cellStyle name="Note 2 6 2 2 4 4 2" xfId="53082" xr:uid="{CD7C9416-C081-4E50-90B0-8C954B99AB51}"/>
    <cellStyle name="Note 2 6 2 2 4 5" xfId="28044" xr:uid="{58FA7480-64EB-4345-B2F2-F6DC64A70E87}"/>
    <cellStyle name="Note 2 6 2 2 5" xfId="4647" xr:uid="{00000000-0005-0000-0000-000094070000}"/>
    <cellStyle name="Note 2 6 2 2 5 2" xfId="11547" xr:uid="{2ECAE191-A173-4EF2-AE63-779C095B961A}"/>
    <cellStyle name="Note 2 6 2 2 5 2 2" xfId="34033" xr:uid="{1A381747-A4C8-4A57-8C6C-5B76083BF2B3}"/>
    <cellStyle name="Note 2 6 2 2 5 2 3" xfId="27891" xr:uid="{01A69932-70C1-4333-9719-F0E6B89043B8}"/>
    <cellStyle name="Note 2 6 2 2 5 3" xfId="16584" xr:uid="{CF08BB73-1AEB-4FDB-B37D-423DA1CE80EB}"/>
    <cellStyle name="Note 2 6 2 2 5 3 2" xfId="38974" xr:uid="{9BF2A5C8-4EBF-4E58-A495-0FCEFE08380F}"/>
    <cellStyle name="Note 2 6 2 2 5 3 3" xfId="23903" xr:uid="{552365DA-0A45-44F5-8087-94AC42A8762F}"/>
    <cellStyle name="Note 2 6 2 2 5 4" xfId="19425" xr:uid="{6F896499-8C85-45C9-AE76-17E4C3BA5166}"/>
    <cellStyle name="Note 2 6 2 2 5 4 2" xfId="27588" xr:uid="{AEB8429A-5949-4C84-99BC-4C7EE47A390D}"/>
    <cellStyle name="Note 2 6 2 2 5 5" xfId="51746" xr:uid="{30E20654-C10C-48E9-AF76-BD1F5D73B50D}"/>
    <cellStyle name="Note 2 6 2 2 6" xfId="6378" xr:uid="{00000000-0005-0000-0000-000094070000}"/>
    <cellStyle name="Note 2 6 2 2 6 2" xfId="13250" xr:uid="{C0EE635E-E923-48B4-A9FB-D86469A09382}"/>
    <cellStyle name="Note 2 6 2 2 6 2 2" xfId="35734" xr:uid="{CD739A18-12C4-461A-894D-B9DE9E4AF395}"/>
    <cellStyle name="Note 2 6 2 2 6 2 3" xfId="53253" xr:uid="{74562E9F-1B70-48CF-A968-31AA8B3981FA}"/>
    <cellStyle name="Note 2 6 2 2 6 3" xfId="18315" xr:uid="{0AD8193E-1E65-425B-ADF6-70838F272AD8}"/>
    <cellStyle name="Note 2 6 2 2 6 3 2" xfId="40705" xr:uid="{6847269E-7985-4B0D-AB6C-8DFF172F6044}"/>
    <cellStyle name="Note 2 6 2 2 6 3 3" xfId="24619" xr:uid="{9A0E34B8-21BA-4B2D-8513-4277E794857B}"/>
    <cellStyle name="Note 2 6 2 2 6 4" xfId="22739" xr:uid="{BF08CAF7-5EEF-4A82-BDFE-BDE029669186}"/>
    <cellStyle name="Note 2 6 2 2 6 4 2" xfId="46962" xr:uid="{02AF6B66-8FAB-46AD-A100-43D1D8CF8038}"/>
    <cellStyle name="Note 2 6 2 2 6 5" xfId="29003" xr:uid="{5CBE1E43-3A71-4631-AB68-11340DED9758}"/>
    <cellStyle name="Note 2 6 2 2 7" xfId="6774" xr:uid="{00000000-0005-0000-0000-000094070000}"/>
    <cellStyle name="Note 2 6 2 2 7 2" xfId="13625" xr:uid="{018EEF2C-CE3C-4870-AF2E-2C642A5AE657}"/>
    <cellStyle name="Note 2 6 2 2 7 2 2" xfId="36109" xr:uid="{B5E43FD1-E324-4CA7-94BE-8E8F86A66F2B}"/>
    <cellStyle name="Note 2 6 2 2 7 2 3" xfId="47685" xr:uid="{FED22A51-BB1A-4B7E-9198-9E13E40E78EE}"/>
    <cellStyle name="Note 2 6 2 2 7 3" xfId="18711" xr:uid="{EE26DA8F-33D7-49CE-82AF-6D96D957A41F}"/>
    <cellStyle name="Note 2 6 2 2 7 3 2" xfId="41101" xr:uid="{D0828DA3-2100-455A-853E-86C3E99928B6}"/>
    <cellStyle name="Note 2 6 2 2 7 3 3" xfId="44739" xr:uid="{3713009E-40C4-48FF-A19D-896FAB96A1FB}"/>
    <cellStyle name="Note 2 6 2 2 7 4" xfId="23135" xr:uid="{F03483E0-0A9A-4E11-9314-46EBD2351B2A}"/>
    <cellStyle name="Note 2 6 2 2 7 4 2" xfId="49275" xr:uid="{B4BF6BDB-D401-46CA-A7BB-47898124AAAE}"/>
    <cellStyle name="Note 2 6 2 2 7 5" xfId="46468" xr:uid="{99FABDE7-21A4-4922-93DA-97D05DBD9223}"/>
    <cellStyle name="Note 2 6 2 2 8" xfId="6895" xr:uid="{00000000-0005-0000-0000-000094070000}"/>
    <cellStyle name="Note 2 6 2 2 8 2" xfId="13733" xr:uid="{697D9E80-739B-428D-ACCB-AB12368699EF}"/>
    <cellStyle name="Note 2 6 2 2 8 2 2" xfId="36217" xr:uid="{67346FEB-3AC5-4AE3-BA78-56E504F863B7}"/>
    <cellStyle name="Note 2 6 2 2 8 2 3" xfId="29092" xr:uid="{6DEE312F-8B34-4D5D-B1A9-8ECA5AC0E380}"/>
    <cellStyle name="Note 2 6 2 2 8 3" xfId="18832" xr:uid="{89395009-19B2-460C-95D1-AD040E668563}"/>
    <cellStyle name="Note 2 6 2 2 8 3 2" xfId="41222" xr:uid="{7EE53BC1-F134-4D83-A614-17B0C262C118}"/>
    <cellStyle name="Note 2 6 2 2 8 3 3" xfId="43104" xr:uid="{14791C3B-1ADC-4815-8AEA-35882F188BAC}"/>
    <cellStyle name="Note 2 6 2 2 8 4" xfId="23256" xr:uid="{08849BE9-88DE-4B93-9862-72B5A89B4D10}"/>
    <cellStyle name="Note 2 6 2 2 8 4 2" xfId="47016" xr:uid="{852E2338-12B7-4FE7-A7EA-80B24464280D}"/>
    <cellStyle name="Note 2 6 2 2 8 5" xfId="50412" xr:uid="{ED341137-C93A-4A00-A88F-DFA232E7AED7}"/>
    <cellStyle name="Note 2 6 2 2 9" xfId="6747" xr:uid="{00000000-0005-0000-0000-000094070000}"/>
    <cellStyle name="Note 2 6 2 2 9 2" xfId="18684" xr:uid="{C7B91C92-1143-4FCE-91EB-8BC7C01F849C}"/>
    <cellStyle name="Note 2 6 2 2 9 2 2" xfId="41074" xr:uid="{A9D87CB8-5A8E-4856-9DF7-05A593E3F679}"/>
    <cellStyle name="Note 2 6 2 2 9 2 3" xfId="26228" xr:uid="{EA6BBBD7-BCC2-4637-94C1-03A576775AF8}"/>
    <cellStyle name="Note 2 6 2 2 9 3" xfId="23108" xr:uid="{337D2DB4-A384-4F67-A7DF-0DE3A3A27706}"/>
    <cellStyle name="Note 2 6 2 2 9 3 2" xfId="46820" xr:uid="{D22599C0-FDC9-4165-8A9A-F6FB452848AA}"/>
    <cellStyle name="Note 2 6 2 2 9 4" xfId="24183" xr:uid="{CC7ECA25-D095-4C17-87B1-B8B2A076E26C}"/>
    <cellStyle name="Note 2 6 2 3" xfId="4518" xr:uid="{00000000-0005-0000-0000-000093070000}"/>
    <cellStyle name="Note 2 6 2 3 2" xfId="11420" xr:uid="{675B78BB-9167-42BF-8499-1C8CFCB94902}"/>
    <cellStyle name="Note 2 6 2 3 2 2" xfId="33906" xr:uid="{1DF312BB-CD79-42B5-ADF8-1959FA3528E6}"/>
    <cellStyle name="Note 2 6 2 3 2 3" xfId="29952" xr:uid="{D4D69573-3EB9-4FC3-B993-BEBEDC001FA9}"/>
    <cellStyle name="Note 2 6 2 3 3" xfId="16455" xr:uid="{E71301D0-7093-45B9-B03C-ADB4497E96F1}"/>
    <cellStyle name="Note 2 6 2 3 3 2" xfId="38845" xr:uid="{CAAF37B9-05AF-44CD-8578-AEDBABE48D49}"/>
    <cellStyle name="Note 2 6 2 3 3 3" xfId="28732" xr:uid="{E6142AED-C3D3-45FC-80B3-7B25ED0C2062}"/>
    <cellStyle name="Note 2 6 2 3 4" xfId="7962" xr:uid="{702A45ED-E5A9-486C-891A-E1DC24B75D90}"/>
    <cellStyle name="Note 2 6 2 3 4 2" xfId="48114" xr:uid="{1A9A823A-563F-4A7B-880B-C4EA7758E025}"/>
    <cellStyle name="Note 2 6 2 3 5" xfId="51903" xr:uid="{D1C3C4B6-5B10-44F4-B598-E8235EDFBADD}"/>
    <cellStyle name="Note 2 6 2 4" xfId="5031" xr:uid="{00000000-0005-0000-0000-000093070000}"/>
    <cellStyle name="Note 2 6 2 4 2" xfId="11925" xr:uid="{4AF4F6DD-6340-41B2-B2E5-2DF70EDF2BA1}"/>
    <cellStyle name="Note 2 6 2 4 2 2" xfId="34411" xr:uid="{10BA3394-425A-4BF6-A691-9BE874918CF0}"/>
    <cellStyle name="Note 2 6 2 4 2 3" xfId="23929" xr:uid="{D241FF8F-2B65-4696-A18A-4D7A090060A3}"/>
    <cellStyle name="Note 2 6 2 4 3" xfId="16968" xr:uid="{146179D9-9CD4-4F30-91EC-F88E48601362}"/>
    <cellStyle name="Note 2 6 2 4 3 2" xfId="39358" xr:uid="{39F002BB-A0C1-465D-92B2-CD0C2EBF10F8}"/>
    <cellStyle name="Note 2 6 2 4 3 3" xfId="30085" xr:uid="{6B2C1FCD-EA73-4BE9-A612-DE95B2CBA380}"/>
    <cellStyle name="Note 2 6 2 4 4" xfId="21392" xr:uid="{71A0C7E8-0849-4DC4-A788-D73FA7861D83}"/>
    <cellStyle name="Note 2 6 2 4 4 2" xfId="51206" xr:uid="{A345BB17-EE1A-43A6-B23D-BE8766335EDB}"/>
    <cellStyle name="Note 2 6 2 4 5" xfId="46431" xr:uid="{4E280D4E-4FCA-4383-B96D-4A23CEB7A933}"/>
    <cellStyle name="Note 2 6 2 5" xfId="5480" xr:uid="{00000000-0005-0000-0000-000093070000}"/>
    <cellStyle name="Note 2 6 2 5 2" xfId="12369" xr:uid="{C9AF4517-3D46-436B-9392-94724120ADDC}"/>
    <cellStyle name="Note 2 6 2 5 2 2" xfId="34854" xr:uid="{5870F3DF-867A-493A-82CB-C34452BB6964}"/>
    <cellStyle name="Note 2 6 2 5 2 3" xfId="28350" xr:uid="{9FFAA327-71B0-4054-83AD-0FAADAD89FD2}"/>
    <cellStyle name="Note 2 6 2 5 3" xfId="17417" xr:uid="{D0E3538F-E86A-4B42-A457-96EE0407F5BF}"/>
    <cellStyle name="Note 2 6 2 5 3 2" xfId="39807" xr:uid="{74D191ED-2937-4F51-8915-C5B998D61529}"/>
    <cellStyle name="Note 2 6 2 5 3 3" xfId="26105" xr:uid="{29C07E40-02C7-4CE3-B118-6F8DEC4B75DA}"/>
    <cellStyle name="Note 2 6 2 5 4" xfId="21841" xr:uid="{689FBD85-679B-4C41-AE11-9D3A48B2AE44}"/>
    <cellStyle name="Note 2 6 2 5 4 2" xfId="51264" xr:uid="{5D17EE9C-9DB4-426F-9731-5FDF96B57451}"/>
    <cellStyle name="Note 2 6 2 5 5" xfId="24546" xr:uid="{34217A96-298F-426D-AA3C-965AC14E7168}"/>
    <cellStyle name="Note 2 6 2 6" xfId="6767" xr:uid="{00000000-0005-0000-0000-000093070000}"/>
    <cellStyle name="Note 2 6 2 6 2" xfId="13619" xr:uid="{D6702B1B-E5F5-4AA0-B5C9-91CBB4CDF9A7}"/>
    <cellStyle name="Note 2 6 2 6 2 2" xfId="36103" xr:uid="{689B4CE5-B068-49D1-B512-9E6A0BBDDB1D}"/>
    <cellStyle name="Note 2 6 2 6 2 3" xfId="28629" xr:uid="{95B1389C-7D20-47AF-8CE1-119613896525}"/>
    <cellStyle name="Note 2 6 2 6 3" xfId="18704" xr:uid="{9C35D8F7-7592-46E0-99D8-EA58DEEEF13A}"/>
    <cellStyle name="Note 2 6 2 6 3 2" xfId="41094" xr:uid="{BB9DA356-1B9B-479B-A14F-8F939315BE87}"/>
    <cellStyle name="Note 2 6 2 6 3 3" xfId="43808" xr:uid="{5B07ED6C-1E93-401D-BE2C-F249FAC2F4CB}"/>
    <cellStyle name="Note 2 6 2 6 4" xfId="23128" xr:uid="{F16303D4-A12A-4E67-8C9D-2153330CCC10}"/>
    <cellStyle name="Note 2 6 2 6 4 2" xfId="46738" xr:uid="{51D2DD03-0802-46D6-94C5-C86580BF1EE4}"/>
    <cellStyle name="Note 2 6 2 6 5" xfId="51659" xr:uid="{86650DA8-060A-4145-BC33-20470A228CFD}"/>
    <cellStyle name="Note 2 6 2 7" xfId="7859" xr:uid="{93C2F6D5-93C3-40BE-A1BA-60F0169F952A}"/>
    <cellStyle name="Note 2 6 2 7 2" xfId="30490" xr:uid="{A262ECCA-7209-42FB-9A53-A880442FEA59}"/>
    <cellStyle name="Note 2 6 2 7 3" xfId="50502" xr:uid="{338FAA88-DA80-4780-BD6E-553678E3023C}"/>
    <cellStyle name="Note 2 6 2 8" xfId="14462" xr:uid="{B994F5CF-1C3F-4C76-8FAD-0C34AA934797}"/>
    <cellStyle name="Note 2 6 2 8 2" xfId="36927" xr:uid="{C39A0D77-CB58-4B38-AB53-61B100374A27}"/>
    <cellStyle name="Note 2 6 2 8 3" xfId="50448" xr:uid="{2C559D83-C369-473E-8BD6-EFA712AC142D}"/>
    <cellStyle name="Note 2 6 2 9" xfId="20915" xr:uid="{631BB48C-2C40-48DB-BE1A-097638BCC991}"/>
    <cellStyle name="Note 2 6 2 9 2" xfId="48678" xr:uid="{87585025-4DD6-4B6E-BA62-8BE0C77010E8}"/>
    <cellStyle name="Note 2 6 3" xfId="824" xr:uid="{00000000-0005-0000-0000-000097070000}"/>
    <cellStyle name="Note 2 6 3 10" xfId="46785" xr:uid="{66E6A9F9-CA32-40A4-A1F1-6AFF12ECA2CD}"/>
    <cellStyle name="Note 2 6 3 2" xfId="1810" xr:uid="{00000000-0005-0000-0000-000098070000}"/>
    <cellStyle name="Note 2 6 3 2 10" xfId="14494" xr:uid="{2C16735C-E3F9-4766-BC68-D30BF33E8CA0}"/>
    <cellStyle name="Note 2 6 3 2 10 2" xfId="36955" xr:uid="{926C5450-49E2-4956-9096-2256D40B6D7F}"/>
    <cellStyle name="Note 2 6 3 2 10 3" xfId="49767" xr:uid="{B8243D4A-5C69-4440-9B27-C8FB3E6F008A}"/>
    <cellStyle name="Note 2 6 3 2 11" xfId="20267" xr:uid="{962E4B80-3CCC-4A05-9AEE-6F989206F564}"/>
    <cellStyle name="Note 2 6 3 2 11 2" xfId="42569" xr:uid="{2CCBF7A1-2D73-4A26-86E4-C1496E810BC7}"/>
    <cellStyle name="Note 2 6 3 2 11 3" xfId="28488" xr:uid="{2F39CCD5-82A7-4CE0-8D3F-C5A58C10B00A}"/>
    <cellStyle name="Note 2 6 3 2 12" xfId="14335" xr:uid="{CF6084E1-13B1-4F1B-A8EC-D2E290866727}"/>
    <cellStyle name="Note 2 6 3 2 12 2" xfId="53250" xr:uid="{D9587198-5594-49BE-84E3-B45669131FFA}"/>
    <cellStyle name="Note 2 6 3 2 13" xfId="51426" xr:uid="{29084E3C-A881-4D5C-B03A-29F1F651DAD9}"/>
    <cellStyle name="Note 2 6 3 2 2" xfId="3908" xr:uid="{00000000-0005-0000-0000-000096070000}"/>
    <cellStyle name="Note 2 6 3 2 2 2" xfId="10812" xr:uid="{98B7948E-BAED-4DDF-B436-A225C3DE43E6}"/>
    <cellStyle name="Note 2 6 3 2 2 2 2" xfId="33298" xr:uid="{22B2146C-5DE9-4365-956B-A67517E118F7}"/>
    <cellStyle name="Note 2 6 3 2 2 2 3" xfId="44659" xr:uid="{7FEA4444-A31E-4C16-B6F4-5DCC15C3F320}"/>
    <cellStyle name="Note 2 6 3 2 2 3" xfId="15950" xr:uid="{302A1767-3B1C-48D4-99F2-70127F1C1527}"/>
    <cellStyle name="Note 2 6 3 2 2 3 2" xfId="38353" xr:uid="{5BA9E5DC-9286-432F-83B0-9EB5E9CE0014}"/>
    <cellStyle name="Note 2 6 3 2 2 3 3" xfId="43820" xr:uid="{ADEB9590-9825-4678-9D68-6860BB364102}"/>
    <cellStyle name="Note 2 6 3 2 2 4" xfId="14634" xr:uid="{CF60289F-92F3-4ED3-8AA6-FEC487555DE3}"/>
    <cellStyle name="Note 2 6 3 2 2 4 2" xfId="53730" xr:uid="{85B83A59-6368-4734-81DF-1D31951317A8}"/>
    <cellStyle name="Note 2 6 3 2 2 5" xfId="50064" xr:uid="{1C3AFCB3-6DCA-4F59-8339-B6C3B2428E71}"/>
    <cellStyle name="Note 2 6 3 2 3" xfId="5303" xr:uid="{00000000-0005-0000-0000-000096070000}"/>
    <cellStyle name="Note 2 6 3 2 3 2" xfId="12195" xr:uid="{88E1CB56-0FDE-41F9-B347-747A90909FA0}"/>
    <cellStyle name="Note 2 6 3 2 3 2 2" xfId="34680" xr:uid="{362C73C6-16B6-4242-8CB8-49B25FD942D0}"/>
    <cellStyle name="Note 2 6 3 2 3 2 3" xfId="28373" xr:uid="{AB694A3C-BE34-48CB-BE0E-EE25613FDCB7}"/>
    <cellStyle name="Note 2 6 3 2 3 3" xfId="17240" xr:uid="{C35CE627-7C17-4C08-B91B-BAD8CE57FD4D}"/>
    <cellStyle name="Note 2 6 3 2 3 3 2" xfId="39630" xr:uid="{212B436D-5A8F-4E75-8C43-C249BD8B5320}"/>
    <cellStyle name="Note 2 6 3 2 3 3 3" xfId="29447" xr:uid="{8E12470E-3A32-4962-8909-AE2CD967634E}"/>
    <cellStyle name="Note 2 6 3 2 3 4" xfId="21664" xr:uid="{91428270-98C8-42D0-BDF3-3DEBE8B978F7}"/>
    <cellStyle name="Note 2 6 3 2 3 4 2" xfId="52350" xr:uid="{84BE1496-3E2D-4B93-9CC4-69ACDC5DF476}"/>
    <cellStyle name="Note 2 6 3 2 3 5" xfId="24491" xr:uid="{66F38A5C-FCD6-4623-ADA9-2099B4572516}"/>
    <cellStyle name="Note 2 6 3 2 4" xfId="5714" xr:uid="{00000000-0005-0000-0000-000096070000}"/>
    <cellStyle name="Note 2 6 3 2 4 2" xfId="12598" xr:uid="{05C46A02-C5F4-431C-A809-4EB76BCEB37F}"/>
    <cellStyle name="Note 2 6 3 2 4 2 2" xfId="35083" xr:uid="{6EDACD7A-088D-46ED-BD3F-88703D15EB78}"/>
    <cellStyle name="Note 2 6 3 2 4 2 3" xfId="44471" xr:uid="{FB37299F-53C5-4703-8C3D-B69B61CFB04F}"/>
    <cellStyle name="Note 2 6 3 2 4 3" xfId="17651" xr:uid="{F42E3A47-94F8-4EC6-B88A-64E234DB5E75}"/>
    <cellStyle name="Note 2 6 3 2 4 3 2" xfId="40041" xr:uid="{D049CCB5-DCA0-407D-B8AA-670C0D707449}"/>
    <cellStyle name="Note 2 6 3 2 4 3 3" xfId="29813" xr:uid="{174ECD6D-7ABA-452F-99F9-DA853AC4B46C}"/>
    <cellStyle name="Note 2 6 3 2 4 4" xfId="22075" xr:uid="{ABB4E159-710C-4648-A100-8F0A3CE7F4E1}"/>
    <cellStyle name="Note 2 6 3 2 4 4 2" xfId="47984" xr:uid="{EC0F1B3B-2AF4-41AF-A54B-D06D35ED3D94}"/>
    <cellStyle name="Note 2 6 3 2 4 5" xfId="49532" xr:uid="{11270537-5928-4D0B-AD11-EFF2B28EFA1B}"/>
    <cellStyle name="Note 2 6 3 2 5" xfId="6068" xr:uid="{00000000-0005-0000-0000-000096070000}"/>
    <cellStyle name="Note 2 6 3 2 5 2" xfId="12946" xr:uid="{7BDCD563-5BB2-48F4-8D6A-1501AF3C61E0}"/>
    <cellStyle name="Note 2 6 3 2 5 2 2" xfId="35430" xr:uid="{6F139621-252D-4202-92A9-B3C8529A1A94}"/>
    <cellStyle name="Note 2 6 3 2 5 2 3" xfId="27201" xr:uid="{28AC62AA-BB3B-4152-892B-882ED2962AE1}"/>
    <cellStyle name="Note 2 6 3 2 5 3" xfId="18005" xr:uid="{907412CE-954B-4FA4-809E-970A62B475F7}"/>
    <cellStyle name="Note 2 6 3 2 5 3 2" xfId="40395" xr:uid="{F803822B-BE5C-4790-B838-C58669574066}"/>
    <cellStyle name="Note 2 6 3 2 5 3 3" xfId="37238" xr:uid="{88182DB7-7C7C-485B-A1C4-4B4098BAFD46}"/>
    <cellStyle name="Note 2 6 3 2 5 4" xfId="22429" xr:uid="{F92E9DE6-598D-4E0F-815B-8EDEBF7338C4}"/>
    <cellStyle name="Note 2 6 3 2 5 4 2" xfId="47979" xr:uid="{645F3A76-646D-407F-B119-53AEDFD65DB6}"/>
    <cellStyle name="Note 2 6 3 2 5 5" xfId="48821" xr:uid="{C57BE85C-FEEE-45C0-AE7A-45A330ECC588}"/>
    <cellStyle name="Note 2 6 3 2 6" xfId="6443" xr:uid="{00000000-0005-0000-0000-000096070000}"/>
    <cellStyle name="Note 2 6 3 2 6 2" xfId="13313" xr:uid="{3E4CEAE1-9740-4F36-876F-73CECAF78ABB}"/>
    <cellStyle name="Note 2 6 3 2 6 2 2" xfId="35797" xr:uid="{607919EB-DBFF-4698-8C53-204DF670BD98}"/>
    <cellStyle name="Note 2 6 3 2 6 2 3" xfId="52590" xr:uid="{17DAD2EE-C710-4B9A-8D4C-034A1B175933}"/>
    <cellStyle name="Note 2 6 3 2 6 3" xfId="18380" xr:uid="{A2E821D6-A536-4B23-BB31-44D4AF7C48ED}"/>
    <cellStyle name="Note 2 6 3 2 6 3 2" xfId="40770" xr:uid="{782EE61F-6E31-4DA5-8F66-45EDFB1F1245}"/>
    <cellStyle name="Note 2 6 3 2 6 3 3" xfId="29808" xr:uid="{986B274B-1773-4178-8D4F-5CEB4B558C3A}"/>
    <cellStyle name="Note 2 6 3 2 6 4" xfId="22804" xr:uid="{F5D57F8D-028D-4BFF-A08D-A10BAB2A7D8A}"/>
    <cellStyle name="Note 2 6 3 2 6 4 2" xfId="46856" xr:uid="{B6B28251-3189-4E5F-9014-1214760C3383}"/>
    <cellStyle name="Note 2 6 3 2 6 5" xfId="48009" xr:uid="{F85EC405-3553-40CC-8F27-185FCABF176A}"/>
    <cellStyle name="Note 2 6 3 2 7" xfId="6848" xr:uid="{00000000-0005-0000-0000-000096070000}"/>
    <cellStyle name="Note 2 6 3 2 7 2" xfId="13691" xr:uid="{29B14BE2-29F7-4DCB-8BC4-5EB651CEE0E8}"/>
    <cellStyle name="Note 2 6 3 2 7 2 2" xfId="36175" xr:uid="{08540261-8806-4A64-AA5E-2BFC67C6C3B6}"/>
    <cellStyle name="Note 2 6 3 2 7 2 3" xfId="50727" xr:uid="{67595251-0009-4458-95CA-86C94DE7956F}"/>
    <cellStyle name="Note 2 6 3 2 7 3" xfId="18785" xr:uid="{C0AD4BEF-E010-4DAF-A9DB-E56A994E948D}"/>
    <cellStyle name="Note 2 6 3 2 7 3 2" xfId="41175" xr:uid="{61D77861-C630-43EE-A930-D28D7B71D9E8}"/>
    <cellStyle name="Note 2 6 3 2 7 3 3" xfId="27372" xr:uid="{6024C7CF-C14E-4348-99E9-5686060F9BDF}"/>
    <cellStyle name="Note 2 6 3 2 7 4" xfId="23209" xr:uid="{CDC1B34B-AA6E-4AAF-8E7C-FA5FCA51CD1E}"/>
    <cellStyle name="Note 2 6 3 2 7 4 2" xfId="48272" xr:uid="{1B147581-3E0B-4B25-9BBC-8A8634404187}"/>
    <cellStyle name="Note 2 6 3 2 7 5" xfId="49186" xr:uid="{36267C69-B0C7-49DA-B05B-70D7F4D2E087}"/>
    <cellStyle name="Note 2 6 3 2 8" xfId="6943" xr:uid="{00000000-0005-0000-0000-000096070000}"/>
    <cellStyle name="Note 2 6 3 2 8 2" xfId="13780" xr:uid="{28F927B8-8B97-42EE-9BC4-DAF5A417236A}"/>
    <cellStyle name="Note 2 6 3 2 8 2 2" xfId="36264" xr:uid="{63377F9A-597F-4BBE-A7C1-5D28778A8A84}"/>
    <cellStyle name="Note 2 6 3 2 8 2 3" xfId="42739" xr:uid="{163E48AB-1E30-4CF5-A0C3-8501FACC48FA}"/>
    <cellStyle name="Note 2 6 3 2 8 3" xfId="18880" xr:uid="{A5118416-5FEB-47C1-B249-282A7F3C5EF6}"/>
    <cellStyle name="Note 2 6 3 2 8 3 2" xfId="41270" xr:uid="{73F5C885-8C13-45F9-8393-A8FB52CC56B9}"/>
    <cellStyle name="Note 2 6 3 2 8 3 3" xfId="44019" xr:uid="{FD380F5E-7C9E-4448-9F1F-978F8BE92BF5}"/>
    <cellStyle name="Note 2 6 3 2 8 4" xfId="23304" xr:uid="{7E6A1189-12A8-4E69-9A5C-D9F141AB52E9}"/>
    <cellStyle name="Note 2 6 3 2 8 4 2" xfId="28037" xr:uid="{F6B000E9-BFE7-4808-93EA-C205F10F8189}"/>
    <cellStyle name="Note 2 6 3 2 8 5" xfId="49426" xr:uid="{A4C4DF21-20F1-4BAC-8527-486C35E6A979}"/>
    <cellStyle name="Note 2 6 3 2 9" xfId="6775" xr:uid="{00000000-0005-0000-0000-000096070000}"/>
    <cellStyle name="Note 2 6 3 2 9 2" xfId="18712" xr:uid="{D6478660-C60E-4863-AE3E-51BEA72208A3}"/>
    <cellStyle name="Note 2 6 3 2 9 2 2" xfId="41102" xr:uid="{88BCB622-9E66-4857-A7A6-6C6120A4CCBE}"/>
    <cellStyle name="Note 2 6 3 2 9 2 3" xfId="29275" xr:uid="{811483FF-D158-42A2-976B-A2352F468435}"/>
    <cellStyle name="Note 2 6 3 2 9 3" xfId="23136" xr:uid="{6AB484B9-B6E8-4FE3-9DCE-3E288BC27A1A}"/>
    <cellStyle name="Note 2 6 3 2 9 3 2" xfId="45930" xr:uid="{0E4BE5EC-D555-4920-B98B-A358D2A43423}"/>
    <cellStyle name="Note 2 6 3 2 9 4" xfId="28188" xr:uid="{CF53AACF-A3BB-4D71-87CA-AF59ECDC24F6}"/>
    <cellStyle name="Note 2 6 3 3" xfId="4668" xr:uid="{00000000-0005-0000-0000-000095070000}"/>
    <cellStyle name="Note 2 6 3 3 2" xfId="11566" xr:uid="{3B56A8F8-BA15-4421-ADD7-7B70722818EE}"/>
    <cellStyle name="Note 2 6 3 3 2 2" xfId="34052" xr:uid="{0A01B565-A73C-453D-9936-F55DC8E91342}"/>
    <cellStyle name="Note 2 6 3 3 2 3" xfId="43622" xr:uid="{A99E500B-C487-4A17-8D3C-B928FD7C00F8}"/>
    <cellStyle name="Note 2 6 3 3 3" xfId="16605" xr:uid="{84B59776-0966-4FF3-96B2-45F50EBAD666}"/>
    <cellStyle name="Note 2 6 3 3 3 2" xfId="38995" xr:uid="{5BB2CCF8-A6C5-4ED5-8CE3-C844E76E0A65}"/>
    <cellStyle name="Note 2 6 3 3 3 3" xfId="24153" xr:uid="{4F7CA350-A714-4C9D-8208-5CBCC30ADB88}"/>
    <cellStyle name="Note 2 6 3 3 4" xfId="19267" xr:uid="{7D81A1D9-7132-44C6-94C7-B2F769650A0C}"/>
    <cellStyle name="Note 2 6 3 3 4 2" xfId="30409" xr:uid="{E624A631-EC9F-45B4-843B-BC6552AC502B}"/>
    <cellStyle name="Note 2 6 3 3 5" xfId="50815" xr:uid="{5D983B76-0D1C-456D-B481-AA2F275F026E}"/>
    <cellStyle name="Note 2 6 3 4" xfId="5091" xr:uid="{00000000-0005-0000-0000-000095070000}"/>
    <cellStyle name="Note 2 6 3 4 2" xfId="11984" xr:uid="{D3321EFC-6C59-499A-A51B-A5E826AF0A5D}"/>
    <cellStyle name="Note 2 6 3 4 2 2" xfId="34470" xr:uid="{16461C59-35E8-4028-9544-81FD9AA7B11D}"/>
    <cellStyle name="Note 2 6 3 4 2 3" xfId="29240" xr:uid="{52081CB8-39C6-4D55-8080-E91AA8F19957}"/>
    <cellStyle name="Note 2 6 3 4 3" xfId="17028" xr:uid="{253D34F7-9665-449A-984A-B06CCE5F0D83}"/>
    <cellStyle name="Note 2 6 3 4 3 2" xfId="39418" xr:uid="{2E4E06DA-89C2-4505-BD97-21B703309047}"/>
    <cellStyle name="Note 2 6 3 4 3 3" xfId="42415" xr:uid="{3B278C4D-D1CC-4B04-B977-2C4E0B49258B}"/>
    <cellStyle name="Note 2 6 3 4 4" xfId="21452" xr:uid="{88740D16-DA55-4EF8-ACE8-F949E96203C2}"/>
    <cellStyle name="Note 2 6 3 4 4 2" xfId="26220" xr:uid="{EF5FB399-F291-4A06-AC60-DE4878C3B45F}"/>
    <cellStyle name="Note 2 6 3 4 5" xfId="47722" xr:uid="{7B2A154C-B1D0-4F47-AE28-D3A2A192B6A5}"/>
    <cellStyle name="Note 2 6 3 5" xfId="6168" xr:uid="{00000000-0005-0000-0000-000095070000}"/>
    <cellStyle name="Note 2 6 3 5 2" xfId="13045" xr:uid="{80797BAD-72B7-4782-8268-476407C0B3DD}"/>
    <cellStyle name="Note 2 6 3 5 2 2" xfId="35529" xr:uid="{868074F1-7769-4D61-8314-A44D6DDB93D9}"/>
    <cellStyle name="Note 2 6 3 5 2 3" xfId="53354" xr:uid="{1969F8A5-EF04-4343-9873-FDB833E21793}"/>
    <cellStyle name="Note 2 6 3 5 3" xfId="18105" xr:uid="{734B9719-E9C1-4688-8EB9-35AB10413831}"/>
    <cellStyle name="Note 2 6 3 5 3 2" xfId="40495" xr:uid="{8B96628B-74C9-424C-88C1-A5D0BDE6338A}"/>
    <cellStyle name="Note 2 6 3 5 3 3" xfId="30343" xr:uid="{A73ACFB1-C2DB-4FA4-A26D-7361CA9AF1DE}"/>
    <cellStyle name="Note 2 6 3 5 4" xfId="22529" xr:uid="{A225237D-0251-42BB-907A-6C8E40304FCA}"/>
    <cellStyle name="Note 2 6 3 5 4 2" xfId="47145" xr:uid="{F96AF1EF-DD78-47C0-A90A-40F331BB7377}"/>
    <cellStyle name="Note 2 6 3 5 5" xfId="53957" xr:uid="{919AD215-DD01-4386-8667-5725F66F832F}"/>
    <cellStyle name="Note 2 6 3 6" xfId="6826" xr:uid="{00000000-0005-0000-0000-000095070000}"/>
    <cellStyle name="Note 2 6 3 6 2" xfId="13672" xr:uid="{01262C26-D69B-4164-B1A7-059CA688D8A5}"/>
    <cellStyle name="Note 2 6 3 6 2 2" xfId="36156" xr:uid="{55EC51EC-E70B-4289-8705-EB205A42306B}"/>
    <cellStyle name="Note 2 6 3 6 2 3" xfId="49571" xr:uid="{1D5B0C5C-DC48-4654-AEE3-7CB39DC35AFD}"/>
    <cellStyle name="Note 2 6 3 6 3" xfId="18763" xr:uid="{71C52782-C61C-4E54-9D0D-560CAEF96DC8}"/>
    <cellStyle name="Note 2 6 3 6 3 2" xfId="41153" xr:uid="{13C7C7B0-8105-4E96-84F1-A4B527D4DA80}"/>
    <cellStyle name="Note 2 6 3 6 3 3" xfId="30261" xr:uid="{1C7EF091-A03A-4F32-AF34-AE05007FD8D9}"/>
    <cellStyle name="Note 2 6 3 6 4" xfId="23187" xr:uid="{F53DF978-94EA-474C-9474-2DEEB95204D6}"/>
    <cellStyle name="Note 2 6 3 6 4 2" xfId="53759" xr:uid="{E40141C5-2850-43AA-AAF3-60E92629D729}"/>
    <cellStyle name="Note 2 6 3 6 5" xfId="53727" xr:uid="{44C80007-6BFC-4E90-8101-C832E7231BC9}"/>
    <cellStyle name="Note 2 6 3 7" xfId="7587" xr:uid="{90CAA394-6D49-4C82-BC11-3012AA57558E}"/>
    <cellStyle name="Note 2 6 3 7 2" xfId="30250" xr:uid="{7863E3D8-CB4B-4730-BF79-0A0669537F94}"/>
    <cellStyle name="Note 2 6 3 7 3" xfId="36539" xr:uid="{DB5BA47D-539B-4AE6-B91B-DFF95CAFFFEB}"/>
    <cellStyle name="Note 2 6 3 8" xfId="15577" xr:uid="{C3E5EECE-2FA4-4E9F-AB90-63B618A43101}"/>
    <cellStyle name="Note 2 6 3 8 2" xfId="37996" xr:uid="{66C9F81B-06B8-4F6C-A863-CBE6C06AB7D6}"/>
    <cellStyle name="Note 2 6 3 8 3" xfId="29214" xr:uid="{905A72E2-9696-404B-AA8A-3F269E167A55}"/>
    <cellStyle name="Note 2 6 3 9" xfId="14974" xr:uid="{54030B3B-0EB4-4D7B-8C5A-A9E07ED55B76}"/>
    <cellStyle name="Note 2 6 3 9 2" xfId="48847" xr:uid="{44335222-03BD-4EB5-AA14-275BCC60DC22}"/>
    <cellStyle name="Note 2 6 4" xfId="1010" xr:uid="{00000000-0005-0000-0000-000099070000}"/>
    <cellStyle name="Note 2 6 4 10" xfId="48788" xr:uid="{C93AF099-2F20-429C-87D1-73BB3650A2A3}"/>
    <cellStyle name="Note 2 6 4 2" xfId="1900" xr:uid="{00000000-0005-0000-0000-00009A070000}"/>
    <cellStyle name="Note 2 6 4 2 10" xfId="14571" xr:uid="{80C416F8-8402-43D5-9FFD-0C865550A7C0}"/>
    <cellStyle name="Note 2 6 4 2 10 2" xfId="37032" xr:uid="{9F0D794B-5C3D-4D74-AFB2-A68A318D7476}"/>
    <cellStyle name="Note 2 6 4 2 10 3" xfId="47553" xr:uid="{34846BD0-F11C-410B-AAA4-20F995D60350}"/>
    <cellStyle name="Note 2 6 4 2 11" xfId="14965" xr:uid="{6F05C36E-9304-457E-9F81-FFF33A9EEDD4}"/>
    <cellStyle name="Note 2 6 4 2 11 2" xfId="37416" xr:uid="{4026E2BC-CE7E-4578-AF49-192DF041857E}"/>
    <cellStyle name="Note 2 6 4 2 11 3" xfId="51590" xr:uid="{6A60AE87-94E6-4E88-BE17-FBDCD61851C3}"/>
    <cellStyle name="Note 2 6 4 2 12" xfId="14119" xr:uid="{87E57E09-E93D-49E5-82E0-07719516AD93}"/>
    <cellStyle name="Note 2 6 4 2 12 2" xfId="52005" xr:uid="{FFE0D2ED-E611-4747-86D9-DCB527ADE29C}"/>
    <cellStyle name="Note 2 6 4 2 13" xfId="43733" xr:uid="{69E7147D-B0E4-4712-BD84-73404733952F}"/>
    <cellStyle name="Note 2 6 4 2 2" xfId="3998" xr:uid="{00000000-0005-0000-0000-000098070000}"/>
    <cellStyle name="Note 2 6 4 2 2 2" xfId="10902" xr:uid="{6260DEAD-5FD6-400B-866C-1681864CFFE7}"/>
    <cellStyle name="Note 2 6 4 2 2 2 2" xfId="33388" xr:uid="{79616A16-B364-4A7B-9C59-106193236CB6}"/>
    <cellStyle name="Note 2 6 4 2 2 2 3" xfId="44607" xr:uid="{A1496691-3164-41DF-A2F1-8240A4BB8592}"/>
    <cellStyle name="Note 2 6 4 2 2 3" xfId="16022" xr:uid="{9B4959C2-CF73-4486-BB1C-D7A5835D91B3}"/>
    <cellStyle name="Note 2 6 4 2 2 3 2" xfId="38423" xr:uid="{A564FBC8-EDCE-4226-A130-D04874CAF728}"/>
    <cellStyle name="Note 2 6 4 2 2 3 3" xfId="47765" xr:uid="{886AF97E-6D2F-4CC0-A7E7-F2568B402EFD}"/>
    <cellStyle name="Note 2 6 4 2 2 4" xfId="19533" xr:uid="{F2B9EABB-7EEA-415A-9618-1F9F0B4C372E}"/>
    <cellStyle name="Note 2 6 4 2 2 4 2" xfId="25927" xr:uid="{6BEF8329-774C-4FC7-BF2E-9CC8120E2028}"/>
    <cellStyle name="Note 2 6 4 2 2 5" xfId="49024" xr:uid="{494123D0-D090-4A95-A77B-3C0AFBBC62EB}"/>
    <cellStyle name="Note 2 6 4 2 3" xfId="5372" xr:uid="{00000000-0005-0000-0000-000098070000}"/>
    <cellStyle name="Note 2 6 4 2 3 2" xfId="12264" xr:uid="{E596A081-5A81-4389-9F76-1AD149F7A6A5}"/>
    <cellStyle name="Note 2 6 4 2 3 2 2" xfId="34749" xr:uid="{40D858A7-0C7A-4FCA-A151-A788EF22E817}"/>
    <cellStyle name="Note 2 6 4 2 3 2 3" xfId="29146" xr:uid="{24A169EB-BC54-4B91-BB4E-679060B2AB4D}"/>
    <cellStyle name="Note 2 6 4 2 3 3" xfId="17309" xr:uid="{147AA9F4-B79D-4545-9412-F2BEF2EFD8A6}"/>
    <cellStyle name="Note 2 6 4 2 3 3 2" xfId="39699" xr:uid="{8B469D9E-1513-4BF9-837B-5136895FDA6D}"/>
    <cellStyle name="Note 2 6 4 2 3 3 3" xfId="30584" xr:uid="{A8F316FA-4F10-470D-9457-60AB4E265BF4}"/>
    <cellStyle name="Note 2 6 4 2 3 4" xfId="21733" xr:uid="{BEE94562-70BD-44C4-AE81-DB551AE401AE}"/>
    <cellStyle name="Note 2 6 4 2 3 4 2" xfId="52605" xr:uid="{078EBB3E-59E1-4E2C-A88F-4C828E624285}"/>
    <cellStyle name="Note 2 6 4 2 3 5" xfId="53596" xr:uid="{97FD8321-F335-4385-8EAD-7636B4E89771}"/>
    <cellStyle name="Note 2 6 4 2 4" xfId="5787" xr:uid="{00000000-0005-0000-0000-000098070000}"/>
    <cellStyle name="Note 2 6 4 2 4 2" xfId="12670" xr:uid="{363BA60C-B61D-4BF5-8764-EEDF8ECC95B1}"/>
    <cellStyle name="Note 2 6 4 2 4 2 2" xfId="35155" xr:uid="{10D7AD37-30DA-4064-912C-D37E04524E21}"/>
    <cellStyle name="Note 2 6 4 2 4 2 3" xfId="42999" xr:uid="{8848C486-B830-484F-B7C1-C4CBBD788815}"/>
    <cellStyle name="Note 2 6 4 2 4 3" xfId="17724" xr:uid="{19B8B75E-6672-4D4C-998B-D7C8E2A89DFE}"/>
    <cellStyle name="Note 2 6 4 2 4 3 2" xfId="40114" xr:uid="{47D74C63-CAE3-4548-9A8E-6CCA77AA5DC8}"/>
    <cellStyle name="Note 2 6 4 2 4 3 3" xfId="32523" xr:uid="{275F4E91-0F58-4F36-BC55-6F463C06A1C5}"/>
    <cellStyle name="Note 2 6 4 2 4 4" xfId="22148" xr:uid="{74367E60-9E9E-435A-B808-A92E4C71C1EA}"/>
    <cellStyle name="Note 2 6 4 2 4 4 2" xfId="46916" xr:uid="{AE1CC6AE-E45D-40D1-88D0-031030859056}"/>
    <cellStyle name="Note 2 6 4 2 4 5" xfId="46449" xr:uid="{6735C3FA-B308-4C5D-B0F5-E8815BEE3A1E}"/>
    <cellStyle name="Note 2 6 4 2 5" xfId="6132" xr:uid="{00000000-0005-0000-0000-000098070000}"/>
    <cellStyle name="Note 2 6 4 2 5 2" xfId="13009" xr:uid="{63C08AC5-898C-4582-940C-8EC927AEEBB1}"/>
    <cellStyle name="Note 2 6 4 2 5 2 2" xfId="35493" xr:uid="{9CCF7D9A-51E7-4580-AE90-050CE2086C94}"/>
    <cellStyle name="Note 2 6 4 2 5 2 3" xfId="24713" xr:uid="{318E1B7B-0B78-4327-9A1E-776A6030FD76}"/>
    <cellStyle name="Note 2 6 4 2 5 3" xfId="18069" xr:uid="{1ADB7159-1B38-4BC9-8F90-679B80312383}"/>
    <cellStyle name="Note 2 6 4 2 5 3 2" xfId="40459" xr:uid="{A6C43390-8268-43D0-B391-BC462073FA5F}"/>
    <cellStyle name="Note 2 6 4 2 5 3 3" xfId="44062" xr:uid="{33F93A8D-D07B-4258-890B-2DC3326182D8}"/>
    <cellStyle name="Note 2 6 4 2 5 4" xfId="22493" xr:uid="{477C02CC-1D12-4617-A462-5E6BB5A62702}"/>
    <cellStyle name="Note 2 6 4 2 5 4 2" xfId="48356" xr:uid="{40C66381-C91E-4561-93A7-32F073698FA3}"/>
    <cellStyle name="Note 2 6 4 2 5 5" xfId="52024" xr:uid="{0D365EB8-B72F-4D45-B482-20053571D72C}"/>
    <cellStyle name="Note 2 6 4 2 6" xfId="6505" xr:uid="{00000000-0005-0000-0000-000098070000}"/>
    <cellStyle name="Note 2 6 4 2 6 2" xfId="13374" xr:uid="{72BBD50A-A2D3-41EE-B664-5FC99BAC5174}"/>
    <cellStyle name="Note 2 6 4 2 6 2 2" xfId="35858" xr:uid="{8A83D926-E042-4D54-8D18-DA651EEBE185}"/>
    <cellStyle name="Note 2 6 4 2 6 2 3" xfId="46492" xr:uid="{F41E4D02-9448-4D12-A69E-EA8C4246B4DD}"/>
    <cellStyle name="Note 2 6 4 2 6 3" xfId="18442" xr:uid="{F6FD4F00-308A-49F9-83FA-51CF0286A346}"/>
    <cellStyle name="Note 2 6 4 2 6 3 2" xfId="40832" xr:uid="{1F9E20E4-5801-4AC2-98E1-47C4B108E249}"/>
    <cellStyle name="Note 2 6 4 2 6 3 3" xfId="44726" xr:uid="{519CDC8D-C5C1-499B-B3A4-77D4F4C83BBC}"/>
    <cellStyle name="Note 2 6 4 2 6 4" xfId="22866" xr:uid="{200AF44D-9E1B-4338-AAD8-7A3CC7917918}"/>
    <cellStyle name="Note 2 6 4 2 6 4 2" xfId="50117" xr:uid="{05607FE3-C9D3-4149-A38F-1988EA2CE101}"/>
    <cellStyle name="Note 2 6 4 2 6 5" xfId="51359" xr:uid="{AE467F97-C436-4AB2-B447-96BF99DB74B5}"/>
    <cellStyle name="Note 2 6 4 2 7" xfId="5547" xr:uid="{00000000-0005-0000-0000-000098070000}"/>
    <cellStyle name="Note 2 6 4 2 7 2" xfId="12435" xr:uid="{5EC51943-F666-4CE0-8C80-C6F8A2A3C4DC}"/>
    <cellStyle name="Note 2 6 4 2 7 2 2" xfId="34920" xr:uid="{0F7E510C-2DE9-447D-993C-075D9E027F03}"/>
    <cellStyle name="Note 2 6 4 2 7 2 3" xfId="27783" xr:uid="{DD99A859-42CA-41DB-8342-C4D7DB12878C}"/>
    <cellStyle name="Note 2 6 4 2 7 3" xfId="17484" xr:uid="{D6D35074-E633-46F1-AE99-69E9C80F7D25}"/>
    <cellStyle name="Note 2 6 4 2 7 3 2" xfId="39874" xr:uid="{C40EFEDA-C555-485B-B772-111E56910E32}"/>
    <cellStyle name="Note 2 6 4 2 7 3 3" xfId="30495" xr:uid="{41B17CE7-68C2-4A6D-8968-9486B2ACD880}"/>
    <cellStyle name="Note 2 6 4 2 7 4" xfId="21908" xr:uid="{A6441642-F132-48B9-B8CB-7E3989B5E043}"/>
    <cellStyle name="Note 2 6 4 2 7 4 2" xfId="45970" xr:uid="{24612FEC-6CAB-4DDF-A5E8-0708971B8E60}"/>
    <cellStyle name="Note 2 6 4 2 7 5" xfId="50040" xr:uid="{4087D6B1-A3F1-41FC-84C9-A15221CEA3FE}"/>
    <cellStyle name="Note 2 6 4 2 8" xfId="6989" xr:uid="{00000000-0005-0000-0000-000098070000}"/>
    <cellStyle name="Note 2 6 4 2 8 2" xfId="13826" xr:uid="{16FCD0ED-850D-42F1-ADEA-48F348AA60C2}"/>
    <cellStyle name="Note 2 6 4 2 8 2 2" xfId="36310" xr:uid="{20F104B1-F2D8-43AA-9C5C-D93E689DD8C2}"/>
    <cellStyle name="Note 2 6 4 2 8 2 3" xfId="23650" xr:uid="{40688740-FE94-465B-AD55-34BD949C37EF}"/>
    <cellStyle name="Note 2 6 4 2 8 3" xfId="18926" xr:uid="{972A8672-925A-4A0E-A0B3-36C32ED471F9}"/>
    <cellStyle name="Note 2 6 4 2 8 3 2" xfId="41316" xr:uid="{B0C8BB23-9BEC-4037-8835-F66B6AEDA195}"/>
    <cellStyle name="Note 2 6 4 2 8 3 3" xfId="29356" xr:uid="{8C84ACEF-8730-432A-895A-455B402C95CC}"/>
    <cellStyle name="Note 2 6 4 2 8 4" xfId="23350" xr:uid="{F8B727DA-5CFD-45B4-B09E-DC19F9B3A870}"/>
    <cellStyle name="Note 2 6 4 2 8 4 2" xfId="48718" xr:uid="{79503B4D-191A-43C0-97BC-EDD5463674E3}"/>
    <cellStyle name="Note 2 6 4 2 8 5" xfId="27925" xr:uid="{90138F25-BDBD-4BFB-9584-8D76D884F5C5}"/>
    <cellStyle name="Note 2 6 4 2 9" xfId="7127" xr:uid="{00000000-0005-0000-0000-000098070000}"/>
    <cellStyle name="Note 2 6 4 2 9 2" xfId="19064" xr:uid="{4A0427AC-A744-4ED1-ADAA-DC6914E86649}"/>
    <cellStyle name="Note 2 6 4 2 9 2 2" xfId="41454" xr:uid="{6095F207-9943-4A72-8968-07575F8C3AB3}"/>
    <cellStyle name="Note 2 6 4 2 9 2 3" xfId="28248" xr:uid="{4D88FAC6-09CF-4DA8-808F-25E0A5DC72CC}"/>
    <cellStyle name="Note 2 6 4 2 9 3" xfId="23488" xr:uid="{4659B127-EF76-46AB-9674-8D06C07AAB03}"/>
    <cellStyle name="Note 2 6 4 2 9 3 2" xfId="47044" xr:uid="{5545C6AB-1343-4868-92EA-9F595A02FE3D}"/>
    <cellStyle name="Note 2 6 4 2 9 4" xfId="46779" xr:uid="{674FC26D-5231-4B67-81CC-CF5684FFBC0A}"/>
    <cellStyle name="Note 2 6 4 3" xfId="4785" xr:uid="{00000000-0005-0000-0000-000097070000}"/>
    <cellStyle name="Note 2 6 4 3 2" xfId="11682" xr:uid="{01213376-638C-481E-91D7-966BDF824E8D}"/>
    <cellStyle name="Note 2 6 4 3 2 2" xfId="34168" xr:uid="{B9F6148F-C545-4E25-83E0-7D2B3332D8D8}"/>
    <cellStyle name="Note 2 6 4 3 2 3" xfId="43862" xr:uid="{B3DD4486-9CFF-4181-BE07-A1B141796FA8}"/>
    <cellStyle name="Note 2 6 4 3 3" xfId="16722" xr:uid="{637C33E4-4798-4926-BA97-BB6C8750326D}"/>
    <cellStyle name="Note 2 6 4 3 3 2" xfId="39112" xr:uid="{86A23245-C14E-4B44-9F1D-E7F727167B1A}"/>
    <cellStyle name="Note 2 6 4 3 3 3" xfId="28849" xr:uid="{AED9C13B-30EE-4B8E-8BD5-9E723946F8CB}"/>
    <cellStyle name="Note 2 6 4 3 4" xfId="19442" xr:uid="{806AD152-3558-4B51-8A8D-383AF4FFD4E4}"/>
    <cellStyle name="Note 2 6 4 3 4 2" xfId="35962" xr:uid="{976E86A1-E4A3-4302-A583-7EDF0EA385F4}"/>
    <cellStyle name="Note 2 6 4 3 5" xfId="28769" xr:uid="{5CA95080-1481-47F8-AA55-A747A395037D}"/>
    <cellStyle name="Note 2 6 4 4" xfId="2286" xr:uid="{00000000-0005-0000-0000-000097070000}"/>
    <cellStyle name="Note 2 6 4 4 2" xfId="9197" xr:uid="{2729E30A-5918-43C5-8488-C524122727B3}"/>
    <cellStyle name="Note 2 6 4 4 2 2" xfId="31772" xr:uid="{3FB7678F-BA3F-4D63-A3F0-F21CA4875D86}"/>
    <cellStyle name="Note 2 6 4 4 2 3" xfId="47255" xr:uid="{A52CA3E3-E527-4B39-857D-CF834E539DBB}"/>
    <cellStyle name="Note 2 6 4 4 3" xfId="14853" xr:uid="{4A767BA6-44D4-4E2D-85FA-553D12C22EF1}"/>
    <cellStyle name="Note 2 6 4 4 3 2" xfId="37307" xr:uid="{89453688-A79B-44DF-935C-C2D272CFE867}"/>
    <cellStyle name="Note 2 6 4 4 3 3" xfId="46035" xr:uid="{2D76EDAA-1B87-46C9-B014-EBC1F11244D6}"/>
    <cellStyle name="Note 2 6 4 4 4" xfId="19995" xr:uid="{A2DAB2CE-3564-450F-87B0-A28B15C7A8AA}"/>
    <cellStyle name="Note 2 6 4 4 4 2" xfId="28299" xr:uid="{3B550B1B-041A-4E03-B926-29F084E45B2E}"/>
    <cellStyle name="Note 2 6 4 4 5" xfId="49454" xr:uid="{53F08F81-2953-4FC3-B80D-4E8BBA652301}"/>
    <cellStyle name="Note 2 6 4 5" xfId="4470" xr:uid="{00000000-0005-0000-0000-000097070000}"/>
    <cellStyle name="Note 2 6 4 5 2" xfId="11372" xr:uid="{3DB80A21-8CFB-40AE-95C7-15075B2B9CE1}"/>
    <cellStyle name="Note 2 6 4 5 2 2" xfId="33858" xr:uid="{FCCE9BC6-CBD8-4CF7-9A9C-CF19C37C60AD}"/>
    <cellStyle name="Note 2 6 4 5 2 3" xfId="26632" xr:uid="{BC85CC22-D575-42FC-8FE5-30DFE1AB97C1}"/>
    <cellStyle name="Note 2 6 4 5 3" xfId="16407" xr:uid="{5F58B7A9-6F36-4272-906E-3D6C79980C6F}"/>
    <cellStyle name="Note 2 6 4 5 3 2" xfId="38797" xr:uid="{51BCB0AD-AD3E-4C90-B197-4D919E40438D}"/>
    <cellStyle name="Note 2 6 4 5 3 3" xfId="29594" xr:uid="{14C60B89-29D1-417F-AA16-CEE938CB4C87}"/>
    <cellStyle name="Note 2 6 4 5 4" xfId="8951" xr:uid="{1D40ADD3-1E81-45E1-BC02-0348821B9803}"/>
    <cellStyle name="Note 2 6 4 5 4 2" xfId="53173" xr:uid="{C1841B7B-2469-4854-9A79-ABA3E4E6667A}"/>
    <cellStyle name="Note 2 6 4 5 5" xfId="48255" xr:uid="{00196114-B4C6-4B8E-AEA9-D331F1F73FF6}"/>
    <cellStyle name="Note 2 6 4 6" xfId="5353" xr:uid="{00000000-0005-0000-0000-000097070000}"/>
    <cellStyle name="Note 2 6 4 6 2" xfId="12245" xr:uid="{775F704D-53BC-4649-BDD1-D57B4BEE355E}"/>
    <cellStyle name="Note 2 6 4 6 2 2" xfId="34730" xr:uid="{336F2A83-0225-4B28-913B-9FD02159AE02}"/>
    <cellStyle name="Note 2 6 4 6 2 3" xfId="43383" xr:uid="{BE81FA70-6A21-43C7-B829-8B57175720CD}"/>
    <cellStyle name="Note 2 6 4 6 3" xfId="17290" xr:uid="{94A0E97B-E7D2-449F-8C0E-907472559763}"/>
    <cellStyle name="Note 2 6 4 6 3 2" xfId="39680" xr:uid="{EA6546EE-1383-449E-8B66-C2BA0C9BE453}"/>
    <cellStyle name="Note 2 6 4 6 3 3" xfId="27874" xr:uid="{BD933BCB-AA40-4EC9-81E6-717B1ED4B49F}"/>
    <cellStyle name="Note 2 6 4 6 4" xfId="21714" xr:uid="{EFD588AC-83D1-4FA4-9B43-71EE853EC452}"/>
    <cellStyle name="Note 2 6 4 6 4 2" xfId="24105" xr:uid="{39668E22-57CA-4E7B-A70F-7D1A93E030B5}"/>
    <cellStyle name="Note 2 6 4 6 5" xfId="47748" xr:uid="{8159F720-C6AB-4297-AF0B-75CFF35EF190}"/>
    <cellStyle name="Note 2 6 4 7" xfId="13115" xr:uid="{DAF03D60-AED2-4B3A-9838-85605ED961F3}"/>
    <cellStyle name="Note 2 6 4 7 2" xfId="35599" xr:uid="{86F63610-4221-4A53-B4DC-F1C466FDF19D}"/>
    <cellStyle name="Note 2 6 4 7 3" xfId="28464" xr:uid="{8DA472EB-2A90-4DFC-8D69-559899327DEB}"/>
    <cellStyle name="Note 2 6 4 8" xfId="20297" xr:uid="{CB7545C3-C59C-44F1-8B5B-15623E6331EB}"/>
    <cellStyle name="Note 2 6 4 8 2" xfId="42596" xr:uid="{B9D15F8D-CCC9-4EB0-8F09-5AEC4304C71C}"/>
    <cellStyle name="Note 2 6 4 8 3" xfId="46458" xr:uid="{17BCF7D5-E476-443C-B8F7-8E08C960F03F}"/>
    <cellStyle name="Note 2 6 4 9" xfId="20779" xr:uid="{CF05E922-DD84-454D-BE51-BF9D38ABA542}"/>
    <cellStyle name="Note 2 6 4 9 2" xfId="52189" xr:uid="{4F1B86C2-7230-4FE7-9F86-BB9439934850}"/>
    <cellStyle name="Note 2 6 5" xfId="1194" xr:uid="{00000000-0005-0000-0000-00009B070000}"/>
    <cellStyle name="Note 2 6 5 10" xfId="45561" xr:uid="{ED1950EF-5A73-420F-B2C8-7589107CE9BC}"/>
    <cellStyle name="Note 2 6 5 2" xfId="1995" xr:uid="{00000000-0005-0000-0000-00009C070000}"/>
    <cellStyle name="Note 2 6 5 2 10" xfId="14643" xr:uid="{A418264E-94A2-4E69-BAC4-C9E9CECFEAA6}"/>
    <cellStyle name="Note 2 6 5 2 10 2" xfId="37103" xr:uid="{79360D62-2A87-4085-AFDF-3894328BEA41}"/>
    <cellStyle name="Note 2 6 5 2 10 3" xfId="50353" xr:uid="{E8CEA2E9-6325-4D87-A61F-2FE592FE9088}"/>
    <cellStyle name="Note 2 6 5 2 11" xfId="20283" xr:uid="{4EE96221-1EC4-4D8B-BFD2-B60BFD2E061E}"/>
    <cellStyle name="Note 2 6 5 2 11 2" xfId="42583" xr:uid="{9A83FB06-6B90-48EC-ADBF-CCF033511B44}"/>
    <cellStyle name="Note 2 6 5 2 11 3" xfId="51747" xr:uid="{012D00B6-5501-4A63-A085-4406F6AC1D0E}"/>
    <cellStyle name="Note 2 6 5 2 12" xfId="7366" xr:uid="{0D0FB451-49B3-4162-8E38-8914036A2996}"/>
    <cellStyle name="Note 2 6 5 2 12 2" xfId="45691" xr:uid="{F1ACF704-86C6-48FC-ACAE-123F8D919F13}"/>
    <cellStyle name="Note 2 6 5 2 13" xfId="31924" xr:uid="{F2F2701E-4619-4AD3-8703-9D1C16E65386}"/>
    <cellStyle name="Note 2 6 5 2 2" xfId="4091" xr:uid="{00000000-0005-0000-0000-00009A070000}"/>
    <cellStyle name="Note 2 6 5 2 2 2" xfId="10995" xr:uid="{8AB4AB21-4F41-47C7-82C8-78A89D365072}"/>
    <cellStyle name="Note 2 6 5 2 2 2 2" xfId="33481" xr:uid="{4C418D72-AA7D-4143-A12F-C085652CCBC6}"/>
    <cellStyle name="Note 2 6 5 2 2 2 3" xfId="47129" xr:uid="{A7672906-1C7A-4AB4-8A38-EBF3F918E03D}"/>
    <cellStyle name="Note 2 6 5 2 2 3" xfId="16095" xr:uid="{1FA61001-7201-4D31-A822-F2238BD8DD3E}"/>
    <cellStyle name="Note 2 6 5 2 2 3 2" xfId="38495" xr:uid="{A3201F12-DDC3-4AD2-880A-CBE02F762C35}"/>
    <cellStyle name="Note 2 6 5 2 2 3 3" xfId="26045" xr:uid="{E1D273F0-FEA1-432A-97AA-88C1615AD435}"/>
    <cellStyle name="Note 2 6 5 2 2 4" xfId="20788" xr:uid="{21971082-1650-4089-91BA-34892718DF76}"/>
    <cellStyle name="Note 2 6 5 2 2 4 2" xfId="31861" xr:uid="{B5BC149C-1FC8-4D48-A70D-5CED17E16681}"/>
    <cellStyle name="Note 2 6 5 2 2 5" xfId="37008" xr:uid="{53ADB659-5EA8-4A22-ABCD-DAFC243E0FC5}"/>
    <cellStyle name="Note 2 6 5 2 3" xfId="5436" xr:uid="{00000000-0005-0000-0000-00009A070000}"/>
    <cellStyle name="Note 2 6 5 2 3 2" xfId="12326" xr:uid="{92E1F87B-EAB7-4C62-95C6-8173422F54F5}"/>
    <cellStyle name="Note 2 6 5 2 3 2 2" xfId="34811" xr:uid="{91B6D5F1-011B-443A-8DC7-FD8BC9750D6D}"/>
    <cellStyle name="Note 2 6 5 2 3 2 3" xfId="28080" xr:uid="{D9C18469-34B1-4FBC-98B2-DEFE11685308}"/>
    <cellStyle name="Note 2 6 5 2 3 3" xfId="17373" xr:uid="{F501FADE-B4FC-49E6-89E0-35C002E61F2A}"/>
    <cellStyle name="Note 2 6 5 2 3 3 2" xfId="39763" xr:uid="{07D5DE79-D8D7-48A5-B38A-78E418093ED3}"/>
    <cellStyle name="Note 2 6 5 2 3 3 3" xfId="45162" xr:uid="{31B9901B-BFC7-474E-9E7B-0D6CD4F8A3DF}"/>
    <cellStyle name="Note 2 6 5 2 3 4" xfId="21797" xr:uid="{C0023FCC-53C2-4A4F-9EFA-43CDF9D91D0E}"/>
    <cellStyle name="Note 2 6 5 2 3 4 2" xfId="49658" xr:uid="{8E440A94-B6E4-495B-95A1-EA33F6270DC4}"/>
    <cellStyle name="Note 2 6 5 2 3 5" xfId="23691" xr:uid="{F32AF695-0940-4F51-AD54-CE447BD7573C}"/>
    <cellStyle name="Note 2 6 5 2 4" xfId="5859" xr:uid="{00000000-0005-0000-0000-00009A070000}"/>
    <cellStyle name="Note 2 6 5 2 4 2" xfId="12741" xr:uid="{3F86B0A4-86B5-4E03-AF1D-669CD486E6E2}"/>
    <cellStyle name="Note 2 6 5 2 4 2 2" xfId="35225" xr:uid="{890067B8-179D-428B-B465-43F62824B081}"/>
    <cellStyle name="Note 2 6 5 2 4 2 3" xfId="45655" xr:uid="{4C0BD4A8-DF30-4E9F-B992-363825190CD2}"/>
    <cellStyle name="Note 2 6 5 2 4 3" xfId="17796" xr:uid="{14C1C4B3-701E-4DCA-BA3E-684BFA8C2D1D}"/>
    <cellStyle name="Note 2 6 5 2 4 3 2" xfId="40186" xr:uid="{BD669D18-3FB8-49DD-8D1E-A4EC4662034C}"/>
    <cellStyle name="Note 2 6 5 2 4 3 3" xfId="30438" xr:uid="{486766F4-6358-45DF-9EE9-9F2EB970090D}"/>
    <cellStyle name="Note 2 6 5 2 4 4" xfId="22220" xr:uid="{FEB28F55-D608-488A-8BAF-95A92F1A0D28}"/>
    <cellStyle name="Note 2 6 5 2 4 4 2" xfId="53980" xr:uid="{198987CE-5672-4D84-8D87-E657D39D1148}"/>
    <cellStyle name="Note 2 6 5 2 4 5" xfId="50323" xr:uid="{9119E23B-7D0F-453F-B215-1C1EDAAD5885}"/>
    <cellStyle name="Note 2 6 5 2 5" xfId="6197" xr:uid="{00000000-0005-0000-0000-00009A070000}"/>
    <cellStyle name="Note 2 6 5 2 5 2" xfId="13072" xr:uid="{F810C9BE-46FA-4822-8A91-E00B3C90A230}"/>
    <cellStyle name="Note 2 6 5 2 5 2 2" xfId="35556" xr:uid="{EF7DE38D-B5A5-49B4-B643-D77134B30A5D}"/>
    <cellStyle name="Note 2 6 5 2 5 2 3" xfId="26241" xr:uid="{797A9B54-F861-455A-AF9A-D58F8F45A65C}"/>
    <cellStyle name="Note 2 6 5 2 5 3" xfId="18134" xr:uid="{CE9881E9-E08B-479D-9F0D-F70DD542BA6B}"/>
    <cellStyle name="Note 2 6 5 2 5 3 2" xfId="40524" xr:uid="{C68E62DB-F427-4117-8D25-6F533A56D53C}"/>
    <cellStyle name="Note 2 6 5 2 5 3 3" xfId="27278" xr:uid="{10058D6C-0FEF-49A7-B405-3EF30478175F}"/>
    <cellStyle name="Note 2 6 5 2 5 4" xfId="22558" xr:uid="{CD049B24-37DA-48BC-9A40-60C65E582224}"/>
    <cellStyle name="Note 2 6 5 2 5 4 2" xfId="45237" xr:uid="{DEC68580-FE75-4CE3-BE6B-0A2B66693538}"/>
    <cellStyle name="Note 2 6 5 2 5 5" xfId="42077" xr:uid="{8D748D30-3BAC-4C08-964C-4B04B80936D6}"/>
    <cellStyle name="Note 2 6 5 2 6" xfId="6565" xr:uid="{00000000-0005-0000-0000-00009A070000}"/>
    <cellStyle name="Note 2 6 5 2 6 2" xfId="13431" xr:uid="{EE92BC62-E6AC-44EE-8F8D-9241052D3412}"/>
    <cellStyle name="Note 2 6 5 2 6 2 2" xfId="35915" xr:uid="{16E23F45-1A7F-4ABD-8BFE-932319A09465}"/>
    <cellStyle name="Note 2 6 5 2 6 2 3" xfId="52768" xr:uid="{B1BA3B8A-6A43-4BDF-8932-CD8E142C7726}"/>
    <cellStyle name="Note 2 6 5 2 6 3" xfId="18502" xr:uid="{BCF2F417-DD1B-4022-A4EC-3902C2671845}"/>
    <cellStyle name="Note 2 6 5 2 6 3 2" xfId="40892" xr:uid="{FC3AAC59-3F90-4687-AB1E-BDA6F1229F11}"/>
    <cellStyle name="Note 2 6 5 2 6 3 3" xfId="44297" xr:uid="{6C550A7D-21DF-463A-B309-50BDEE570245}"/>
    <cellStyle name="Note 2 6 5 2 6 4" xfId="22926" xr:uid="{5D0D2900-F78D-4726-86BB-90005238F7E6}"/>
    <cellStyle name="Note 2 6 5 2 6 4 2" xfId="46857" xr:uid="{3660E165-B4BF-4368-9DF2-19463E2DD487}"/>
    <cellStyle name="Note 2 6 5 2 6 5" xfId="48142" xr:uid="{C7628A44-D4B4-40A1-B451-27D34E476FC2}"/>
    <cellStyle name="Note 2 6 5 2 7" xfId="6708" xr:uid="{00000000-0005-0000-0000-00009A070000}"/>
    <cellStyle name="Note 2 6 5 2 7 2" xfId="13571" xr:uid="{1076BF0D-437A-4A1B-810F-A0D667AA885B}"/>
    <cellStyle name="Note 2 6 5 2 7 2 2" xfId="36055" xr:uid="{DA43F9C4-22AF-4989-A024-D7776ECB34FF}"/>
    <cellStyle name="Note 2 6 5 2 7 2 3" xfId="43360" xr:uid="{664776D3-76AC-4E32-9703-893226E39290}"/>
    <cellStyle name="Note 2 6 5 2 7 3" xfId="18645" xr:uid="{58381D65-14AF-4A38-8964-7C1D1F4EB2BF}"/>
    <cellStyle name="Note 2 6 5 2 7 3 2" xfId="41035" xr:uid="{CAFAF439-207D-4CD3-9C5D-0D8F4C5630A0}"/>
    <cellStyle name="Note 2 6 5 2 7 3 3" xfId="45216" xr:uid="{302A6F77-B276-4720-8D98-6A90D295CECE}"/>
    <cellStyle name="Note 2 6 5 2 7 4" xfId="23069" xr:uid="{A33F1FA5-E374-40A2-A06F-1CDFBAAC6CE3}"/>
    <cellStyle name="Note 2 6 5 2 7 4 2" xfId="53555" xr:uid="{F63B8E27-B3F7-4B42-9F4D-7168F17293FC}"/>
    <cellStyle name="Note 2 6 5 2 7 5" xfId="51686" xr:uid="{437AD7D0-0C38-4ECE-80B0-666898E870F5}"/>
    <cellStyle name="Note 2 6 5 2 8" xfId="7035" xr:uid="{00000000-0005-0000-0000-00009A070000}"/>
    <cellStyle name="Note 2 6 5 2 8 2" xfId="13871" xr:uid="{0C6A4A08-2A6D-4CF6-A11F-3D20300A8D36}"/>
    <cellStyle name="Note 2 6 5 2 8 2 2" xfId="36355" xr:uid="{2E8FC8BD-61CC-493A-B12D-B5FE672A3BCD}"/>
    <cellStyle name="Note 2 6 5 2 8 2 3" xfId="47215" xr:uid="{3A94D49E-BC81-476A-B321-16F0C7F0466E}"/>
    <cellStyle name="Note 2 6 5 2 8 3" xfId="18972" xr:uid="{DAEF5739-107B-45BD-99D3-2A07450E2763}"/>
    <cellStyle name="Note 2 6 5 2 8 3 2" xfId="41362" xr:uid="{12167E4D-71D4-4704-9913-8CF9A525BA4E}"/>
    <cellStyle name="Note 2 6 5 2 8 3 3" xfId="27858" xr:uid="{9A591285-0483-43F3-9784-8B245669B72C}"/>
    <cellStyle name="Note 2 6 5 2 8 4" xfId="23396" xr:uid="{177B5E3B-22DB-44C8-9083-CFBB6991C109}"/>
    <cellStyle name="Note 2 6 5 2 8 4 2" xfId="52219" xr:uid="{D6B8D895-1739-4037-ABE7-BB591E23DA51}"/>
    <cellStyle name="Note 2 6 5 2 8 5" xfId="47626" xr:uid="{7EE6963B-3483-48AF-96B3-7395B0291CE2}"/>
    <cellStyle name="Note 2 6 5 2 9" xfId="7150" xr:uid="{00000000-0005-0000-0000-00009A070000}"/>
    <cellStyle name="Note 2 6 5 2 9 2" xfId="19087" xr:uid="{A9E4F88D-0D39-4FB6-A13B-A4B5613E74AF}"/>
    <cellStyle name="Note 2 6 5 2 9 2 2" xfId="41477" xr:uid="{920F828D-5162-4530-92A1-061E3160147D}"/>
    <cellStyle name="Note 2 6 5 2 9 2 3" xfId="45668" xr:uid="{A192AB6C-C8FF-4677-950E-C6AB025BC1D2}"/>
    <cellStyle name="Note 2 6 5 2 9 3" xfId="23511" xr:uid="{CAB5997F-D86B-4CD4-BDC7-01544C538D86}"/>
    <cellStyle name="Note 2 6 5 2 9 3 2" xfId="50955" xr:uid="{DBE6D0FD-BAFE-4A26-A55E-5FB526940CFF}"/>
    <cellStyle name="Note 2 6 5 2 9 4" xfId="49803" xr:uid="{26B68650-4BD5-4F68-B898-A8C626CFCBC6}"/>
    <cellStyle name="Note 2 6 5 3" xfId="4896" xr:uid="{00000000-0005-0000-0000-000099070000}"/>
    <cellStyle name="Note 2 6 5 3 2" xfId="11791" xr:uid="{841A2131-643B-43EC-8592-79343EFDB3D1}"/>
    <cellStyle name="Note 2 6 5 3 2 2" xfId="34277" xr:uid="{C27E0610-85D3-4283-B25A-44FA79C561E0}"/>
    <cellStyle name="Note 2 6 5 3 2 3" xfId="28168" xr:uid="{9A64BC76-FFE2-4015-9EF3-9DED8AAAE5AC}"/>
    <cellStyle name="Note 2 6 5 3 3" xfId="16833" xr:uid="{D72DCC2E-8B70-4A44-B775-5588814AC140}"/>
    <cellStyle name="Note 2 6 5 3 3 2" xfId="39223" xr:uid="{68590C4D-9B48-4172-8767-31E06AB185E0}"/>
    <cellStyle name="Note 2 6 5 3 3 3" xfId="34382" xr:uid="{D61A31F8-B53A-4B85-B1C3-7D723D3B3E2C}"/>
    <cellStyle name="Note 2 6 5 3 4" xfId="19814" xr:uid="{05FEB1D2-85E7-4E6F-B6A1-30B5917EE262}"/>
    <cellStyle name="Note 2 6 5 3 4 2" xfId="43024" xr:uid="{D5E33BDB-265F-4DA9-8AEB-ED88A03321C9}"/>
    <cellStyle name="Note 2 6 5 3 5" xfId="29234" xr:uid="{A521B537-35B9-4682-B1CB-955E7433E4F3}"/>
    <cellStyle name="Note 2 6 5 4" xfId="2356" xr:uid="{00000000-0005-0000-0000-000099070000}"/>
    <cellStyle name="Note 2 6 5 4 2" xfId="9265" xr:uid="{EBC05F64-FEF7-44D3-A99B-C2D0601A20E3}"/>
    <cellStyle name="Note 2 6 5 4 2 2" xfId="31840" xr:uid="{9003F33C-87D0-48E5-980E-A1B930EB973C}"/>
    <cellStyle name="Note 2 6 5 4 2 3" xfId="53972" xr:uid="{3A20E85C-35D2-4776-A138-147FA6A073FC}"/>
    <cellStyle name="Note 2 6 5 4 3" xfId="14911" xr:uid="{60F8039C-4004-484A-8A57-92A5B2C60812}"/>
    <cellStyle name="Note 2 6 5 4 3 2" xfId="37365" xr:uid="{954B5381-DD67-445E-A645-9943EF3DDA81}"/>
    <cellStyle name="Note 2 6 5 4 3 3" xfId="25396" xr:uid="{E79DE4AA-A3FF-42FD-BFC5-4A3942FF858F}"/>
    <cellStyle name="Note 2 6 5 4 4" xfId="20152" xr:uid="{10D6406E-25ED-4BF3-8A2F-5A6F0CBF28BD}"/>
    <cellStyle name="Note 2 6 5 4 4 2" xfId="29222" xr:uid="{C665F2D6-8EA6-4B47-9406-226CD5E62FBD}"/>
    <cellStyle name="Note 2 6 5 4 5" xfId="47849" xr:uid="{6540CF4F-F33F-4680-A307-E32F3CC1BC92}"/>
    <cellStyle name="Note 2 6 5 5" xfId="6371" xr:uid="{00000000-0005-0000-0000-000099070000}"/>
    <cellStyle name="Note 2 6 5 5 2" xfId="13243" xr:uid="{EE1507C0-612F-4B9F-9416-82E13F44C122}"/>
    <cellStyle name="Note 2 6 5 5 2 2" xfId="35727" xr:uid="{968B36F6-480B-4F3A-82E6-49B7C957FE66}"/>
    <cellStyle name="Note 2 6 5 5 2 3" xfId="27630" xr:uid="{8001D335-68EA-422B-94D5-750BC62E23DC}"/>
    <cellStyle name="Note 2 6 5 5 3" xfId="18308" xr:uid="{4CFA7532-D8B6-4DE5-8E13-CA6F0EFE7FD5}"/>
    <cellStyle name="Note 2 6 5 5 3 2" xfId="40698" xr:uid="{9303D90E-0AEA-42AD-9F01-B84D3F2B4FB9}"/>
    <cellStyle name="Note 2 6 5 5 3 3" xfId="37490" xr:uid="{96293BBD-C115-4941-BF7F-A6FD9FDD2EFF}"/>
    <cellStyle name="Note 2 6 5 5 4" xfId="22732" xr:uid="{16B718CF-E3A7-4AD7-A487-4B692A0AA4B2}"/>
    <cellStyle name="Note 2 6 5 5 4 2" xfId="43052" xr:uid="{63B2190D-DBC1-4E26-8533-E483A5E36B98}"/>
    <cellStyle name="Note 2 6 5 5 5" xfId="24186" xr:uid="{7134647B-A90F-4897-9A97-3C0F38C1C8EE}"/>
    <cellStyle name="Note 2 6 5 6" xfId="5497" xr:uid="{00000000-0005-0000-0000-000099070000}"/>
    <cellStyle name="Note 2 6 5 6 2" xfId="12386" xr:uid="{33F24DFD-BD6B-4505-9DB1-DCC320855EFB}"/>
    <cellStyle name="Note 2 6 5 6 2 2" xfId="34871" xr:uid="{9E19A516-619A-4FB9-AF70-0A5B44B0D38C}"/>
    <cellStyle name="Note 2 6 5 6 2 3" xfId="29179" xr:uid="{E10F0C3F-B836-418C-9075-05D575F91FA6}"/>
    <cellStyle name="Note 2 6 5 6 3" xfId="17434" xr:uid="{A785B805-0029-4AE9-9B7A-1CE00EAF8BEA}"/>
    <cellStyle name="Note 2 6 5 6 3 2" xfId="39824" xr:uid="{4A497FFE-6CAD-4A5C-BF7C-D12D6DD3E5B1}"/>
    <cellStyle name="Note 2 6 5 6 3 3" xfId="24265" xr:uid="{A418F10C-2883-47D4-B8F0-DB8B7C75D346}"/>
    <cellStyle name="Note 2 6 5 6 4" xfId="21858" xr:uid="{EDB0BED0-7BA4-41C7-9484-BEFA251D57D8}"/>
    <cellStyle name="Note 2 6 5 6 4 2" xfId="29847" xr:uid="{7533D400-2E9D-4590-97C1-6E4BA6A4E07D}"/>
    <cellStyle name="Note 2 6 5 6 5" xfId="51408" xr:uid="{41EB05E8-E8EA-4A3A-8AB8-E087F4CF1ED5}"/>
    <cellStyle name="Note 2 6 5 7" xfId="14070" xr:uid="{88194D39-CC1C-4F46-A144-419392FEBF27}"/>
    <cellStyle name="Note 2 6 5 7 2" xfId="36548" xr:uid="{DD80468F-B808-46C6-9C30-0B9FEA0D5BF8}"/>
    <cellStyle name="Note 2 6 5 7 3" xfId="51365" xr:uid="{7854EFC4-FE78-4C0B-93A8-6D9D6E1E603A}"/>
    <cellStyle name="Note 2 6 5 8" xfId="20499" xr:uid="{9F75C139-B9CB-4D19-A8E3-C2FB327C40E5}"/>
    <cellStyle name="Note 2 6 5 8 2" xfId="42786" xr:uid="{682AF936-19EC-4AE3-872A-225E0A2DD220}"/>
    <cellStyle name="Note 2 6 5 8 3" xfId="49479" xr:uid="{32540C08-EA2D-44F6-9D89-C571D28CA8EA}"/>
    <cellStyle name="Note 2 6 5 9" xfId="19606" xr:uid="{D14381E7-8749-4CBA-9E5A-797EAF019C51}"/>
    <cellStyle name="Note 2 6 5 9 2" xfId="44926" xr:uid="{5227D421-01C8-440A-B5DD-00D6379143CA}"/>
    <cellStyle name="Note 2 6 6" xfId="1356" xr:uid="{00000000-0005-0000-0000-00009D070000}"/>
    <cellStyle name="Note 2 6 6 10" xfId="47091" xr:uid="{0550BF19-465F-471E-86CE-F80AA29535C4}"/>
    <cellStyle name="Note 2 6 6 2" xfId="2085" xr:uid="{00000000-0005-0000-0000-00009E070000}"/>
    <cellStyle name="Note 2 6 6 2 10" xfId="14715" xr:uid="{C3D92C36-C316-454D-AA1F-6E5C1E04D5A6}"/>
    <cellStyle name="Note 2 6 6 2 10 2" xfId="37173" xr:uid="{1F3F5D60-F3CE-4713-87F8-95F2C43C4EC8}"/>
    <cellStyle name="Note 2 6 6 2 10 3" xfId="48187" xr:uid="{572221A7-A44B-47C3-8F95-B0986F2156DD}"/>
    <cellStyle name="Note 2 6 6 2 11" xfId="20785" xr:uid="{6F235C08-B6D1-4E29-A90E-B51B5A499ABB}"/>
    <cellStyle name="Note 2 6 6 2 11 2" xfId="43053" xr:uid="{058E671F-1231-4067-AD3C-39BF1F549482}"/>
    <cellStyle name="Note 2 6 6 2 11 3" xfId="53146" xr:uid="{77F7B0D8-5BED-41E9-972D-A1710876AAA8}"/>
    <cellStyle name="Note 2 6 6 2 12" xfId="15845" xr:uid="{4CAB2004-7C62-4251-9EEA-5D56351D4BA3}"/>
    <cellStyle name="Note 2 6 6 2 12 2" xfId="51785" xr:uid="{3AB0176E-AB2D-4496-8952-01B644507C4F}"/>
    <cellStyle name="Note 2 6 6 2 13" xfId="49388" xr:uid="{F55621D0-6F80-4C62-8D39-2664F0C3CD2A}"/>
    <cellStyle name="Note 2 6 6 2 2" xfId="4180" xr:uid="{00000000-0005-0000-0000-00009C070000}"/>
    <cellStyle name="Note 2 6 6 2 2 2" xfId="11084" xr:uid="{C64EFCE6-6DB2-4920-9E98-A7B6C3A28450}"/>
    <cellStyle name="Note 2 6 6 2 2 2 2" xfId="33570" xr:uid="{F5FFC7B7-EEE7-4BAB-BFDF-3D46E25E1EAA}"/>
    <cellStyle name="Note 2 6 6 2 2 2 3" xfId="47796" xr:uid="{D7C4B7DE-BD18-4B9A-9F70-CD256D53FB06}"/>
    <cellStyle name="Note 2 6 6 2 2 3" xfId="16173" xr:uid="{12450E11-0120-4DCF-BB26-21F6619CF40E}"/>
    <cellStyle name="Note 2 6 6 2 2 3 2" xfId="38572" xr:uid="{D634C105-501C-4C99-AB57-54136F96B3FC}"/>
    <cellStyle name="Note 2 6 6 2 2 3 3" xfId="37797" xr:uid="{8636C475-6B53-4941-91C9-FE06090C31BD}"/>
    <cellStyle name="Note 2 6 6 2 2 4" xfId="15857" xr:uid="{1D3DF825-D8CA-4DA8-AA4C-237D13BAA0CF}"/>
    <cellStyle name="Note 2 6 6 2 2 4 2" xfId="53835" xr:uid="{23DEB372-F468-4263-B515-AD4483E32043}"/>
    <cellStyle name="Note 2 6 6 2 2 5" xfId="48900" xr:uid="{075C6C04-0874-4ED6-AA4A-BB4B029119DC}"/>
    <cellStyle name="Note 2 6 6 2 3" xfId="5506" xr:uid="{00000000-0005-0000-0000-00009C070000}"/>
    <cellStyle name="Note 2 6 6 2 3 2" xfId="12395" xr:uid="{52612CD4-FED7-444C-9D57-0A933428C4DE}"/>
    <cellStyle name="Note 2 6 6 2 3 2 2" xfId="34880" xr:uid="{EBE4F50B-AD3E-45FA-948D-7A30D4B975C6}"/>
    <cellStyle name="Note 2 6 6 2 3 2 3" xfId="44626" xr:uid="{B2D6E4FD-92EE-4DEF-9DCB-1A6F4DF8DEF0}"/>
    <cellStyle name="Note 2 6 6 2 3 3" xfId="17443" xr:uid="{96E5061D-5D0E-4BF3-9F73-C3C480D35D89}"/>
    <cellStyle name="Note 2 6 6 2 3 3 2" xfId="39833" xr:uid="{D2729812-1C40-492C-AEC1-56B01F6032F1}"/>
    <cellStyle name="Note 2 6 6 2 3 3 3" xfId="26691" xr:uid="{0A6CD5BE-434B-484B-A021-EDD4B197C4F5}"/>
    <cellStyle name="Note 2 6 6 2 3 4" xfId="21867" xr:uid="{10FCB4E6-C194-42DF-B3E0-0B97DABC25C4}"/>
    <cellStyle name="Note 2 6 6 2 3 4 2" xfId="51087" xr:uid="{E6AEC4B8-0A58-41FF-A82A-7C114B69CDB1}"/>
    <cellStyle name="Note 2 6 6 2 3 5" xfId="52621" xr:uid="{9AA5165A-67DF-4CC7-85DC-532B7AB41C51}"/>
    <cellStyle name="Note 2 6 6 2 4" xfId="5927" xr:uid="{00000000-0005-0000-0000-00009C070000}"/>
    <cellStyle name="Note 2 6 6 2 4 2" xfId="12808" xr:uid="{FB8515E7-7A5D-4771-9700-E201F602E42E}"/>
    <cellStyle name="Note 2 6 6 2 4 2 2" xfId="35292" xr:uid="{7A81438F-A30F-47D1-A712-F2E935BC8A77}"/>
    <cellStyle name="Note 2 6 6 2 4 2 3" xfId="50346" xr:uid="{4B0F36CA-AFD7-4927-B6B0-FF73A413593F}"/>
    <cellStyle name="Note 2 6 6 2 4 3" xfId="17864" xr:uid="{D43BB909-7678-4E0C-90FD-B735EB536549}"/>
    <cellStyle name="Note 2 6 6 2 4 3 2" xfId="40254" xr:uid="{8619DB9D-884F-4BF0-99C1-C815776070FC}"/>
    <cellStyle name="Note 2 6 6 2 4 3 3" xfId="43588" xr:uid="{05840284-53BE-4E3B-A324-A2DD43FBABF6}"/>
    <cellStyle name="Note 2 6 6 2 4 4" xfId="22288" xr:uid="{68A3B8D3-B035-4E51-9117-CEFA62856482}"/>
    <cellStyle name="Note 2 6 6 2 4 4 2" xfId="50693" xr:uid="{AFD32330-D954-4EEC-8063-D86E58C1F8CD}"/>
    <cellStyle name="Note 2 6 6 2 4 5" xfId="37702" xr:uid="{626B9A8F-1574-4F86-9A7B-256403D7187E}"/>
    <cellStyle name="Note 2 6 6 2 5" xfId="6267" xr:uid="{00000000-0005-0000-0000-00009C070000}"/>
    <cellStyle name="Note 2 6 6 2 5 2" xfId="13139" xr:uid="{0E297930-E703-49DC-997D-AE9A1C55BB2D}"/>
    <cellStyle name="Note 2 6 6 2 5 2 2" xfId="35623" xr:uid="{2D6A73D8-83DA-49D5-9213-6D3E1A95754D}"/>
    <cellStyle name="Note 2 6 6 2 5 2 3" xfId="47003" xr:uid="{C0DD4AC2-5F13-4616-9CD4-1CFA86FA5733}"/>
    <cellStyle name="Note 2 6 6 2 5 3" xfId="18204" xr:uid="{C8AFB838-5F4E-43AA-8572-02F3A49E5CF4}"/>
    <cellStyle name="Note 2 6 6 2 5 3 2" xfId="40594" xr:uid="{201C2399-3423-4BBE-AF61-29EEE669583C}"/>
    <cellStyle name="Note 2 6 6 2 5 3 3" xfId="32340" xr:uid="{2222C337-F990-4144-B4DA-90C965BD1D15}"/>
    <cellStyle name="Note 2 6 6 2 5 4" xfId="22628" xr:uid="{C1C93655-FB50-4B6A-9C3A-64170C54B6D7}"/>
    <cellStyle name="Note 2 6 6 2 5 4 2" xfId="45152" xr:uid="{F31EF6E9-7B1C-4051-A62F-3EE3D67B15FE}"/>
    <cellStyle name="Note 2 6 6 2 5 5" xfId="49873" xr:uid="{4244E9AE-4731-4101-8E6B-273C599E3B86}"/>
    <cellStyle name="Note 2 6 6 2 6" xfId="6624" xr:uid="{00000000-0005-0000-0000-00009C070000}"/>
    <cellStyle name="Note 2 6 6 2 6 2" xfId="13490" xr:uid="{2C045E31-E71B-4EE0-A74D-0BB2D61892F3}"/>
    <cellStyle name="Note 2 6 6 2 6 2 2" xfId="35974" xr:uid="{57975462-DB73-49CE-9F23-0302A0CCFC57}"/>
    <cellStyle name="Note 2 6 6 2 6 2 3" xfId="44301" xr:uid="{41F7D6A8-3545-40DC-A062-66F5D2AC4DE2}"/>
    <cellStyle name="Note 2 6 6 2 6 3" xfId="18561" xr:uid="{71E188A4-E048-40DE-987D-93E8FA0C2A69}"/>
    <cellStyle name="Note 2 6 6 2 6 3 2" xfId="40951" xr:uid="{0AFEDACB-38D0-4B25-B814-82216CD2500C}"/>
    <cellStyle name="Note 2 6 6 2 6 3 3" xfId="26218" xr:uid="{5F43EE28-77D5-4E0E-BE3C-0781722E995F}"/>
    <cellStyle name="Note 2 6 6 2 6 4" xfId="22985" xr:uid="{E84E29B7-733B-4584-85DA-424141855D84}"/>
    <cellStyle name="Note 2 6 6 2 6 4 2" xfId="47011" xr:uid="{FCE7F860-02AA-4B67-B7D5-BE8CB838E1F9}"/>
    <cellStyle name="Note 2 6 6 2 6 5" xfId="43075" xr:uid="{A70BEF34-904E-4CC1-9737-58AF60DC3204}"/>
    <cellStyle name="Note 2 6 6 2 7" xfId="5775" xr:uid="{00000000-0005-0000-0000-00009C070000}"/>
    <cellStyle name="Note 2 6 6 2 7 2" xfId="12658" xr:uid="{BC1C21AA-DFA9-4863-9ECC-DA5CAF356084}"/>
    <cellStyle name="Note 2 6 6 2 7 2 2" xfId="35143" xr:uid="{E2BCC6EB-38ED-47B9-A5FF-E36D4AC583D6}"/>
    <cellStyle name="Note 2 6 6 2 7 2 3" xfId="26541" xr:uid="{C33BCC47-1A3F-45B7-A6F9-59946C7871F0}"/>
    <cellStyle name="Note 2 6 6 2 7 3" xfId="17712" xr:uid="{51DCF201-9D6B-4050-9C64-DB0C768AC822}"/>
    <cellStyle name="Note 2 6 6 2 7 3 2" xfId="40102" xr:uid="{56B23275-B930-4579-9F13-D040932D084A}"/>
    <cellStyle name="Note 2 6 6 2 7 3 3" xfId="43194" xr:uid="{0B32886B-0769-4E06-8D81-6392173BF66C}"/>
    <cellStyle name="Note 2 6 6 2 7 4" xfId="22136" xr:uid="{6B163196-217F-4446-AFE4-BDA44F785D85}"/>
    <cellStyle name="Note 2 6 6 2 7 4 2" xfId="51607" xr:uid="{BAD186B3-8648-48EB-A6CC-652B385A9F5D}"/>
    <cellStyle name="Note 2 6 6 2 7 5" xfId="51883" xr:uid="{751DF3C0-47BA-4C82-91E9-A96364F27919}"/>
    <cellStyle name="Note 2 6 6 2 8" xfId="7079" xr:uid="{00000000-0005-0000-0000-00009C070000}"/>
    <cellStyle name="Note 2 6 6 2 8 2" xfId="13915" xr:uid="{7AAC2B36-E7EF-4E08-8196-0D23068D1798}"/>
    <cellStyle name="Note 2 6 6 2 8 2 2" xfId="36399" xr:uid="{4E0B10A1-3753-401D-8EED-279027C46D61}"/>
    <cellStyle name="Note 2 6 6 2 8 2 3" xfId="54133" xr:uid="{48BB7AA5-2BA5-4EE3-8E1A-D751ADEF631A}"/>
    <cellStyle name="Note 2 6 6 2 8 3" xfId="19016" xr:uid="{ECC202C4-1959-4D14-A080-71C53911E9EF}"/>
    <cellStyle name="Note 2 6 6 2 8 3 2" xfId="41406" xr:uid="{9D47727C-6C1D-4816-8D4C-854E7A4DC6C9}"/>
    <cellStyle name="Note 2 6 6 2 8 3 3" xfId="44389" xr:uid="{E7A74CAA-9101-42F9-B88D-F08CFE43D7F6}"/>
    <cellStyle name="Note 2 6 6 2 8 4" xfId="23440" xr:uid="{0A72F6E4-D573-42C5-99A9-0A5E89BAF77A}"/>
    <cellStyle name="Note 2 6 6 2 8 4 2" xfId="49062" xr:uid="{A5770487-4160-4552-93B6-40E291458FCA}"/>
    <cellStyle name="Note 2 6 6 2 8 5" xfId="23905" xr:uid="{F996092D-56CE-43C2-A574-C5318210D085}"/>
    <cellStyle name="Note 2 6 6 2 9" xfId="7194" xr:uid="{00000000-0005-0000-0000-00009C070000}"/>
    <cellStyle name="Note 2 6 6 2 9 2" xfId="19131" xr:uid="{D1C42F13-B9A4-4B5B-AE14-A5B332C7A788}"/>
    <cellStyle name="Note 2 6 6 2 9 2 2" xfId="41521" xr:uid="{433ED079-2D72-40E8-ACD2-C0E6E53D0D01}"/>
    <cellStyle name="Note 2 6 6 2 9 2 3" xfId="25867" xr:uid="{3B233248-9687-482D-8062-FB1DC60BE394}"/>
    <cellStyle name="Note 2 6 6 2 9 3" xfId="23555" xr:uid="{4A7591B0-A147-452B-94C3-AD8DB48FBF82}"/>
    <cellStyle name="Note 2 6 6 2 9 3 2" xfId="46438" xr:uid="{25E83FD8-C1FB-41F9-B4A4-3332B28D80B7}"/>
    <cellStyle name="Note 2 6 6 2 9 4" xfId="29381" xr:uid="{CA8F733B-6EE2-4C8D-83B0-043B3A9C02CA}"/>
    <cellStyle name="Note 2 6 6 3" xfId="4994" xr:uid="{00000000-0005-0000-0000-00009B070000}"/>
    <cellStyle name="Note 2 6 6 3 2" xfId="11888" xr:uid="{BD0EC60F-CA68-4309-AC53-A058F89B5E67}"/>
    <cellStyle name="Note 2 6 6 3 2 2" xfId="34374" xr:uid="{33355A18-2F26-4314-9D29-879A19B09A55}"/>
    <cellStyle name="Note 2 6 6 3 2 3" xfId="29115" xr:uid="{809AD520-32F6-4B71-9E3B-5C2A2C0A3D5A}"/>
    <cellStyle name="Note 2 6 6 3 3" xfId="16931" xr:uid="{CF0F4C30-B43C-43D6-A366-BBAE1BB46ED0}"/>
    <cellStyle name="Note 2 6 6 3 3 2" xfId="39321" xr:uid="{1688DBC9-9160-4134-BD4F-0DDDDCB0419E}"/>
    <cellStyle name="Note 2 6 6 3 3 3" xfId="38341" xr:uid="{F0826CA8-1ADD-4521-BEC7-A01438C39927}"/>
    <cellStyle name="Note 2 6 6 3 4" xfId="21355" xr:uid="{EF2DCEDD-82FA-4675-B16A-D954D8BAD386}"/>
    <cellStyle name="Note 2 6 6 3 4 2" xfId="45927" xr:uid="{1CDA5DB5-FB36-45CE-B872-943F57AD48A1}"/>
    <cellStyle name="Note 2 6 6 3 5" xfId="51493" xr:uid="{3AE8D8E6-ED4F-4D3D-ABDA-EFCBFBF92E0D}"/>
    <cellStyle name="Note 2 6 6 4" xfId="5610" xr:uid="{00000000-0005-0000-0000-00009B070000}"/>
    <cellStyle name="Note 2 6 6 4 2" xfId="12494" xr:uid="{4743FF94-D485-460B-9303-DB1B423F3CBE}"/>
    <cellStyle name="Note 2 6 6 4 2 2" xfId="34979" xr:uid="{74AF4C4D-9691-47C1-BDD6-6FCC80435F0F}"/>
    <cellStyle name="Note 2 6 6 4 2 3" xfId="44637" xr:uid="{E708C94A-CD8F-457A-BCB4-0BC093CDAF2E}"/>
    <cellStyle name="Note 2 6 6 4 3" xfId="17547" xr:uid="{E275FA79-A5E3-4383-901C-081FB85F42F9}"/>
    <cellStyle name="Note 2 6 6 4 3 2" xfId="39937" xr:uid="{67DB5103-2921-47FB-AC31-4EFE26905FAC}"/>
    <cellStyle name="Note 2 6 6 4 3 3" xfId="43255" xr:uid="{CF444FDB-62BE-42B8-BD11-7E27A4EA139C}"/>
    <cellStyle name="Note 2 6 6 4 4" xfId="21971" xr:uid="{F8034AFA-0C53-4CB6-9FBD-C1B64C37ADB1}"/>
    <cellStyle name="Note 2 6 6 4 4 2" xfId="46190" xr:uid="{40FAAFB8-BEC4-42A6-9167-5A30D09D189C}"/>
    <cellStyle name="Note 2 6 6 4 5" xfId="47142" xr:uid="{852AAFA9-5A8B-4973-81E1-AFE87B046C60}"/>
    <cellStyle name="Note 2 6 6 5" xfId="3139" xr:uid="{00000000-0005-0000-0000-00009B070000}"/>
    <cellStyle name="Note 2 6 6 5 2" xfId="10048" xr:uid="{4B12D7AC-71C6-4025-A5E8-5B8035174C26}"/>
    <cellStyle name="Note 2 6 6 5 2 2" xfId="32555" xr:uid="{2B714441-E433-421A-95E1-EDBD03AA5E27}"/>
    <cellStyle name="Note 2 6 6 5 2 3" xfId="49664" xr:uid="{2DFA4518-BD2E-48C5-8879-921D66575FDF}"/>
    <cellStyle name="Note 2 6 6 5 3" xfId="15426" xr:uid="{3F4EE237-CCD1-4A82-AC1B-0E9FE92A5CA5}"/>
    <cellStyle name="Note 2 6 6 5 3 2" xfId="37852" xr:uid="{0E1FA9D7-84AA-4B8C-BE31-EF477D933195}"/>
    <cellStyle name="Note 2 6 6 5 3 3" xfId="46918" xr:uid="{2B91AC65-8479-46E3-8D97-96FD4511EDF6}"/>
    <cellStyle name="Note 2 6 6 5 4" xfId="20476" xr:uid="{FCA8CF84-099D-4480-BB24-D7989423B9AE}"/>
    <cellStyle name="Note 2 6 6 5 4 2" xfId="45618" xr:uid="{3479E1B5-D260-4181-883A-8A3134D90C9C}"/>
    <cellStyle name="Note 2 6 6 5 5" xfId="51339" xr:uid="{61856905-32A4-4778-A940-18677E961093}"/>
    <cellStyle name="Note 2 6 6 6" xfId="6666" xr:uid="{00000000-0005-0000-0000-00009B070000}"/>
    <cellStyle name="Note 2 6 6 6 2" xfId="13532" xr:uid="{FD0F622E-D5B5-422A-B346-E4D3E7BDBE49}"/>
    <cellStyle name="Note 2 6 6 6 2 2" xfId="36016" xr:uid="{69041F11-E08C-47D1-9EBF-E006DE1A8F72}"/>
    <cellStyle name="Note 2 6 6 6 2 3" xfId="48952" xr:uid="{00B1C2EE-AF2F-47B0-9281-F97D2A8DAAB0}"/>
    <cellStyle name="Note 2 6 6 6 3" xfId="18603" xr:uid="{D39E5618-6710-49E2-8F16-5BB3BCFB85D5}"/>
    <cellStyle name="Note 2 6 6 6 3 2" xfId="40993" xr:uid="{05BA6FFC-A977-458C-848A-12E2BEE7D8A3}"/>
    <cellStyle name="Note 2 6 6 6 3 3" xfId="37010" xr:uid="{CAE55B13-7030-4E0E-8F1F-234C9561356A}"/>
    <cellStyle name="Note 2 6 6 6 4" xfId="23027" xr:uid="{7661E57F-9C06-4206-9D59-EC6E033BB9E7}"/>
    <cellStyle name="Note 2 6 6 6 4 2" xfId="49037" xr:uid="{F616133B-105B-43C4-8BE8-F7D1B2D94D32}"/>
    <cellStyle name="Note 2 6 6 6 5" xfId="44088" xr:uid="{025946DD-515B-4BFB-A8FF-79E58AA2E875}"/>
    <cellStyle name="Note 2 6 6 7" xfId="14175" xr:uid="{3B1E5AD2-BBFD-4596-AFD2-849D7C4B330D}"/>
    <cellStyle name="Note 2 6 6 7 2" xfId="36651" xr:uid="{1FC60F76-75B1-4652-9535-36B189DAE784}"/>
    <cellStyle name="Note 2 6 6 7 3" xfId="49878" xr:uid="{4FAB4F55-D18D-44FB-B20E-B7D4043A180B}"/>
    <cellStyle name="Note 2 6 6 8" xfId="14951" xr:uid="{C3836E89-23C2-4240-B850-0226BFCA2079}"/>
    <cellStyle name="Note 2 6 6 8 2" xfId="37404" xr:uid="{CA2493DA-F33E-4D23-AF06-DC2398B6AC08}"/>
    <cellStyle name="Note 2 6 6 8 3" xfId="52298" xr:uid="{4554FEBF-2B7A-4311-9B66-62077ADD0789}"/>
    <cellStyle name="Note 2 6 6 9" xfId="14130" xr:uid="{17CBBD16-26E5-419D-99F6-13DF5C58F6F0}"/>
    <cellStyle name="Note 2 6 6 9 2" xfId="24310" xr:uid="{F1075FC7-9CD1-484A-AC25-4FE0B72A0EE1}"/>
    <cellStyle name="Note 2 6 7" xfId="1629" xr:uid="{00000000-0005-0000-0000-00009F070000}"/>
    <cellStyle name="Note 2 6 7 10" xfId="14343" xr:uid="{9B9EEF0B-C35E-482E-8825-3244AE31C31B}"/>
    <cellStyle name="Note 2 6 7 10 2" xfId="36811" xr:uid="{7E6DF9D6-ECA1-4CA8-AE70-E1CCCE4B6086}"/>
    <cellStyle name="Note 2 6 7 10 3" xfId="53455" xr:uid="{479FD9D5-FA1D-4F5D-861C-E87E12D8CCFA}"/>
    <cellStyle name="Note 2 6 7 11" xfId="15018" xr:uid="{E10B6953-4880-4DA6-BE00-1086F81EE77D}"/>
    <cellStyle name="Note 2 6 7 11 2" xfId="37468" xr:uid="{94180818-E926-4468-9296-C0F29D83A3EB}"/>
    <cellStyle name="Note 2 6 7 11 3" xfId="38637" xr:uid="{D21EB701-F249-4407-B0BB-76018B18F6C7}"/>
    <cellStyle name="Note 2 6 7 12" xfId="15797" xr:uid="{9100A301-F978-4346-B2E5-2A70CE48AD12}"/>
    <cellStyle name="Note 2 6 7 12 2" xfId="47833" xr:uid="{F2DE1374-3B7B-4A9F-8F2A-1B1B25049EB3}"/>
    <cellStyle name="Note 2 6 7 13" xfId="52284" xr:uid="{DF9C9327-033A-4712-B027-681021EE23C8}"/>
    <cellStyle name="Note 2 6 7 2" xfId="3729" xr:uid="{00000000-0005-0000-0000-00009D070000}"/>
    <cellStyle name="Note 2 6 7 2 2" xfId="10633" xr:uid="{68559572-A6DF-4C88-9187-F91D670F6EAE}"/>
    <cellStyle name="Note 2 6 7 2 2 2" xfId="33119" xr:uid="{6DF9EAAA-47D1-463F-9132-F91DE72E63B9}"/>
    <cellStyle name="Note 2 6 7 2 2 3" xfId="49888" xr:uid="{5369F0A4-666D-428A-A423-44A5C4AAD46B}"/>
    <cellStyle name="Note 2 6 7 2 3" xfId="15810" xr:uid="{B8371EA9-9E00-4625-BBA3-69AD0D2FB0B1}"/>
    <cellStyle name="Note 2 6 7 2 3 2" xfId="38218" xr:uid="{5BD263B7-49E7-485D-B2F6-AA3AECF43137}"/>
    <cellStyle name="Note 2 6 7 2 3 3" xfId="52579" xr:uid="{AD026827-0A7E-4835-8650-AB5B55EFD6A3}"/>
    <cellStyle name="Note 2 6 7 2 4" xfId="21056" xr:uid="{F7636CE6-9FEC-4C50-8AFB-B2999B2C53BD}"/>
    <cellStyle name="Note 2 6 7 2 4 2" xfId="53281" xr:uid="{B7D01BCB-3ACE-424F-BAAB-3002A94AFE02}"/>
    <cellStyle name="Note 2 6 7 2 5" xfId="52176" xr:uid="{B91E6E93-08E1-43D6-922B-E371B1A0E9C4}"/>
    <cellStyle name="Note 2 6 7 3" xfId="5162" xr:uid="{00000000-0005-0000-0000-00009D070000}"/>
    <cellStyle name="Note 2 6 7 3 2" xfId="12055" xr:uid="{375E1BAF-B00B-4B25-A4FC-766DAF237BD1}"/>
    <cellStyle name="Note 2 6 7 3 2 2" xfId="34541" xr:uid="{B724FFB6-A1B2-41D6-810D-43948950FF1C}"/>
    <cellStyle name="Note 2 6 7 3 2 3" xfId="26147" xr:uid="{74C6406A-90C1-4BAD-B594-31BF497E6A28}"/>
    <cellStyle name="Note 2 6 7 3 3" xfId="17099" xr:uid="{B63267CA-A447-4BF7-9A19-165618727333}"/>
    <cellStyle name="Note 2 6 7 3 3 2" xfId="39489" xr:uid="{DB3F63F3-A5BB-4C53-9DB6-94EE3E3C7B4E}"/>
    <cellStyle name="Note 2 6 7 3 3 3" xfId="45321" xr:uid="{B7FC0028-6192-48B4-8577-B9779B073EF1}"/>
    <cellStyle name="Note 2 6 7 3 4" xfId="21523" xr:uid="{062C5E21-874D-4261-8509-03030E9082F5}"/>
    <cellStyle name="Note 2 6 7 3 4 2" xfId="29832" xr:uid="{37FC2180-E052-4471-9E16-EFC92BC5D0A2}"/>
    <cellStyle name="Note 2 6 7 3 5" xfId="51104" xr:uid="{36EF44C2-E44D-4C02-8A00-B24F9DD314CE}"/>
    <cellStyle name="Note 2 6 7 4" xfId="4872" xr:uid="{00000000-0005-0000-0000-00009D070000}"/>
    <cellStyle name="Note 2 6 7 4 2" xfId="11767" xr:uid="{199F2F40-EBC6-4955-9D56-5380A0592AD2}"/>
    <cellStyle name="Note 2 6 7 4 2 2" xfId="34253" xr:uid="{CF0A4876-A344-4387-9DC5-60DC7DEE345A}"/>
    <cellStyle name="Note 2 6 7 4 2 3" xfId="38203" xr:uid="{04C622FE-F71C-4472-BE91-C89621FD4397}"/>
    <cellStyle name="Note 2 6 7 4 3" xfId="16809" xr:uid="{359CD415-692E-4485-8FEE-0802E4204815}"/>
    <cellStyle name="Note 2 6 7 4 3 2" xfId="39199" xr:uid="{661A19A0-9C81-427E-B567-975073C4A278}"/>
    <cellStyle name="Note 2 6 7 4 3 3" xfId="45536" xr:uid="{65D30199-DE08-4F2A-8EAB-BBDDD572736C}"/>
    <cellStyle name="Note 2 6 7 4 4" xfId="15482" xr:uid="{E6096CD4-A174-4EBB-A542-0618E1CFBE5B}"/>
    <cellStyle name="Note 2 6 7 4 4 2" xfId="25056" xr:uid="{202093BC-6B29-4A12-9E7E-278F1539461F}"/>
    <cellStyle name="Note 2 6 7 4 5" xfId="53951" xr:uid="{EF24A450-6EBF-401F-96F4-AC55F367958A}"/>
    <cellStyle name="Note 2 6 7 5" xfId="5152" xr:uid="{00000000-0005-0000-0000-00009D070000}"/>
    <cellStyle name="Note 2 6 7 5 2" xfId="12045" xr:uid="{9376D692-66A2-44C0-AD77-E610997700AC}"/>
    <cellStyle name="Note 2 6 7 5 2 2" xfId="34531" xr:uid="{D1480F30-EB64-4B11-9702-8D6E96A7866F}"/>
    <cellStyle name="Note 2 6 7 5 2 3" xfId="37439" xr:uid="{EC4E514D-DB09-41BE-8092-750F46FDB11F}"/>
    <cellStyle name="Note 2 6 7 5 3" xfId="17089" xr:uid="{EF66B36B-F98E-447E-8350-EA2D2C0A626E}"/>
    <cellStyle name="Note 2 6 7 5 3 2" xfId="39479" xr:uid="{F3C57C4C-18DC-489A-9CEB-779ED43CB7AB}"/>
    <cellStyle name="Note 2 6 7 5 3 3" xfId="45586" xr:uid="{A54E2431-83F1-4DD8-93F3-7CCDD3609D0B}"/>
    <cellStyle name="Note 2 6 7 5 4" xfId="21513" xr:uid="{C3296BA2-12EE-4D30-AC22-56BF4C9E2EAB}"/>
    <cellStyle name="Note 2 6 7 5 4 2" xfId="51067" xr:uid="{71529D97-BA80-4BD4-8779-BD1B58E847E3}"/>
    <cellStyle name="Note 2 6 7 5 5" xfId="48405" xr:uid="{B1867EB9-CBFA-4A9F-91FD-2FE8F1EE878E}"/>
    <cellStyle name="Note 2 6 7 6" xfId="4371" xr:uid="{00000000-0005-0000-0000-00009D070000}"/>
    <cellStyle name="Note 2 6 7 6 2" xfId="11274" xr:uid="{4E2834CC-689A-41FD-A887-B89B660788CA}"/>
    <cellStyle name="Note 2 6 7 6 2 2" xfId="33760" xr:uid="{BCD35552-932E-4ABA-B363-BDDF4A0D772D}"/>
    <cellStyle name="Note 2 6 7 6 2 3" xfId="45123" xr:uid="{9DC40C89-8DE5-4176-A60D-6F43063B418E}"/>
    <cellStyle name="Note 2 6 7 6 3" xfId="16308" xr:uid="{841427C5-C259-46D1-98DD-71EAA373131F}"/>
    <cellStyle name="Note 2 6 7 6 3 2" xfId="38698" xr:uid="{237643A6-FF1C-4F62-9454-069D6B92E7C4}"/>
    <cellStyle name="Note 2 6 7 6 3 3" xfId="25076" xr:uid="{A34A5C40-3CF9-4DDE-8FD6-8217868328AD}"/>
    <cellStyle name="Note 2 6 7 6 4" xfId="20000" xr:uid="{2D91494F-64D5-4F3C-B561-FFC955DD7142}"/>
    <cellStyle name="Note 2 6 7 6 4 2" xfId="30798" xr:uid="{ACDB98AA-D509-477B-86D1-66BD65F9C26D}"/>
    <cellStyle name="Note 2 6 7 6 5" xfId="47661" xr:uid="{83EE1732-430B-4E36-870D-4CA603A96E87}"/>
    <cellStyle name="Note 2 6 7 7" xfId="6668" xr:uid="{00000000-0005-0000-0000-00009D070000}"/>
    <cellStyle name="Note 2 6 7 7 2" xfId="13534" xr:uid="{70DCDC11-39F5-43A5-B235-F5738AEEB721}"/>
    <cellStyle name="Note 2 6 7 7 2 2" xfId="36018" xr:uid="{8CBB744D-A028-4982-982F-ED83651AFEFD}"/>
    <cellStyle name="Note 2 6 7 7 2 3" xfId="44024" xr:uid="{99E18A46-6F16-410B-9801-87CD47B0DA70}"/>
    <cellStyle name="Note 2 6 7 7 3" xfId="18605" xr:uid="{F7878C07-A980-4D8E-9513-5FB2E2503779}"/>
    <cellStyle name="Note 2 6 7 7 3 2" xfId="40995" xr:uid="{BCBAAE28-B853-4FB7-94D3-3CB99B8D4F55}"/>
    <cellStyle name="Note 2 6 7 7 3 3" xfId="45685" xr:uid="{9A4ACC82-2534-404E-97E2-E74AB0357798}"/>
    <cellStyle name="Note 2 6 7 7 4" xfId="23029" xr:uid="{215EE006-2343-4B48-B276-5917DDA9A7D0}"/>
    <cellStyle name="Note 2 6 7 7 4 2" xfId="44010" xr:uid="{D135E9CB-42F5-4E99-8C7B-30DA9A5D7D85}"/>
    <cellStyle name="Note 2 6 7 7 5" xfId="53762" xr:uid="{852FC08F-E2D1-406E-A542-7E14665344C7}"/>
    <cellStyle name="Note 2 6 7 8" xfId="6020" xr:uid="{00000000-0005-0000-0000-00009D070000}"/>
    <cellStyle name="Note 2 6 7 8 2" xfId="12900" xr:uid="{606A025C-4F9C-4693-AB33-A91FECAAD99E}"/>
    <cellStyle name="Note 2 6 7 8 2 2" xfId="35384" xr:uid="{C03AB883-1320-4D57-8734-ECCA5B4F2BF5}"/>
    <cellStyle name="Note 2 6 7 8 2 3" xfId="52652" xr:uid="{25006288-4836-4882-A1B9-4FC2F7C398F8}"/>
    <cellStyle name="Note 2 6 7 8 3" xfId="17957" xr:uid="{27428F3C-14A8-4DAD-9AE1-CF4C19180E0A}"/>
    <cellStyle name="Note 2 6 7 8 3 2" xfId="40347" xr:uid="{7774D44F-E3FF-432F-819E-A476FA323E5B}"/>
    <cellStyle name="Note 2 6 7 8 3 3" xfId="45308" xr:uid="{82D8D58B-F0E1-4E68-8232-5237E9EBE494}"/>
    <cellStyle name="Note 2 6 7 8 4" xfId="22381" xr:uid="{0D06DBB7-AEB8-482A-91DA-A339A6C6C02E}"/>
    <cellStyle name="Note 2 6 7 8 4 2" xfId="46958" xr:uid="{62C40CA5-D43D-4558-8F82-6FE401B58482}"/>
    <cellStyle name="Note 2 6 7 8 5" xfId="54099" xr:uid="{FC8D2E92-E0B2-4048-91AE-3C060E944D48}"/>
    <cellStyle name="Note 2 6 7 9" xfId="2741" xr:uid="{00000000-0005-0000-0000-00009D070000}"/>
    <cellStyle name="Note 2 6 7 9 2" xfId="15168" xr:uid="{6306FC66-1102-4DC7-9D1D-95D06511B038}"/>
    <cellStyle name="Note 2 6 7 9 2 2" xfId="37608" xr:uid="{9EE8827B-087B-45D3-B354-184B7292D029}"/>
    <cellStyle name="Note 2 6 7 9 2 3" xfId="45128" xr:uid="{837BEB97-2C39-4D2C-B2E7-AA4B6F92AB47}"/>
    <cellStyle name="Note 2 6 7 9 3" xfId="19877" xr:uid="{92A7ECD3-FC2E-4986-B015-121DADE4D8F0}"/>
    <cellStyle name="Note 2 6 7 9 3 2" xfId="24416" xr:uid="{C2D29664-7405-4EB0-BBA6-6392FEF8E550}"/>
    <cellStyle name="Note 2 6 7 9 4" xfId="52105" xr:uid="{00FEC871-527C-4D25-9935-A579F40B55F3}"/>
    <cellStyle name="Note 2 6 8" xfId="4407" xr:uid="{00000000-0005-0000-0000-000092070000}"/>
    <cellStyle name="Note 2 6 8 2" xfId="11309" xr:uid="{D84461EB-7E4A-46B1-AB3F-B1EF4574F3CE}"/>
    <cellStyle name="Note 2 6 8 2 2" xfId="33795" xr:uid="{71732ECE-419A-491F-9C05-B1E144FBAA7F}"/>
    <cellStyle name="Note 2 6 8 2 3" xfId="42472" xr:uid="{742475F6-1749-44BF-9031-94F9FDDCE4C1}"/>
    <cellStyle name="Note 2 6 8 3" xfId="16344" xr:uid="{9A203520-F68B-4371-9D28-E89D6CBAB29B}"/>
    <cellStyle name="Note 2 6 8 3 2" xfId="38734" xr:uid="{062728AB-BA90-4F46-94AD-84A5B91F7555}"/>
    <cellStyle name="Note 2 6 8 3 3" xfId="26090" xr:uid="{4293E2FF-A076-445C-A5DB-77FED8FE4A61}"/>
    <cellStyle name="Note 2 6 8 4" xfId="19781" xr:uid="{EC01C3A5-91D5-4520-885E-8CD84BBEA24C}"/>
    <cellStyle name="Note 2 6 8 4 2" xfId="28153" xr:uid="{D83B293C-8531-4FF3-BDD9-DBB5C26582D3}"/>
    <cellStyle name="Note 2 6 8 5" xfId="51907" xr:uid="{A36AF77C-5591-4804-9650-98745400DD9D}"/>
    <cellStyle name="Note 2 6 9" xfId="2323" xr:uid="{00000000-0005-0000-0000-000092070000}"/>
    <cellStyle name="Note 2 6 9 2" xfId="9233" xr:uid="{A63E7A6B-B4AE-4769-A2F5-1E6FC42BEF69}"/>
    <cellStyle name="Note 2 6 9 2 2" xfId="31808" xr:uid="{3763D2BF-4763-4AD5-A927-385143DF9F53}"/>
    <cellStyle name="Note 2 6 9 2 3" xfId="25470" xr:uid="{52B5EC3F-686E-4A2A-9346-13A3A4D071AD}"/>
    <cellStyle name="Note 2 6 9 3" xfId="14885" xr:uid="{22D36F26-DB71-4882-B63B-632865E67B93}"/>
    <cellStyle name="Note 2 6 9 3 2" xfId="37339" xr:uid="{551DA346-3AB5-488C-A469-4A6EA897EE7C}"/>
    <cellStyle name="Note 2 6 9 3 3" xfId="45367" xr:uid="{A044141E-AD19-4D22-91A2-9D7A5F19770D}"/>
    <cellStyle name="Note 2 6 9 4" xfId="14274" xr:uid="{A02931C7-DC98-49C0-8F49-68A533AE4793}"/>
    <cellStyle name="Note 2 6 9 4 2" xfId="47728" xr:uid="{E709D8BD-5030-455F-9ABE-465172C2ADCB}"/>
    <cellStyle name="Note 2 6 9 5" xfId="53450" xr:uid="{39115590-F29B-423C-B960-30A9383B4937}"/>
    <cellStyle name="Note 2 7" xfId="441" xr:uid="{00000000-0005-0000-0000-0000A0070000}"/>
    <cellStyle name="Note 2 7 10" xfId="5599" xr:uid="{00000000-0005-0000-0000-00009E070000}"/>
    <cellStyle name="Note 2 7 10 2" xfId="12484" xr:uid="{306BC4B1-42F1-479F-A180-2A6E2AED4A26}"/>
    <cellStyle name="Note 2 7 10 2 2" xfId="34969" xr:uid="{DDE781DF-843C-485C-A437-932DCDFF599B}"/>
    <cellStyle name="Note 2 7 10 2 3" xfId="25606" xr:uid="{AE96A63A-2C5C-49B0-BED3-C789F1F576C4}"/>
    <cellStyle name="Note 2 7 10 3" xfId="17536" xr:uid="{3CBAB53C-7324-4864-8F11-E844AD3CAD57}"/>
    <cellStyle name="Note 2 7 10 3 2" xfId="39926" xr:uid="{EF5F7E02-6F9E-44BF-AABF-B6E6FB616AB0}"/>
    <cellStyle name="Note 2 7 10 3 3" xfId="44852" xr:uid="{A3B6583F-21BF-4E5C-A60B-A70153EB7C98}"/>
    <cellStyle name="Note 2 7 10 4" xfId="21960" xr:uid="{FD663CE0-6F0D-4434-B7A8-A04392CF52CB}"/>
    <cellStyle name="Note 2 7 10 4 2" xfId="25878" xr:uid="{17E97D38-8928-4BF0-93D2-788A62F74FF7}"/>
    <cellStyle name="Note 2 7 10 5" xfId="50180" xr:uid="{FA507912-F088-4C61-BA63-C0000C0C3806}"/>
    <cellStyle name="Note 2 7 11" xfId="6425" xr:uid="{00000000-0005-0000-0000-00009E070000}"/>
    <cellStyle name="Note 2 7 11 2" xfId="13297" xr:uid="{071A1F18-BDA0-4407-B442-97F2E0A2FA1B}"/>
    <cellStyle name="Note 2 7 11 2 2" xfId="35781" xr:uid="{87392E53-B0D3-49DE-83DB-7DE06E1FB305}"/>
    <cellStyle name="Note 2 7 11 2 3" xfId="51772" xr:uid="{D50DC3B1-4713-43F0-8199-D43E0DA79432}"/>
    <cellStyle name="Note 2 7 11 3" xfId="18362" xr:uid="{F0738C20-37B6-4F91-8891-CDAF5859C991}"/>
    <cellStyle name="Note 2 7 11 3 2" xfId="40752" xr:uid="{72816987-8563-4CD4-80BA-5E0C8FE6628D}"/>
    <cellStyle name="Note 2 7 11 3 3" xfId="27842" xr:uid="{57637D46-3540-495E-BF2A-D9B28A3A8172}"/>
    <cellStyle name="Note 2 7 11 4" xfId="22786" xr:uid="{EFE1EA5D-696F-4574-A03D-85D9E12BEA29}"/>
    <cellStyle name="Note 2 7 11 4 2" xfId="46199" xr:uid="{F28C9DC7-F925-4FFF-9F48-48955C41FBA2}"/>
    <cellStyle name="Note 2 7 11 5" xfId="47838" xr:uid="{F03A8155-8F57-464B-A34D-BF4BD1B2E837}"/>
    <cellStyle name="Note 2 7 12" xfId="8294" xr:uid="{8B051081-5C6F-4F6A-BCA8-F30F3716C035}"/>
    <cellStyle name="Note 2 7 12 2" xfId="30894" xr:uid="{67FB9B1C-98E5-45A1-A5C4-DAA694096701}"/>
    <cellStyle name="Note 2 7 12 3" xfId="29939" xr:uid="{378812A3-8B18-4E7C-8352-04CAC1F9AA7D}"/>
    <cellStyle name="Note 2 7 13" xfId="20335" xr:uid="{8287CC6C-469A-4FC1-B40D-2E00D0C6E964}"/>
    <cellStyle name="Note 2 7 13 2" xfId="42633" xr:uid="{62271644-254A-449E-89BD-8E9166D76772}"/>
    <cellStyle name="Note 2 7 13 3" xfId="26144" xr:uid="{D58CA80B-0D8B-4798-866C-983F4BA9DABE}"/>
    <cellStyle name="Note 2 7 14" xfId="15350" xr:uid="{2F705896-29CC-499F-A7C2-2532069534EB}"/>
    <cellStyle name="Note 2 7 14 2" xfId="51121" xr:uid="{D3F33552-AC2D-4A95-AD2C-2F7F764ED85C}"/>
    <cellStyle name="Note 2 7 15" xfId="48324" xr:uid="{562E2677-EC89-41BF-A136-6C6B2CAE0189}"/>
    <cellStyle name="Note 2 7 2" xfId="594" xr:uid="{00000000-0005-0000-0000-0000A1070000}"/>
    <cellStyle name="Note 2 7 2 10" xfId="28716" xr:uid="{55C4F9DE-1307-4958-97C3-5FE2A39455F9}"/>
    <cellStyle name="Note 2 7 2 2" xfId="1728" xr:uid="{00000000-0005-0000-0000-0000A2070000}"/>
    <cellStyle name="Note 2 7 2 2 10" xfId="14429" xr:uid="{53FC1ADA-7AD8-4DB3-B637-F5C3FCEC1311}"/>
    <cellStyle name="Note 2 7 2 2 10 2" xfId="36895" xr:uid="{19AEB33D-4D7E-4313-96E3-0E593064B279}"/>
    <cellStyle name="Note 2 7 2 2 10 3" xfId="42522" xr:uid="{C464195A-B406-4CAE-8036-D504D2789A92}"/>
    <cellStyle name="Note 2 7 2 2 11" xfId="20197" xr:uid="{035CBE70-6042-4387-974A-0755244EF1EA}"/>
    <cellStyle name="Note 2 7 2 2 11 2" xfId="42505" xr:uid="{D0FB2A3B-16D0-40BB-AEC4-B8D56983198E}"/>
    <cellStyle name="Note 2 7 2 2 11 3" xfId="44460" xr:uid="{86A23B9C-FCCE-4DEE-8332-15ED8AD8D3E6}"/>
    <cellStyle name="Note 2 7 2 2 12" xfId="8415" xr:uid="{E96CF00F-78BE-4A5F-84CF-2168049EA458}"/>
    <cellStyle name="Note 2 7 2 2 12 2" xfId="48038" xr:uid="{33C8A741-5AEA-4AB4-A904-E80D442B97FE}"/>
    <cellStyle name="Note 2 7 2 2 13" xfId="45963" xr:uid="{6A6D0AA7-9F3D-403F-BA4A-65B162E8B2E7}"/>
    <cellStyle name="Note 2 7 2 2 2" xfId="3826" xr:uid="{00000000-0005-0000-0000-0000A0070000}"/>
    <cellStyle name="Note 2 7 2 2 2 2" xfId="10730" xr:uid="{87977900-70E7-437E-997A-7B5DC24EF2B7}"/>
    <cellStyle name="Note 2 7 2 2 2 2 2" xfId="33216" xr:uid="{7EAAF609-931C-4F8B-8501-6A472D0FE6E8}"/>
    <cellStyle name="Note 2 7 2 2 2 2 3" xfId="48481" xr:uid="{8589D110-4FE2-4D89-ADA7-02C3A525B429}"/>
    <cellStyle name="Note 2 7 2 2 2 3" xfId="15886" xr:uid="{FC39104C-B51D-433F-B34A-8D5915526A96}"/>
    <cellStyle name="Note 2 7 2 2 2 3 2" xfId="38292" xr:uid="{E333B006-C8D7-4DA3-9CC6-82006D42FE91}"/>
    <cellStyle name="Note 2 7 2 2 2 3 3" xfId="47054" xr:uid="{347F8DE7-0AAE-4C7A-834F-1A36C33212F6}"/>
    <cellStyle name="Note 2 7 2 2 2 4" xfId="21148" xr:uid="{DCEEF4E9-0221-4CE7-BD83-6E3BAE749406}"/>
    <cellStyle name="Note 2 7 2 2 2 4 2" xfId="49588" xr:uid="{7D01C753-4EE7-4F82-8B7A-242B5861D3DB}"/>
    <cellStyle name="Note 2 7 2 2 2 5" xfId="49509" xr:uid="{7195733E-5DD9-4EA3-AD5D-DA26328EE9BD}"/>
    <cellStyle name="Note 2 7 2 2 3" xfId="5242" xr:uid="{00000000-0005-0000-0000-0000A0070000}"/>
    <cellStyle name="Note 2 7 2 2 3 2" xfId="12134" xr:uid="{8E71C7FF-5BF9-417C-9337-E26E5CA89708}"/>
    <cellStyle name="Note 2 7 2 2 3 2 2" xfId="34619" xr:uid="{C63DAB8B-009C-4E0E-9F9C-945C00D89956}"/>
    <cellStyle name="Note 2 7 2 2 3 2 3" xfId="28904" xr:uid="{16B93D8D-333D-442E-A910-462F568AC6F6}"/>
    <cellStyle name="Note 2 7 2 2 3 3" xfId="17179" xr:uid="{8F198AC3-5C05-43BE-972B-CA8817CC6FBD}"/>
    <cellStyle name="Note 2 7 2 2 3 3 2" xfId="39569" xr:uid="{C7CC7D75-0623-4757-9F3E-A32349FA27F3}"/>
    <cellStyle name="Note 2 7 2 2 3 3 3" xfId="42063" xr:uid="{BC20CC14-E3B9-42B4-BD0D-0D21A12C525F}"/>
    <cellStyle name="Note 2 7 2 2 3 4" xfId="21603" xr:uid="{C7C64657-1DA4-4642-B72A-9732390A9045}"/>
    <cellStyle name="Note 2 7 2 2 3 4 2" xfId="48690" xr:uid="{1D7001F8-BBAA-4122-90E5-6C6E09AEEFA9}"/>
    <cellStyle name="Note 2 7 2 2 3 5" xfId="53650" xr:uid="{C739E00E-5B11-4BD9-A729-D80E6ACB9DB7}"/>
    <cellStyle name="Note 2 7 2 2 4" xfId="5654" xr:uid="{00000000-0005-0000-0000-0000A0070000}"/>
    <cellStyle name="Note 2 7 2 2 4 2" xfId="12538" xr:uid="{E46B579B-A99A-4CB2-BF75-E545FD9E7EC3}"/>
    <cellStyle name="Note 2 7 2 2 4 2 2" xfId="35023" xr:uid="{E03B1BD3-33E0-4AAD-A7B3-D8692002C2C1}"/>
    <cellStyle name="Note 2 7 2 2 4 2 3" xfId="45204" xr:uid="{8A2A9550-CDE9-4939-A074-69DC5FCB96D6}"/>
    <cellStyle name="Note 2 7 2 2 4 3" xfId="17591" xr:uid="{1B4ADB7F-FFD7-46A4-B55E-723951A1E8F5}"/>
    <cellStyle name="Note 2 7 2 2 4 3 2" xfId="39981" xr:uid="{930C55A0-F9AE-4F4C-BE1F-5577B78EB32C}"/>
    <cellStyle name="Note 2 7 2 2 4 3 3" xfId="23632" xr:uid="{296A8ED8-8233-4F0D-984C-CC96CBF331CF}"/>
    <cellStyle name="Note 2 7 2 2 4 4" xfId="22015" xr:uid="{DE4CB30D-D95D-444C-80B2-837918A70896}"/>
    <cellStyle name="Note 2 7 2 2 4 4 2" xfId="42251" xr:uid="{D770EA28-83E6-496E-B2AD-39031F7BC5E9}"/>
    <cellStyle name="Note 2 7 2 2 4 5" xfId="42949" xr:uid="{D8036787-F781-4A43-ADB3-C620B50642B4}"/>
    <cellStyle name="Note 2 7 2 2 5" xfId="5591" xr:uid="{00000000-0005-0000-0000-0000A0070000}"/>
    <cellStyle name="Note 2 7 2 2 5 2" xfId="12476" xr:uid="{D0C94585-F819-4C1B-A925-95018317B2BF}"/>
    <cellStyle name="Note 2 7 2 2 5 2 2" xfId="34961" xr:uid="{4B3D7BB5-D4C4-4B67-A6A2-3EFBC66713E5}"/>
    <cellStyle name="Note 2 7 2 2 5 2 3" xfId="45543" xr:uid="{F98B214F-79B1-4B15-A379-51BFB85F2BCB}"/>
    <cellStyle name="Note 2 7 2 2 5 3" xfId="17528" xr:uid="{2D7E3F5C-AB48-499F-9237-038AD141A449}"/>
    <cellStyle name="Note 2 7 2 2 5 3 2" xfId="39918" xr:uid="{B30EE590-BAF8-42C2-9777-B5425E6FD362}"/>
    <cellStyle name="Note 2 7 2 2 5 3 3" xfId="26405" xr:uid="{04DAEB44-1311-4487-8627-6F2E5B455798}"/>
    <cellStyle name="Note 2 7 2 2 5 4" xfId="21952" xr:uid="{21A367CD-7AE6-4399-8E6F-4AD83CB628F7}"/>
    <cellStyle name="Note 2 7 2 2 5 4 2" xfId="42320" xr:uid="{88A6E4E1-B93D-4261-A3B8-ED27CCFF7A7A}"/>
    <cellStyle name="Note 2 7 2 2 5 5" xfId="30544" xr:uid="{8782D1A8-46E4-4434-90DA-3D3DE2A5D437}"/>
    <cellStyle name="Note 2 7 2 2 6" xfId="6393" xr:uid="{00000000-0005-0000-0000-0000A0070000}"/>
    <cellStyle name="Note 2 7 2 2 6 2" xfId="13265" xr:uid="{B6ADFC05-5084-438F-AE0A-0AEC534F99B5}"/>
    <cellStyle name="Note 2 7 2 2 6 2 2" xfId="35749" xr:uid="{65661D1E-AF11-4EE2-85EB-39D9C861FACC}"/>
    <cellStyle name="Note 2 7 2 2 6 2 3" xfId="27502" xr:uid="{1C98C350-3A1D-4A5F-ABDA-AF5EB8CC5DBA}"/>
    <cellStyle name="Note 2 7 2 2 6 3" xfId="18330" xr:uid="{4A3D366D-AAFC-474C-859F-FD61B3D37925}"/>
    <cellStyle name="Note 2 7 2 2 6 3 2" xfId="40720" xr:uid="{053A0853-4F8A-4244-BE80-A87D5C531B14}"/>
    <cellStyle name="Note 2 7 2 2 6 3 3" xfId="29074" xr:uid="{D522868D-8D93-4704-B0DF-166F04251B98}"/>
    <cellStyle name="Note 2 7 2 2 6 4" xfId="22754" xr:uid="{EB89C630-7D04-4A84-B47D-7AD17ACD81C1}"/>
    <cellStyle name="Note 2 7 2 2 6 4 2" xfId="49555" xr:uid="{C0F765D5-D9E5-4046-AF0A-9920877D83D1}"/>
    <cellStyle name="Note 2 7 2 2 6 5" xfId="25862" xr:uid="{FD7B9A48-82EC-43FB-986C-E88306026C4E}"/>
    <cellStyle name="Note 2 7 2 2 7" xfId="6607" xr:uid="{00000000-0005-0000-0000-0000A0070000}"/>
    <cellStyle name="Note 2 7 2 2 7 2" xfId="13473" xr:uid="{AA6460C2-0D11-4DFF-829C-91122DA21D5E}"/>
    <cellStyle name="Note 2 7 2 2 7 2 2" xfId="35957" xr:uid="{9D77B0DB-91E0-4ECC-95EF-068A3BAF527A}"/>
    <cellStyle name="Note 2 7 2 2 7 2 3" xfId="36632" xr:uid="{761226FC-4EF7-4EDC-9DAB-66CB7CE00341}"/>
    <cellStyle name="Note 2 7 2 2 7 3" xfId="18544" xr:uid="{87428805-423F-497A-B959-652C192F434D}"/>
    <cellStyle name="Note 2 7 2 2 7 3 2" xfId="40934" xr:uid="{8C595D07-8D52-4459-80F1-7F3CE003A340}"/>
    <cellStyle name="Note 2 7 2 2 7 3 3" xfId="44652" xr:uid="{DB0ED7FD-AE3E-476B-9ECC-797780E19877}"/>
    <cellStyle name="Note 2 7 2 2 7 4" xfId="22968" xr:uid="{6E04367D-03D1-4E42-B2D9-02317925992A}"/>
    <cellStyle name="Note 2 7 2 2 7 4 2" xfId="49081" xr:uid="{B4EB401D-F683-4258-84C7-37628BF2EBFE}"/>
    <cellStyle name="Note 2 7 2 2 7 5" xfId="50885" xr:uid="{14E3CE93-3F4C-4605-80EE-248E8F5DDE1F}"/>
    <cellStyle name="Note 2 7 2 2 8" xfId="6910" xr:uid="{00000000-0005-0000-0000-0000A0070000}"/>
    <cellStyle name="Note 2 7 2 2 8 2" xfId="13748" xr:uid="{666EA783-414C-4024-9D3B-54817B54B4A0}"/>
    <cellStyle name="Note 2 7 2 2 8 2 2" xfId="36232" xr:uid="{0DFD3E05-6464-4F88-8B5C-F08D5D2747DA}"/>
    <cellStyle name="Note 2 7 2 2 8 2 3" xfId="44070" xr:uid="{B0956DB6-BF16-48BF-B546-CB8496046BB2}"/>
    <cellStyle name="Note 2 7 2 2 8 3" xfId="18847" xr:uid="{C007E19D-D632-4936-910E-B4221C98D7C7}"/>
    <cellStyle name="Note 2 7 2 2 8 3 2" xfId="41237" xr:uid="{D297501B-512C-450D-B70D-564D001AF22B}"/>
    <cellStyle name="Note 2 7 2 2 8 3 3" xfId="24656" xr:uid="{8A90A233-76B2-4F24-BEF1-D262D4311A1C}"/>
    <cellStyle name="Note 2 7 2 2 8 4" xfId="23271" xr:uid="{938585CF-97F8-4942-9F3B-C9F01A72BDE7}"/>
    <cellStyle name="Note 2 7 2 2 8 4 2" xfId="37460" xr:uid="{59119D5E-BBAE-46FE-9A62-474FB2BEE481}"/>
    <cellStyle name="Note 2 7 2 2 8 5" xfId="50298" xr:uid="{47581883-15D2-4306-9DC0-438F0776AE17}"/>
    <cellStyle name="Note 2 7 2 2 9" xfId="4467" xr:uid="{00000000-0005-0000-0000-0000A0070000}"/>
    <cellStyle name="Note 2 7 2 2 9 2" xfId="16404" xr:uid="{8CDE73D6-D736-4400-881F-40C70C4A8E0D}"/>
    <cellStyle name="Note 2 7 2 2 9 2 2" xfId="38794" xr:uid="{59732652-48B6-4E7E-B3B3-70D4C035E4D3}"/>
    <cellStyle name="Note 2 7 2 2 9 2 3" xfId="28900" xr:uid="{C916B2BB-B22C-4327-B6F1-CCACB28BD39C}"/>
    <cellStyle name="Note 2 7 2 2 9 3" xfId="19844" xr:uid="{20128210-4AD3-4DD8-970F-1A9A6F805D18}"/>
    <cellStyle name="Note 2 7 2 2 9 3 2" xfId="44270" xr:uid="{D190A18B-4106-476D-8D62-2E84AEF62527}"/>
    <cellStyle name="Note 2 7 2 2 9 4" xfId="49923" xr:uid="{A7730B2A-FA7B-42A1-AEC6-EAA48FBAA2C1}"/>
    <cellStyle name="Note 2 7 2 3" xfId="4533" xr:uid="{00000000-0005-0000-0000-00009F070000}"/>
    <cellStyle name="Note 2 7 2 3 2" xfId="11435" xr:uid="{FAE8FE6E-C118-4759-A25E-2D01893E900C}"/>
    <cellStyle name="Note 2 7 2 3 2 2" xfId="33921" xr:uid="{953683DA-D709-406B-B7D5-BFC62720F722}"/>
    <cellStyle name="Note 2 7 2 3 2 3" xfId="45158" xr:uid="{364D01AA-30C1-4392-99CE-35F257994620}"/>
    <cellStyle name="Note 2 7 2 3 3" xfId="16470" xr:uid="{FDACAA1F-0C68-4973-9767-93A5E594AFB0}"/>
    <cellStyle name="Note 2 7 2 3 3 2" xfId="38860" xr:uid="{F86A24A4-75BE-4B96-9225-31FC4D24B32A}"/>
    <cellStyle name="Note 2 7 2 3 3 3" xfId="42319" xr:uid="{75E67F57-F1AB-4606-8C7C-75826EA63C63}"/>
    <cellStyle name="Note 2 7 2 3 4" xfId="14156" xr:uid="{00814187-D00A-43D0-80AA-BA7B42A575D1}"/>
    <cellStyle name="Note 2 7 2 3 4 2" xfId="47605" xr:uid="{AB59E12D-66A4-4918-B641-890433110DA3}"/>
    <cellStyle name="Note 2 7 2 3 5" xfId="24035" xr:uid="{C80B4DB3-44B3-456B-8C16-09A98F05AEAE}"/>
    <cellStyle name="Note 2 7 2 4" xfId="2263" xr:uid="{00000000-0005-0000-0000-00009F070000}"/>
    <cellStyle name="Note 2 7 2 4 2" xfId="9175" xr:uid="{7848A08B-EAC0-422F-964B-354F8E057E1D}"/>
    <cellStyle name="Note 2 7 2 4 2 2" xfId="31750" xr:uid="{5F87B03F-B537-4D92-8E52-32BB2EECB943}"/>
    <cellStyle name="Note 2 7 2 4 2 3" xfId="52962" xr:uid="{0B91697B-313A-4584-922A-D42BEF7E5F64}"/>
    <cellStyle name="Note 2 7 2 4 3" xfId="14833" xr:uid="{F53978FF-BF8F-470E-818B-348902980C2A}"/>
    <cellStyle name="Note 2 7 2 4 3 2" xfId="37287" xr:uid="{403A198A-AB33-460E-B9C0-8BB08D93C6B1}"/>
    <cellStyle name="Note 2 7 2 4 3 3" xfId="48088" xr:uid="{9AD3C263-4D77-4C44-A898-11C913170EFE}"/>
    <cellStyle name="Note 2 7 2 4 4" xfId="20275" xr:uid="{1AEF0300-E948-4494-BA45-242FD1399367}"/>
    <cellStyle name="Note 2 7 2 4 4 2" xfId="52610" xr:uid="{7109E3D1-80CB-4161-A863-805EA1CBB4DB}"/>
    <cellStyle name="Note 2 7 2 4 5" xfId="50051" xr:uid="{7A57C98F-079E-47DA-93B5-84C71B3F7574}"/>
    <cellStyle name="Note 2 7 2 5" xfId="4887" xr:uid="{00000000-0005-0000-0000-00009F070000}"/>
    <cellStyle name="Note 2 7 2 5 2" xfId="11782" xr:uid="{A37E4338-A55A-4079-823A-5C0A91334979}"/>
    <cellStyle name="Note 2 7 2 5 2 2" xfId="34268" xr:uid="{98A4379E-2AA1-46F4-A48C-2EA4125BE367}"/>
    <cellStyle name="Note 2 7 2 5 2 3" xfId="25907" xr:uid="{0AFE6D4D-8C9D-4D4F-861B-0E7FAD90DD25}"/>
    <cellStyle name="Note 2 7 2 5 3" xfId="16824" xr:uid="{314DEF45-3C0C-4FAC-95F8-4DA2B345F6E4}"/>
    <cellStyle name="Note 2 7 2 5 3 2" xfId="39214" xr:uid="{C06FE373-D42D-46A5-BF70-6F8B942AFDEC}"/>
    <cellStyle name="Note 2 7 2 5 3 3" xfId="26167" xr:uid="{47492F99-80BA-4F91-A436-5539F3A26E41}"/>
    <cellStyle name="Note 2 7 2 5 4" xfId="9035" xr:uid="{7D69C857-B834-4B5F-BEDE-7BAAAA38AB23}"/>
    <cellStyle name="Note 2 7 2 5 4 2" xfId="48296" xr:uid="{6A87838B-C54D-4FBC-ABA6-D1A225804E39}"/>
    <cellStyle name="Note 2 7 2 5 5" xfId="53361" xr:uid="{674206EF-EEA5-4DE4-BF00-6F21C3895D58}"/>
    <cellStyle name="Note 2 7 2 6" xfId="4861" xr:uid="{00000000-0005-0000-0000-00009F070000}"/>
    <cellStyle name="Note 2 7 2 6 2" xfId="11757" xr:uid="{66F552D9-995A-4E13-9A4B-9FFAA0022F69}"/>
    <cellStyle name="Note 2 7 2 6 2 2" xfId="34243" xr:uid="{54742579-78FA-4852-BE78-2FA0B3705365}"/>
    <cellStyle name="Note 2 7 2 6 2 3" xfId="24248" xr:uid="{D2A4639D-94D7-4B0F-9BDB-85DFFE5841D0}"/>
    <cellStyle name="Note 2 7 2 6 3" xfId="16798" xr:uid="{0689B288-1F8F-4A04-A108-0E15BAAB1B72}"/>
    <cellStyle name="Note 2 7 2 6 3 2" xfId="39188" xr:uid="{ED5534B2-BE10-4FC0-8263-E843144B27FF}"/>
    <cellStyle name="Note 2 7 2 6 3 3" xfId="29164" xr:uid="{878298C9-B272-4B0D-805F-84C410C5E414}"/>
    <cellStyle name="Note 2 7 2 6 4" xfId="14636" xr:uid="{09352A22-6695-4C6D-9076-5C586CF88F00}"/>
    <cellStyle name="Note 2 7 2 6 4 2" xfId="47429" xr:uid="{B426B881-5BC5-4A5F-9565-51FA88359E05}"/>
    <cellStyle name="Note 2 7 2 6 5" xfId="46138" xr:uid="{452ECED2-53D7-47C5-9BFE-BCF62CA24C41}"/>
    <cellStyle name="Note 2 7 2 7" xfId="7360" xr:uid="{DAFF9BDF-F318-4288-8402-32317A556FAC}"/>
    <cellStyle name="Note 2 7 2 7 2" xfId="30045" xr:uid="{BF4EDD65-9DC0-442D-A05D-0E2284F5CF41}"/>
    <cellStyle name="Note 2 7 2 7 3" xfId="49991" xr:uid="{57AD7FE5-8D86-467E-A098-A6599DDD27F0}"/>
    <cellStyle name="Note 2 7 2 8" xfId="14557" xr:uid="{125EA7E6-DD87-483F-8042-3715319F4868}"/>
    <cellStyle name="Note 2 7 2 8 2" xfId="37018" xr:uid="{83418625-A16D-48CB-BE41-097BED23D0E1}"/>
    <cellStyle name="Note 2 7 2 8 3" xfId="26406" xr:uid="{71D5FE31-6D9E-4CDA-9B3A-73A00D0D95F4}"/>
    <cellStyle name="Note 2 7 2 9" xfId="21033" xr:uid="{34ACC766-48FD-47C2-BF5C-19A8B4A9042B}"/>
    <cellStyle name="Note 2 7 2 9 2" xfId="52391" xr:uid="{BB68D768-9901-4013-ABF8-DC7C3C418821}"/>
    <cellStyle name="Note 2 7 3" xfId="841" xr:uid="{00000000-0005-0000-0000-0000A3070000}"/>
    <cellStyle name="Note 2 7 3 10" xfId="29106" xr:uid="{C1D0A491-B7AE-400A-90CD-F1E2383FF893}"/>
    <cellStyle name="Note 2 7 3 2" xfId="1826" xr:uid="{00000000-0005-0000-0000-0000A4070000}"/>
    <cellStyle name="Note 2 7 3 2 10" xfId="14510" xr:uid="{BEDB346A-783A-425A-8E5C-5017660064F2}"/>
    <cellStyle name="Note 2 7 3 2 10 2" xfId="36971" xr:uid="{0423191B-DF61-40A4-A032-23920A36A1C5}"/>
    <cellStyle name="Note 2 7 3 2 10 3" xfId="47603" xr:uid="{46BCC5DB-B1BF-4CFA-9EB3-4C396E0AC9DE}"/>
    <cellStyle name="Note 2 7 3 2 11" xfId="20314" xr:uid="{AD15BD6A-63AE-4680-8EA8-A8F595984784}"/>
    <cellStyle name="Note 2 7 3 2 11 2" xfId="42613" xr:uid="{A808CE19-FD48-4121-918B-EB644E6EC56A}"/>
    <cellStyle name="Note 2 7 3 2 11 3" xfId="49552" xr:uid="{C946E548-555F-4F03-AFC4-72C47691E69E}"/>
    <cellStyle name="Note 2 7 3 2 12" xfId="14055" xr:uid="{4952255D-48BF-4A98-B935-8C8D68E8E834}"/>
    <cellStyle name="Note 2 7 3 2 12 2" xfId="28799" xr:uid="{E7A9ED73-1896-4707-A43C-E400D96D8882}"/>
    <cellStyle name="Note 2 7 3 2 13" xfId="50583" xr:uid="{FD72C340-720F-4A67-9DF0-AF619853D9A5}"/>
    <cellStyle name="Note 2 7 3 2 2" xfId="3924" xr:uid="{00000000-0005-0000-0000-0000A2070000}"/>
    <cellStyle name="Note 2 7 3 2 2 2" xfId="10828" xr:uid="{6240D3A1-C7B1-4973-A28C-2409DA80A759}"/>
    <cellStyle name="Note 2 7 3 2 2 2 2" xfId="33314" xr:uid="{7028CDD8-D73D-4A83-B688-80E6432EF92E}"/>
    <cellStyle name="Note 2 7 3 2 2 2 3" xfId="53532" xr:uid="{E1CDC7EE-3B59-4ECD-B0FE-ADB500E95E8E}"/>
    <cellStyle name="Note 2 7 3 2 2 3" xfId="15966" xr:uid="{ADC3E93D-947E-468C-AF35-D0F50EC71807}"/>
    <cellStyle name="Note 2 7 3 2 2 3 2" xfId="38369" xr:uid="{955E4ED9-C911-4FEF-8632-16358F3C7547}"/>
    <cellStyle name="Note 2 7 3 2 2 3 3" xfId="27880" xr:uid="{9972FDF3-C952-482F-9288-5A82AB64B8CD}"/>
    <cellStyle name="Note 2 7 3 2 2 4" xfId="15029" xr:uid="{AE9C0B46-6E0A-42CD-98EA-936743AB278F}"/>
    <cellStyle name="Note 2 7 3 2 2 4 2" xfId="49641" xr:uid="{7681AD67-B5B7-4012-A580-03F43AF19322}"/>
    <cellStyle name="Note 2 7 3 2 2 5" xfId="44800" xr:uid="{44F246F4-ABC6-4EA8-85AA-BE6AD414587A}"/>
    <cellStyle name="Note 2 7 3 2 3" xfId="5319" xr:uid="{00000000-0005-0000-0000-0000A2070000}"/>
    <cellStyle name="Note 2 7 3 2 3 2" xfId="12211" xr:uid="{9D075B96-ABD4-4729-812E-ABA5ADB25E57}"/>
    <cellStyle name="Note 2 7 3 2 3 2 2" xfId="34696" xr:uid="{06282B82-6124-453D-8C2A-BC3D57C6440A}"/>
    <cellStyle name="Note 2 7 3 2 3 2 3" xfId="45390" xr:uid="{000AA68C-3866-4C7E-9B71-8EFBC46020C8}"/>
    <cellStyle name="Note 2 7 3 2 3 3" xfId="17256" xr:uid="{76FF9CBD-B208-49FF-9B4B-0ACBC99F2143}"/>
    <cellStyle name="Note 2 7 3 2 3 3 2" xfId="39646" xr:uid="{1338F9C5-9500-4686-A36A-F2C042D81832}"/>
    <cellStyle name="Note 2 7 3 2 3 3 3" xfId="45132" xr:uid="{843B8BB4-C41E-41F6-B5C2-A82E52DA0E23}"/>
    <cellStyle name="Note 2 7 3 2 3 4" xfId="21680" xr:uid="{158B002A-2B9C-4BF4-A33C-E1C44FB53F9F}"/>
    <cellStyle name="Note 2 7 3 2 3 4 2" xfId="51953" xr:uid="{5435E343-30AC-4764-B385-C2E33C4D2DDA}"/>
    <cellStyle name="Note 2 7 3 2 3 5" xfId="53362" xr:uid="{940C4284-0D5D-44F5-802B-F724F3B50BCE}"/>
    <cellStyle name="Note 2 7 3 2 4" xfId="5729" xr:uid="{00000000-0005-0000-0000-0000A2070000}"/>
    <cellStyle name="Note 2 7 3 2 4 2" xfId="12613" xr:uid="{460FEA64-E178-4A4A-AD90-EFCA75D56860}"/>
    <cellStyle name="Note 2 7 3 2 4 2 2" xfId="35098" xr:uid="{F509182F-4612-40DB-9646-488C509D5CD5}"/>
    <cellStyle name="Note 2 7 3 2 4 2 3" xfId="45540" xr:uid="{E1535400-ACAD-41E1-B871-CE5850C03413}"/>
    <cellStyle name="Note 2 7 3 2 4 3" xfId="17666" xr:uid="{89E9D010-2F7B-4985-B0D9-7648A13C22AE}"/>
    <cellStyle name="Note 2 7 3 2 4 3 2" xfId="40056" xr:uid="{BC66D7E7-2BF0-48B9-B61C-154710D8BA6B}"/>
    <cellStyle name="Note 2 7 3 2 4 3 3" xfId="26178" xr:uid="{36A97D55-CCB7-4DDD-BD61-1EC53C5A45A9}"/>
    <cellStyle name="Note 2 7 3 2 4 4" xfId="22090" xr:uid="{8F57EC0A-9FAF-4D87-BA3D-54CBE7D75632}"/>
    <cellStyle name="Note 2 7 3 2 4 4 2" xfId="30254" xr:uid="{95BD69B6-D1A3-46B8-B0BA-BEDAD5708BF2}"/>
    <cellStyle name="Note 2 7 3 2 4 5" xfId="48611" xr:uid="{76C5FC44-7BBA-49AD-881C-06B7852ED7C3}"/>
    <cellStyle name="Note 2 7 3 2 5" xfId="6083" xr:uid="{00000000-0005-0000-0000-0000A2070000}"/>
    <cellStyle name="Note 2 7 3 2 5 2" xfId="12961" xr:uid="{027B9243-E94D-42D1-913C-7C87C21FDE11}"/>
    <cellStyle name="Note 2 7 3 2 5 2 2" xfId="35445" xr:uid="{6DF0D797-71F7-4D55-A003-167C5FE7BA15}"/>
    <cellStyle name="Note 2 7 3 2 5 2 3" xfId="46487" xr:uid="{BABBD788-AC69-4961-A6D9-A84739BDB9AA}"/>
    <cellStyle name="Note 2 7 3 2 5 3" xfId="18020" xr:uid="{92FC4417-079E-400F-B968-791F17B14B5E}"/>
    <cellStyle name="Note 2 7 3 2 5 3 2" xfId="40410" xr:uid="{08835E26-EA32-43C4-97EC-184F5F5ADA04}"/>
    <cellStyle name="Note 2 7 3 2 5 3 3" xfId="32618" xr:uid="{04ED1237-C68F-49EF-8BF3-5FD89A4B5756}"/>
    <cellStyle name="Note 2 7 3 2 5 4" xfId="22444" xr:uid="{27CA9AFF-5C94-4904-9AD1-20135F28AF89}"/>
    <cellStyle name="Note 2 7 3 2 5 4 2" xfId="30877" xr:uid="{191067AB-A1BF-42E2-ACA4-63B0E784716E}"/>
    <cellStyle name="Note 2 7 3 2 5 5" xfId="48943" xr:uid="{97F92BF2-31C0-4814-9E1B-A07B001668D1}"/>
    <cellStyle name="Note 2 7 3 2 6" xfId="6458" xr:uid="{00000000-0005-0000-0000-0000A2070000}"/>
    <cellStyle name="Note 2 7 3 2 6 2" xfId="13328" xr:uid="{B310A4B7-22BD-4207-81F5-A3DD226459E5}"/>
    <cellStyle name="Note 2 7 3 2 6 2 2" xfId="35812" xr:uid="{A5D07FFB-AEDB-48F3-819F-17D408B64A96}"/>
    <cellStyle name="Note 2 7 3 2 6 2 3" xfId="53987" xr:uid="{EDD48D87-497B-4A85-A08E-B1B2EBCF4315}"/>
    <cellStyle name="Note 2 7 3 2 6 3" xfId="18395" xr:uid="{8C30864D-00EF-4F89-9B4F-AFF877356440}"/>
    <cellStyle name="Note 2 7 3 2 6 3 2" xfId="40785" xr:uid="{F15AB26A-34B8-4C3B-AD05-F2C2D23EC5A3}"/>
    <cellStyle name="Note 2 7 3 2 6 3 3" xfId="23994" xr:uid="{F2C1978F-DEE3-47D8-AC79-A17D62D4F7AF}"/>
    <cellStyle name="Note 2 7 3 2 6 4" xfId="22819" xr:uid="{31CF1D21-8AC2-4EFF-8295-5BD41BBE4657}"/>
    <cellStyle name="Note 2 7 3 2 6 4 2" xfId="48837" xr:uid="{53E8A82C-DDAD-418A-82CB-C61632553CC4}"/>
    <cellStyle name="Note 2 7 3 2 6 5" xfId="51111" xr:uid="{0FE8B587-4734-4C7B-B0CA-AC77A595EF34}"/>
    <cellStyle name="Note 2 7 3 2 7" xfId="6870" xr:uid="{00000000-0005-0000-0000-0000A2070000}"/>
    <cellStyle name="Note 2 7 3 2 7 2" xfId="13711" xr:uid="{789C2E46-C5E5-46DA-9D91-705CFF026999}"/>
    <cellStyle name="Note 2 7 3 2 7 2 2" xfId="36195" xr:uid="{C5CA6E8E-703F-4CE2-855D-0EE505500A5E}"/>
    <cellStyle name="Note 2 7 3 2 7 2 3" xfId="51743" xr:uid="{C8E6AC08-7533-4110-8C69-5227F29A6A0F}"/>
    <cellStyle name="Note 2 7 3 2 7 3" xfId="18807" xr:uid="{3F78AC3B-B162-4FA5-99CA-D86CAD4002BD}"/>
    <cellStyle name="Note 2 7 3 2 7 3 2" xfId="41197" xr:uid="{0997EA14-B471-49CD-A347-854ADB837C08}"/>
    <cellStyle name="Note 2 7 3 2 7 3 3" xfId="45436" xr:uid="{3BA6E0B2-2D80-4447-AA6B-6EF8EDF9B243}"/>
    <cellStyle name="Note 2 7 3 2 7 4" xfId="23231" xr:uid="{D8C1EC3D-87B5-4B6C-93D5-157D30CCB837}"/>
    <cellStyle name="Note 2 7 3 2 7 4 2" xfId="51822" xr:uid="{53DD1FA3-3114-4A19-8E74-4B18EB41926E}"/>
    <cellStyle name="Note 2 7 3 2 7 5" xfId="23870" xr:uid="{1077C7FC-9A2F-473D-8689-922105BB85CE}"/>
    <cellStyle name="Note 2 7 3 2 8" xfId="6958" xr:uid="{00000000-0005-0000-0000-0000A2070000}"/>
    <cellStyle name="Note 2 7 3 2 8 2" xfId="13795" xr:uid="{EDEEA05E-B484-4CE1-AD14-4EE6FD585E1D}"/>
    <cellStyle name="Note 2 7 3 2 8 2 2" xfId="36279" xr:uid="{A650115E-712B-42A2-9E27-DBDC89253CAB}"/>
    <cellStyle name="Note 2 7 3 2 8 2 3" xfId="28426" xr:uid="{31988F1D-3E16-4B90-B541-BBBC82CA2199}"/>
    <cellStyle name="Note 2 7 3 2 8 3" xfId="18895" xr:uid="{ADA17BE2-31DE-4805-9FB1-E0112AF83C48}"/>
    <cellStyle name="Note 2 7 3 2 8 3 2" xfId="41285" xr:uid="{9E16F381-7AE8-4D92-BCBB-36B5051AC412}"/>
    <cellStyle name="Note 2 7 3 2 8 3 3" xfId="45492" xr:uid="{CCFC97BF-EFDF-45D2-B099-246044F9D2CA}"/>
    <cellStyle name="Note 2 7 3 2 8 4" xfId="23319" xr:uid="{6661DF0A-E918-48F8-940F-02893B23F6AC}"/>
    <cellStyle name="Note 2 7 3 2 8 4 2" xfId="46533" xr:uid="{9A0AC8DC-1DF9-433A-A3E1-DEC031AB185E}"/>
    <cellStyle name="Note 2 7 3 2 8 5" xfId="50913" xr:uid="{EC128816-D3FA-4536-8BFF-9C25355FF043}"/>
    <cellStyle name="Note 2 7 3 2 9" xfId="5420" xr:uid="{00000000-0005-0000-0000-0000A2070000}"/>
    <cellStyle name="Note 2 7 3 2 9 2" xfId="17357" xr:uid="{29B14AAE-36FB-474B-A2A0-325ADC07EA8D}"/>
    <cellStyle name="Note 2 7 3 2 9 2 2" xfId="39747" xr:uid="{DE192F4F-5076-4325-B8FB-085D6DDEBA99}"/>
    <cellStyle name="Note 2 7 3 2 9 2 3" xfId="44344" xr:uid="{391363ED-0B06-4564-99C2-80CBB6112C5C}"/>
    <cellStyle name="Note 2 7 3 2 9 3" xfId="21781" xr:uid="{7E927973-7FF6-4031-99B2-E4383CEB883E}"/>
    <cellStyle name="Note 2 7 3 2 9 3 2" xfId="29677" xr:uid="{F9EB1E0F-4441-4F42-91EE-736BEBA2E098}"/>
    <cellStyle name="Note 2 7 3 2 9 4" xfId="53462" xr:uid="{7B67F7F1-A31C-4FAC-9AEB-F14E2351EA59}"/>
    <cellStyle name="Note 2 7 3 3" xfId="4685" xr:uid="{00000000-0005-0000-0000-0000A1070000}"/>
    <cellStyle name="Note 2 7 3 3 2" xfId="11583" xr:uid="{05F6EA8B-3AEF-413F-95AF-5EF6A331FF0F}"/>
    <cellStyle name="Note 2 7 3 3 2 2" xfId="34069" xr:uid="{91FCF05A-9B87-45ED-9FF1-80AC8A9C1E73}"/>
    <cellStyle name="Note 2 7 3 3 2 3" xfId="43841" xr:uid="{0B06B0D1-C0CE-4A62-ABD4-D936F2D2AA42}"/>
    <cellStyle name="Note 2 7 3 3 3" xfId="16622" xr:uid="{C0D6AD63-0C13-45DA-954A-02C1DC7AD82C}"/>
    <cellStyle name="Note 2 7 3 3 3 2" xfId="39012" xr:uid="{2ED32B24-41D8-45FB-9490-E1D1EF7DD6AC}"/>
    <cellStyle name="Note 2 7 3 3 3 3" xfId="27778" xr:uid="{9CCA6C1C-0B7E-4038-82A9-A230F15F8002}"/>
    <cellStyle name="Note 2 7 3 3 4" xfId="14966" xr:uid="{936FFD97-5FC4-4DCC-8EA6-D0C0AEEDD21E}"/>
    <cellStyle name="Note 2 7 3 3 4 2" xfId="48329" xr:uid="{F7E7D67F-5C9A-42F6-ACFA-0EB0DA07248E}"/>
    <cellStyle name="Note 2 7 3 3 5" xfId="44187" xr:uid="{55AFE9EB-C37F-4F70-8FE2-340A6EA86915}"/>
    <cellStyle name="Note 2 7 3 4" xfId="4458" xr:uid="{00000000-0005-0000-0000-0000A1070000}"/>
    <cellStyle name="Note 2 7 3 4 2" xfId="11360" xr:uid="{EF0C8B3B-9885-4008-A81D-F3D2F70F239F}"/>
    <cellStyle name="Note 2 7 3 4 2 2" xfId="33846" xr:uid="{661D2CD1-A2D0-4A6D-A575-6C4F4319607B}"/>
    <cellStyle name="Note 2 7 3 4 2 3" xfId="45578" xr:uid="{BF5E216F-2AAA-44D4-8FF0-2B6C687A07FB}"/>
    <cellStyle name="Note 2 7 3 4 3" xfId="16395" xr:uid="{D84E5F73-8B25-4ECB-84C4-D706F700617A}"/>
    <cellStyle name="Note 2 7 3 4 3 2" xfId="38785" xr:uid="{C163CEB4-B174-4A61-88DE-25FA0E035F3D}"/>
    <cellStyle name="Note 2 7 3 4 3 3" xfId="42767" xr:uid="{A8F378B3-BB12-419B-A4FA-2FD41EDAB746}"/>
    <cellStyle name="Note 2 7 3 4 4" xfId="15345" xr:uid="{6C9AA9BE-BD19-427C-94F4-25A6216892D2}"/>
    <cellStyle name="Note 2 7 3 4 4 2" xfId="41894" xr:uid="{B040FA5D-5F3E-4C12-9CEF-50E8AB0554A1}"/>
    <cellStyle name="Note 2 7 3 4 5" xfId="47073" xr:uid="{200184CE-42D3-463D-856A-CE1A97D106D8}"/>
    <cellStyle name="Note 2 7 3 5" xfId="4758" xr:uid="{00000000-0005-0000-0000-0000A1070000}"/>
    <cellStyle name="Note 2 7 3 5 2" xfId="11656" xr:uid="{D8B34763-B26E-42A4-888D-7BC1C8B70FB4}"/>
    <cellStyle name="Note 2 7 3 5 2 2" xfId="34142" xr:uid="{5C7A10AB-CC2D-4ED0-87AD-CE85FD739DA3}"/>
    <cellStyle name="Note 2 7 3 5 2 3" xfId="30467" xr:uid="{8409B3BE-6F8A-4386-A11F-EFB62D61296A}"/>
    <cellStyle name="Note 2 7 3 5 3" xfId="16695" xr:uid="{B61CDED4-AF47-4D51-B211-69AF1CA18A9E}"/>
    <cellStyle name="Note 2 7 3 5 3 2" xfId="39085" xr:uid="{6EC25B20-C9FE-486E-9E25-1CA21346DA0F}"/>
    <cellStyle name="Note 2 7 3 5 3 3" xfId="28423" xr:uid="{2C8E70C8-AD8A-425A-9096-BE29B7AD677D}"/>
    <cellStyle name="Note 2 7 3 5 4" xfId="21131" xr:uid="{6A31280C-BB4F-40DB-8DAF-B64A7BBFDAE8}"/>
    <cellStyle name="Note 2 7 3 5 4 2" xfId="51937" xr:uid="{C2E8EDD2-C1B8-4488-A2A3-66D217487531}"/>
    <cellStyle name="Note 2 7 3 5 5" xfId="51815" xr:uid="{E1FCCDF0-5DC5-456A-B5B3-0E65C4742CCE}"/>
    <cellStyle name="Note 2 7 3 6" xfId="5695" xr:uid="{00000000-0005-0000-0000-0000A1070000}"/>
    <cellStyle name="Note 2 7 3 6 2" xfId="12579" xr:uid="{4812E33B-E97A-43B3-80DD-109AF7B73F86}"/>
    <cellStyle name="Note 2 7 3 6 2 2" xfId="35064" xr:uid="{7748B8B7-0D8D-4EA6-8D56-7E774803B239}"/>
    <cellStyle name="Note 2 7 3 6 2 3" xfId="44138" xr:uid="{ABFACDAC-521B-4622-A389-1DB6EA173E4F}"/>
    <cellStyle name="Note 2 7 3 6 3" xfId="17632" xr:uid="{1E7F718F-C752-40E3-B71F-FD4776C775AD}"/>
    <cellStyle name="Note 2 7 3 6 3 2" xfId="40022" xr:uid="{93E887DF-FACE-4012-A85F-ED5517C3E5DB}"/>
    <cellStyle name="Note 2 7 3 6 3 3" xfId="43272" xr:uid="{46A46AF6-DA93-4587-8AEB-0FFE7CD8AE71}"/>
    <cellStyle name="Note 2 7 3 6 4" xfId="22056" xr:uid="{358A22EC-EC35-4306-BA78-DDAD5BBBDFED}"/>
    <cellStyle name="Note 2 7 3 6 4 2" xfId="25310" xr:uid="{842A69EC-9389-4E9E-9BC9-038CCC44E2E5}"/>
    <cellStyle name="Note 2 7 3 6 5" xfId="52228" xr:uid="{9B3D7543-CA8F-40DD-A392-268D6E3ABA5E}"/>
    <cellStyle name="Note 2 7 3 7" xfId="7287" xr:uid="{2C01FC4D-FF4E-4951-82C5-0AC5AC275BC0}"/>
    <cellStyle name="Note 2 7 3 7 2" xfId="29975" xr:uid="{F5268A9A-690E-439C-BEC2-2B04D95E95C5}"/>
    <cellStyle name="Note 2 7 3 7 3" xfId="51452" xr:uid="{46E63CF8-1E7A-4A5E-ABFB-05BEC76408A5}"/>
    <cellStyle name="Note 2 7 3 8" xfId="14008" xr:uid="{634D11D4-11C7-4B77-A862-856976542CDD}"/>
    <cellStyle name="Note 2 7 3 8 2" xfId="36491" xr:uid="{2E04FBD6-F1CF-41F1-8412-CFB04E5CB706}"/>
    <cellStyle name="Note 2 7 3 8 3" xfId="42041" xr:uid="{63A5AB75-1AB1-4AD0-AE62-4E89395B7194}"/>
    <cellStyle name="Note 2 7 3 9" xfId="21092" xr:uid="{FB8A8C4C-9AFD-463D-9997-D9805AE97EA5}"/>
    <cellStyle name="Note 2 7 3 9 2" xfId="52216" xr:uid="{4400A2C8-AC6F-4792-BB89-A5E59C707A88}"/>
    <cellStyle name="Note 2 7 4" xfId="1028" xr:uid="{00000000-0005-0000-0000-0000A5070000}"/>
    <cellStyle name="Note 2 7 4 10" xfId="52517" xr:uid="{14A05E8F-9F73-4E58-86E1-6E2B9410BB0A}"/>
    <cellStyle name="Note 2 7 4 2" xfId="1918" xr:uid="{00000000-0005-0000-0000-0000A6070000}"/>
    <cellStyle name="Note 2 7 4 2 10" xfId="14588" xr:uid="{FE1C70F9-70A6-41A6-A347-A1155E5CC650}"/>
    <cellStyle name="Note 2 7 4 2 10 2" xfId="37049" xr:uid="{88129A79-DC00-468F-A5E4-77DF8BE6C950}"/>
    <cellStyle name="Note 2 7 4 2 10 3" xfId="27873" xr:uid="{4A64E26C-8346-4E39-A625-13B48186F5AF}"/>
    <cellStyle name="Note 2 7 4 2 11" xfId="20239" xr:uid="{5A88D555-9FE8-47D2-BCF5-2DA288F1C9DB}"/>
    <cellStyle name="Note 2 7 4 2 11 2" xfId="42542" xr:uid="{257C1F6D-BA19-45E3-82E3-61F2F60796DF}"/>
    <cellStyle name="Note 2 7 4 2 11 3" xfId="27919" xr:uid="{CB8C89CA-AE07-4937-A71A-6FCAD83E4E68}"/>
    <cellStyle name="Note 2 7 4 2 12" xfId="19492" xr:uid="{46A11C08-7546-4E72-BFA5-8C303D4738B7}"/>
    <cellStyle name="Note 2 7 4 2 12 2" xfId="28265" xr:uid="{17AC4ED9-9D99-4736-BF24-F63CF6DEC2A4}"/>
    <cellStyle name="Note 2 7 4 2 13" xfId="48192" xr:uid="{07871A89-DB67-4F03-8C7F-58CBA79F4D38}"/>
    <cellStyle name="Note 2 7 4 2 2" xfId="4015" xr:uid="{00000000-0005-0000-0000-0000A4070000}"/>
    <cellStyle name="Note 2 7 4 2 2 2" xfId="10919" xr:uid="{006995DA-6268-4229-92E6-3EBFB72B0427}"/>
    <cellStyle name="Note 2 7 4 2 2 2 2" xfId="33405" xr:uid="{2DAF38FE-1531-47E8-82F7-4A749882ABB2}"/>
    <cellStyle name="Note 2 7 4 2 2 2 3" xfId="52580" xr:uid="{059F764D-064D-4B45-A88D-A72BC2C2B54F}"/>
    <cellStyle name="Note 2 7 4 2 2 3" xfId="16039" xr:uid="{9BBB2864-F7D9-4C59-98E5-46F467D9E058}"/>
    <cellStyle name="Note 2 7 4 2 2 3 2" xfId="38440" xr:uid="{932C86DF-7F84-4C32-84FB-5E428831E9DF}"/>
    <cellStyle name="Note 2 7 4 2 2 3 3" xfId="50558" xr:uid="{CBD6FEA6-1AB7-4B7B-A0DC-94C17191EABA}"/>
    <cellStyle name="Note 2 7 4 2 2 4" xfId="21216" xr:uid="{8FE2BF43-8924-4619-8910-E7C8EA6E92A4}"/>
    <cellStyle name="Note 2 7 4 2 2 4 2" xfId="25291" xr:uid="{C89E6EFD-C753-4F84-A45F-F4F9745F3DC7}"/>
    <cellStyle name="Note 2 7 4 2 2 5" xfId="24181" xr:uid="{38DBF4C8-C78A-4085-94DF-0EBF1F1AA8F4}"/>
    <cellStyle name="Note 2 7 4 2 3" xfId="5390" xr:uid="{00000000-0005-0000-0000-0000A4070000}"/>
    <cellStyle name="Note 2 7 4 2 3 2" xfId="12281" xr:uid="{E2744036-BABA-4412-8CA3-503DB769CC38}"/>
    <cellStyle name="Note 2 7 4 2 3 2 2" xfId="34766" xr:uid="{21B839AD-5F42-4186-B942-6223F3A6FD2E}"/>
    <cellStyle name="Note 2 7 4 2 3 2 3" xfId="42264" xr:uid="{DF48DB34-82A7-4FBD-A818-7BC33C862D12}"/>
    <cellStyle name="Note 2 7 4 2 3 3" xfId="17327" xr:uid="{D93E401C-EC19-430E-8245-AAA3C09A6082}"/>
    <cellStyle name="Note 2 7 4 2 3 3 2" xfId="39717" xr:uid="{12BDEF5D-97AA-4627-B43A-402A4E0FB431}"/>
    <cellStyle name="Note 2 7 4 2 3 3 3" xfId="24176" xr:uid="{744E62AE-7A6B-4823-AD8D-049EDCDDF19E}"/>
    <cellStyle name="Note 2 7 4 2 3 4" xfId="21751" xr:uid="{AC5C2F02-2B56-4A37-9908-9E1C098653F6}"/>
    <cellStyle name="Note 2 7 4 2 3 4 2" xfId="32293" xr:uid="{743A6A64-0047-40B2-985A-4D406E17593E}"/>
    <cellStyle name="Note 2 7 4 2 3 5" xfId="26539" xr:uid="{414883DC-4C91-4E00-8BE1-F625DC5C8B4E}"/>
    <cellStyle name="Note 2 7 4 2 4" xfId="5803" xr:uid="{00000000-0005-0000-0000-0000A4070000}"/>
    <cellStyle name="Note 2 7 4 2 4 2" xfId="12686" xr:uid="{D06EAA9C-8EC6-4A83-92D2-23D39E1AE6C9}"/>
    <cellStyle name="Note 2 7 4 2 4 2 2" xfId="35171" xr:uid="{9CF8CA1A-8E19-4364-B729-761A1E1FEB03}"/>
    <cellStyle name="Note 2 7 4 2 4 2 3" xfId="28701" xr:uid="{79CE238D-627F-41A2-92F0-152E3FCDDD63}"/>
    <cellStyle name="Note 2 7 4 2 4 3" xfId="17740" xr:uid="{06C5EB54-3EAF-4923-BA2E-0F494CC073F2}"/>
    <cellStyle name="Note 2 7 4 2 4 3 2" xfId="40130" xr:uid="{59B38B13-54BB-4175-9BCF-2C5C72DA0CDC}"/>
    <cellStyle name="Note 2 7 4 2 4 3 3" xfId="28076" xr:uid="{7C6FD79D-95FD-411A-AE60-8ADEC0BB5FBA}"/>
    <cellStyle name="Note 2 7 4 2 4 4" xfId="22164" xr:uid="{2C0C8C44-1225-44F7-AC93-1C324F98DC6C}"/>
    <cellStyle name="Note 2 7 4 2 4 4 2" xfId="26613" xr:uid="{918CCA9B-0AAE-4569-B9CF-96596DACF6E5}"/>
    <cellStyle name="Note 2 7 4 2 4 5" xfId="29479" xr:uid="{8B173218-7682-496D-BEA9-EEC34F2B3137}"/>
    <cellStyle name="Note 2 7 4 2 5" xfId="6147" xr:uid="{00000000-0005-0000-0000-0000A4070000}"/>
    <cellStyle name="Note 2 7 4 2 5 2" xfId="13024" xr:uid="{64080304-38E1-43EC-83C9-D2D1C3C98C47}"/>
    <cellStyle name="Note 2 7 4 2 5 2 2" xfId="35508" xr:uid="{5F50624F-942D-428E-8B60-54ED95A8ED6A}"/>
    <cellStyle name="Note 2 7 4 2 5 2 3" xfId="46131" xr:uid="{C31EF21B-6D88-4118-BD11-6509185505AD}"/>
    <cellStyle name="Note 2 7 4 2 5 3" xfId="18084" xr:uid="{1A672A80-3D35-4F3C-AFF3-BDC15185F0B1}"/>
    <cellStyle name="Note 2 7 4 2 5 3 2" xfId="40474" xr:uid="{57BFCDBD-8F74-40A3-9189-2643A8D110FD}"/>
    <cellStyle name="Note 2 7 4 2 5 3 3" xfId="27138" xr:uid="{694ABDEE-FC57-4D4C-9D67-EB5D39E33C17}"/>
    <cellStyle name="Note 2 7 4 2 5 4" xfId="22508" xr:uid="{DF4A5779-1D15-4AAA-B11F-D7C75ADA898D}"/>
    <cellStyle name="Note 2 7 4 2 5 4 2" xfId="48534" xr:uid="{80909BB4-851A-4FA6-BB54-F12DB69C285C}"/>
    <cellStyle name="Note 2 7 4 2 5 5" xfId="46453" xr:uid="{DDED867F-560F-40E5-9ABD-C66D2D456877}"/>
    <cellStyle name="Note 2 7 4 2 6" xfId="6520" xr:uid="{00000000-0005-0000-0000-0000A4070000}"/>
    <cellStyle name="Note 2 7 4 2 6 2" xfId="13389" xr:uid="{EFF3E6AD-2656-4C18-84EE-5C22CBB81FCE}"/>
    <cellStyle name="Note 2 7 4 2 6 2 2" xfId="35873" xr:uid="{D5AFCD60-321A-4BE1-890C-D3F2DCB59129}"/>
    <cellStyle name="Note 2 7 4 2 6 2 3" xfId="47632" xr:uid="{825DC042-2698-442E-AF5A-83D36BE714F7}"/>
    <cellStyle name="Note 2 7 4 2 6 3" xfId="18457" xr:uid="{1603474E-F8A3-46DC-88D5-7F9D12DE7D44}"/>
    <cellStyle name="Note 2 7 4 2 6 3 2" xfId="40847" xr:uid="{979316A7-E63C-47B3-8D7C-623B58014BFC}"/>
    <cellStyle name="Note 2 7 4 2 6 3 3" xfId="44798" xr:uid="{E978084C-B72F-4613-9850-F87AA0FF180B}"/>
    <cellStyle name="Note 2 7 4 2 6 4" xfId="22881" xr:uid="{29DC5D7C-29A5-4961-BC31-10C82CED8ABB}"/>
    <cellStyle name="Note 2 7 4 2 6 4 2" xfId="54077" xr:uid="{8FDD212D-00CF-4C7A-A5A3-6F587FA086A5}"/>
    <cellStyle name="Note 2 7 4 2 6 5" xfId="23813" xr:uid="{077A0596-E336-487F-951C-98D96FFEBF47}"/>
    <cellStyle name="Note 2 7 4 2 7" xfId="6479" xr:uid="{00000000-0005-0000-0000-0000A4070000}"/>
    <cellStyle name="Note 2 7 4 2 7 2" xfId="13349" xr:uid="{B9A2ED6C-B6AB-4A4E-AA8B-FE3A6E13776B}"/>
    <cellStyle name="Note 2 7 4 2 7 2 2" xfId="35833" xr:uid="{C050FC84-2130-4711-B633-F77A1AFA07F3}"/>
    <cellStyle name="Note 2 7 4 2 7 2 3" xfId="49971" xr:uid="{748F54C8-120B-48DC-B346-135C27F7B26D}"/>
    <cellStyle name="Note 2 7 4 2 7 3" xfId="18416" xr:uid="{EFE17402-A82A-4D54-8F52-D2B4C21DEA67}"/>
    <cellStyle name="Note 2 7 4 2 7 3 2" xfId="40806" xr:uid="{17045628-0B90-4116-A7BB-2C04C10B84FF}"/>
    <cellStyle name="Note 2 7 4 2 7 3 3" xfId="28231" xr:uid="{65E8E443-6BB6-4BAA-9ADE-5DECEABEB8F6}"/>
    <cellStyle name="Note 2 7 4 2 7 4" xfId="22840" xr:uid="{B408429F-6D2B-4512-BD99-3920AADEA171}"/>
    <cellStyle name="Note 2 7 4 2 7 4 2" xfId="45193" xr:uid="{EB48BFE6-BAF6-48AA-AAED-E2E2497524D9}"/>
    <cellStyle name="Note 2 7 4 2 7 5" xfId="46941" xr:uid="{04F1CAEA-E1C7-4C6A-A8C8-34D9EE27ECED}"/>
    <cellStyle name="Note 2 7 4 2 8" xfId="7004" xr:uid="{00000000-0005-0000-0000-0000A4070000}"/>
    <cellStyle name="Note 2 7 4 2 8 2" xfId="13841" xr:uid="{55352644-E9DF-469A-93D9-3AA2CA214F2A}"/>
    <cellStyle name="Note 2 7 4 2 8 2 2" xfId="36325" xr:uid="{70E70203-CA04-419D-B2D1-81282F2F84A9}"/>
    <cellStyle name="Note 2 7 4 2 8 2 3" xfId="47919" xr:uid="{0EA273D1-E175-4758-94F8-3F2CE5D11F4D}"/>
    <cellStyle name="Note 2 7 4 2 8 3" xfId="18941" xr:uid="{6EF264BB-AB8A-453A-8B42-C676D695A823}"/>
    <cellStyle name="Note 2 7 4 2 8 3 2" xfId="41331" xr:uid="{101CA1C0-0527-4BCF-8349-5FAA7E43BA42}"/>
    <cellStyle name="Note 2 7 4 2 8 3 3" xfId="43872" xr:uid="{B8FEA28C-A0D5-4DBB-BF16-9EB8B5EF2674}"/>
    <cellStyle name="Note 2 7 4 2 8 4" xfId="23365" xr:uid="{C64B6129-664F-4EAB-96E7-65A1446CEDF5}"/>
    <cellStyle name="Note 2 7 4 2 8 4 2" xfId="50747" xr:uid="{23DA0062-95E2-4000-85EF-859F884851DA}"/>
    <cellStyle name="Note 2 7 4 2 8 5" xfId="48584" xr:uid="{DB0904AE-5F9F-4145-A478-8D4A0018A3C1}"/>
    <cellStyle name="Note 2 7 4 2 9" xfId="6724" xr:uid="{00000000-0005-0000-0000-0000A4070000}"/>
    <cellStyle name="Note 2 7 4 2 9 2" xfId="18661" xr:uid="{89CE779E-70A8-4B01-8B91-ACD7A7600DE9}"/>
    <cellStyle name="Note 2 7 4 2 9 2 2" xfId="41051" xr:uid="{6BE00745-0DE7-4F1D-ADD6-40139B65F092}"/>
    <cellStyle name="Note 2 7 4 2 9 2 3" xfId="45801" xr:uid="{85C10292-9F0F-4E23-B2E3-68AC350034EE}"/>
    <cellStyle name="Note 2 7 4 2 9 3" xfId="23085" xr:uid="{F67DBDDA-A622-45B8-B853-CE2D70DBE05D}"/>
    <cellStyle name="Note 2 7 4 2 9 3 2" xfId="51608" xr:uid="{BFDBFCFE-00E9-4C11-AB16-13FDC773EAA6}"/>
    <cellStyle name="Note 2 7 4 2 9 4" xfId="47010" xr:uid="{4ACAD627-2F3E-4D8F-907C-8AA5BA8B0DA6}"/>
    <cellStyle name="Note 2 7 4 3" xfId="4802" xr:uid="{00000000-0005-0000-0000-0000A3070000}"/>
    <cellStyle name="Note 2 7 4 3 2" xfId="11699" xr:uid="{4EF4678D-9BF9-47E7-9AFF-5E96C5044F64}"/>
    <cellStyle name="Note 2 7 4 3 2 2" xfId="34185" xr:uid="{EBD7463B-14CC-4263-9823-2E7072DECE83}"/>
    <cellStyle name="Note 2 7 4 3 2 3" xfId="43792" xr:uid="{C4399A6E-8064-4B46-9C6B-AE3DEA8038DA}"/>
    <cellStyle name="Note 2 7 4 3 3" xfId="16739" xr:uid="{812D839D-3A3E-4A72-BEA8-B5EA1197627B}"/>
    <cellStyle name="Note 2 7 4 3 3 2" xfId="39129" xr:uid="{E63AB598-D3CB-4FD7-B550-928A17957445}"/>
    <cellStyle name="Note 2 7 4 3 3 3" xfId="43378" xr:uid="{A9C4EBEA-1B29-4BFF-9411-2AEE81411D9B}"/>
    <cellStyle name="Note 2 7 4 3 4" xfId="14136" xr:uid="{31374A50-1618-4BB8-8E7C-5D024462CA61}"/>
    <cellStyle name="Note 2 7 4 3 4 2" xfId="50426" xr:uid="{87933682-A237-49FB-B122-F11812C4B4F4}"/>
    <cellStyle name="Note 2 7 4 3 5" xfId="51073" xr:uid="{20DCEA05-E90C-49AB-80A3-92A5BAAD19A1}"/>
    <cellStyle name="Note 2 7 4 4" xfId="5155" xr:uid="{00000000-0005-0000-0000-0000A3070000}"/>
    <cellStyle name="Note 2 7 4 4 2" xfId="12048" xr:uid="{63273C1C-13B0-44D3-A5C6-13DFBD1DFEE0}"/>
    <cellStyle name="Note 2 7 4 4 2 2" xfId="34534" xr:uid="{BE738860-8CFA-46FA-80B7-DCD71DA087B9}"/>
    <cellStyle name="Note 2 7 4 4 2 3" xfId="45110" xr:uid="{69D9BF34-074F-4AB9-B4FB-92B2F94E3651}"/>
    <cellStyle name="Note 2 7 4 4 3" xfId="17092" xr:uid="{6159550C-125F-474D-955E-4E76388C206D}"/>
    <cellStyle name="Note 2 7 4 4 3 2" xfId="39482" xr:uid="{E9586147-6E6F-411E-ABF9-3D0789433D1E}"/>
    <cellStyle name="Note 2 7 4 4 3 3" xfId="27685" xr:uid="{F7F1E7D5-ACD2-4434-A1EE-4455B5298CE1}"/>
    <cellStyle name="Note 2 7 4 4 4" xfId="21516" xr:uid="{9EB6E93A-97F2-40F2-BFAF-BDB4FD633E02}"/>
    <cellStyle name="Note 2 7 4 4 4 2" xfId="52944" xr:uid="{709342D7-7845-4535-9DC9-B152819B0C5B}"/>
    <cellStyle name="Note 2 7 4 4 5" xfId="24194" xr:uid="{B5B24227-C53B-4571-8798-F1EDC39E01D9}"/>
    <cellStyle name="Note 2 7 4 5" xfId="3320" xr:uid="{00000000-0005-0000-0000-0000A3070000}"/>
    <cellStyle name="Note 2 7 4 5 2" xfId="10228" xr:uid="{048D9599-7FDB-4115-92AE-89749F02F0DC}"/>
    <cellStyle name="Note 2 7 4 5 2 2" xfId="32722" xr:uid="{52213AC7-5413-44BF-A872-F64DB1550781}"/>
    <cellStyle name="Note 2 7 4 5 2 3" xfId="47804" xr:uid="{E42C7A44-5CAF-4FD8-B679-F3E925D9A508}"/>
    <cellStyle name="Note 2 7 4 5 3" xfId="15546" xr:uid="{18991C9C-C72E-4CD0-8F75-1DA86900566B}"/>
    <cellStyle name="Note 2 7 4 5 3 2" xfId="37965" xr:uid="{B403F353-0583-46DC-8C01-51505628DCC7}"/>
    <cellStyle name="Note 2 7 4 5 3 3" xfId="52829" xr:uid="{0969E359-6031-49E5-BD17-F365B256189B}"/>
    <cellStyle name="Note 2 7 4 5 4" xfId="21119" xr:uid="{63EE654D-6BC7-4E64-9837-7CACDEFF62A5}"/>
    <cellStyle name="Note 2 7 4 5 4 2" xfId="52939" xr:uid="{751B1C44-2C61-471A-B6C4-AA3A8FCA7FA0}"/>
    <cellStyle name="Note 2 7 4 5 5" xfId="52168" xr:uid="{5697CCA5-C76F-494F-89AC-BFF2D811EF21}"/>
    <cellStyle name="Note 2 7 4 6" xfId="6735" xr:uid="{00000000-0005-0000-0000-0000A3070000}"/>
    <cellStyle name="Note 2 7 4 6 2" xfId="13594" xr:uid="{0E368B8A-9D19-412B-B569-B46478232440}"/>
    <cellStyle name="Note 2 7 4 6 2 2" xfId="36078" xr:uid="{65E21FFF-8F92-4A18-B3A7-93A9D05A6A91}"/>
    <cellStyle name="Note 2 7 4 6 2 3" xfId="48229" xr:uid="{4360B3A1-3CB4-42EE-B27B-B86AED1F726C}"/>
    <cellStyle name="Note 2 7 4 6 3" xfId="18672" xr:uid="{40EFBA9D-3055-44CA-BCB7-43091D6584CF}"/>
    <cellStyle name="Note 2 7 4 6 3 2" xfId="41062" xr:uid="{BAB6EA7C-87F3-4EDE-ACF9-5455E64BACBF}"/>
    <cellStyle name="Note 2 7 4 6 3 3" xfId="36852" xr:uid="{C8DD8EC4-077A-45AA-BB53-AFEFCB3C90B4}"/>
    <cellStyle name="Note 2 7 4 6 4" xfId="23096" xr:uid="{5CF482E4-E04F-4DAE-87AE-D73F740311D6}"/>
    <cellStyle name="Note 2 7 4 6 4 2" xfId="51675" xr:uid="{26672D52-1D1A-42D9-AFAF-D3572FE718D2}"/>
    <cellStyle name="Note 2 7 4 6 5" xfId="45954" xr:uid="{8548E3A8-6ECC-40D7-9A71-9BCEF3029E19}"/>
    <cellStyle name="Note 2 7 4 7" xfId="9486" xr:uid="{9ED438A9-BD6F-4DDB-B8DB-4DCD1DFBCD22}"/>
    <cellStyle name="Note 2 7 4 7 2" xfId="32038" xr:uid="{AE92825B-D5D7-488B-B963-954B25AC26A8}"/>
    <cellStyle name="Note 2 7 4 7 3" xfId="51143" xr:uid="{9023E1A2-D52C-46CC-A791-70FED00E61E9}"/>
    <cellStyle name="Note 2 7 4 8" xfId="19308" xr:uid="{C8D2F67E-00EE-4877-9383-1AE9B9022DDA}"/>
    <cellStyle name="Note 2 7 4 8 2" xfId="41688" xr:uid="{CFBB1138-58A3-45A2-B309-2C4FDA844202}"/>
    <cellStyle name="Note 2 7 4 8 3" xfId="44997" xr:uid="{0B949565-6ECA-4F1A-875B-9E71A1354C93}"/>
    <cellStyle name="Note 2 7 4 9" xfId="14262" xr:uid="{292471B4-69F6-4CEC-93A6-026A2DCFB892}"/>
    <cellStyle name="Note 2 7 4 9 2" xfId="49717" xr:uid="{1B063EFD-5669-43C0-8FF0-D35DE227D4F2}"/>
    <cellStyle name="Note 2 7 5" xfId="1212" xr:uid="{00000000-0005-0000-0000-0000A7070000}"/>
    <cellStyle name="Note 2 7 5 10" xfId="46052" xr:uid="{A53FDD93-FECB-45E0-871B-625722859CE5}"/>
    <cellStyle name="Note 2 7 5 2" xfId="2012" xr:uid="{00000000-0005-0000-0000-0000A8070000}"/>
    <cellStyle name="Note 2 7 5 2 10" xfId="14660" xr:uid="{637536B5-78D1-4DBC-83CE-65D39114E696}"/>
    <cellStyle name="Note 2 7 5 2 10 2" xfId="37120" xr:uid="{36E165D7-6B81-4285-823C-D75F1AC8B66C}"/>
    <cellStyle name="Note 2 7 5 2 10 3" xfId="51814" xr:uid="{1AB25426-73CA-43BE-BC40-86EA6871FAA2}"/>
    <cellStyle name="Note 2 7 5 2 11" xfId="15267" xr:uid="{3D159231-60CA-426E-AEB8-C6D74F5FC10F}"/>
    <cellStyle name="Note 2 7 5 2 11 2" xfId="37701" xr:uid="{0135A741-907C-451A-9562-289430809ED8}"/>
    <cellStyle name="Note 2 7 5 2 11 3" xfId="51867" xr:uid="{5A61DACD-A47F-4402-8C05-19BEED697C06}"/>
    <cellStyle name="Note 2 7 5 2 12" xfId="20126" xr:uid="{650C367B-B6D8-4D9D-A905-FE35AC06C465}"/>
    <cellStyle name="Note 2 7 5 2 12 2" xfId="44701" xr:uid="{F21346D9-56A9-4D70-AA4C-E9FA9EA6FAAD}"/>
    <cellStyle name="Note 2 7 5 2 13" xfId="51572" xr:uid="{D4A008A9-ACDC-47C8-92A5-4EED24F0A032}"/>
    <cellStyle name="Note 2 7 5 2 2" xfId="4107" xr:uid="{00000000-0005-0000-0000-0000A6070000}"/>
    <cellStyle name="Note 2 7 5 2 2 2" xfId="11011" xr:uid="{DD89007F-BB8C-4232-BA50-0ED6BADB8E81}"/>
    <cellStyle name="Note 2 7 5 2 2 2 2" xfId="33497" xr:uid="{36B691F9-2336-458F-A739-024B783A45A0}"/>
    <cellStyle name="Note 2 7 5 2 2 2 3" xfId="48150" xr:uid="{69ABE371-4D53-4B3C-8EFF-984EEF9C78B5}"/>
    <cellStyle name="Note 2 7 5 2 2 3" xfId="16111" xr:uid="{6E9BB729-AA29-40A5-B0EA-1B8056DDB736}"/>
    <cellStyle name="Note 2 7 5 2 2 3 2" xfId="38511" xr:uid="{1D5C7250-52FF-40C4-A512-2D7CB34D1C79}"/>
    <cellStyle name="Note 2 7 5 2 2 3 3" xfId="24497" xr:uid="{BA9610CD-9C29-45E7-A311-699CBF13813E}"/>
    <cellStyle name="Note 2 7 5 2 2 4" xfId="20440" xr:uid="{74230881-B6BA-4C26-9C4F-1DD1B448982D}"/>
    <cellStyle name="Note 2 7 5 2 2 4 2" xfId="49565" xr:uid="{BB74EF36-BE22-4BD3-832F-607EA01296E2}"/>
    <cellStyle name="Note 2 7 5 2 2 5" xfId="43713" xr:uid="{79038511-EEE0-4738-800D-C976CF291586}"/>
    <cellStyle name="Note 2 7 5 2 3" xfId="5453" xr:uid="{00000000-0005-0000-0000-0000A6070000}"/>
    <cellStyle name="Note 2 7 5 2 3 2" xfId="12342" xr:uid="{EC9E80C6-F655-4798-8F67-17CD6B76E4BD}"/>
    <cellStyle name="Note 2 7 5 2 3 2 2" xfId="34827" xr:uid="{3F8E434F-CCB9-446F-8F09-F8B3B354D606}"/>
    <cellStyle name="Note 2 7 5 2 3 2 3" xfId="44305" xr:uid="{30463ACE-E2E4-4EA2-8413-0E1F9FBDBDCD}"/>
    <cellStyle name="Note 2 7 5 2 3 3" xfId="17390" xr:uid="{EFE73DC0-D8C3-4678-B3FF-5CB8C8503D7D}"/>
    <cellStyle name="Note 2 7 5 2 3 3 2" xfId="39780" xr:uid="{64FF3277-D7E8-47B8-9B80-92C7688F52E1}"/>
    <cellStyle name="Note 2 7 5 2 3 3 3" xfId="42235" xr:uid="{730F796A-437E-4C80-8013-0C2366DDAFD2}"/>
    <cellStyle name="Note 2 7 5 2 3 4" xfId="21814" xr:uid="{AE4FCDEA-E9CD-4832-8CED-E34092FED766}"/>
    <cellStyle name="Note 2 7 5 2 3 4 2" xfId="34870" xr:uid="{A3B1F719-495C-4ADC-AC2C-E3716CBDAD79}"/>
    <cellStyle name="Note 2 7 5 2 3 5" xfId="47535" xr:uid="{32486206-3ACB-401D-A3F5-71459F9B762E}"/>
    <cellStyle name="Note 2 7 5 2 4" xfId="5876" xr:uid="{00000000-0005-0000-0000-0000A6070000}"/>
    <cellStyle name="Note 2 7 5 2 4 2" xfId="12758" xr:uid="{405BED1F-6F01-4F3C-89EE-051401C997E9}"/>
    <cellStyle name="Note 2 7 5 2 4 2 2" xfId="35242" xr:uid="{E71EE8FB-FC2D-459E-B088-B095DA152CDA}"/>
    <cellStyle name="Note 2 7 5 2 4 2 3" xfId="29441" xr:uid="{33945F9A-F163-4570-8C51-926231935D83}"/>
    <cellStyle name="Note 2 7 5 2 4 3" xfId="17813" xr:uid="{4641F2B0-D50E-405D-A721-6C20EF6D7486}"/>
    <cellStyle name="Note 2 7 5 2 4 3 2" xfId="40203" xr:uid="{61FDD3AE-D440-4C78-8C4D-624BAB0F1FC4}"/>
    <cellStyle name="Note 2 7 5 2 4 3 3" xfId="24466" xr:uid="{152D74D8-654B-4D8F-B81E-23473C95325C}"/>
    <cellStyle name="Note 2 7 5 2 4 4" xfId="22237" xr:uid="{F84758BB-D7E2-4456-86A8-D1F056A8DA43}"/>
    <cellStyle name="Note 2 7 5 2 4 4 2" xfId="50244" xr:uid="{3C0AED50-7054-477B-94D8-47C07441342D}"/>
    <cellStyle name="Note 2 7 5 2 4 5" xfId="45257" xr:uid="{1A2351C5-3F2A-4254-846C-64C54FA64A61}"/>
    <cellStyle name="Note 2 7 5 2 5" xfId="6214" xr:uid="{00000000-0005-0000-0000-0000A6070000}"/>
    <cellStyle name="Note 2 7 5 2 5 2" xfId="13089" xr:uid="{18474539-CE4B-4CC9-9048-91AC1D49BF4F}"/>
    <cellStyle name="Note 2 7 5 2 5 2 2" xfId="35573" xr:uid="{3E7127A0-55FE-4E22-A463-891E4124B1B8}"/>
    <cellStyle name="Note 2 7 5 2 5 2 3" xfId="53868" xr:uid="{A7159FDC-FCE3-4D14-ADE9-F2F461DE4B5A}"/>
    <cellStyle name="Note 2 7 5 2 5 3" xfId="18151" xr:uid="{5A81EF25-4377-4524-B12F-D87D4A48A457}"/>
    <cellStyle name="Note 2 7 5 2 5 3 2" xfId="40541" xr:uid="{E6548BAE-A1B5-4D86-88DD-AD64B2A52119}"/>
    <cellStyle name="Note 2 7 5 2 5 3 3" xfId="29528" xr:uid="{14EE7817-88D9-4E6F-8F61-49621E5A7E86}"/>
    <cellStyle name="Note 2 7 5 2 5 4" xfId="22575" xr:uid="{02792723-13C0-429D-8E6B-420DA6322C6D}"/>
    <cellStyle name="Note 2 7 5 2 5 4 2" xfId="51068" xr:uid="{6658F9DF-B0BC-4A92-8743-A93CD1D3F8A1}"/>
    <cellStyle name="Note 2 7 5 2 5 5" xfId="43898" xr:uid="{417F5605-B6D7-485C-A577-D90D9123C268}"/>
    <cellStyle name="Note 2 7 5 2 6" xfId="6580" xr:uid="{00000000-0005-0000-0000-0000A6070000}"/>
    <cellStyle name="Note 2 7 5 2 6 2" xfId="13446" xr:uid="{BC94B7AC-3829-44FA-A349-3CE734E76895}"/>
    <cellStyle name="Note 2 7 5 2 6 2 2" xfId="35930" xr:uid="{DCBBEC8D-7313-4C75-918D-392CD545C0B2}"/>
    <cellStyle name="Note 2 7 5 2 6 2 3" xfId="53921" xr:uid="{E586D613-E236-4884-8BA8-9A4341D8ACAF}"/>
    <cellStyle name="Note 2 7 5 2 6 3" xfId="18517" xr:uid="{AEA19289-1E49-4787-BFA4-1A5C48FC7AA7}"/>
    <cellStyle name="Note 2 7 5 2 6 3 2" xfId="40907" xr:uid="{DA2D56FF-8568-40BC-9DBA-B0D99755A211}"/>
    <cellStyle name="Note 2 7 5 2 6 3 3" xfId="45812" xr:uid="{54ECFA91-D2E2-486D-A5AD-B469A5AE6AE9}"/>
    <cellStyle name="Note 2 7 5 2 6 4" xfId="22941" xr:uid="{29132D4C-0DB5-4DC7-B58A-639D15B6507F}"/>
    <cellStyle name="Note 2 7 5 2 6 4 2" xfId="50087" xr:uid="{3D985094-EB8F-4FB2-8F79-4F405F6A9001}"/>
    <cellStyle name="Note 2 7 5 2 6 5" xfId="28635" xr:uid="{02E5D399-3D31-4CB7-811E-F3EDE5A2B17E}"/>
    <cellStyle name="Note 2 7 5 2 7" xfId="6693" xr:uid="{00000000-0005-0000-0000-0000A6070000}"/>
    <cellStyle name="Note 2 7 5 2 7 2" xfId="13559" xr:uid="{BDA3449C-4153-40A6-9EA6-1C5F74CBB37D}"/>
    <cellStyle name="Note 2 7 5 2 7 2 2" xfId="36043" xr:uid="{33ED29B2-EB28-456E-9BB3-B0BBBEAA3384}"/>
    <cellStyle name="Note 2 7 5 2 7 2 3" xfId="45131" xr:uid="{697ACBEE-E255-4E92-AC64-15716049BE18}"/>
    <cellStyle name="Note 2 7 5 2 7 3" xfId="18630" xr:uid="{FC1E76C3-0F12-43A2-AA5D-C2B3BFBC7BF1}"/>
    <cellStyle name="Note 2 7 5 2 7 3 2" xfId="41020" xr:uid="{FE00210A-1F92-43AE-84E6-38204F1EB966}"/>
    <cellStyle name="Note 2 7 5 2 7 3 3" xfId="27855" xr:uid="{7EF9E02A-7A59-4656-B5C7-3E43101C1047}"/>
    <cellStyle name="Note 2 7 5 2 7 4" xfId="23054" xr:uid="{473E1C95-6DF4-4416-A1F8-ECDC9F8F36AC}"/>
    <cellStyle name="Note 2 7 5 2 7 4 2" xfId="48922" xr:uid="{1A493450-6964-421D-BE83-09EA83B24F6D}"/>
    <cellStyle name="Note 2 7 5 2 7 5" xfId="48256" xr:uid="{62D881E4-4735-462A-AFFA-42B11977E523}"/>
    <cellStyle name="Note 2 7 5 2 8" xfId="7050" xr:uid="{00000000-0005-0000-0000-0000A6070000}"/>
    <cellStyle name="Note 2 7 5 2 8 2" xfId="13886" xr:uid="{A7F697AC-0579-4391-8B4C-1A465D8280C3}"/>
    <cellStyle name="Note 2 7 5 2 8 2 2" xfId="36370" xr:uid="{360779B1-513F-4780-B210-2E48B685B44E}"/>
    <cellStyle name="Note 2 7 5 2 8 2 3" xfId="48966" xr:uid="{8062DFCC-20A0-4EC1-80E9-3B977D79C8CB}"/>
    <cellStyle name="Note 2 7 5 2 8 3" xfId="18987" xr:uid="{7C1453E5-A53E-4309-92C1-ECD53E63A4CD}"/>
    <cellStyle name="Note 2 7 5 2 8 3 2" xfId="41377" xr:uid="{D4E7ACAD-909A-405F-9570-E3ADADF9A9AF}"/>
    <cellStyle name="Note 2 7 5 2 8 3 3" xfId="24585" xr:uid="{CA7ADBCD-1986-4383-A36A-57CA284CEEBA}"/>
    <cellStyle name="Note 2 7 5 2 8 4" xfId="23411" xr:uid="{77116FF7-A36D-48CB-AB6F-5EB713D7769E}"/>
    <cellStyle name="Note 2 7 5 2 8 4 2" xfId="38538" xr:uid="{B9725A15-44E3-43C6-A60E-11E63A941EE8}"/>
    <cellStyle name="Note 2 7 5 2 8 5" xfId="47069" xr:uid="{311E57BC-813F-469D-9042-A1EEF650DC37}"/>
    <cellStyle name="Note 2 7 5 2 9" xfId="7165" xr:uid="{00000000-0005-0000-0000-0000A6070000}"/>
    <cellStyle name="Note 2 7 5 2 9 2" xfId="19102" xr:uid="{C68E47BB-D2FF-4461-AC47-852AD8010CD5}"/>
    <cellStyle name="Note 2 7 5 2 9 2 2" xfId="41492" xr:uid="{531BB027-1214-4080-B240-3ED4B7D921B4}"/>
    <cellStyle name="Note 2 7 5 2 9 2 3" xfId="32626" xr:uid="{4479623E-373E-4C22-A7A0-E79755BE7E1B}"/>
    <cellStyle name="Note 2 7 5 2 9 3" xfId="23526" xr:uid="{CD909CDC-D181-404F-8140-B92E76CB4D99}"/>
    <cellStyle name="Note 2 7 5 2 9 3 2" xfId="48357" xr:uid="{7E657019-7A29-4380-AFEE-0AB1AB7405F6}"/>
    <cellStyle name="Note 2 7 5 2 9 4" xfId="26638" xr:uid="{330288AC-B67D-44E4-B24D-E6EE216B9A71}"/>
    <cellStyle name="Note 2 7 5 3" xfId="4912" xr:uid="{00000000-0005-0000-0000-0000A5070000}"/>
    <cellStyle name="Note 2 7 5 3 2" xfId="11807" xr:uid="{58234AEB-3259-4C95-AEAC-792D84A53AD1}"/>
    <cellStyle name="Note 2 7 5 3 2 2" xfId="34293" xr:uid="{CD27347D-8204-4A16-B2DA-4CBB803865BF}"/>
    <cellStyle name="Note 2 7 5 3 2 3" xfId="38658" xr:uid="{A522652F-373D-4810-80F2-5C6BDEB6CB5B}"/>
    <cellStyle name="Note 2 7 5 3 3" xfId="16849" xr:uid="{178C56F2-C1A5-490B-8C9A-4605D65A0C86}"/>
    <cellStyle name="Note 2 7 5 3 3 2" xfId="39239" xr:uid="{F41BE6A0-1FE7-4B9A-84D0-0E67F8763875}"/>
    <cellStyle name="Note 2 7 5 3 3 3" xfId="45837" xr:uid="{FAD389CA-5775-4443-A4C9-50B0DAC3C76A}"/>
    <cellStyle name="Note 2 7 5 3 4" xfId="20686" xr:uid="{B7DFE6E8-36B2-471E-B938-B26A3B0299A8}"/>
    <cellStyle name="Note 2 7 5 3 4 2" xfId="54054" xr:uid="{FF5BDB23-7A2D-4618-9463-71C22017EAC2}"/>
    <cellStyle name="Note 2 7 5 3 5" xfId="27554" xr:uid="{01058627-4F86-44D6-BB37-43B93967CC2D}"/>
    <cellStyle name="Note 2 7 5 4" xfId="3358" xr:uid="{00000000-0005-0000-0000-0000A5070000}"/>
    <cellStyle name="Note 2 7 5 4 2" xfId="10266" xr:uid="{1FBCCBD8-CA0F-488E-A386-887EADED30E6}"/>
    <cellStyle name="Note 2 7 5 4 2 2" xfId="32760" xr:uid="{B29232FF-3250-4AFC-B262-C9D0333BB80B}"/>
    <cellStyle name="Note 2 7 5 4 2 3" xfId="44717" xr:uid="{98352047-F69E-48B3-89B8-8C24CCBCA9A0}"/>
    <cellStyle name="Note 2 7 5 4 3" xfId="15580" xr:uid="{1EDF0F41-FEE7-4AD7-88F0-7F3B259B2BC8}"/>
    <cellStyle name="Note 2 7 5 4 3 2" xfId="37999" xr:uid="{87BAA82B-8656-4AFA-A764-7759635091D9}"/>
    <cellStyle name="Note 2 7 5 4 3 3" xfId="43639" xr:uid="{AF8B2A82-DC4A-47AC-A08D-9E7455AA2666}"/>
    <cellStyle name="Note 2 7 5 4 4" xfId="19869" xr:uid="{D425C243-CFF1-449C-B0B5-3F3F36F2A518}"/>
    <cellStyle name="Note 2 7 5 4 4 2" xfId="42774" xr:uid="{6CE8A4F0-9FC7-4DFE-AF81-9A20B355D39F}"/>
    <cellStyle name="Note 2 7 5 4 5" xfId="37657" xr:uid="{65DD1F89-903B-4ED6-8597-FB89FE843F0B}"/>
    <cellStyle name="Note 2 7 5 5" xfId="6126" xr:uid="{00000000-0005-0000-0000-0000A5070000}"/>
    <cellStyle name="Note 2 7 5 5 2" xfId="13003" xr:uid="{481D681E-20BC-47E1-9FFA-5D96E1DC62AB}"/>
    <cellStyle name="Note 2 7 5 5 2 2" xfId="35487" xr:uid="{E020AC95-4790-4CC2-92B5-B2ED19761A9D}"/>
    <cellStyle name="Note 2 7 5 5 2 3" xfId="48935" xr:uid="{5A0A84C9-828B-4101-AB46-7E1C11813097}"/>
    <cellStyle name="Note 2 7 5 5 3" xfId="18063" xr:uid="{0330D84E-5481-4717-A926-4349B45DAE4B}"/>
    <cellStyle name="Note 2 7 5 5 3 2" xfId="40453" xr:uid="{B3DB8D4D-7DA2-4CC8-A865-05C640B767EF}"/>
    <cellStyle name="Note 2 7 5 5 3 3" xfId="43734" xr:uid="{B717DC3D-1A9C-4A76-AB1B-EE06A1588CD6}"/>
    <cellStyle name="Note 2 7 5 5 4" xfId="22487" xr:uid="{C5CE9B6C-9E5F-4110-B362-C5BEE3E412D9}"/>
    <cellStyle name="Note 2 7 5 5 4 2" xfId="42772" xr:uid="{BBC0119A-92AB-4ED2-BF28-1B91CF2D94D5}"/>
    <cellStyle name="Note 2 7 5 5 5" xfId="52340" xr:uid="{B2CD2682-5DF4-42BE-9A17-90DBD3056897}"/>
    <cellStyle name="Note 2 7 5 6" xfId="4853" xr:uid="{00000000-0005-0000-0000-0000A5070000}"/>
    <cellStyle name="Note 2 7 5 6 2" xfId="11749" xr:uid="{3E9FF00A-10FD-4C5A-ABD7-F96714FAB69E}"/>
    <cellStyle name="Note 2 7 5 6 2 2" xfId="34235" xr:uid="{FD65036A-F829-4435-B54E-EFB4A2399D74}"/>
    <cellStyle name="Note 2 7 5 6 2 3" xfId="23920" xr:uid="{D39113FD-FE7E-4B4F-96F6-945E66B78354}"/>
    <cellStyle name="Note 2 7 5 6 3" xfId="16790" xr:uid="{46712AC6-3B77-4BDC-9690-2B7D5C462DD3}"/>
    <cellStyle name="Note 2 7 5 6 3 2" xfId="39180" xr:uid="{B220296D-3523-449B-8C9A-591FF06F3573}"/>
    <cellStyle name="Note 2 7 5 6 3 3" xfId="27886" xr:uid="{EA44FE81-E5BB-4D95-B395-550ED54CE7B1}"/>
    <cellStyle name="Note 2 7 5 6 4" xfId="19350" xr:uid="{9E671774-D955-4FD0-865C-4559C1129066}"/>
    <cellStyle name="Note 2 7 5 6 4 2" xfId="26567" xr:uid="{779A198A-8626-49E8-8B0E-FF3E731187B4}"/>
    <cellStyle name="Note 2 7 5 6 5" xfId="49220" xr:uid="{D5E1B069-6AE2-45F4-9A1E-52F107445BB7}"/>
    <cellStyle name="Note 2 7 5 7" xfId="14087" xr:uid="{D44F54B0-11B1-4D0C-8B39-6E7D4953CAF6}"/>
    <cellStyle name="Note 2 7 5 7 2" xfId="36565" xr:uid="{BF7F24E4-482D-419C-8F2C-CE6FA6EB9EEF}"/>
    <cellStyle name="Note 2 7 5 7 3" xfId="44413" xr:uid="{67442340-9E57-4AA3-A7DB-59270B31101F}"/>
    <cellStyle name="Note 2 7 5 8" xfId="19312" xr:uid="{9A350297-46A4-43AD-89B8-36FADBE49BE9}"/>
    <cellStyle name="Note 2 7 5 8 2" xfId="41692" xr:uid="{D6361B54-29AA-49EF-BE8C-36002E50C0E7}"/>
    <cellStyle name="Note 2 7 5 8 3" xfId="29128" xr:uid="{3796C138-536B-4759-A540-330B040677BA}"/>
    <cellStyle name="Note 2 7 5 9" xfId="21052" xr:uid="{64EC1F81-6DCB-4E9F-9CF4-4943F5610AC8}"/>
    <cellStyle name="Note 2 7 5 9 2" xfId="53506" xr:uid="{DB76C5D9-0586-4530-97DE-341CA12C74CA}"/>
    <cellStyle name="Note 2 7 6" xfId="1374" xr:uid="{00000000-0005-0000-0000-0000A9070000}"/>
    <cellStyle name="Note 2 7 6 10" xfId="49158" xr:uid="{4852B8F0-E07C-4237-A0C6-11AC9C0501B2}"/>
    <cellStyle name="Note 2 7 6 2" xfId="2103" xr:uid="{00000000-0005-0000-0000-0000AA070000}"/>
    <cellStyle name="Note 2 7 6 2 10" xfId="14732" xr:uid="{501A8388-5033-4F54-BB3D-C43AF3FF73B9}"/>
    <cellStyle name="Note 2 7 6 2 10 2" xfId="37190" xr:uid="{596575E1-81A0-44B5-8AEC-49FADBAD3B95}"/>
    <cellStyle name="Note 2 7 6 2 10 3" xfId="44365" xr:uid="{D9612BA4-45C9-49AA-AAFD-728C16A54F64}"/>
    <cellStyle name="Note 2 7 6 2 11" xfId="21196" xr:uid="{E4231350-AB48-4A6B-96BC-E407B1CB5A58}"/>
    <cellStyle name="Note 2 7 6 2 11 2" xfId="43436" xr:uid="{2D764274-DA7B-48A4-8C65-56604B25A5CF}"/>
    <cellStyle name="Note 2 7 6 2 11 3" xfId="45376" xr:uid="{90E7C1FA-CE95-42B9-A562-5B6CEBA34684}"/>
    <cellStyle name="Note 2 7 6 2 12" xfId="8319" xr:uid="{C0AEBB5D-09EC-417F-A3EA-2E0E91A84D42}"/>
    <cellStyle name="Note 2 7 6 2 12 2" xfId="52305" xr:uid="{06C22AC7-F354-4E67-908D-4F874F7F1428}"/>
    <cellStyle name="Note 2 7 6 2 13" xfId="47786" xr:uid="{8661340B-2B54-4775-8016-9710CA4CBB18}"/>
    <cellStyle name="Note 2 7 6 2 2" xfId="4196" xr:uid="{00000000-0005-0000-0000-0000A8070000}"/>
    <cellStyle name="Note 2 7 6 2 2 2" xfId="11100" xr:uid="{D4E71A79-5471-4164-A5C9-51D6AD578E28}"/>
    <cellStyle name="Note 2 7 6 2 2 2 2" xfId="33586" xr:uid="{9CD726F0-9581-4D59-A512-94CDC8397DF2}"/>
    <cellStyle name="Note 2 7 6 2 2 2 3" xfId="50673" xr:uid="{63ABF5B7-2489-4A61-A506-A2D34E6DAADC}"/>
    <cellStyle name="Note 2 7 6 2 2 3" xfId="16189" xr:uid="{FDBBD068-56EB-47F6-BCE9-BABB50DAFF19}"/>
    <cellStyle name="Note 2 7 6 2 2 3 2" xfId="38588" xr:uid="{BC254E60-23A0-4165-93BF-0B497DAF373D}"/>
    <cellStyle name="Note 2 7 6 2 2 3 3" xfId="24346" xr:uid="{D3E8BF4E-58FA-4726-BE8F-0F5AB3F87208}"/>
    <cellStyle name="Note 2 7 6 2 2 4" xfId="19676" xr:uid="{6B4E93CC-AA86-4D51-8876-CA1E2B46ED55}"/>
    <cellStyle name="Note 2 7 6 2 2 4 2" xfId="24344" xr:uid="{0C6E35B2-45B9-4C51-B0E6-9F17E083E771}"/>
    <cellStyle name="Note 2 7 6 2 2 5" xfId="51621" xr:uid="{1AE8D737-6619-4005-8DA1-7DC35A996DF4}"/>
    <cellStyle name="Note 2 7 6 2 3" xfId="5522" xr:uid="{00000000-0005-0000-0000-0000A8070000}"/>
    <cellStyle name="Note 2 7 6 2 3 2" xfId="12411" xr:uid="{FFA3B09E-7975-4166-BA22-BD5EB64FBAF8}"/>
    <cellStyle name="Note 2 7 6 2 3 2 2" xfId="34896" xr:uid="{D29BB140-74FA-497A-AE70-EB32B96525C2}"/>
    <cellStyle name="Note 2 7 6 2 3 2 3" xfId="42493" xr:uid="{4238BB30-04F0-48C7-841F-2E9659047CF5}"/>
    <cellStyle name="Note 2 7 6 2 3 3" xfId="17459" xr:uid="{D40BC71A-953B-41BE-969F-170B7ADE8C79}"/>
    <cellStyle name="Note 2 7 6 2 3 3 2" xfId="39849" xr:uid="{C678F1BF-B141-4917-88DB-AF6941F984BF}"/>
    <cellStyle name="Note 2 7 6 2 3 3 3" xfId="23936" xr:uid="{F4137361-2975-4D48-BA93-C1CD917A71F2}"/>
    <cellStyle name="Note 2 7 6 2 3 4" xfId="21883" xr:uid="{CAF25380-1CD1-450A-A32B-0D4C78E3EF6E}"/>
    <cellStyle name="Note 2 7 6 2 3 4 2" xfId="50259" xr:uid="{3ECB1FEF-C29C-49D0-A331-2DFC5FBB9C1E}"/>
    <cellStyle name="Note 2 7 6 2 3 5" xfId="51125" xr:uid="{8682B20B-C758-40CF-9561-9B738D39B380}"/>
    <cellStyle name="Note 2 7 6 2 4" xfId="5944" xr:uid="{00000000-0005-0000-0000-0000A8070000}"/>
    <cellStyle name="Note 2 7 6 2 4 2" xfId="12825" xr:uid="{8C804DFC-6C76-4F40-B767-E0BDB85ACB59}"/>
    <cellStyle name="Note 2 7 6 2 4 2 2" xfId="35309" xr:uid="{DB24B335-697D-463F-ACC7-885C08F94EE1}"/>
    <cellStyle name="Note 2 7 6 2 4 2 3" xfId="44211" xr:uid="{41FB63C8-E813-4089-AD2C-7DC9B4E57153}"/>
    <cellStyle name="Note 2 7 6 2 4 3" xfId="17881" xr:uid="{13221650-8C0D-485C-BECA-10932CCAABD1}"/>
    <cellStyle name="Note 2 7 6 2 4 3 2" xfId="40271" xr:uid="{17F9C83D-9FDC-4D84-A123-02FED439278C}"/>
    <cellStyle name="Note 2 7 6 2 4 3 3" xfId="27020" xr:uid="{4BD862EA-F652-43FB-B032-B34EEF0FBCA0}"/>
    <cellStyle name="Note 2 7 6 2 4 4" xfId="22305" xr:uid="{6A3C812F-8F4C-4B36-8530-60A7575DAA98}"/>
    <cellStyle name="Note 2 7 6 2 4 4 2" xfId="45555" xr:uid="{453AB83E-253C-4F49-BF54-E1D2EBF0F625}"/>
    <cellStyle name="Note 2 7 6 2 4 5" xfId="52175" xr:uid="{7269E207-0EA8-4440-9F69-E4178115D4F4}"/>
    <cellStyle name="Note 2 7 6 2 5" xfId="6284" xr:uid="{00000000-0005-0000-0000-0000A8070000}"/>
    <cellStyle name="Note 2 7 6 2 5 2" xfId="13156" xr:uid="{01F035FF-E396-4FE8-924A-AC44890E3557}"/>
    <cellStyle name="Note 2 7 6 2 5 2 2" xfId="35640" xr:uid="{98501B1C-334A-4A88-931B-1011CF25C5DB}"/>
    <cellStyle name="Note 2 7 6 2 5 2 3" xfId="24487" xr:uid="{24D54B2F-1F8C-45E2-9108-93C4CF27C230}"/>
    <cellStyle name="Note 2 7 6 2 5 3" xfId="18221" xr:uid="{A371D224-78BA-453C-B925-03B9DD7C8B19}"/>
    <cellStyle name="Note 2 7 6 2 5 3 2" xfId="40611" xr:uid="{13996911-79DA-4882-B800-2BDA6EE12F7B}"/>
    <cellStyle name="Note 2 7 6 2 5 3 3" xfId="43635" xr:uid="{855A082E-2E14-4C4E-8E80-C40555F69323}"/>
    <cellStyle name="Note 2 7 6 2 5 4" xfId="22645" xr:uid="{836CB079-F125-4B09-B8DD-A967BCB9040C}"/>
    <cellStyle name="Note 2 7 6 2 5 4 2" xfId="53356" xr:uid="{E4C70302-95A5-4D97-B8B5-B7F02302CCBD}"/>
    <cellStyle name="Note 2 7 6 2 5 5" xfId="48016" xr:uid="{0744018F-A545-4D0F-80C5-BC15346B3B4F}"/>
    <cellStyle name="Note 2 7 6 2 6" xfId="6639" xr:uid="{00000000-0005-0000-0000-0000A8070000}"/>
    <cellStyle name="Note 2 7 6 2 6 2" xfId="13505" xr:uid="{95E2B142-9F69-43D9-AEFA-DA17C354FA76}"/>
    <cellStyle name="Note 2 7 6 2 6 2 2" xfId="35989" xr:uid="{1FA4A4EC-5D61-4B73-9D7A-E9159C01CF6F}"/>
    <cellStyle name="Note 2 7 6 2 6 2 3" xfId="50398" xr:uid="{36B9B3AC-B4EE-49F9-8EA3-1ECAC5218D03}"/>
    <cellStyle name="Note 2 7 6 2 6 3" xfId="18576" xr:uid="{9AAE1268-9D26-428C-AC6F-5156C8C12D44}"/>
    <cellStyle name="Note 2 7 6 2 6 3 2" xfId="40966" xr:uid="{8F821E7F-39A0-461A-9DF5-18923EA4876D}"/>
    <cellStyle name="Note 2 7 6 2 6 3 3" xfId="29420" xr:uid="{CA4A3088-47D6-4075-A364-E7DBA0CDA53E}"/>
    <cellStyle name="Note 2 7 6 2 6 4" xfId="23000" xr:uid="{FB9963FF-93EE-4B92-A6E0-3DEC6E278747}"/>
    <cellStyle name="Note 2 7 6 2 6 4 2" xfId="50900" xr:uid="{57A58AE8-3A81-44BC-A1EE-9563CEF34C1F}"/>
    <cellStyle name="Note 2 7 6 2 6 5" xfId="51664" xr:uid="{C17518C0-BC83-4895-971F-803B25F6E055}"/>
    <cellStyle name="Note 2 7 6 2 7" xfId="6048" xr:uid="{00000000-0005-0000-0000-0000A8070000}"/>
    <cellStyle name="Note 2 7 6 2 7 2" xfId="12927" xr:uid="{FF930781-A8B3-4B6E-B771-EE59E358DFB4}"/>
    <cellStyle name="Note 2 7 6 2 7 2 2" xfId="35411" xr:uid="{47E1D6B5-B937-4B90-9D66-75748B809913}"/>
    <cellStyle name="Note 2 7 6 2 7 2 3" xfId="53434" xr:uid="{C0039FB7-31C8-4A07-BE34-2AF2B9F4C035}"/>
    <cellStyle name="Note 2 7 6 2 7 3" xfId="17985" xr:uid="{268BCD3A-9233-48B5-869E-DCEAB1048564}"/>
    <cellStyle name="Note 2 7 6 2 7 3 2" xfId="40375" xr:uid="{D80F4C62-E20C-489D-A38F-44427016F3C7}"/>
    <cellStyle name="Note 2 7 6 2 7 3 3" xfId="25331" xr:uid="{0B2582F2-904D-4CD0-8A84-81C07C06C635}"/>
    <cellStyle name="Note 2 7 6 2 7 4" xfId="22409" xr:uid="{515FE7D8-2C01-4FCD-9E23-1A35CC0C1B30}"/>
    <cellStyle name="Note 2 7 6 2 7 4 2" xfId="45983" xr:uid="{A999B543-7756-44E4-8582-3CA5D316322C}"/>
    <cellStyle name="Note 2 7 6 2 7 5" xfId="27128" xr:uid="{8B1E9865-9918-4667-8F64-0611A5520DE3}"/>
    <cellStyle name="Note 2 7 6 2 8" xfId="7094" xr:uid="{00000000-0005-0000-0000-0000A8070000}"/>
    <cellStyle name="Note 2 7 6 2 8 2" xfId="13930" xr:uid="{CF06A0A5-C37C-48A6-A66C-A888A9CB7D5A}"/>
    <cellStyle name="Note 2 7 6 2 8 2 2" xfId="36414" xr:uid="{25D4027C-56A9-4CEF-9A06-8D11DD51EE0E}"/>
    <cellStyle name="Note 2 7 6 2 8 2 3" xfId="53505" xr:uid="{33A0AA61-6B7E-4A79-B083-15532A8ED4E4}"/>
    <cellStyle name="Note 2 7 6 2 8 3" xfId="19031" xr:uid="{5F5E539A-6183-4888-AFE0-01102EBCE9A2}"/>
    <cellStyle name="Note 2 7 6 2 8 3 2" xfId="41421" xr:uid="{49BDAB1D-365F-4A8D-AF42-10CA0F2E1601}"/>
    <cellStyle name="Note 2 7 6 2 8 3 3" xfId="45530" xr:uid="{71695ADE-9A6F-4D3C-AEE0-5B6CCB4AC1EE}"/>
    <cellStyle name="Note 2 7 6 2 8 4" xfId="23455" xr:uid="{CC6BACF9-B825-474F-87B9-759C56CB0164}"/>
    <cellStyle name="Note 2 7 6 2 8 4 2" xfId="53329" xr:uid="{FEC6D089-D06C-4C03-BC8A-5421F372F013}"/>
    <cellStyle name="Note 2 7 6 2 8 5" xfId="29062" xr:uid="{40958137-C6D3-4F66-B338-C041125C5566}"/>
    <cellStyle name="Note 2 7 6 2 9" xfId="7209" xr:uid="{00000000-0005-0000-0000-0000A8070000}"/>
    <cellStyle name="Note 2 7 6 2 9 2" xfId="19146" xr:uid="{3DC179A2-8501-49AE-B520-0C15E425458D}"/>
    <cellStyle name="Note 2 7 6 2 9 2 2" xfId="41536" xr:uid="{47BDFA92-CDEA-4FD0-9F8C-CDA983C38ECE}"/>
    <cellStyle name="Note 2 7 6 2 9 2 3" xfId="29207" xr:uid="{59BFBABB-AC84-4477-B5D1-E03ABD9048A4}"/>
    <cellStyle name="Note 2 7 6 2 9 3" xfId="23570" xr:uid="{D7F0F21F-B4F3-4ADF-BC92-80F18E35B69C}"/>
    <cellStyle name="Note 2 7 6 2 9 3 2" xfId="44931" xr:uid="{64765815-B8E9-44BA-86B5-BC81D2F7F6D4}"/>
    <cellStyle name="Note 2 7 6 2 9 4" xfId="46212" xr:uid="{C299B233-30E3-4B5C-9027-DF85129FD690}"/>
    <cellStyle name="Note 2 7 6 3" xfId="5011" xr:uid="{00000000-0005-0000-0000-0000A7070000}"/>
    <cellStyle name="Note 2 7 6 3 2" xfId="11905" xr:uid="{239CC3A5-2DE7-478F-B2BC-42E6AED674ED}"/>
    <cellStyle name="Note 2 7 6 3 2 2" xfId="34391" xr:uid="{F56048EE-86A4-4940-972E-55AF36E56754}"/>
    <cellStyle name="Note 2 7 6 3 2 3" xfId="45649" xr:uid="{07A33AAA-41A7-43AF-960D-438991663426}"/>
    <cellStyle name="Note 2 7 6 3 3" xfId="16948" xr:uid="{491CE2CC-E434-439D-B149-1BD917BE84EE}"/>
    <cellStyle name="Note 2 7 6 3 3 2" xfId="39338" xr:uid="{A6F411C5-7679-4F53-892F-6CEEFC31B630}"/>
    <cellStyle name="Note 2 7 6 3 3 3" xfId="27374" xr:uid="{525165F8-CC6E-44C5-8604-0939710166A9}"/>
    <cellStyle name="Note 2 7 6 3 4" xfId="21372" xr:uid="{EDF10055-996B-4F30-A899-77053315BE67}"/>
    <cellStyle name="Note 2 7 6 3 4 2" xfId="49353" xr:uid="{E767CE32-537F-4A96-9F5C-F2E04EF0C189}"/>
    <cellStyle name="Note 2 7 6 3 5" xfId="48453" xr:uid="{8D07CBCC-2517-4A35-90EB-E5D020D8DAEF}"/>
    <cellStyle name="Note 2 7 6 4" xfId="5069" xr:uid="{00000000-0005-0000-0000-0000A7070000}"/>
    <cellStyle name="Note 2 7 6 4 2" xfId="11962" xr:uid="{29F22279-049B-4BBD-B23F-200ECD10D82D}"/>
    <cellStyle name="Note 2 7 6 4 2 2" xfId="34448" xr:uid="{E9897BA8-1F4B-4AE3-8129-7EF0A27912BC}"/>
    <cellStyle name="Note 2 7 6 4 2 3" xfId="42453" xr:uid="{CB0BD792-F5C0-4B47-88D6-B2C9E6D328CF}"/>
    <cellStyle name="Note 2 7 6 4 3" xfId="17006" xr:uid="{1CC50782-4FDD-4F26-9D98-7F35A7662019}"/>
    <cellStyle name="Note 2 7 6 4 3 2" xfId="39396" xr:uid="{BCF7AFE4-4A03-4E50-A4AE-0164AD3F2CCB}"/>
    <cellStyle name="Note 2 7 6 4 3 3" xfId="26687" xr:uid="{962CA1EA-9C28-43EE-AD17-6835B3E35C38}"/>
    <cellStyle name="Note 2 7 6 4 4" xfId="21430" xr:uid="{0E2B8E99-7CE2-4E5E-B14A-F661A7D6D8A0}"/>
    <cellStyle name="Note 2 7 6 4 4 2" xfId="53833" xr:uid="{C8F18A30-6AA3-4D24-A939-9F406BC1280D}"/>
    <cellStyle name="Note 2 7 6 4 5" xfId="52595" xr:uid="{3BBB2524-5D34-4F4F-82E9-057A6EB96531}"/>
    <cellStyle name="Note 2 7 6 5" xfId="5365" xr:uid="{00000000-0005-0000-0000-0000A7070000}"/>
    <cellStyle name="Note 2 7 6 5 2" xfId="12257" xr:uid="{11DD7A51-23E8-463D-A072-BCBDD2438725}"/>
    <cellStyle name="Note 2 7 6 5 2 2" xfId="34742" xr:uid="{9075C4E2-8A8D-439A-B81F-4BAADB6F7CFA}"/>
    <cellStyle name="Note 2 7 6 5 2 3" xfId="45041" xr:uid="{64B649B7-C403-492C-8F77-79275DA49B45}"/>
    <cellStyle name="Note 2 7 6 5 3" xfId="17302" xr:uid="{63F182A2-54F7-4D29-9957-24401C7484F6}"/>
    <cellStyle name="Note 2 7 6 5 3 2" xfId="39692" xr:uid="{8C24212E-B345-4B28-9C03-B53BC2000DC7}"/>
    <cellStyle name="Note 2 7 6 5 3 3" xfId="45214" xr:uid="{E5EC108E-B324-4093-A1BF-2B2C9AFF1DD3}"/>
    <cellStyle name="Note 2 7 6 5 4" xfId="21726" xr:uid="{0481FCCB-4ABA-422A-8A26-4BCD35D38524}"/>
    <cellStyle name="Note 2 7 6 5 4 2" xfId="50717" xr:uid="{37203AE3-1D38-4636-B40E-9CAC648B3A4D}"/>
    <cellStyle name="Note 2 7 6 5 5" xfId="46034" xr:uid="{9F8071E0-F527-41D4-8608-5C952FC08090}"/>
    <cellStyle name="Note 2 7 6 6" xfId="4760" xr:uid="{00000000-0005-0000-0000-0000A7070000}"/>
    <cellStyle name="Note 2 7 6 6 2" xfId="11658" xr:uid="{D5255D22-A10F-43E9-88BA-C53027F0ECB5}"/>
    <cellStyle name="Note 2 7 6 6 2 2" xfId="34144" xr:uid="{97D1BE64-4362-478E-A10F-E2C3EF6DA5A1}"/>
    <cellStyle name="Note 2 7 6 6 2 3" xfId="27124" xr:uid="{F1C1BD82-8B31-4B50-B121-417F77176977}"/>
    <cellStyle name="Note 2 7 6 6 3" xfId="16697" xr:uid="{91BF2546-214D-4560-9307-93EFF30CDDE8}"/>
    <cellStyle name="Note 2 7 6 6 3 2" xfId="39087" xr:uid="{A5A07DCF-FAD6-49D1-8519-EDA0A44DA971}"/>
    <cellStyle name="Note 2 7 6 6 3 3" xfId="26392" xr:uid="{6F2EB663-8C15-4714-B89F-6868AA662858}"/>
    <cellStyle name="Note 2 7 6 6 4" xfId="14164" xr:uid="{A91669B1-AEC0-4F86-A7AC-FF2BB26C3F81}"/>
    <cellStyle name="Note 2 7 6 6 4 2" xfId="47283" xr:uid="{C30308A4-3288-4E08-BC5D-8124B6BAD2C2}"/>
    <cellStyle name="Note 2 7 6 6 5" xfId="49138" xr:uid="{A3D4C6CD-E52E-4D60-A013-67AFF1BA97F6}"/>
    <cellStyle name="Note 2 7 6 7" xfId="14193" xr:uid="{9697EC31-FEC7-4FC5-AD93-17ACEE7363BB}"/>
    <cellStyle name="Note 2 7 6 7 2" xfId="36668" xr:uid="{AB0C2E30-1EBB-4381-857A-8BCE791FE887}"/>
    <cellStyle name="Note 2 7 6 7 3" xfId="47365" xr:uid="{00BBBF94-0C3F-4340-934E-B9690CD748DA}"/>
    <cellStyle name="Note 2 7 6 8" xfId="20818" xr:uid="{F409D452-56D8-4185-A6FB-F176D3B1A8FC}"/>
    <cellStyle name="Note 2 7 6 8 2" xfId="43084" xr:uid="{F037477E-4B60-4631-A469-E2BA2AF93845}"/>
    <cellStyle name="Note 2 7 6 8 3" xfId="47122" xr:uid="{0CF10CBE-14E7-431B-8ABA-01B215BAC880}"/>
    <cellStyle name="Note 2 7 6 9" xfId="13978" xr:uid="{4C1117C3-E8B0-4F58-AA88-11790C1E96F4}"/>
    <cellStyle name="Note 2 7 6 9 2" xfId="51115" xr:uid="{2E5ADD53-7347-4EB1-81C0-4D65DDA435A8}"/>
    <cellStyle name="Note 2 7 7" xfId="1646" xr:uid="{00000000-0005-0000-0000-0000AB070000}"/>
    <cellStyle name="Note 2 7 7 10" xfId="14360" xr:uid="{F05C3027-7262-4BC1-8A31-A589F00D584C}"/>
    <cellStyle name="Note 2 7 7 10 2" xfId="36828" xr:uid="{DA5BDC4C-774D-4E7F-81D9-E6C44701E0EE}"/>
    <cellStyle name="Note 2 7 7 10 3" xfId="52146" xr:uid="{E597E895-9119-41BD-A637-FF1936A5504C}"/>
    <cellStyle name="Note 2 7 7 11" xfId="20263" xr:uid="{6771EBE0-003B-4AB8-BBA9-B046FB05052D}"/>
    <cellStyle name="Note 2 7 7 11 2" xfId="42565" xr:uid="{E9015EAC-A939-4B56-9E9B-08814C9796AE}"/>
    <cellStyle name="Note 2 7 7 11 3" xfId="29084" xr:uid="{49722D53-C97B-41BE-925C-2E5253A1314C}"/>
    <cellStyle name="Note 2 7 7 12" xfId="7719" xr:uid="{E9226273-79AC-4F95-B241-59A8C6720B5C}"/>
    <cellStyle name="Note 2 7 7 12 2" xfId="48561" xr:uid="{F8CD28F3-7C4C-4D3D-ADDD-12127770AAA8}"/>
    <cellStyle name="Note 2 7 7 13" xfId="53048" xr:uid="{7C528833-DF7C-4CE3-BE99-7BF0BF617B9A}"/>
    <cellStyle name="Note 2 7 7 2" xfId="3744" xr:uid="{00000000-0005-0000-0000-0000A9070000}"/>
    <cellStyle name="Note 2 7 7 2 2" xfId="10648" xr:uid="{D153A71C-43D2-429E-852B-C90DF9D9E53A}"/>
    <cellStyle name="Note 2 7 7 2 2 2" xfId="33134" xr:uid="{C47A5349-0228-4BDB-876A-42E0B5026FB4}"/>
    <cellStyle name="Note 2 7 7 2 2 3" xfId="53806" xr:uid="{34AA66DE-FF75-45A6-AF51-38534E2C4CBD}"/>
    <cellStyle name="Note 2 7 7 2 3" xfId="15825" xr:uid="{6F12F9C3-4319-4247-BB91-0B2570F62B5D}"/>
    <cellStyle name="Note 2 7 7 2 3 2" xfId="38233" xr:uid="{CFAC6E41-E88E-4FF4-960E-C026EEF0DE8C}"/>
    <cellStyle name="Note 2 7 7 2 3 3" xfId="53201" xr:uid="{9B02899A-FA2B-4E66-B782-95404D2BBE3B}"/>
    <cellStyle name="Note 2 7 7 2 4" xfId="15121" xr:uid="{0832B7EE-23BC-4C39-A523-8893813CCB9C}"/>
    <cellStyle name="Note 2 7 7 2 4 2" xfId="44738" xr:uid="{A838C99F-75E5-4722-ACEF-10D7AF12C0DF}"/>
    <cellStyle name="Note 2 7 7 2 5" xfId="49444" xr:uid="{63F9CC02-977A-45C8-A2B0-C49F93DC2B02}"/>
    <cellStyle name="Note 2 7 7 3" xfId="5179" xr:uid="{00000000-0005-0000-0000-0000A9070000}"/>
    <cellStyle name="Note 2 7 7 3 2" xfId="12072" xr:uid="{29D40FFF-EDBF-4B3B-B86B-0AD1525678B0}"/>
    <cellStyle name="Note 2 7 7 3 2 2" xfId="34558" xr:uid="{31903603-22F8-4F4D-979E-875E80BC311C}"/>
    <cellStyle name="Note 2 7 7 3 2 3" xfId="45807" xr:uid="{433995E6-861D-41DC-97B7-CA57256A664B}"/>
    <cellStyle name="Note 2 7 7 3 3" xfId="17116" xr:uid="{0D928DA2-09D7-4AD7-BE97-0A3E03D7D2E8}"/>
    <cellStyle name="Note 2 7 7 3 3 2" xfId="39506" xr:uid="{6911EF31-FC60-4B68-B648-FF8EBCCABDA9}"/>
    <cellStyle name="Note 2 7 7 3 3 3" xfId="42859" xr:uid="{6AA5D654-A920-4544-AD09-E2471CA63FFE}"/>
    <cellStyle name="Note 2 7 7 3 4" xfId="21540" xr:uid="{9E6AD242-E2CA-48AC-81CA-9159B5E8D98C}"/>
    <cellStyle name="Note 2 7 7 3 4 2" xfId="51541" xr:uid="{E10614D7-1339-455C-92EE-BAD44CE1A447}"/>
    <cellStyle name="Note 2 7 7 3 5" xfId="28374" xr:uid="{4E712A8D-A988-4010-9D14-8AE07984DC81}"/>
    <cellStyle name="Note 2 7 7 4" xfId="4471" xr:uid="{00000000-0005-0000-0000-0000A9070000}"/>
    <cellStyle name="Note 2 7 7 4 2" xfId="11373" xr:uid="{48A39B81-A085-40EC-AEE5-2A3434B7201B}"/>
    <cellStyle name="Note 2 7 7 4 2 2" xfId="33859" xr:uid="{BCEDE8E9-CAD2-4B66-A5CD-E8C40C3EF7FC}"/>
    <cellStyle name="Note 2 7 7 4 2 3" xfId="42055" xr:uid="{57B8145D-446A-454D-9A94-C48A4CBDB626}"/>
    <cellStyle name="Note 2 7 7 4 3" xfId="16408" xr:uid="{BCBF63A6-34D1-4670-937E-7F003723301D}"/>
    <cellStyle name="Note 2 7 7 4 3 2" xfId="38798" xr:uid="{9491F9D3-68C7-45FD-8544-F13BA65201B0}"/>
    <cellStyle name="Note 2 7 7 4 3 3" xfId="42000" xr:uid="{049C69CF-292F-4A0D-9B15-F05905A8E19C}"/>
    <cellStyle name="Note 2 7 7 4 4" xfId="19749" xr:uid="{492B1B2D-09C8-4723-8994-2076D5B311C0}"/>
    <cellStyle name="Note 2 7 7 4 4 2" xfId="30781" xr:uid="{E3E7A6C7-F37E-415B-A641-996E027FB611}"/>
    <cellStyle name="Note 2 7 7 4 5" xfId="48562" xr:uid="{8FCCF973-4665-4550-80B1-89A4BFEAA229}"/>
    <cellStyle name="Note 2 7 7 5" xfId="4954" xr:uid="{00000000-0005-0000-0000-0000A9070000}"/>
    <cellStyle name="Note 2 7 7 5 2" xfId="11849" xr:uid="{1F8A27DA-941E-4790-A5F9-6FE329E1619B}"/>
    <cellStyle name="Note 2 7 7 5 2 2" xfId="34335" xr:uid="{5F012BCF-54D5-4860-A702-7267900EBCC8}"/>
    <cellStyle name="Note 2 7 7 5 2 3" xfId="45517" xr:uid="{975E0216-3315-4297-B0B7-DE7ED823E98B}"/>
    <cellStyle name="Note 2 7 7 5 3" xfId="16891" xr:uid="{2B10E30D-3A9B-4619-A08A-E9AF2396D2B1}"/>
    <cellStyle name="Note 2 7 7 5 3 2" xfId="39281" xr:uid="{C47ED4D1-2166-4F98-8F18-0F40CF06B859}"/>
    <cellStyle name="Note 2 7 7 5 3 3" xfId="24098" xr:uid="{538B727C-D792-4F94-91A7-29FE6F321BA7}"/>
    <cellStyle name="Note 2 7 7 5 4" xfId="21315" xr:uid="{FE7406FA-FA0A-41D4-9D88-23D7BB80F4E8}"/>
    <cellStyle name="Note 2 7 7 5 4 2" xfId="46390" xr:uid="{EA04942E-D9E6-4D36-86B1-9BC1886EA59C}"/>
    <cellStyle name="Note 2 7 7 5 5" xfId="53568" xr:uid="{4DDE2CC8-58B7-4BCB-9950-43E75C2573B5}"/>
    <cellStyle name="Note 2 7 7 6" xfId="2391" xr:uid="{00000000-0005-0000-0000-0000A9070000}"/>
    <cellStyle name="Note 2 7 7 6 2" xfId="9300" xr:uid="{2CB5322D-0F41-41C4-826A-D9E9017D514E}"/>
    <cellStyle name="Note 2 7 7 6 2 2" xfId="31875" xr:uid="{A2C42F1F-5C17-49D9-8D69-D909BEA03AD3}"/>
    <cellStyle name="Note 2 7 7 6 2 3" xfId="26647" xr:uid="{92EB5A06-AB1E-45BA-BF92-178A7982759C}"/>
    <cellStyle name="Note 2 7 7 6 3" xfId="14939" xr:uid="{3CACA9EF-2F75-49FB-A1B1-C4B7DFD25681}"/>
    <cellStyle name="Note 2 7 7 6 3 2" xfId="37393" xr:uid="{1C12DE6B-78FF-4A6E-9A66-A1E350BA033C}"/>
    <cellStyle name="Note 2 7 7 6 3 3" xfId="52543" xr:uid="{AF62E58B-AD59-414C-AC1A-766C0C7AA78A}"/>
    <cellStyle name="Note 2 7 7 6 4" xfId="7964" xr:uid="{C375AA19-AEFD-4700-A9BD-B837D56E4639}"/>
    <cellStyle name="Note 2 7 7 6 4 2" xfId="49271" xr:uid="{75ED954A-B744-46A6-A108-AAAB391AB5BE}"/>
    <cellStyle name="Note 2 7 7 6 5" xfId="52343" xr:uid="{7482512B-4A32-4138-87A0-39CF853F4EFC}"/>
    <cellStyle name="Note 2 7 7 7" xfId="4453" xr:uid="{00000000-0005-0000-0000-0000A9070000}"/>
    <cellStyle name="Note 2 7 7 7 2" xfId="11355" xr:uid="{E1CA2620-8473-4AD7-ACA7-FE59CBCE2085}"/>
    <cellStyle name="Note 2 7 7 7 2 2" xfId="33841" xr:uid="{BBD49F24-8515-402D-9F13-A02D213B39B4}"/>
    <cellStyle name="Note 2 7 7 7 2 3" xfId="28609" xr:uid="{BA02EFCD-5E2B-4BEF-B7C5-85B9EDF4AFD3}"/>
    <cellStyle name="Note 2 7 7 7 3" xfId="16390" xr:uid="{4BBA6618-B197-4DFE-9A64-DAA36512D5FA}"/>
    <cellStyle name="Note 2 7 7 7 3 2" xfId="38780" xr:uid="{E383B338-CA23-46D1-A8BF-1F26158331F6}"/>
    <cellStyle name="Note 2 7 7 7 3 3" xfId="44932" xr:uid="{25800426-8086-460D-9FD6-9F959459C219}"/>
    <cellStyle name="Note 2 7 7 7 4" xfId="14954" xr:uid="{B6D045E0-4283-4880-9877-A8EDF60E1B14}"/>
    <cellStyle name="Note 2 7 7 7 4 2" xfId="44466" xr:uid="{1463CF2B-F97F-42A8-BF6A-C14BE7F21ABA}"/>
    <cellStyle name="Note 2 7 7 7 5" xfId="47313" xr:uid="{433A63D6-D848-40E8-B183-1863E529066A}"/>
    <cellStyle name="Note 2 7 7 8" xfId="6716" xr:uid="{00000000-0005-0000-0000-0000A9070000}"/>
    <cellStyle name="Note 2 7 7 8 2" xfId="13578" xr:uid="{01023DC4-5DD1-4321-97B4-027117BF9F43}"/>
    <cellStyle name="Note 2 7 7 8 2 2" xfId="36062" xr:uid="{D818FE1E-D23D-40D1-8D9C-AD5C68B6CC67}"/>
    <cellStyle name="Note 2 7 7 8 2 3" xfId="47193" xr:uid="{FA328D12-FC2E-4520-AA1B-146A27370C15}"/>
    <cellStyle name="Note 2 7 7 8 3" xfId="18653" xr:uid="{B69AC006-9794-4279-88C8-630ED4DB0F5F}"/>
    <cellStyle name="Note 2 7 7 8 3 2" xfId="41043" xr:uid="{09AA9B24-1215-438F-BE54-11BAFDD76405}"/>
    <cellStyle name="Note 2 7 7 8 3 3" xfId="45862" xr:uid="{804572C4-695B-4FF0-AB74-E6F32A4FF887}"/>
    <cellStyle name="Note 2 7 7 8 4" xfId="23077" xr:uid="{BAFBF297-CB65-4F1B-BF4F-456DCAA41B5B}"/>
    <cellStyle name="Note 2 7 7 8 4 2" xfId="53053" xr:uid="{4DB3F497-69A5-4EEF-ADDE-A71F65834C2D}"/>
    <cellStyle name="Note 2 7 7 8 5" xfId="51355" xr:uid="{026A5E90-FF8F-49DF-91E0-70097FC70B85}"/>
    <cellStyle name="Note 2 7 7 9" xfId="4645" xr:uid="{00000000-0005-0000-0000-0000A9070000}"/>
    <cellStyle name="Note 2 7 7 9 2" xfId="16582" xr:uid="{E7739752-14EF-4DCC-A92C-8EF5C5CC878C}"/>
    <cellStyle name="Note 2 7 7 9 2 2" xfId="38972" xr:uid="{B8F47D9E-60C7-45D2-A56F-00D09C286732}"/>
    <cellStyle name="Note 2 7 7 9 2 3" xfId="29301" xr:uid="{B8354A1D-075B-434B-91FE-5EA4202D5F30}"/>
    <cellStyle name="Note 2 7 7 9 3" xfId="21128" xr:uid="{508AD725-8367-4F59-B090-388E75ABACAC}"/>
    <cellStyle name="Note 2 7 7 9 3 2" xfId="48120" xr:uid="{B254CCB0-998E-46BB-93E3-6F361C36BB40}"/>
    <cellStyle name="Note 2 7 7 9 4" xfId="46359" xr:uid="{43087F39-EAE2-474B-BA33-7A52C47C5A44}"/>
    <cellStyle name="Note 2 7 8" xfId="4424" xr:uid="{00000000-0005-0000-0000-00009E070000}"/>
    <cellStyle name="Note 2 7 8 2" xfId="11326" xr:uid="{6B763C21-D721-476B-9ED0-CB3A14D2BA8C}"/>
    <cellStyle name="Note 2 7 8 2 2" xfId="33812" xr:uid="{7A2874DF-11CD-409E-8418-2F27EA8EB011}"/>
    <cellStyle name="Note 2 7 8 2 3" xfId="43508" xr:uid="{933B0476-5DEB-4F99-A2B2-3414C3BD4555}"/>
    <cellStyle name="Note 2 7 8 3" xfId="16361" xr:uid="{605F9602-BA54-4086-AD2E-F291BFE9ECC2}"/>
    <cellStyle name="Note 2 7 8 3 2" xfId="38751" xr:uid="{CA1FBD2D-FC42-42B3-996B-67B70E47EB6C}"/>
    <cellStyle name="Note 2 7 8 3 3" xfId="45603" xr:uid="{1B11CDEA-40D5-4E73-AF6B-CB8040697692}"/>
    <cellStyle name="Note 2 7 8 4" xfId="20882" xr:uid="{7290D0CE-80FB-4946-84E7-F018B380A3E2}"/>
    <cellStyle name="Note 2 7 8 4 2" xfId="28564" xr:uid="{E3C48FE1-16C0-4864-8EB3-167B23C01435}"/>
    <cellStyle name="Note 2 7 8 5" xfId="46273" xr:uid="{180B8937-7212-4C3F-8D05-8D33321471E5}"/>
    <cellStyle name="Note 2 7 9" xfId="2347" xr:uid="{00000000-0005-0000-0000-00009E070000}"/>
    <cellStyle name="Note 2 7 9 2" xfId="9256" xr:uid="{F28AF62A-2EDB-4CFA-ADEA-D930092F2A22}"/>
    <cellStyle name="Note 2 7 9 2 2" xfId="31831" xr:uid="{184BE95B-B867-4725-A794-C6AC9C0E1AF3}"/>
    <cellStyle name="Note 2 7 9 2 3" xfId="42142" xr:uid="{09D35E91-6D56-4C02-AC1A-5E8C3F92EED4}"/>
    <cellStyle name="Note 2 7 9 3" xfId="14904" xr:uid="{A27AAEF2-F21D-4CC6-82A4-242BD10F79AF}"/>
    <cellStyle name="Note 2 7 9 3 2" xfId="37358" xr:uid="{9B7096A7-F469-485B-B9FF-DDE7D5AAD71E}"/>
    <cellStyle name="Note 2 7 9 3 3" xfId="48371" xr:uid="{C9EAE4D9-3253-49A4-AE26-28B66C73B61A}"/>
    <cellStyle name="Note 2 7 9 4" xfId="14621" xr:uid="{08197DED-F9BC-48EC-9048-95401AB19238}"/>
    <cellStyle name="Note 2 7 9 4 2" xfId="41760" xr:uid="{ECF96D72-9D36-43D2-8A73-AFA5156B2539}"/>
    <cellStyle name="Note 2 7 9 5" xfId="51629" xr:uid="{BD4884F7-C562-43E4-AB97-8355F86FFD91}"/>
    <cellStyle name="Note 2 8" xfId="447" xr:uid="{00000000-0005-0000-0000-0000AC070000}"/>
    <cellStyle name="Note 2 8 10" xfId="4856" xr:uid="{00000000-0005-0000-0000-0000AA070000}"/>
    <cellStyle name="Note 2 8 10 2" xfId="11752" xr:uid="{505800A9-4F14-4D4B-8ED9-1652C5682F45}"/>
    <cellStyle name="Note 2 8 10 2 2" xfId="34238" xr:uid="{CD68F628-0A9A-46C8-828F-51BB900E9250}"/>
    <cellStyle name="Note 2 8 10 2 3" xfId="30288" xr:uid="{9B69964F-1397-4597-A519-B39F898414BC}"/>
    <cellStyle name="Note 2 8 10 3" xfId="16793" xr:uid="{9B3CB26E-3F92-4B2E-84AA-2ACB4E066CD2}"/>
    <cellStyle name="Note 2 8 10 3 2" xfId="39183" xr:uid="{9A759DC3-9DED-4038-A8D6-78EDC3249E0F}"/>
    <cellStyle name="Note 2 8 10 3 3" xfId="45679" xr:uid="{CB180D41-8842-46EC-840F-B7A19CE10ADC}"/>
    <cellStyle name="Note 2 8 10 4" xfId="20828" xr:uid="{40B2355A-BA6E-448B-B107-A321AABEBB28}"/>
    <cellStyle name="Note 2 8 10 4 2" xfId="48433" xr:uid="{4D73EA69-767E-4F04-916E-1C733B4FA665}"/>
    <cellStyle name="Note 2 8 10 5" xfId="46097" xr:uid="{8C1BC981-8644-4664-BE67-2DAD1D0A39EA}"/>
    <cellStyle name="Note 2 8 11" xfId="5061" xr:uid="{00000000-0005-0000-0000-0000AA070000}"/>
    <cellStyle name="Note 2 8 11 2" xfId="11954" xr:uid="{31B6A12B-35D7-4070-B82E-04A674F7F468}"/>
    <cellStyle name="Note 2 8 11 2 2" xfId="34440" xr:uid="{D79E7636-9AF4-41AF-BF2C-523A72335E59}"/>
    <cellStyle name="Note 2 8 11 2 3" xfId="44557" xr:uid="{3485CFE8-A652-4B4B-9957-A61BE3E13CC8}"/>
    <cellStyle name="Note 2 8 11 3" xfId="16998" xr:uid="{A17D9C6C-35A1-47F0-9ECA-A09FEBB70F1E}"/>
    <cellStyle name="Note 2 8 11 3 2" xfId="39388" xr:uid="{46E87945-CDB6-4574-A0D2-E46A1AF90B40}"/>
    <cellStyle name="Note 2 8 11 3 3" xfId="28693" xr:uid="{C8F3AC8B-71C4-43C1-901F-2C5B02E86CF2}"/>
    <cellStyle name="Note 2 8 11 4" xfId="21422" xr:uid="{4749E366-2932-492A-98A7-BFBBE3FF8F3B}"/>
    <cellStyle name="Note 2 8 11 4 2" xfId="52272" xr:uid="{635F2911-7762-471A-A30B-11E8B324481D}"/>
    <cellStyle name="Note 2 8 11 5" xfId="49558" xr:uid="{703D43A4-ABB0-4226-85A9-9D078A46990A}"/>
    <cellStyle name="Note 2 8 12" xfId="7959" xr:uid="{6735AD67-5E60-4744-B146-38A3C2F393FB}"/>
    <cellStyle name="Note 2 8 12 2" xfId="30582" xr:uid="{9F95BC48-8015-4700-852C-BEAF63A27AC2}"/>
    <cellStyle name="Note 2 8 12 3" xfId="50922" xr:uid="{DD4A7A7C-98B0-4009-BDF2-CB8685297471}"/>
    <cellStyle name="Note 2 8 13" xfId="15020" xr:uid="{6D62214D-E636-400F-9FB9-9A76FDDEB7E7}"/>
    <cellStyle name="Note 2 8 13 2" xfId="37470" xr:uid="{69CB1A0C-AFB6-4D40-94AE-23C73A556B75}"/>
    <cellStyle name="Note 2 8 13 3" xfId="53543" xr:uid="{DF5455FE-676B-4C94-8EDD-7F0A6E2F4D80}"/>
    <cellStyle name="Note 2 8 14" xfId="20916" xr:uid="{B59EFA35-46CE-45C5-8E70-F98B8E880549}"/>
    <cellStyle name="Note 2 8 14 2" xfId="48524" xr:uid="{D1D524CA-7119-4DAB-92EE-E6C74259B12C}"/>
    <cellStyle name="Note 2 8 15" xfId="32142" xr:uid="{3BD5F29E-2FF1-4F21-BC12-6D5F239A6434}"/>
    <cellStyle name="Note 2 8 2" xfId="600" xr:uid="{00000000-0005-0000-0000-0000AD070000}"/>
    <cellStyle name="Note 2 8 2 10" xfId="53448" xr:uid="{8ABC96B4-E914-40D3-AE03-ADCECB5687B4}"/>
    <cellStyle name="Note 2 8 2 2" xfId="1734" xr:uid="{00000000-0005-0000-0000-0000AE070000}"/>
    <cellStyle name="Note 2 8 2 2 10" xfId="14435" xr:uid="{E86F6A6F-8D7F-42AF-9D7C-6D01F9313FC6}"/>
    <cellStyle name="Note 2 8 2 2 10 2" xfId="36901" xr:uid="{3FD2C6F4-515A-42B5-8EE1-E6EF13F9D34A}"/>
    <cellStyle name="Note 2 8 2 2 10 3" xfId="48374" xr:uid="{BE1C856F-1769-4EAA-9494-52A8F0CB7A50}"/>
    <cellStyle name="Note 2 8 2 2 11" xfId="15396" xr:uid="{305C6A89-17A6-45DC-B1F5-AABCD293F66F}"/>
    <cellStyle name="Note 2 8 2 2 11 2" xfId="37822" xr:uid="{D25B04C7-7480-4015-85E1-ED56341CE205}"/>
    <cellStyle name="Note 2 8 2 2 11 3" xfId="44255" xr:uid="{E63D18BC-2E87-4218-B744-C0F1FA8E7A13}"/>
    <cellStyle name="Note 2 8 2 2 12" xfId="7253" xr:uid="{60DD8FB5-F249-428A-9C4C-D1EF6DCB547F}"/>
    <cellStyle name="Note 2 8 2 2 12 2" xfId="51869" xr:uid="{6C3BB34F-BF7A-4605-ADF3-C08AFE82D433}"/>
    <cellStyle name="Note 2 8 2 2 13" xfId="44282" xr:uid="{FDF42F91-1D55-42DB-AB69-215F4D85FF18}"/>
    <cellStyle name="Note 2 8 2 2 2" xfId="3832" xr:uid="{00000000-0005-0000-0000-0000AC070000}"/>
    <cellStyle name="Note 2 8 2 2 2 2" xfId="10736" xr:uid="{FDE6DF6F-CB14-41C1-88BD-A9351EC32BE1}"/>
    <cellStyle name="Note 2 8 2 2 2 2 2" xfId="33222" xr:uid="{FF097ACD-B81B-47CF-AD19-7FDD1292A888}"/>
    <cellStyle name="Note 2 8 2 2 2 2 3" xfId="48020" xr:uid="{7943730E-85E4-4C94-AE12-B45B7C8B9CA6}"/>
    <cellStyle name="Note 2 8 2 2 2 3" xfId="15892" xr:uid="{73E7B91A-D74E-4418-A03D-C896E351E101}"/>
    <cellStyle name="Note 2 8 2 2 2 3 2" xfId="38298" xr:uid="{9501E611-A972-4A7A-ABDB-AB4F929A5984}"/>
    <cellStyle name="Note 2 8 2 2 2 3 3" xfId="53418" xr:uid="{21D0BD17-8037-462F-AF55-B4ECB96930E3}"/>
    <cellStyle name="Note 2 8 2 2 2 4" xfId="15761" xr:uid="{74E0740E-2BF7-434E-BD23-76898ABFE621}"/>
    <cellStyle name="Note 2 8 2 2 2 4 2" xfId="24241" xr:uid="{F828FFD9-095D-4567-B032-4D0674C26475}"/>
    <cellStyle name="Note 2 8 2 2 2 5" xfId="27045" xr:uid="{B3639322-C673-487F-8C76-7A1A50B9CA25}"/>
    <cellStyle name="Note 2 8 2 2 3" xfId="5248" xr:uid="{00000000-0005-0000-0000-0000AC070000}"/>
    <cellStyle name="Note 2 8 2 2 3 2" xfId="12140" xr:uid="{579FE45B-96A2-4392-B75D-5AFF844DAA80}"/>
    <cellStyle name="Note 2 8 2 2 3 2 2" xfId="34625" xr:uid="{047AF751-1959-4FBF-B82D-1359FD1AEFCD}"/>
    <cellStyle name="Note 2 8 2 2 3 2 3" xfId="25769" xr:uid="{AB3E1030-6506-4A0D-8ED5-9F7C42477773}"/>
    <cellStyle name="Note 2 8 2 2 3 3" xfId="17185" xr:uid="{0EC41E4F-3AAA-46A7-9E4C-ED07069237EA}"/>
    <cellStyle name="Note 2 8 2 2 3 3 2" xfId="39575" xr:uid="{6B4619A2-DF54-4AFC-956E-BC371095EBF3}"/>
    <cellStyle name="Note 2 8 2 2 3 3 3" xfId="30478" xr:uid="{292A45A2-CC1A-4B6C-AF42-453D27A5E35F}"/>
    <cellStyle name="Note 2 8 2 2 3 4" xfId="21609" xr:uid="{F3F9F5E5-AD5F-43CB-A399-4871AB302CAE}"/>
    <cellStyle name="Note 2 8 2 2 3 4 2" xfId="46678" xr:uid="{8D858192-2815-4578-AAD3-EFA9F04D8FB4}"/>
    <cellStyle name="Note 2 8 2 2 3 5" xfId="48418" xr:uid="{617FF527-33B6-4917-AED3-2C7B0CABEEC3}"/>
    <cellStyle name="Note 2 8 2 2 4" xfId="5660" xr:uid="{00000000-0005-0000-0000-0000AC070000}"/>
    <cellStyle name="Note 2 8 2 2 4 2" xfId="12544" xr:uid="{BBFAE6E1-E648-4FB0-B91D-AA52D6AA43C7}"/>
    <cellStyle name="Note 2 8 2 2 4 2 2" xfId="35029" xr:uid="{4569CD4B-F599-413D-85A4-71EDDB142F36}"/>
    <cellStyle name="Note 2 8 2 2 4 2 3" xfId="30439" xr:uid="{B51F7E67-E087-455C-9848-372FC64F1D7A}"/>
    <cellStyle name="Note 2 8 2 2 4 3" xfId="17597" xr:uid="{7AFD4673-DEB0-4E70-9380-DD772C7E41EF}"/>
    <cellStyle name="Note 2 8 2 2 4 3 2" xfId="39987" xr:uid="{2E9D013A-4EBF-4F05-BCB3-EB05979D3D43}"/>
    <cellStyle name="Note 2 8 2 2 4 3 3" xfId="25306" xr:uid="{7E3827EC-CFCC-4BA4-9397-54495EA9E4AA}"/>
    <cellStyle name="Note 2 8 2 2 4 4" xfId="22021" xr:uid="{FC57A127-DCBA-4952-AD3A-6E75DCE6C50D}"/>
    <cellStyle name="Note 2 8 2 2 4 4 2" xfId="53747" xr:uid="{A92A9131-8FD7-44AB-A8FC-1DD1D75AB87F}"/>
    <cellStyle name="Note 2 8 2 2 4 5" xfId="53856" xr:uid="{A625F766-5D6B-4C04-86AC-D3D31F21D54C}"/>
    <cellStyle name="Note 2 8 2 2 5" xfId="5202" xr:uid="{00000000-0005-0000-0000-0000AC070000}"/>
    <cellStyle name="Note 2 8 2 2 5 2" xfId="12095" xr:uid="{8EF3FC3B-01C4-42A8-8B8F-3ED616AEDD4D}"/>
    <cellStyle name="Note 2 8 2 2 5 2 2" xfId="34581" xr:uid="{C68C003E-DCA9-4841-9C4A-575D565E9E3A}"/>
    <cellStyle name="Note 2 8 2 2 5 2 3" xfId="25797" xr:uid="{A1AC462E-DF35-4B35-B04C-4B4CE16AA2A7}"/>
    <cellStyle name="Note 2 8 2 2 5 3" xfId="17139" xr:uid="{E395765D-EAFF-4291-A50B-50E9AFCF830E}"/>
    <cellStyle name="Note 2 8 2 2 5 3 2" xfId="39529" xr:uid="{A716350F-9FC4-47C7-822A-A1BC84A9DDBA}"/>
    <cellStyle name="Note 2 8 2 2 5 3 3" xfId="28580" xr:uid="{1D78C0ED-D207-4777-91A5-FFCEF669BAF4}"/>
    <cellStyle name="Note 2 8 2 2 5 4" xfId="21563" xr:uid="{6BB0323A-5DF2-4CAD-99A2-AFABB41C8B1E}"/>
    <cellStyle name="Note 2 8 2 2 5 4 2" xfId="29255" xr:uid="{6B2EC20F-C5B5-4F4C-9693-5B59DEA2713A}"/>
    <cellStyle name="Note 2 8 2 2 5 5" xfId="30223" xr:uid="{AADEDB79-6356-4546-9FCE-32D047B97A6E}"/>
    <cellStyle name="Note 2 8 2 2 6" xfId="6399" xr:uid="{00000000-0005-0000-0000-0000AC070000}"/>
    <cellStyle name="Note 2 8 2 2 6 2" xfId="13271" xr:uid="{02EA4D85-FCB6-42B7-A5E3-6D318B058DEB}"/>
    <cellStyle name="Note 2 8 2 2 6 2 2" xfId="35755" xr:uid="{F068E765-1072-4762-972A-7AEB96D81649}"/>
    <cellStyle name="Note 2 8 2 2 6 2 3" xfId="47697" xr:uid="{AA25705A-B7D4-46ED-B6BD-5599C816D4ED}"/>
    <cellStyle name="Note 2 8 2 2 6 3" xfId="18336" xr:uid="{BD276608-43DC-473B-8756-63293CE854AA}"/>
    <cellStyle name="Note 2 8 2 2 6 3 2" xfId="40726" xr:uid="{2B042A0E-46C2-4450-9316-2EB6F00140EA}"/>
    <cellStyle name="Note 2 8 2 2 6 3 3" xfId="33005" xr:uid="{DC9AAE89-EA43-4212-8EF2-88216CD7F5C9}"/>
    <cellStyle name="Note 2 8 2 2 6 4" xfId="22760" xr:uid="{0558E3F1-D756-479C-BC1A-1F62D575BC4D}"/>
    <cellStyle name="Note 2 8 2 2 6 4 2" xfId="44965" xr:uid="{CA93F1BD-268C-4DB9-A83B-2B09F5449722}"/>
    <cellStyle name="Note 2 8 2 2 6 5" xfId="53500" xr:uid="{CCEB074F-2C4F-4F42-ADF8-C19C560353C5}"/>
    <cellStyle name="Note 2 8 2 2 7" xfId="5608" xr:uid="{00000000-0005-0000-0000-0000AC070000}"/>
    <cellStyle name="Note 2 8 2 2 7 2" xfId="12492" xr:uid="{74CE16EF-FCF9-4E29-B55F-402253315198}"/>
    <cellStyle name="Note 2 8 2 2 7 2 2" xfId="34977" xr:uid="{94C988F2-208D-4ACB-8A86-AE0F21DACFD6}"/>
    <cellStyle name="Note 2 8 2 2 7 2 3" xfId="26262" xr:uid="{5A165675-62FA-4BF3-BA15-5B70B30E5F64}"/>
    <cellStyle name="Note 2 8 2 2 7 3" xfId="17545" xr:uid="{460D9785-A0A5-4AF2-B959-14A3C5EB6FFD}"/>
    <cellStyle name="Note 2 8 2 2 7 3 2" xfId="39935" xr:uid="{4694A202-B67D-4FB2-B942-A0E3ABDF2AC1}"/>
    <cellStyle name="Note 2 8 2 2 7 3 3" xfId="30699" xr:uid="{D6C6FE59-6226-4DBD-A876-718CB7142A84}"/>
    <cellStyle name="Note 2 8 2 2 7 4" xfId="21969" xr:uid="{9B89C2A4-040A-4C0E-AEB3-BAEC9FB0AB8C}"/>
    <cellStyle name="Note 2 8 2 2 7 4 2" xfId="52374" xr:uid="{D9FAB0A9-C431-4287-BD10-4D980D2A023F}"/>
    <cellStyle name="Note 2 8 2 2 7 5" xfId="48827" xr:uid="{F8EA7AAD-7F5D-471A-87E1-78512F1A31EE}"/>
    <cellStyle name="Note 2 8 2 2 8" xfId="6916" xr:uid="{00000000-0005-0000-0000-0000AC070000}"/>
    <cellStyle name="Note 2 8 2 2 8 2" xfId="13754" xr:uid="{FF8285FC-946A-4A54-9125-34F34BA67EEB}"/>
    <cellStyle name="Note 2 8 2 2 8 2 2" xfId="36238" xr:uid="{569854BE-D27E-4DEC-A57B-59CD8C51B303}"/>
    <cellStyle name="Note 2 8 2 2 8 2 3" xfId="50436" xr:uid="{20B297B8-0106-4063-87AB-A4415E4E3D50}"/>
    <cellStyle name="Note 2 8 2 2 8 3" xfId="18853" xr:uid="{9D1C6C4D-8B47-4085-BFF0-F9EB04C8D42B}"/>
    <cellStyle name="Note 2 8 2 2 8 3 2" xfId="41243" xr:uid="{58E083C8-AE77-4F00-9CFF-8DF963ACB0AA}"/>
    <cellStyle name="Note 2 8 2 2 8 3 3" xfId="24565" xr:uid="{0E7163D4-232A-4157-8646-4A54F0D55CE8}"/>
    <cellStyle name="Note 2 8 2 2 8 4" xfId="23277" xr:uid="{FB88D5B8-E52D-4D01-B2D8-A0C7FC03F9A9}"/>
    <cellStyle name="Note 2 8 2 2 8 4 2" xfId="24481" xr:uid="{32EE8412-4BAC-4F6C-BAFA-067ADCE63058}"/>
    <cellStyle name="Note 2 8 2 2 8 5" xfId="46648" xr:uid="{795B8ABD-8A19-4EF8-B5A2-766E54A442D0}"/>
    <cellStyle name="Note 2 8 2 2 9" xfId="6781" xr:uid="{00000000-0005-0000-0000-0000AC070000}"/>
    <cellStyle name="Note 2 8 2 2 9 2" xfId="18718" xr:uid="{614E50AD-55C8-45D6-9AFD-615159E91E89}"/>
    <cellStyle name="Note 2 8 2 2 9 2 2" xfId="41108" xr:uid="{4C2D6D82-B1DF-4B14-A423-877AFD73ACC0}"/>
    <cellStyle name="Note 2 8 2 2 9 2 3" xfId="42752" xr:uid="{86DC5C94-373B-4094-9EA3-134FB4EAE5C2}"/>
    <cellStyle name="Note 2 8 2 2 9 3" xfId="23142" xr:uid="{CB564562-1432-4AF4-8DC7-1820A9EC0E9F}"/>
    <cellStyle name="Note 2 8 2 2 9 3 2" xfId="52694" xr:uid="{F0145997-CCAB-486E-A9E2-0311F657CACD}"/>
    <cellStyle name="Note 2 8 2 2 9 4" xfId="48683" xr:uid="{6E92B1CF-F671-4271-98C9-8F45154D21C6}"/>
    <cellStyle name="Note 2 8 2 3" xfId="4539" xr:uid="{00000000-0005-0000-0000-0000AB070000}"/>
    <cellStyle name="Note 2 8 2 3 2" xfId="11441" xr:uid="{13F01D1A-B653-4AF3-B098-FC2E843EF363}"/>
    <cellStyle name="Note 2 8 2 3 2 2" xfId="33927" xr:uid="{83EFC803-209B-4A0F-BC38-F208ACA1FE39}"/>
    <cellStyle name="Note 2 8 2 3 2 3" xfId="26500" xr:uid="{B48DACA6-EFBC-4811-BA84-82AE67F3ADA2}"/>
    <cellStyle name="Note 2 8 2 3 3" xfId="16476" xr:uid="{5313A016-375A-4465-A533-33470902DF8C}"/>
    <cellStyle name="Note 2 8 2 3 3 2" xfId="38866" xr:uid="{67B3EC9C-1184-4E46-8EE8-FBF73191A840}"/>
    <cellStyle name="Note 2 8 2 3 3 3" xfId="45003" xr:uid="{F7855CA5-AC9C-455F-8681-0E2D24015444}"/>
    <cellStyle name="Note 2 8 2 3 4" xfId="14691" xr:uid="{4AAC56FF-B8DE-4F0E-9CB0-23D62D85D779}"/>
    <cellStyle name="Note 2 8 2 3 4 2" xfId="46178" xr:uid="{406301E3-E82E-4CB3-8AE5-58008FAEF351}"/>
    <cellStyle name="Note 2 8 2 3 5" xfId="49869" xr:uid="{E145BBB2-29AE-46EE-9F04-5185A1411B9F}"/>
    <cellStyle name="Note 2 8 2 4" xfId="5917" xr:uid="{00000000-0005-0000-0000-0000AB070000}"/>
    <cellStyle name="Note 2 8 2 4 2" xfId="12798" xr:uid="{18B8B6D6-E3A7-4303-940D-EE1CFCDDC187}"/>
    <cellStyle name="Note 2 8 2 4 2 2" xfId="35282" xr:uid="{2AECC1FD-B2A3-4103-B0B0-3F5674199F6D}"/>
    <cellStyle name="Note 2 8 2 4 2 3" xfId="38005" xr:uid="{00E4D071-CCD9-467F-966A-285B822E8918}"/>
    <cellStyle name="Note 2 8 2 4 3" xfId="17854" xr:uid="{18667CCD-FACB-4666-8411-76DF32BBD422}"/>
    <cellStyle name="Note 2 8 2 4 3 2" xfId="40244" xr:uid="{1A4BD62A-6DC0-4A9B-B89C-D34A041A5B11}"/>
    <cellStyle name="Note 2 8 2 4 3 3" xfId="26060" xr:uid="{8125510E-9CCB-4950-83C8-DA0B8031C123}"/>
    <cellStyle name="Note 2 8 2 4 4" xfId="22278" xr:uid="{2C436815-922E-421C-9EB7-47173EA0FC81}"/>
    <cellStyle name="Note 2 8 2 4 4 2" xfId="25764" xr:uid="{8AE96F4E-057A-4245-BAC9-95518B9816F3}"/>
    <cellStyle name="Note 2 8 2 4 5" xfId="52297" xr:uid="{20053A0C-0F4A-471B-BBD9-B9C74AD1BE4D}"/>
    <cellStyle name="Note 2 8 2 5" xfId="2383" xr:uid="{00000000-0005-0000-0000-0000AB070000}"/>
    <cellStyle name="Note 2 8 2 5 2" xfId="9292" xr:uid="{8CE45812-F471-4AD1-BE5D-A5F6A88398F8}"/>
    <cellStyle name="Note 2 8 2 5 2 2" xfId="31867" xr:uid="{797B0214-75DF-4038-9903-0109976D851B}"/>
    <cellStyle name="Note 2 8 2 5 2 3" xfId="28460" xr:uid="{E73969C6-CD0C-40A2-BE0F-333720C47F8D}"/>
    <cellStyle name="Note 2 8 2 5 3" xfId="14932" xr:uid="{565E91EF-2A58-4A3C-AE3B-73F80B6ED9C7}"/>
    <cellStyle name="Note 2 8 2 5 3 2" xfId="37386" xr:uid="{1D8505D4-EA6D-4FA7-B100-A2CC80E5F12B}"/>
    <cellStyle name="Note 2 8 2 5 3 3" xfId="49415" xr:uid="{FEBBD4DA-4FA3-4906-949C-AD9442012A8C}"/>
    <cellStyle name="Note 2 8 2 5 4" xfId="20336" xr:uid="{F4BB09FD-0B6E-47A3-A85D-F4CC75A9823D}"/>
    <cellStyle name="Note 2 8 2 5 4 2" xfId="53763" xr:uid="{EC76696F-E1FB-4D39-BEC6-B461408F6091}"/>
    <cellStyle name="Note 2 8 2 5 5" xfId="47663" xr:uid="{A74A6A63-0D91-4E85-B77A-C0F25B6632FF}"/>
    <cellStyle name="Note 2 8 2 6" xfId="6123" xr:uid="{00000000-0005-0000-0000-0000AB070000}"/>
    <cellStyle name="Note 2 8 2 6 2" xfId="13000" xr:uid="{EB4373F5-FDEB-4B80-84B1-423BD2E98A17}"/>
    <cellStyle name="Note 2 8 2 6 2 2" xfId="35484" xr:uid="{48D57193-9AE7-4F37-911A-531D95043935}"/>
    <cellStyle name="Note 2 8 2 6 2 3" xfId="45621" xr:uid="{7C00529E-AE7A-4612-944D-48B7F958EAC3}"/>
    <cellStyle name="Note 2 8 2 6 3" xfId="18060" xr:uid="{9A85B073-6B1D-4A0C-8D25-214D69D02CC8}"/>
    <cellStyle name="Note 2 8 2 6 3 2" xfId="40450" xr:uid="{ACA1D89F-5A80-43D1-8280-7C0A51C039A8}"/>
    <cellStyle name="Note 2 8 2 6 3 3" xfId="29553" xr:uid="{505363EB-F6EA-41CC-BA25-DDC82173D11F}"/>
    <cellStyle name="Note 2 8 2 6 4" xfId="22484" xr:uid="{98C3E63F-83F8-41A1-9315-58362D966285}"/>
    <cellStyle name="Note 2 8 2 6 4 2" xfId="51797" xr:uid="{46F41C42-8040-4D25-A210-3FEBA936D610}"/>
    <cellStyle name="Note 2 8 2 6 5" xfId="49972" xr:uid="{998D3AA2-6942-4A77-AF68-CAE77078E27E}"/>
    <cellStyle name="Note 2 8 2 7" xfId="9154" xr:uid="{BFE6AA44-E39D-4D74-9F0E-3ED8489EBD32}"/>
    <cellStyle name="Note 2 8 2 7 2" xfId="31730" xr:uid="{B33DC046-80D3-4A4A-9960-A67492B96D83}"/>
    <cellStyle name="Note 2 8 2 7 3" xfId="30819" xr:uid="{B318AA40-BC04-45B0-8886-063EECC18779}"/>
    <cellStyle name="Note 2 8 2 8" xfId="20911" xr:uid="{1B07619C-2EF7-447A-B929-FE38E7E68F4A}"/>
    <cellStyle name="Note 2 8 2 8 2" xfId="43171" xr:uid="{84398FA3-FFF8-4884-A9AB-2ECB3589E523}"/>
    <cellStyle name="Note 2 8 2 8 3" xfId="47915" xr:uid="{F2674AAE-C917-4003-B44F-0BF758A84467}"/>
    <cellStyle name="Note 2 8 2 9" xfId="21121" xr:uid="{7787E8F4-9EB0-49A5-82F4-B486262E2A00}"/>
    <cellStyle name="Note 2 8 2 9 2" xfId="46662" xr:uid="{7BB160ED-953D-4350-8BF5-136AB0D0BBF6}"/>
    <cellStyle name="Note 2 8 3" xfId="847" xr:uid="{00000000-0005-0000-0000-0000AF070000}"/>
    <cellStyle name="Note 2 8 3 10" xfId="49462" xr:uid="{6CDE7BCF-11F2-42BC-9521-C204DDB4B0F2}"/>
    <cellStyle name="Note 2 8 3 2" xfId="1832" xr:uid="{00000000-0005-0000-0000-0000B0070000}"/>
    <cellStyle name="Note 2 8 3 2 10" xfId="14516" xr:uid="{3CB42CB6-B945-4A4E-94CD-E40CCE607EC8}"/>
    <cellStyle name="Note 2 8 3 2 10 2" xfId="36977" xr:uid="{964C22C3-6B01-4ACA-BCDD-E1784CAE8DA4}"/>
    <cellStyle name="Note 2 8 3 2 10 3" xfId="53577" xr:uid="{983D1358-E9A5-4F84-B52F-C70D7FFBCAFC}"/>
    <cellStyle name="Note 2 8 3 2 11" xfId="21004" xr:uid="{D03521F8-4388-405F-BE05-F4F52733BC08}"/>
    <cellStyle name="Note 2 8 3 2 11 2" xfId="43256" xr:uid="{69A52869-15DE-4B1B-A32D-7412C32CB2CF}"/>
    <cellStyle name="Note 2 8 3 2 11 3" xfId="49830" xr:uid="{94E9972A-799A-43F6-A7E4-563FE4C53C4A}"/>
    <cellStyle name="Note 2 8 3 2 12" xfId="14537" xr:uid="{7FBCCD7C-D1FD-45E0-9CDC-5F515E76F0F5}"/>
    <cellStyle name="Note 2 8 3 2 12 2" xfId="52372" xr:uid="{B46A583C-2BFC-478F-88DD-52F495C364F7}"/>
    <cellStyle name="Note 2 8 3 2 13" xfId="46987" xr:uid="{4FB46B13-A632-45A6-A754-AD6A9076480C}"/>
    <cellStyle name="Note 2 8 3 2 2" xfId="3930" xr:uid="{00000000-0005-0000-0000-0000AE070000}"/>
    <cellStyle name="Note 2 8 3 2 2 2" xfId="10834" xr:uid="{CC159089-E95C-4FA7-A1F5-4D4CACB292EA}"/>
    <cellStyle name="Note 2 8 3 2 2 2 2" xfId="33320" xr:uid="{988BED53-F03F-4FBE-8665-8472D75C32E7}"/>
    <cellStyle name="Note 2 8 3 2 2 2 3" xfId="47019" xr:uid="{A13E31FA-1499-41E0-BADA-AFC5DC04AFF8}"/>
    <cellStyle name="Note 2 8 3 2 2 3" xfId="15972" xr:uid="{DEA7A35C-C1C6-479F-A3C1-4FF63E1555F9}"/>
    <cellStyle name="Note 2 8 3 2 2 3 2" xfId="38375" xr:uid="{C0DBA4B9-99B2-4F67-B9C5-9E70D719CC66}"/>
    <cellStyle name="Note 2 8 3 2 2 3 3" xfId="27674" xr:uid="{5D2C4C0A-5862-4612-9C77-F4E99CC57872}"/>
    <cellStyle name="Note 2 8 3 2 2 4" xfId="14450" xr:uid="{F38B4B16-42C8-4E0E-A07D-DD942169BB8C}"/>
    <cellStyle name="Note 2 8 3 2 2 4 2" xfId="51052" xr:uid="{57423874-C66C-4E5D-87B0-CC965633BCEE}"/>
    <cellStyle name="Note 2 8 3 2 2 5" xfId="53090" xr:uid="{B2233CF2-59AF-44DF-80DD-8AC75BBBC5D3}"/>
    <cellStyle name="Note 2 8 3 2 3" xfId="5325" xr:uid="{00000000-0005-0000-0000-0000AE070000}"/>
    <cellStyle name="Note 2 8 3 2 3 2" xfId="12217" xr:uid="{E5A2888C-38F6-4B5E-8C9D-A11B4381B585}"/>
    <cellStyle name="Note 2 8 3 2 3 2 2" xfId="34702" xr:uid="{6911A576-63B9-4F73-8E3C-F3A5AAA7E125}"/>
    <cellStyle name="Note 2 8 3 2 3 2 3" xfId="30036" xr:uid="{04420F27-C073-4BD4-B601-1E91F446B239}"/>
    <cellStyle name="Note 2 8 3 2 3 3" xfId="17262" xr:uid="{4A39C9F4-2BDB-4D7B-871F-01CE123F46EF}"/>
    <cellStyle name="Note 2 8 3 2 3 3 2" xfId="39652" xr:uid="{66903D9B-6AC5-4E80-B684-C3344231CD76}"/>
    <cellStyle name="Note 2 8 3 2 3 3 3" xfId="28147" xr:uid="{847EB02E-1BDE-4284-8276-8CF2E7771C18}"/>
    <cellStyle name="Note 2 8 3 2 3 4" xfId="21686" xr:uid="{B390F490-AFD0-4645-BCBC-45B99D860BC0}"/>
    <cellStyle name="Note 2 8 3 2 3 4 2" xfId="43868" xr:uid="{74EED1EA-A18A-4D2F-BC7D-891F9A3CE9ED}"/>
    <cellStyle name="Note 2 8 3 2 3 5" xfId="48427" xr:uid="{E783C45B-C65E-4472-A61A-62AACC9B40E9}"/>
    <cellStyle name="Note 2 8 3 2 4" xfId="5735" xr:uid="{00000000-0005-0000-0000-0000AE070000}"/>
    <cellStyle name="Note 2 8 3 2 4 2" xfId="12619" xr:uid="{06AA6BCE-8F53-4B07-8FCE-5801DE0BE1B9}"/>
    <cellStyle name="Note 2 8 3 2 4 2 2" xfId="35104" xr:uid="{7F1AC101-FA26-4442-B07F-EE968296BF9D}"/>
    <cellStyle name="Note 2 8 3 2 4 2 3" xfId="25317" xr:uid="{A772D021-780A-4CED-951A-D6DEB3AC2644}"/>
    <cellStyle name="Note 2 8 3 2 4 3" xfId="17672" xr:uid="{AE16604B-DF69-420C-8B33-D7A78BC8609E}"/>
    <cellStyle name="Note 2 8 3 2 4 3 2" xfId="40062" xr:uid="{CCC1176B-A2F9-4EB3-A373-E2A07DFA2A6F}"/>
    <cellStyle name="Note 2 8 3 2 4 3 3" xfId="44787" xr:uid="{A5C4AE4A-74B8-4996-B277-7FB219730FD8}"/>
    <cellStyle name="Note 2 8 3 2 4 4" xfId="22096" xr:uid="{081AC851-0EDA-4C60-81D4-57917EA63EA8}"/>
    <cellStyle name="Note 2 8 3 2 4 4 2" xfId="48848" xr:uid="{3EF4ED53-549F-42B5-9A1E-B4937F944456}"/>
    <cellStyle name="Note 2 8 3 2 4 5" xfId="44409" xr:uid="{BD127D1E-8EBD-4EAD-B596-885B30BD5A45}"/>
    <cellStyle name="Note 2 8 3 2 5" xfId="6089" xr:uid="{00000000-0005-0000-0000-0000AE070000}"/>
    <cellStyle name="Note 2 8 3 2 5 2" xfId="12967" xr:uid="{42E6485B-6CFA-4C86-871B-08DA64DF274A}"/>
    <cellStyle name="Note 2 8 3 2 5 2 2" xfId="35451" xr:uid="{A64A88D5-935C-4891-8DC9-70F7131AE8A7}"/>
    <cellStyle name="Note 2 8 3 2 5 2 3" xfId="52025" xr:uid="{7FFD3125-02D1-4193-AAE9-26E8751CB49E}"/>
    <cellStyle name="Note 2 8 3 2 5 3" xfId="18026" xr:uid="{1C535194-92A4-4DBA-B875-7EFF759ECCE6}"/>
    <cellStyle name="Note 2 8 3 2 5 3 2" xfId="40416" xr:uid="{4B4CE572-6635-465C-AEEF-C963145B27BB}"/>
    <cellStyle name="Note 2 8 3 2 5 3 3" xfId="37787" xr:uid="{A9964C4D-3F7F-4AE3-A901-9E1D5E7E7055}"/>
    <cellStyle name="Note 2 8 3 2 5 4" xfId="22450" xr:uid="{E3B49C98-1CD2-4732-A694-FE872158168D}"/>
    <cellStyle name="Note 2 8 3 2 5 4 2" xfId="48844" xr:uid="{63029D65-F771-422C-89C9-4B832EE2D10D}"/>
    <cellStyle name="Note 2 8 3 2 5 5" xfId="48710" xr:uid="{E37F49A8-3BE6-4D4E-89B9-30052D68CE25}"/>
    <cellStyle name="Note 2 8 3 2 6" xfId="6464" xr:uid="{00000000-0005-0000-0000-0000AE070000}"/>
    <cellStyle name="Note 2 8 3 2 6 2" xfId="13334" xr:uid="{99446E20-C4FD-4F08-8712-8A2CA09EBB1B}"/>
    <cellStyle name="Note 2 8 3 2 6 2 2" xfId="35818" xr:uid="{639EF215-09B9-4024-B0AC-E831C375F3BB}"/>
    <cellStyle name="Note 2 8 3 2 6 2 3" xfId="47293" xr:uid="{8E1D8B9E-4F76-4F17-90AC-B8A2ABA31D4C}"/>
    <cellStyle name="Note 2 8 3 2 6 3" xfId="18401" xr:uid="{7431F362-C8C7-4742-917D-C80B414F2F04}"/>
    <cellStyle name="Note 2 8 3 2 6 3 2" xfId="40791" xr:uid="{D9A46846-85BD-45A6-890B-A83916DBB032}"/>
    <cellStyle name="Note 2 8 3 2 6 3 3" xfId="28606" xr:uid="{ECB320EB-1E60-49FD-9896-079E2224A96E}"/>
    <cellStyle name="Note 2 8 3 2 6 4" xfId="22825" xr:uid="{5ADCE75B-70B4-4BF2-91F3-BDABEA1AAE77}"/>
    <cellStyle name="Note 2 8 3 2 6 4 2" xfId="54030" xr:uid="{3DC3E9FB-C88B-4B78-8569-2C47C9D7CB6A}"/>
    <cellStyle name="Note 2 8 3 2 6 5" xfId="47463" xr:uid="{6472CDE1-ADDE-4A89-A68E-B3198768DFE7}"/>
    <cellStyle name="Note 2 8 3 2 7" xfId="6792" xr:uid="{00000000-0005-0000-0000-0000AE070000}"/>
    <cellStyle name="Note 2 8 3 2 7 2" xfId="13642" xr:uid="{AE8091FA-431D-4269-8963-FA0686739790}"/>
    <cellStyle name="Note 2 8 3 2 7 2 2" xfId="36126" xr:uid="{2A3EF45B-F486-45B2-B96D-DB7FCE565A7C}"/>
    <cellStyle name="Note 2 8 3 2 7 2 3" xfId="36767" xr:uid="{99051996-545B-4AAE-806E-9BE92CE8F0C7}"/>
    <cellStyle name="Note 2 8 3 2 7 3" xfId="18729" xr:uid="{EC11F7FD-7CA9-4F09-970F-0CC4ACA3B4F0}"/>
    <cellStyle name="Note 2 8 3 2 7 3 2" xfId="41119" xr:uid="{E8AE5E27-D1F6-4BFA-80DD-07E58D753C26}"/>
    <cellStyle name="Note 2 8 3 2 7 3 3" xfId="36480" xr:uid="{A2737FB0-EF09-4474-9720-6A3052EA88A6}"/>
    <cellStyle name="Note 2 8 3 2 7 4" xfId="23153" xr:uid="{C09FBA08-AB94-4816-9582-992A0A040268}"/>
    <cellStyle name="Note 2 8 3 2 7 4 2" xfId="44426" xr:uid="{AD49BEC8-02FA-4504-889C-D42669BB89BA}"/>
    <cellStyle name="Note 2 8 3 2 7 5" xfId="47805" xr:uid="{CBB3C400-44EE-44CF-8501-D959D10A2EDA}"/>
    <cellStyle name="Note 2 8 3 2 8" xfId="6964" xr:uid="{00000000-0005-0000-0000-0000AE070000}"/>
    <cellStyle name="Note 2 8 3 2 8 2" xfId="13801" xr:uid="{587795D0-8FD6-4DD7-97FE-32B453D1748E}"/>
    <cellStyle name="Note 2 8 3 2 8 2 2" xfId="36285" xr:uid="{F2177998-8070-4D8B-9E96-751C26B71DB1}"/>
    <cellStyle name="Note 2 8 3 2 8 2 3" xfId="51003" xr:uid="{87FE998D-9174-4A80-ADD1-A0A83B459A09}"/>
    <cellStyle name="Note 2 8 3 2 8 3" xfId="18901" xr:uid="{A5BCCBCD-BFFF-4E0E-819A-5D2465DE60F4}"/>
    <cellStyle name="Note 2 8 3 2 8 3 2" xfId="41291" xr:uid="{489E10B9-A988-4FDA-ABC7-A3D0F6416876}"/>
    <cellStyle name="Note 2 8 3 2 8 3 3" xfId="29577" xr:uid="{84AC2E22-F01B-4B1F-A69B-2B56CF43F1D7}"/>
    <cellStyle name="Note 2 8 3 2 8 4" xfId="23325" xr:uid="{96E27DD8-AB12-44FD-97B1-78A98E71E518}"/>
    <cellStyle name="Note 2 8 3 2 8 4 2" xfId="51682" xr:uid="{F3FCAB61-DD8E-46D4-AB47-DF092C4527CF}"/>
    <cellStyle name="Note 2 8 3 2 8 5" xfId="30677" xr:uid="{26E81C3E-6D4E-4BA7-B062-5DAA1B14B997}"/>
    <cellStyle name="Note 2 8 3 2 9" xfId="6616" xr:uid="{00000000-0005-0000-0000-0000AE070000}"/>
    <cellStyle name="Note 2 8 3 2 9 2" xfId="18553" xr:uid="{3FD0BF4B-D875-4777-B784-7ED45278AE45}"/>
    <cellStyle name="Note 2 8 3 2 9 2 2" xfId="40943" xr:uid="{D0BFD703-D458-48F9-ADB5-96021A7C22D4}"/>
    <cellStyle name="Note 2 8 3 2 9 2 3" xfId="30399" xr:uid="{C09F7AC7-5E8D-4D6F-9020-2E047CE219B8}"/>
    <cellStyle name="Note 2 8 3 2 9 3" xfId="22977" xr:uid="{31DD8C18-14FE-40D8-B862-41483589874A}"/>
    <cellStyle name="Note 2 8 3 2 9 3 2" xfId="52078" xr:uid="{90AA2CE8-E7D5-4974-8314-62DB03AF1796}"/>
    <cellStyle name="Note 2 8 3 2 9 4" xfId="51348" xr:uid="{C69084AA-53DB-4FA5-8FE2-32BA15F1FE8B}"/>
    <cellStyle name="Note 2 8 3 3" xfId="4691" xr:uid="{00000000-0005-0000-0000-0000AD070000}"/>
    <cellStyle name="Note 2 8 3 3 2" xfId="11589" xr:uid="{891D6933-5222-4F16-AF6D-7A927D276D26}"/>
    <cellStyle name="Note 2 8 3 3 2 2" xfId="34075" xr:uid="{C6525AC9-0DF6-4224-B5C0-A2D568AD2064}"/>
    <cellStyle name="Note 2 8 3 3 2 3" xfId="32497" xr:uid="{1A48B3C6-287D-45DF-9E49-F68583849F4C}"/>
    <cellStyle name="Note 2 8 3 3 3" xfId="16628" xr:uid="{FC8BC9BC-F10E-4491-A0A8-ECE25B7F3E1D}"/>
    <cellStyle name="Note 2 8 3 3 3 2" xfId="39018" xr:uid="{5C28C9AC-421F-4EA7-AB14-400F0A2766AE}"/>
    <cellStyle name="Note 2 8 3 3 3 3" xfId="43281" xr:uid="{BDF6463A-185E-419D-8E6D-CD724117BAB3}"/>
    <cellStyle name="Note 2 8 3 3 4" xfId="21030" xr:uid="{65F31B7F-F737-479C-9392-605D60A6E260}"/>
    <cellStyle name="Note 2 8 3 3 4 2" xfId="49720" xr:uid="{204B3E49-5CAB-4756-BE1D-9449EC897CC5}"/>
    <cellStyle name="Note 2 8 3 3 5" xfId="32308" xr:uid="{0097BC54-3DCD-4B79-BAF3-AD2AF6CE4579}"/>
    <cellStyle name="Note 2 8 3 4" xfId="4595" xr:uid="{00000000-0005-0000-0000-0000AD070000}"/>
    <cellStyle name="Note 2 8 3 4 2" xfId="11496" xr:uid="{3B8E8273-CB77-4666-A38E-46D98148F344}"/>
    <cellStyle name="Note 2 8 3 4 2 2" xfId="33982" xr:uid="{F62D3815-FDB2-4947-99AF-5D021AFD1444}"/>
    <cellStyle name="Note 2 8 3 4 2 3" xfId="44554" xr:uid="{9A177CB0-E8F4-4623-B92E-8D55141C7568}"/>
    <cellStyle name="Note 2 8 3 4 3" xfId="16532" xr:uid="{55CC5EF5-712C-485B-81F7-FF068D8A44E7}"/>
    <cellStyle name="Note 2 8 3 4 3 2" xfId="38922" xr:uid="{5AE647A2-A53A-4802-BB9D-87E8E008F544}"/>
    <cellStyle name="Note 2 8 3 4 3 3" xfId="25140" xr:uid="{631638CB-BB55-4041-BC29-8F2ADB7338A4}"/>
    <cellStyle name="Note 2 8 3 4 4" xfId="20463" xr:uid="{A56A1C22-6B0F-466F-8355-A43A6DF65144}"/>
    <cellStyle name="Note 2 8 3 4 4 2" xfId="50472" xr:uid="{DC7C1BC9-5731-478D-9430-10CAD16E115F}"/>
    <cellStyle name="Note 2 8 3 4 5" xfId="42872" xr:uid="{9A4E9405-E67B-45F8-AD41-0933960F2433}"/>
    <cellStyle name="Note 2 8 3 5" xfId="4354" xr:uid="{00000000-0005-0000-0000-0000AD070000}"/>
    <cellStyle name="Note 2 8 3 5 2" xfId="11257" xr:uid="{D37EAC69-4F92-4145-AC0C-562CD87EBFA6}"/>
    <cellStyle name="Note 2 8 3 5 2 2" xfId="33743" xr:uid="{4DDC32C5-373B-4630-82EA-74EB724EA11B}"/>
    <cellStyle name="Note 2 8 3 5 2 3" xfId="44267" xr:uid="{5E454883-5081-43F3-8044-2A6295C5DAA2}"/>
    <cellStyle name="Note 2 8 3 5 3" xfId="16291" xr:uid="{D6DBD7BA-3E52-4F59-8672-4E07327AC39F}"/>
    <cellStyle name="Note 2 8 3 5 3 2" xfId="38681" xr:uid="{78FAFDB1-DC3C-4AD6-B8A8-FFD639AEBA4E}"/>
    <cellStyle name="Note 2 8 3 5 3 3" xfId="44433" xr:uid="{5548591A-1DDF-40B2-9636-F4195FF4C84A}"/>
    <cellStyle name="Note 2 8 3 5 4" xfId="14824" xr:uid="{88BF9FAE-D7F4-4E32-A94D-4B105BEA223A}"/>
    <cellStyle name="Note 2 8 3 5 4 2" xfId="49922" xr:uid="{EF80DFFF-41DF-451B-9580-D867300F1CAB}"/>
    <cellStyle name="Note 2 8 3 5 5" xfId="48669" xr:uid="{49F9C98F-D18C-4581-95E5-01105AEE277F}"/>
    <cellStyle name="Note 2 8 3 6" xfId="3326" xr:uid="{00000000-0005-0000-0000-0000AD070000}"/>
    <cellStyle name="Note 2 8 3 6 2" xfId="10234" xr:uid="{B2D705E9-405A-4EB8-B75D-6DDD94F2EDF4}"/>
    <cellStyle name="Note 2 8 3 6 2 2" xfId="32728" xr:uid="{15717B66-66A1-4FEF-8580-66F8703F1D23}"/>
    <cellStyle name="Note 2 8 3 6 2 3" xfId="52283" xr:uid="{39EF2CB2-BDEE-4D27-B12F-4BAF87622FA8}"/>
    <cellStyle name="Note 2 8 3 6 3" xfId="15552" xr:uid="{56547F75-5B7D-4B01-B5E5-48F4E94A4110}"/>
    <cellStyle name="Note 2 8 3 6 3 2" xfId="37971" xr:uid="{2BE93283-DFF1-477B-8886-C84A2612A744}"/>
    <cellStyle name="Note 2 8 3 6 3 3" xfId="45547" xr:uid="{5355C2B2-A781-4CBE-9E18-A44132FCF796}"/>
    <cellStyle name="Note 2 8 3 6 4" xfId="16155" xr:uid="{A5097707-DE72-4635-B4C8-98E5F3AEF2B0}"/>
    <cellStyle name="Note 2 8 3 6 4 2" xfId="44227" xr:uid="{2BB50FBA-7EA9-49A2-B56B-A10A4C9E44AB}"/>
    <cellStyle name="Note 2 8 3 6 5" xfId="47865" xr:uid="{CC3C32BF-4977-4E38-9B8D-2F8390493F23}"/>
    <cellStyle name="Note 2 8 3 7" xfId="7367" xr:uid="{F536ADE0-C116-403E-8734-DBBAA73F8EB8}"/>
    <cellStyle name="Note 2 8 3 7 2" xfId="30052" xr:uid="{86CDD85F-763E-4114-9F9F-3BF2A0E4FBD0}"/>
    <cellStyle name="Note 2 8 3 7 3" xfId="45332" xr:uid="{A44B512C-D852-47DF-B66A-C21495D6E9BA}"/>
    <cellStyle name="Note 2 8 3 8" xfId="14007" xr:uid="{DE77C5DE-B95D-4D27-BCF8-6D07A129550D}"/>
    <cellStyle name="Note 2 8 3 8 2" xfId="36490" xr:uid="{955A88A3-FF32-479B-8A62-00E18FCEA459}"/>
    <cellStyle name="Note 2 8 3 8 3" xfId="48197" xr:uid="{0FDABEF9-95F5-48F6-8ED9-904A6A286910}"/>
    <cellStyle name="Note 2 8 3 9" xfId="19900" xr:uid="{29CC9EFA-FA26-4F5D-9306-51E105BC88F3}"/>
    <cellStyle name="Note 2 8 3 9 2" xfId="29334" xr:uid="{C4EF18BB-E8AE-491B-8018-E8DE01A4E54A}"/>
    <cellStyle name="Note 2 8 4" xfId="1034" xr:uid="{00000000-0005-0000-0000-0000B1070000}"/>
    <cellStyle name="Note 2 8 4 10" xfId="50534" xr:uid="{78E4D43A-6B66-4DFF-A3B5-7E75D710829C}"/>
    <cellStyle name="Note 2 8 4 2" xfId="1924" xr:uid="{00000000-0005-0000-0000-0000B2070000}"/>
    <cellStyle name="Note 2 8 4 2 10" xfId="14594" xr:uid="{6E6F1714-1A0E-4B55-8158-28ED93B6FA04}"/>
    <cellStyle name="Note 2 8 4 2 10 2" xfId="37055" xr:uid="{94FE618D-A78F-4A6D-BD6B-B0C20EA66C08}"/>
    <cellStyle name="Note 2 8 4 2 10 3" xfId="48958" xr:uid="{E6224971-A696-4C37-A7A7-4E03AE56C482}"/>
    <cellStyle name="Note 2 8 4 2 11" xfId="20842" xr:uid="{54483B35-8697-4681-A3D3-F919ED477DF2}"/>
    <cellStyle name="Note 2 8 4 2 11 2" xfId="43107" xr:uid="{595B28A6-49AD-4A92-BD73-EE48AABAC404}"/>
    <cellStyle name="Note 2 8 4 2 11 3" xfId="46312" xr:uid="{95CD521C-F5FD-448D-BE02-7C931690C3C3}"/>
    <cellStyle name="Note 2 8 4 2 12" xfId="19282" xr:uid="{17C1E4E1-B5C0-49EF-B948-139FE2E331C7}"/>
    <cellStyle name="Note 2 8 4 2 12 2" xfId="30850" xr:uid="{028E40B1-BD9C-4BD7-BBFE-E02D09FC0439}"/>
    <cellStyle name="Note 2 8 4 2 13" xfId="53046" xr:uid="{2E107FCB-2610-4D2F-B135-B52232FEDE57}"/>
    <cellStyle name="Note 2 8 4 2 2" xfId="4021" xr:uid="{00000000-0005-0000-0000-0000B0070000}"/>
    <cellStyle name="Note 2 8 4 2 2 2" xfId="10925" xr:uid="{EE2A8C4A-0D92-400F-8238-4D0F2AD59269}"/>
    <cellStyle name="Note 2 8 4 2 2 2 2" xfId="33411" xr:uid="{1E2C7B04-83E8-4C34-ACDE-401A7E439655}"/>
    <cellStyle name="Note 2 8 4 2 2 2 3" xfId="32006" xr:uid="{A9AFDFBD-488A-452A-BC85-4B36586BE98C}"/>
    <cellStyle name="Note 2 8 4 2 2 3" xfId="16045" xr:uid="{2F32664A-441E-4BCE-B148-3BB5801FDF29}"/>
    <cellStyle name="Note 2 8 4 2 2 3 2" xfId="38446" xr:uid="{E2EE10AF-3FD0-49C6-9307-A00CE78F7A0A}"/>
    <cellStyle name="Note 2 8 4 2 2 3 3" xfId="44596" xr:uid="{587AA710-18AC-4222-ABDB-4DA4881774D0}"/>
    <cellStyle name="Note 2 8 4 2 2 4" xfId="20708" xr:uid="{226771B4-4C7C-46E7-AF25-660BB918D9D5}"/>
    <cellStyle name="Note 2 8 4 2 2 4 2" xfId="46704" xr:uid="{ADB796DD-390D-474F-9B93-D7CFFB3DF81C}"/>
    <cellStyle name="Note 2 8 4 2 2 5" xfId="49205" xr:uid="{DBB64B94-58EB-429D-A789-382E31ABC7B5}"/>
    <cellStyle name="Note 2 8 4 2 3" xfId="5396" xr:uid="{00000000-0005-0000-0000-0000B0070000}"/>
    <cellStyle name="Note 2 8 4 2 3 2" xfId="12287" xr:uid="{03A6DC79-264B-4F19-BA4E-5FE68651B5BB}"/>
    <cellStyle name="Note 2 8 4 2 3 2 2" xfId="34772" xr:uid="{34EDBF24-0F11-434D-B7E4-B616336B318F}"/>
    <cellStyle name="Note 2 8 4 2 3 2 3" xfId="25464" xr:uid="{DC638602-66FE-4580-AB00-BED44A177C87}"/>
    <cellStyle name="Note 2 8 4 2 3 3" xfId="17333" xr:uid="{15EB8103-5C4E-400D-B3C5-9925E8EFE8D1}"/>
    <cellStyle name="Note 2 8 4 2 3 3 2" xfId="39723" xr:uid="{3CFE03B4-F18B-4204-ABC9-9920FCDC7AF4}"/>
    <cellStyle name="Note 2 8 4 2 3 3 3" xfId="45196" xr:uid="{E7954DEA-D686-431E-9DDA-D7AB4FA31BFD}"/>
    <cellStyle name="Note 2 8 4 2 3 4" xfId="21757" xr:uid="{4A826D9F-ED50-4AC9-B407-EC6C735F4453}"/>
    <cellStyle name="Note 2 8 4 2 3 4 2" xfId="50830" xr:uid="{D14CE9EB-9915-49E0-AC37-03EE550843E4}"/>
    <cellStyle name="Note 2 8 4 2 3 5" xfId="53068" xr:uid="{9B266BC0-B220-4D9A-BE7E-0E1F694A75D5}"/>
    <cellStyle name="Note 2 8 4 2 4" xfId="5809" xr:uid="{00000000-0005-0000-0000-0000B0070000}"/>
    <cellStyle name="Note 2 8 4 2 4 2" xfId="12692" xr:uid="{977E9681-06D0-48B9-A167-D473136F7BE9}"/>
    <cellStyle name="Note 2 8 4 2 4 2 2" xfId="35177" xr:uid="{06B38C63-9ADE-489E-959D-DB63A8CC4D1F}"/>
    <cellStyle name="Note 2 8 4 2 4 2 3" xfId="30533" xr:uid="{F2F69D6E-AEC0-4658-B137-25BB0C3124DC}"/>
    <cellStyle name="Note 2 8 4 2 4 3" xfId="17746" xr:uid="{B8C80271-8CC4-4161-A6A0-1261E5D80F89}"/>
    <cellStyle name="Note 2 8 4 2 4 3 2" xfId="40136" xr:uid="{91A59B5F-18FF-48A4-BF39-5F595EED1DAD}"/>
    <cellStyle name="Note 2 8 4 2 4 3 3" xfId="30778" xr:uid="{F6864105-F418-45FA-B72D-E76A17228250}"/>
    <cellStyle name="Note 2 8 4 2 4 4" xfId="22170" xr:uid="{F4BFD290-7129-4F00-BC5F-C66DD703B214}"/>
    <cellStyle name="Note 2 8 4 2 4 4 2" xfId="50772" xr:uid="{F4A1842D-87FE-46CE-9EF1-73E23F644B99}"/>
    <cellStyle name="Note 2 8 4 2 4 5" xfId="48001" xr:uid="{E5473B9E-7148-496C-9A15-B27A53929C47}"/>
    <cellStyle name="Note 2 8 4 2 5" xfId="6153" xr:uid="{00000000-0005-0000-0000-0000B0070000}"/>
    <cellStyle name="Note 2 8 4 2 5 2" xfId="13030" xr:uid="{B2F0CBF6-B862-4718-BD00-7CFEF281E48C}"/>
    <cellStyle name="Note 2 8 4 2 5 2 2" xfId="35514" xr:uid="{932340A8-7B1D-4CE2-B6B0-4048010DE028}"/>
    <cellStyle name="Note 2 8 4 2 5 2 3" xfId="52761" xr:uid="{F868BE8D-3BE9-4A13-878C-BBCC82554A4D}"/>
    <cellStyle name="Note 2 8 4 2 5 3" xfId="18090" xr:uid="{AF5D7A9E-AE71-4378-B2A6-B81C40E70572}"/>
    <cellStyle name="Note 2 8 4 2 5 3 2" xfId="40480" xr:uid="{C2F1F8B1-83DE-4CF0-804D-C276F11B9197}"/>
    <cellStyle name="Note 2 8 4 2 5 3 3" xfId="28331" xr:uid="{C3B462C7-F66E-4CA2-8FF5-FFAEDAD92D70}"/>
    <cellStyle name="Note 2 8 4 2 5 4" xfId="22514" xr:uid="{9138673D-00EC-4083-9EC4-E773BAD65795}"/>
    <cellStyle name="Note 2 8 4 2 5 4 2" xfId="24293" xr:uid="{9C3D102E-A829-4A59-8891-DDDE9784361B}"/>
    <cellStyle name="Note 2 8 4 2 5 5" xfId="27125" xr:uid="{DBA338B5-75FE-4268-8E1A-FD3798A6F7B0}"/>
    <cellStyle name="Note 2 8 4 2 6" xfId="6526" xr:uid="{00000000-0005-0000-0000-0000B0070000}"/>
    <cellStyle name="Note 2 8 4 2 6 2" xfId="13395" xr:uid="{45DED804-04CE-4CBE-A007-13E8EA3E1EE2}"/>
    <cellStyle name="Note 2 8 4 2 6 2 2" xfId="35879" xr:uid="{B4FF7491-75E0-4DCC-AAC9-4CCD349633BF}"/>
    <cellStyle name="Note 2 8 4 2 6 2 3" xfId="53616" xr:uid="{6D1EF2CE-7B5E-4D10-99A6-BFCDD321C603}"/>
    <cellStyle name="Note 2 8 4 2 6 3" xfId="18463" xr:uid="{7DC4F953-DB58-4C18-BF0E-45FFDCC14CC0}"/>
    <cellStyle name="Note 2 8 4 2 6 3 2" xfId="40853" xr:uid="{E01D3107-5772-4649-8343-3B76FE04A6E5}"/>
    <cellStyle name="Note 2 8 4 2 6 3 3" xfId="28762" xr:uid="{508D18EF-FF91-4DE2-A6D8-2963E3114A36}"/>
    <cellStyle name="Note 2 8 4 2 6 4" xfId="22887" xr:uid="{D9B0CC06-EDE0-445C-B9E2-B72EDB0A2AAA}"/>
    <cellStyle name="Note 2 8 4 2 6 4 2" xfId="26180" xr:uid="{FD6E2CCF-67D4-4026-AF98-E89C9CE8DC66}"/>
    <cellStyle name="Note 2 8 4 2 6 5" xfId="51160" xr:uid="{A27681DA-E498-49CD-B00D-80E9276492CC}"/>
    <cellStyle name="Note 2 8 4 2 7" xfId="5990" xr:uid="{00000000-0005-0000-0000-0000B0070000}"/>
    <cellStyle name="Note 2 8 4 2 7 2" xfId="12871" xr:uid="{19B9BEAF-D2BD-4398-B27E-0A1F8F8271E6}"/>
    <cellStyle name="Note 2 8 4 2 7 2 2" xfId="35355" xr:uid="{B7399479-551D-4F4F-9F97-70CEDF4885EC}"/>
    <cellStyle name="Note 2 8 4 2 7 2 3" xfId="28597" xr:uid="{D1DA116C-14F6-41F5-9A24-D1538637D178}"/>
    <cellStyle name="Note 2 8 4 2 7 3" xfId="17927" xr:uid="{7BFB1A8F-C090-4C83-8D05-5BB3B65E9D58}"/>
    <cellStyle name="Note 2 8 4 2 7 3 2" xfId="40317" xr:uid="{459BC909-F18A-4A45-9AF4-AFB0CE81F884}"/>
    <cellStyle name="Note 2 8 4 2 7 3 3" xfId="45143" xr:uid="{DA6DA483-3CA6-4AC5-B516-E2B3A5E47703}"/>
    <cellStyle name="Note 2 8 4 2 7 4" xfId="22351" xr:uid="{57A12F4D-C0A8-4FDA-B7B9-5CE8B5C34574}"/>
    <cellStyle name="Note 2 8 4 2 7 4 2" xfId="49667" xr:uid="{9F1F8D93-E8E0-495F-BD03-9AED894FF4EF}"/>
    <cellStyle name="Note 2 8 4 2 7 5" xfId="44670" xr:uid="{D3C42E7D-989F-4263-8A4E-5B582D8E221E}"/>
    <cellStyle name="Note 2 8 4 2 8" xfId="7010" xr:uid="{00000000-0005-0000-0000-0000B0070000}"/>
    <cellStyle name="Note 2 8 4 2 8 2" xfId="13847" xr:uid="{B46519C4-94E0-44AD-A5F7-44D9F5B58EF1}"/>
    <cellStyle name="Note 2 8 4 2 8 2 2" xfId="36331" xr:uid="{65E1E42F-4109-4268-AF29-E0AA36907EF1}"/>
    <cellStyle name="Note 2 8 4 2 8 2 3" xfId="46013" xr:uid="{61AA1AD0-F94D-43B6-8028-E752DCC946CF}"/>
    <cellStyle name="Note 2 8 4 2 8 3" xfId="18947" xr:uid="{D00F0C6A-B42E-49EB-AEDA-A4D5C6F0B2B4}"/>
    <cellStyle name="Note 2 8 4 2 8 3 2" xfId="41337" xr:uid="{37AC2408-C25B-4D4B-9DB7-B6144FE57FCB}"/>
    <cellStyle name="Note 2 8 4 2 8 3 3" xfId="24096" xr:uid="{AD1B4E41-C97A-47D5-B8F8-CBFB218F2724}"/>
    <cellStyle name="Note 2 8 4 2 8 4" xfId="23371" xr:uid="{B6B01B50-AAB6-4F1C-83A8-B097CC76B18D}"/>
    <cellStyle name="Note 2 8 4 2 8 4 2" xfId="37903" xr:uid="{26F48F42-724D-4525-BF87-BAFE8B4ED930}"/>
    <cellStyle name="Note 2 8 4 2 8 5" xfId="48294" xr:uid="{4D4AB077-1E5F-4F78-AC79-66DBCCDABB66}"/>
    <cellStyle name="Note 2 8 4 2 9" xfId="6806" xr:uid="{00000000-0005-0000-0000-0000B0070000}"/>
    <cellStyle name="Note 2 8 4 2 9 2" xfId="18743" xr:uid="{13E5D822-A99A-4539-BB79-1D99B712C89C}"/>
    <cellStyle name="Note 2 8 4 2 9 2 2" xfId="41133" xr:uid="{5C591CA8-FEC1-4DA8-A297-0B9DDEDBBB82}"/>
    <cellStyle name="Note 2 8 4 2 9 2 3" xfId="30883" xr:uid="{81FE2FB8-546B-49A6-89C1-F15AF1E9F8B6}"/>
    <cellStyle name="Note 2 8 4 2 9 3" xfId="23167" xr:uid="{2FDDCF96-8DB8-4D0F-B59E-5E8EE3941B40}"/>
    <cellStyle name="Note 2 8 4 2 9 3 2" xfId="28765" xr:uid="{0B35E693-0662-461A-8FC8-702A8B138BBF}"/>
    <cellStyle name="Note 2 8 4 2 9 4" xfId="23795" xr:uid="{533EB505-1DEC-4F03-AD30-C629631DD362}"/>
    <cellStyle name="Note 2 8 4 3" xfId="4808" xr:uid="{00000000-0005-0000-0000-0000AF070000}"/>
    <cellStyle name="Note 2 8 4 3 2" xfId="11705" xr:uid="{E38EDA4E-7F16-419D-A78B-59B2188ECCA6}"/>
    <cellStyle name="Note 2 8 4 3 2 2" xfId="34191" xr:uid="{700E3E26-2089-489F-9E99-EB319633D555}"/>
    <cellStyle name="Note 2 8 4 3 2 3" xfId="45527" xr:uid="{0F8D1753-699E-49C4-ACDE-5438A2BB8272}"/>
    <cellStyle name="Note 2 8 4 3 3" xfId="16745" xr:uid="{87036757-1672-45A3-8302-384CD0CDB800}"/>
    <cellStyle name="Note 2 8 4 3 3 2" xfId="39135" xr:uid="{5E5499A8-D856-49DD-99EF-67DC7928984A}"/>
    <cellStyle name="Note 2 8 4 3 3 3" xfId="45493" xr:uid="{A749FCA4-77CE-4425-87EE-3926D4DD8588}"/>
    <cellStyle name="Note 2 8 4 3 4" xfId="16240" xr:uid="{41C3CF23-DF5D-4C65-97A8-73BBF3C861BB}"/>
    <cellStyle name="Note 2 8 4 3 4 2" xfId="24174" xr:uid="{2C9E3C1D-7F1E-44C8-B0F3-EDA85318D5B6}"/>
    <cellStyle name="Note 2 8 4 3 5" xfId="46415" xr:uid="{37316E8C-D423-46FB-845F-A3DE29D67F51}"/>
    <cellStyle name="Note 2 8 4 4" xfId="4889" xr:uid="{00000000-0005-0000-0000-0000AF070000}"/>
    <cellStyle name="Note 2 8 4 4 2" xfId="11784" xr:uid="{D426D1D8-A647-4765-8292-25F84D128C5F}"/>
    <cellStyle name="Note 2 8 4 4 2 2" xfId="34270" xr:uid="{438F294A-9BAB-43A7-85F2-507AB454296F}"/>
    <cellStyle name="Note 2 8 4 4 2 3" xfId="23841" xr:uid="{369D4B59-9A65-4159-AF2F-58CE0C4A198D}"/>
    <cellStyle name="Note 2 8 4 4 3" xfId="16826" xr:uid="{DA1F1F11-48EF-4F54-A334-6457FBE74C37}"/>
    <cellStyle name="Note 2 8 4 4 3 2" xfId="39216" xr:uid="{B46AB9AB-B065-4ED2-954F-A42FBB52186E}"/>
    <cellStyle name="Note 2 8 4 4 3 3" xfId="36462" xr:uid="{03BCEB7B-D9A2-45AF-9803-22AABB4EF602}"/>
    <cellStyle name="Note 2 8 4 4 4" xfId="20205" xr:uid="{4E94E461-EB72-4445-93A6-7C6BBDE17AD5}"/>
    <cellStyle name="Note 2 8 4 4 4 2" xfId="42250" xr:uid="{2D93B356-1422-4914-9924-39A1B8A4D33C}"/>
    <cellStyle name="Note 2 8 4 4 5" xfId="50440" xr:uid="{D7B283CF-2F17-4674-8A8A-00C8A06B9695}"/>
    <cellStyle name="Note 2 8 4 5" xfId="2369" xr:uid="{00000000-0005-0000-0000-0000AF070000}"/>
    <cellStyle name="Note 2 8 4 5 2" xfId="9278" xr:uid="{31874B88-E73D-49CD-96C9-58479BB9BCC5}"/>
    <cellStyle name="Note 2 8 4 5 2 2" xfId="31853" xr:uid="{7A7E9E04-581A-42E7-B04A-B817524E4B02}"/>
    <cellStyle name="Note 2 8 4 5 2 3" xfId="50471" xr:uid="{1790E160-4D4E-4365-BE2F-1B0AD904FEF3}"/>
    <cellStyle name="Note 2 8 4 5 3" xfId="14922" xr:uid="{2E6649FD-6AB2-4C13-A45E-29241D037C04}"/>
    <cellStyle name="Note 2 8 4 5 3 2" xfId="37376" xr:uid="{68B86A45-1027-443D-9A28-E2122E35A548}"/>
    <cellStyle name="Note 2 8 4 5 3 3" xfId="24324" xr:uid="{48DA21C8-4C4B-43C1-9A41-C7E1580C5F04}"/>
    <cellStyle name="Note 2 8 4 5 4" xfId="19327" xr:uid="{5B5705C9-FE25-447B-A5E7-F1A29ADE4F9E}"/>
    <cellStyle name="Note 2 8 4 5 4 2" xfId="24251" xr:uid="{A6175688-3F9E-4722-AAF5-EB51CC04AF01}"/>
    <cellStyle name="Note 2 8 4 5 5" xfId="46227" xr:uid="{A5DBA7C9-AF8A-4574-A636-13D0D79512EA}"/>
    <cellStyle name="Note 2 8 4 6" xfId="5995" xr:uid="{00000000-0005-0000-0000-0000AF070000}"/>
    <cellStyle name="Note 2 8 4 6 2" xfId="12876" xr:uid="{948AB3FF-CFD8-4825-AC28-B79E32B43E63}"/>
    <cellStyle name="Note 2 8 4 6 2 2" xfId="35360" xr:uid="{5D4977CE-F547-47D0-8D14-0F0CF5984B8B}"/>
    <cellStyle name="Note 2 8 4 6 2 3" xfId="52966" xr:uid="{DFDACAC2-7C91-4856-8F6C-1826E9E1D9F4}"/>
    <cellStyle name="Note 2 8 4 6 3" xfId="17932" xr:uid="{25601FDA-FE14-40AD-B83C-FE8BBBC31891}"/>
    <cellStyle name="Note 2 8 4 6 3 2" xfId="40322" xr:uid="{71C31D9C-1326-4B56-ACBF-84A041E22A79}"/>
    <cellStyle name="Note 2 8 4 6 3 3" xfId="43338" xr:uid="{8A7549D3-8099-4C4A-B789-A9184F99277C}"/>
    <cellStyle name="Note 2 8 4 6 4" xfId="22356" xr:uid="{04A2C174-C665-4203-86B0-5EBE654CB316}"/>
    <cellStyle name="Note 2 8 4 6 4 2" xfId="46777" xr:uid="{092FF764-69C2-427D-B42B-FC591515578C}"/>
    <cellStyle name="Note 2 8 4 6 5" xfId="52713" xr:uid="{C2050FB9-23EA-4550-A754-A7B719A81A5B}"/>
    <cellStyle name="Note 2 8 4 7" xfId="7606" xr:uid="{A6E4EAB7-F46B-4FB7-BEEA-38F0A873BC3B}"/>
    <cellStyle name="Note 2 8 4 7 2" xfId="30267" xr:uid="{46D0F176-1974-46C1-A353-95BD5E562A5B}"/>
    <cellStyle name="Note 2 8 4 7 3" xfId="38207" xr:uid="{815C0370-4D38-445B-9E14-CF08AAD90F93}"/>
    <cellStyle name="Note 2 8 4 8" xfId="21191" xr:uid="{B64DCB8A-EBEB-413F-AC4C-C96820CEAB04}"/>
    <cellStyle name="Note 2 8 4 8 2" xfId="43431" xr:uid="{5690719B-C92D-435C-99BA-12F1239AAB63}"/>
    <cellStyle name="Note 2 8 4 8 3" xfId="27887" xr:uid="{B9A0826D-CD32-4544-B0DA-2F5FE9CC79A0}"/>
    <cellStyle name="Note 2 8 4 9" xfId="21078" xr:uid="{66724808-F715-4296-BE30-FD1F95EB1C73}"/>
    <cellStyle name="Note 2 8 4 9 2" xfId="47014" xr:uid="{F45AE7AA-93C6-47C4-95E8-9D782CA19248}"/>
    <cellStyle name="Note 2 8 5" xfId="1218" xr:uid="{00000000-0005-0000-0000-0000B3070000}"/>
    <cellStyle name="Note 2 8 5 10" xfId="27457" xr:uid="{D8AE4B3D-7EC6-4C5B-AA57-C8B87AD17086}"/>
    <cellStyle name="Note 2 8 5 2" xfId="2018" xr:uid="{00000000-0005-0000-0000-0000B4070000}"/>
    <cellStyle name="Note 2 8 5 2 10" xfId="14666" xr:uid="{A88CB138-5BEE-4734-BB46-7D32F8E7CF43}"/>
    <cellStyle name="Note 2 8 5 2 10 2" xfId="37126" xr:uid="{E690689B-F793-4D5D-B99D-EC70564FF96F}"/>
    <cellStyle name="Note 2 8 5 2 10 3" xfId="53036" xr:uid="{2AB338A0-3E77-4130-99A8-A53E03A071CC}"/>
    <cellStyle name="Note 2 8 5 2 11" xfId="21238" xr:uid="{1E0901C7-40C1-480B-9A23-28372470369E}"/>
    <cellStyle name="Note 2 8 5 2 11 2" xfId="43474" xr:uid="{8E7AB4C0-D5EE-466C-A746-08BE9E05FA2C}"/>
    <cellStyle name="Note 2 8 5 2 11 3" xfId="49932" xr:uid="{57BD1492-393D-4EC8-AC93-A5ABBFBDFDB5}"/>
    <cellStyle name="Note 2 8 5 2 12" xfId="19895" xr:uid="{0ABF5FC4-9F00-48E1-91CF-AB0EFE9B0905}"/>
    <cellStyle name="Note 2 8 5 2 12 2" xfId="27751" xr:uid="{DE91105A-8230-4C2A-976A-71741E225E7B}"/>
    <cellStyle name="Note 2 8 5 2 13" xfId="48626" xr:uid="{697B3EA8-698B-43CD-93AF-F6F27D483140}"/>
    <cellStyle name="Note 2 8 5 2 2" xfId="4113" xr:uid="{00000000-0005-0000-0000-0000B2070000}"/>
    <cellStyle name="Note 2 8 5 2 2 2" xfId="11017" xr:uid="{BC8C0B27-2F01-4AC6-B0E2-40BBD1F0D5BA}"/>
    <cellStyle name="Note 2 8 5 2 2 2 2" xfId="33503" xr:uid="{7D7D813D-12E1-44A0-96BB-F630A7B25F13}"/>
    <cellStyle name="Note 2 8 5 2 2 2 3" xfId="53300" xr:uid="{49393C27-637B-4EB8-8C7E-432AD8FF34FA}"/>
    <cellStyle name="Note 2 8 5 2 2 3" xfId="16117" xr:uid="{996BFFED-3BF5-464E-B561-B760D307362C}"/>
    <cellStyle name="Note 2 8 5 2 2 3 2" xfId="38517" xr:uid="{4762E43C-6859-4679-8AC8-4AAA517BE359}"/>
    <cellStyle name="Note 2 8 5 2 2 3 3" xfId="27872" xr:uid="{6DE2FB47-124B-4129-8024-FDDD8CDFEF36}"/>
    <cellStyle name="Note 2 8 5 2 2 4" xfId="21064" xr:uid="{F7C6A21C-8939-4C0C-9D12-B95BBC604AC9}"/>
    <cellStyle name="Note 2 8 5 2 2 4 2" xfId="48051" xr:uid="{71A127CC-D454-4DC0-BF14-044E32B38B93}"/>
    <cellStyle name="Note 2 8 5 2 2 5" xfId="45398" xr:uid="{C4ADE14B-D45C-4AA8-ADD3-47DF70DA614A}"/>
    <cellStyle name="Note 2 8 5 2 3" xfId="5459" xr:uid="{00000000-0005-0000-0000-0000B2070000}"/>
    <cellStyle name="Note 2 8 5 2 3 2" xfId="12348" xr:uid="{1C2A91E6-F14E-4D66-805F-8F5AC4A3B37F}"/>
    <cellStyle name="Note 2 8 5 2 3 2 2" xfId="34833" xr:uid="{99A6AFAD-E49C-4609-9AAC-13CE27D92F00}"/>
    <cellStyle name="Note 2 8 5 2 3 2 3" xfId="25957" xr:uid="{512030B0-C928-4BC0-8286-8507FB32E705}"/>
    <cellStyle name="Note 2 8 5 2 3 3" xfId="17396" xr:uid="{8157F3DA-935C-4029-8438-75531482A282}"/>
    <cellStyle name="Note 2 8 5 2 3 3 2" xfId="39786" xr:uid="{11598430-A23C-4136-AC0C-8210187EC252}"/>
    <cellStyle name="Note 2 8 5 2 3 3 3" xfId="25794" xr:uid="{142B6BF9-B8D8-4054-96B1-BD1DFB31522A}"/>
    <cellStyle name="Note 2 8 5 2 3 4" xfId="21820" xr:uid="{1A3558D9-5E7D-46F7-8081-F27C1CFA345B}"/>
    <cellStyle name="Note 2 8 5 2 3 4 2" xfId="50546" xr:uid="{6F965A91-1FA1-46CA-965F-674A591B6BCB}"/>
    <cellStyle name="Note 2 8 5 2 3 5" xfId="29570" xr:uid="{A62B82E6-4664-42A7-8844-7FA8E5880941}"/>
    <cellStyle name="Note 2 8 5 2 4" xfId="5882" xr:uid="{00000000-0005-0000-0000-0000B2070000}"/>
    <cellStyle name="Note 2 8 5 2 4 2" xfId="12764" xr:uid="{0990DFFA-29A4-4AD7-89FB-7C07B7FD3DB2}"/>
    <cellStyle name="Note 2 8 5 2 4 2 2" xfId="35248" xr:uid="{54C4A67E-3A32-4940-9C19-42F05377EA8D}"/>
    <cellStyle name="Note 2 8 5 2 4 2 3" xfId="31882" xr:uid="{57D61C97-A811-45E6-A617-99A4F642B1F5}"/>
    <cellStyle name="Note 2 8 5 2 4 3" xfId="17819" xr:uid="{06BAD059-04A0-4D0D-9DD1-8B60600D4D9A}"/>
    <cellStyle name="Note 2 8 5 2 4 3 2" xfId="40209" xr:uid="{C5DAFA97-746F-4D03-941F-A24BAACA0479}"/>
    <cellStyle name="Note 2 8 5 2 4 3 3" xfId="27791" xr:uid="{BDFB644F-2C21-4C54-B088-9EA6B026113C}"/>
    <cellStyle name="Note 2 8 5 2 4 4" xfId="22243" xr:uid="{EF040B39-9B39-41C3-9AC5-10A9B89281F5}"/>
    <cellStyle name="Note 2 8 5 2 4 4 2" xfId="29197" xr:uid="{906A8168-1735-45E1-ACC4-9AE9DC969B06}"/>
    <cellStyle name="Note 2 8 5 2 4 5" xfId="53674" xr:uid="{68FB6AED-5A5B-4F59-8A58-1138F4C608F0}"/>
    <cellStyle name="Note 2 8 5 2 5" xfId="6220" xr:uid="{00000000-0005-0000-0000-0000B2070000}"/>
    <cellStyle name="Note 2 8 5 2 5 2" xfId="13095" xr:uid="{70717283-4B01-4F95-B272-8A1530E6EF81}"/>
    <cellStyle name="Note 2 8 5 2 5 2 2" xfId="35579" xr:uid="{A05A0C33-94BE-4067-B434-1EF9878304EE}"/>
    <cellStyle name="Note 2 8 5 2 5 2 3" xfId="26443" xr:uid="{22DF2079-45B2-4C57-9DE1-F99502FA27FA}"/>
    <cellStyle name="Note 2 8 5 2 5 3" xfId="18157" xr:uid="{03429B46-9571-49DC-B350-7405F129F55F}"/>
    <cellStyle name="Note 2 8 5 2 5 3 2" xfId="40547" xr:uid="{16D06999-41F0-49AC-9C28-E92C9539AB54}"/>
    <cellStyle name="Note 2 8 5 2 5 3 3" xfId="44362" xr:uid="{5F2BE5DE-E8D7-4A55-9D7F-C9C6A3DC0C76}"/>
    <cellStyle name="Note 2 8 5 2 5 4" xfId="22581" xr:uid="{B2BD778A-3137-4335-9DAE-07121A446246}"/>
    <cellStyle name="Note 2 8 5 2 5 4 2" xfId="29063" xr:uid="{82E99F14-B4B1-4C8C-89AD-097F527E0A47}"/>
    <cellStyle name="Note 2 8 5 2 5 5" xfId="28962" xr:uid="{99880FB9-1780-41B2-BA91-EF93968AA84F}"/>
    <cellStyle name="Note 2 8 5 2 6" xfId="6586" xr:uid="{00000000-0005-0000-0000-0000B2070000}"/>
    <cellStyle name="Note 2 8 5 2 6 2" xfId="13452" xr:uid="{392BD4A4-3EEA-4F5C-9C3D-31AF528CFAE4}"/>
    <cellStyle name="Note 2 8 5 2 6 2 2" xfId="35936" xr:uid="{B8219218-2565-4AFA-8136-AE63A3E5FC02}"/>
    <cellStyle name="Note 2 8 5 2 6 2 3" xfId="46483" xr:uid="{DC26938A-C038-4752-834E-CF2FB0542D4E}"/>
    <cellStyle name="Note 2 8 5 2 6 3" xfId="18523" xr:uid="{CF64F957-5DDB-437C-9F16-59A62D5A9A25}"/>
    <cellStyle name="Note 2 8 5 2 6 3 2" xfId="40913" xr:uid="{B8CBD5B9-9AAB-42B1-BA05-5BC28C58D840}"/>
    <cellStyle name="Note 2 8 5 2 6 3 3" xfId="29020" xr:uid="{A42FFA55-1738-4E62-A008-FE29069AA30F}"/>
    <cellStyle name="Note 2 8 5 2 6 4" xfId="22947" xr:uid="{5357C275-2A7B-4FEC-AEC9-9F4B537FD1CC}"/>
    <cellStyle name="Note 2 8 5 2 6 4 2" xfId="52950" xr:uid="{D1196856-D53E-483C-9BEC-5D2A764F7DD9}"/>
    <cellStyle name="Note 2 8 5 2 6 5" xfId="51243" xr:uid="{E21A9FA8-6F30-4230-9DE1-349B66334DA0}"/>
    <cellStyle name="Note 2 8 5 2 7" xfId="6008" xr:uid="{00000000-0005-0000-0000-0000B2070000}"/>
    <cellStyle name="Note 2 8 5 2 7 2" xfId="12889" xr:uid="{A303037E-8E54-4ED8-A256-1A234C5B5D8F}"/>
    <cellStyle name="Note 2 8 5 2 7 2 2" xfId="35373" xr:uid="{58B4F050-2744-4CC5-AF1A-DE597D389DC5}"/>
    <cellStyle name="Note 2 8 5 2 7 2 3" xfId="44728" xr:uid="{07AB6B89-F1EA-4603-848C-A1857E410B01}"/>
    <cellStyle name="Note 2 8 5 2 7 3" xfId="17945" xr:uid="{B3E46AF4-F311-491C-B367-97DCD35CA303}"/>
    <cellStyle name="Note 2 8 5 2 7 3 2" xfId="40335" xr:uid="{466D7DB7-4C2D-4935-932E-EDBD41E619F8}"/>
    <cellStyle name="Note 2 8 5 2 7 3 3" xfId="41958" xr:uid="{F0CAC84F-3280-42D3-9938-C40D7CE809F7}"/>
    <cellStyle name="Note 2 8 5 2 7 4" xfId="22369" xr:uid="{EDA4F0D0-D521-4318-8CAE-3033B3925699}"/>
    <cellStyle name="Note 2 8 5 2 7 4 2" xfId="43694" xr:uid="{6A0970FB-D055-4EBA-9B2C-12877A406267}"/>
    <cellStyle name="Note 2 8 5 2 7 5" xfId="25746" xr:uid="{A49D5EFA-AF69-40C5-A058-B77462D2DCAF}"/>
    <cellStyle name="Note 2 8 5 2 8" xfId="7056" xr:uid="{00000000-0005-0000-0000-0000B2070000}"/>
    <cellStyle name="Note 2 8 5 2 8 2" xfId="13892" xr:uid="{75B5E076-38DC-46AB-B06C-6A05379D8841}"/>
    <cellStyle name="Note 2 8 5 2 8 2 2" xfId="36376" xr:uid="{C884F4EF-AD89-4E80-9DB9-C161A53A0D1A}"/>
    <cellStyle name="Note 2 8 5 2 8 2 3" xfId="27827" xr:uid="{179F22E0-0641-4DE6-A5FE-E1A9C8084FCA}"/>
    <cellStyle name="Note 2 8 5 2 8 3" xfId="18993" xr:uid="{32CA2870-C686-4D48-8B50-FF794EC59ECE}"/>
    <cellStyle name="Note 2 8 5 2 8 3 2" xfId="41383" xr:uid="{A6968711-94C9-46D6-8C21-FBBF2AAE7D50}"/>
    <cellStyle name="Note 2 8 5 2 8 3 3" xfId="27664" xr:uid="{1E8A5B29-6DDB-4988-A68A-89334D0EA194}"/>
    <cellStyle name="Note 2 8 5 2 8 4" xfId="23417" xr:uid="{93D32B92-8A75-4201-AF33-4263FAF29F11}"/>
    <cellStyle name="Note 2 8 5 2 8 4 2" xfId="47642" xr:uid="{05DAE4BA-A497-40E9-9383-1D4294641F8B}"/>
    <cellStyle name="Note 2 8 5 2 8 5" xfId="28301" xr:uid="{E3AC61E2-B35A-47A0-90CA-943DBA318FE3}"/>
    <cellStyle name="Note 2 8 5 2 9" xfId="7171" xr:uid="{00000000-0005-0000-0000-0000B2070000}"/>
    <cellStyle name="Note 2 8 5 2 9 2" xfId="19108" xr:uid="{E3BD49D1-7045-4A43-9733-DE6D9AE142E8}"/>
    <cellStyle name="Note 2 8 5 2 9 2 2" xfId="41498" xr:uid="{B7C563A3-1E12-4830-80FE-60CF173F3748}"/>
    <cellStyle name="Note 2 8 5 2 9 2 3" xfId="36635" xr:uid="{1312E864-5144-4A99-ABF6-A312AE19EC80}"/>
    <cellStyle name="Note 2 8 5 2 9 3" xfId="23532" xr:uid="{F1258172-F075-4567-826B-39F43507B660}"/>
    <cellStyle name="Note 2 8 5 2 9 3 2" xfId="29360" xr:uid="{16BD1328-1630-4781-90D7-5651E9961218}"/>
    <cellStyle name="Note 2 8 5 2 9 4" xfId="28744" xr:uid="{7454E65F-49EA-435C-B47D-B58CA3AFEFB5}"/>
    <cellStyle name="Note 2 8 5 3" xfId="4918" xr:uid="{00000000-0005-0000-0000-0000B1070000}"/>
    <cellStyle name="Note 2 8 5 3 2" xfId="11813" xr:uid="{9AF09625-2E4F-4145-B339-FFECC772CADC}"/>
    <cellStyle name="Note 2 8 5 3 2 2" xfId="34299" xr:uid="{1039C726-22CC-4EAD-9BA7-8758D11F03F1}"/>
    <cellStyle name="Note 2 8 5 3 2 3" xfId="24760" xr:uid="{576A4DC6-C77B-4D01-BC4F-C78834B76041}"/>
    <cellStyle name="Note 2 8 5 3 3" xfId="16855" xr:uid="{EA702CD7-CA40-4022-BC13-CDA2BDC19833}"/>
    <cellStyle name="Note 2 8 5 3 3 2" xfId="39245" xr:uid="{036D79C8-D3FF-4396-90D5-C3C7F72DFE87}"/>
    <cellStyle name="Note 2 8 5 3 3 3" xfId="43971" xr:uid="{F008CCD2-2793-455A-9494-512382D0B018}"/>
    <cellStyle name="Note 2 8 5 3 4" xfId="16266" xr:uid="{6BF99BC1-318C-410B-85D8-F28562F46027}"/>
    <cellStyle name="Note 2 8 5 3 4 2" xfId="24812" xr:uid="{AC42F629-74BE-4801-B9CD-8C34EAE4D93D}"/>
    <cellStyle name="Note 2 8 5 3 5" xfId="47551" xr:uid="{22B5344D-9B08-4000-A140-70965D3B3AF6}"/>
    <cellStyle name="Note 2 8 5 4" xfId="2270" xr:uid="{00000000-0005-0000-0000-0000B1070000}"/>
    <cellStyle name="Note 2 8 5 4 2" xfId="9182" xr:uid="{40ECFCA9-E490-4D70-8F7F-8AA535BACA13}"/>
    <cellStyle name="Note 2 8 5 4 2 2" xfId="31757" xr:uid="{605F0C2F-F3B5-438F-AF83-E6C703A13921}"/>
    <cellStyle name="Note 2 8 5 4 2 3" xfId="28407" xr:uid="{048E2406-F499-4924-BBD7-8E4D810B5B41}"/>
    <cellStyle name="Note 2 8 5 4 3" xfId="14840" xr:uid="{330A56F0-6488-485A-8817-27EE41FFA625}"/>
    <cellStyle name="Note 2 8 5 4 3 2" xfId="37294" xr:uid="{9FB6C692-D612-4A54-AC8B-5C460FC10189}"/>
    <cellStyle name="Note 2 8 5 4 3 3" xfId="50934" xr:uid="{B2BF8EB3-BF77-4EB1-8DB3-F11922F3E3DB}"/>
    <cellStyle name="Note 2 8 5 4 4" xfId="15928" xr:uid="{95BADDAE-0E29-4818-893F-0CC6DDD2C4C7}"/>
    <cellStyle name="Note 2 8 5 4 4 2" xfId="52316" xr:uid="{F90F8326-1665-4DA2-84E9-B37BA41FD5B6}"/>
    <cellStyle name="Note 2 8 5 4 5" xfId="29446" xr:uid="{A7AA0135-AA1F-4A44-971A-922463D4D3A5}"/>
    <cellStyle name="Note 2 8 5 5" xfId="2519" xr:uid="{00000000-0005-0000-0000-0000B1070000}"/>
    <cellStyle name="Note 2 8 5 5 2" xfId="9428" xr:uid="{756E8A97-3FFD-4042-AA3F-7231BFDD7EB9}"/>
    <cellStyle name="Note 2 8 5 5 2 2" xfId="31986" xr:uid="{627E76AF-AF80-4AFF-9EFD-BED679C50955}"/>
    <cellStyle name="Note 2 8 5 5 2 3" xfId="53880" xr:uid="{A45FAEC9-C363-4C72-8487-931837E7E1C5}"/>
    <cellStyle name="Note 2 8 5 5 3" xfId="15019" xr:uid="{4EAE2CB1-5A7C-403A-8F55-AAD177FD8689}"/>
    <cellStyle name="Note 2 8 5 5 3 2" xfId="37469" xr:uid="{1EB3270B-4FB5-4F73-BC07-1099F5A782EB}"/>
    <cellStyle name="Note 2 8 5 5 3 3" xfId="44959" xr:uid="{BAB1F851-DE52-48DB-B58C-4868EB127B35}"/>
    <cellStyle name="Note 2 8 5 5 4" xfId="19892" xr:uid="{4959365A-A7FD-46FA-BC41-0DE1AE7AD4B1}"/>
    <cellStyle name="Note 2 8 5 5 4 2" xfId="29191" xr:uid="{9D7FED97-EA98-49F6-BE32-4310DEC39DD4}"/>
    <cellStyle name="Note 2 8 5 5 5" xfId="25236" xr:uid="{7DA5A6BE-8CDA-4182-AA6E-715B2BD745D6}"/>
    <cellStyle name="Note 2 8 5 6" xfId="4593" xr:uid="{00000000-0005-0000-0000-0000B1070000}"/>
    <cellStyle name="Note 2 8 5 6 2" xfId="11494" xr:uid="{0E7393C0-6736-40BF-AF51-DA8893BA221C}"/>
    <cellStyle name="Note 2 8 5 6 2 2" xfId="33980" xr:uid="{9393C5E1-9ECB-419F-BA4E-CE388ECCE5B9}"/>
    <cellStyle name="Note 2 8 5 6 2 3" xfId="28436" xr:uid="{47D76C39-403E-4481-8081-22CE13852CCE}"/>
    <cellStyle name="Note 2 8 5 6 3" xfId="16530" xr:uid="{6DC1C6A0-F152-44C3-BBC3-7756ACA345DE}"/>
    <cellStyle name="Note 2 8 5 6 3 2" xfId="38920" xr:uid="{B3527A2E-576C-4F2B-8690-4769874548DB}"/>
    <cellStyle name="Note 2 8 5 6 3 3" xfId="27603" xr:uid="{FE6A2B64-67A8-4941-B7CB-54DB3FED9DA8}"/>
    <cellStyle name="Note 2 8 5 6 4" xfId="15606" xr:uid="{5C73E736-5E88-4D73-A197-790CF936B1C2}"/>
    <cellStyle name="Note 2 8 5 6 4 2" xfId="49853" xr:uid="{CE8A5241-7EDC-4E5A-B667-C8A9959A58E8}"/>
    <cellStyle name="Note 2 8 5 6 5" xfId="50842" xr:uid="{D19A0602-6CF5-4F88-AF84-78FD4EAF0FB3}"/>
    <cellStyle name="Note 2 8 5 7" xfId="14093" xr:uid="{3DFB5354-08CD-4209-B232-53E5F3991EDC}"/>
    <cellStyle name="Note 2 8 5 7 2" xfId="36571" xr:uid="{7566FEBC-D0B3-43F1-82D4-6DC76182699E}"/>
    <cellStyle name="Note 2 8 5 7 3" xfId="49623" xr:uid="{C5E55274-A5BE-40F1-BAFC-0447ABD87D23}"/>
    <cellStyle name="Note 2 8 5 8" xfId="20634" xr:uid="{F1F85B10-468C-4386-95BA-ECB942259667}"/>
    <cellStyle name="Note 2 8 5 8 2" xfId="42913" xr:uid="{66B73DDB-D772-4F1D-B063-5F5BA193B96A}"/>
    <cellStyle name="Note 2 8 5 8 3" xfId="50873" xr:uid="{269FC7AD-9DA8-41BB-8D92-1CA5F3448A13}"/>
    <cellStyle name="Note 2 8 5 9" xfId="21142" xr:uid="{6D6E7AD5-D5E8-4F3A-B1F3-905C4B5A4CBB}"/>
    <cellStyle name="Note 2 8 5 9 2" xfId="27198" xr:uid="{4978E7AD-5459-4C6C-B28B-E8BF987D7020}"/>
    <cellStyle name="Note 2 8 6" xfId="1380" xr:uid="{00000000-0005-0000-0000-0000B5070000}"/>
    <cellStyle name="Note 2 8 6 10" xfId="47730" xr:uid="{0A2CA41D-8B8C-4587-BC8C-970906CFD8BD}"/>
    <cellStyle name="Note 2 8 6 2" xfId="2109" xr:uid="{00000000-0005-0000-0000-0000B6070000}"/>
    <cellStyle name="Note 2 8 6 2 10" xfId="14738" xr:uid="{A57EEFFB-7B42-47C6-9235-0E986AF05C43}"/>
    <cellStyle name="Note 2 8 6 2 10 2" xfId="37196" xr:uid="{877E8C2F-FC62-43AD-924E-0AAD6A8447C4}"/>
    <cellStyle name="Note 2 8 6 2 10 3" xfId="48705" xr:uid="{5755014E-A957-4BA7-B610-C0D9EC9478F9}"/>
    <cellStyle name="Note 2 8 6 2 11" xfId="19759" xr:uid="{A2420AB6-E5E1-4C0A-8242-DAAEA2F535A4}"/>
    <cellStyle name="Note 2 8 6 2 11 2" xfId="42101" xr:uid="{268A4ED3-244D-4F87-B67F-F0D299DBF937}"/>
    <cellStyle name="Note 2 8 6 2 11 3" xfId="43228" xr:uid="{8D00CA83-9BE0-48BA-A5A7-FAA0665F2CCD}"/>
    <cellStyle name="Note 2 8 6 2 12" xfId="21273" xr:uid="{91970433-FE9F-491C-8DF7-4E49B69A38DD}"/>
    <cellStyle name="Note 2 8 6 2 12 2" xfId="53478" xr:uid="{485859A5-AB7D-4562-81F3-456A2E862E8B}"/>
    <cellStyle name="Note 2 8 6 2 13" xfId="50659" xr:uid="{3B1368C5-724E-43B4-89B9-0EDD5155C312}"/>
    <cellStyle name="Note 2 8 6 2 2" xfId="4202" xr:uid="{00000000-0005-0000-0000-0000B4070000}"/>
    <cellStyle name="Note 2 8 6 2 2 2" xfId="11106" xr:uid="{8921CBE4-AB4A-4427-93D8-F0FB093A2441}"/>
    <cellStyle name="Note 2 8 6 2 2 2 2" xfId="33592" xr:uid="{53B85D37-44D4-4BB8-8236-5E66B071967B}"/>
    <cellStyle name="Note 2 8 6 2 2 2 3" xfId="27602" xr:uid="{11A1745F-658D-4980-BA52-1506C6B6D097}"/>
    <cellStyle name="Note 2 8 6 2 2 3" xfId="16195" xr:uid="{688DC9BB-51EA-4CFA-A5DF-F562030B37AB}"/>
    <cellStyle name="Note 2 8 6 2 2 3 2" xfId="38594" xr:uid="{D2D67C09-60A5-400F-8491-B0B1D29C3A29}"/>
    <cellStyle name="Note 2 8 6 2 2 3 3" xfId="36645" xr:uid="{72BD2EE1-3DFA-4845-8411-67C7F7636FF7}"/>
    <cellStyle name="Note 2 8 6 2 2 4" xfId="20119" xr:uid="{83110449-BE47-4B62-BC3E-7DE4E40EBE21}"/>
    <cellStyle name="Note 2 8 6 2 2 4 2" xfId="27988" xr:uid="{20B94D32-A3EE-4B4C-B115-D8695CC7F1C4}"/>
    <cellStyle name="Note 2 8 6 2 2 5" xfId="49278" xr:uid="{4E37D77F-1BD0-4069-BBAF-2BAE6AEB6FC9}"/>
    <cellStyle name="Note 2 8 6 2 3" xfId="5528" xr:uid="{00000000-0005-0000-0000-0000B4070000}"/>
    <cellStyle name="Note 2 8 6 2 3 2" xfId="12417" xr:uid="{301BA7B9-20D1-4957-88A5-54C6B5153C13}"/>
    <cellStyle name="Note 2 8 6 2 3 2 2" xfId="34902" xr:uid="{C0A1AED3-C79E-40E1-86D6-43D0CBD92EEE}"/>
    <cellStyle name="Note 2 8 6 2 3 2 3" xfId="42974" xr:uid="{6CEDCA4B-D30F-43D1-AE5C-E8AD47FB14FC}"/>
    <cellStyle name="Note 2 8 6 2 3 3" xfId="17465" xr:uid="{BAAE50AA-6B83-4ED8-BBF4-BEC7FA60AA77}"/>
    <cellStyle name="Note 2 8 6 2 3 3 2" xfId="39855" xr:uid="{B85154C3-3872-4643-B336-2C06C5DBB7DE}"/>
    <cellStyle name="Note 2 8 6 2 3 3 3" xfId="42810" xr:uid="{C9593A0C-0CB6-435C-9065-91E3FB1467B8}"/>
    <cellStyle name="Note 2 8 6 2 3 4" xfId="21889" xr:uid="{BDAEE42D-5249-4826-BB03-01F46A6F4F84}"/>
    <cellStyle name="Note 2 8 6 2 3 4 2" xfId="42838" xr:uid="{A71C0145-42AF-4CC4-82D1-ABC67EE79DEA}"/>
    <cellStyle name="Note 2 8 6 2 3 5" xfId="47449" xr:uid="{EEC513FD-DD04-4CD7-A383-FECD94206393}"/>
    <cellStyle name="Note 2 8 6 2 4" xfId="5950" xr:uid="{00000000-0005-0000-0000-0000B4070000}"/>
    <cellStyle name="Note 2 8 6 2 4 2" xfId="12831" xr:uid="{A417F70C-C107-421F-B63C-6110DE59E179}"/>
    <cellStyle name="Note 2 8 6 2 4 2 2" xfId="35315" xr:uid="{487E18EF-34E8-4822-A312-B4C22BD51B96}"/>
    <cellStyle name="Note 2 8 6 2 4 2 3" xfId="52128" xr:uid="{934CA67E-E669-40CB-954F-29381CA22087}"/>
    <cellStyle name="Note 2 8 6 2 4 3" xfId="17887" xr:uid="{776C3D26-374D-43ED-ACC6-E6CE3C19BE3E}"/>
    <cellStyle name="Note 2 8 6 2 4 3 2" xfId="40277" xr:uid="{7E3317F0-B353-4E83-A0D1-6A2CC0385208}"/>
    <cellStyle name="Note 2 8 6 2 4 3 3" xfId="23981" xr:uid="{1038CEC3-C80F-4D92-A4CF-87CF79BDA20E}"/>
    <cellStyle name="Note 2 8 6 2 4 4" xfId="22311" xr:uid="{39D6A713-1945-40E9-BD91-D10AF4AB3456}"/>
    <cellStyle name="Note 2 8 6 2 4 4 2" xfId="51595" xr:uid="{537C668E-9CA7-4339-AAAC-5E82F9A90E10}"/>
    <cellStyle name="Note 2 8 6 2 4 5" xfId="51217" xr:uid="{718DDAB6-4E2F-4826-8EF0-95A7C7175BA5}"/>
    <cellStyle name="Note 2 8 6 2 5" xfId="6290" xr:uid="{00000000-0005-0000-0000-0000B4070000}"/>
    <cellStyle name="Note 2 8 6 2 5 2" xfId="13162" xr:uid="{21961E9D-03E1-43D4-85BD-718429F53BE1}"/>
    <cellStyle name="Note 2 8 6 2 5 2 2" xfId="35646" xr:uid="{5B71305E-A9EE-4F38-8A0F-10F2A54E2767}"/>
    <cellStyle name="Note 2 8 6 2 5 2 3" xfId="49905" xr:uid="{C0A278F3-AC3B-4E93-8E98-081517570D89}"/>
    <cellStyle name="Note 2 8 6 2 5 3" xfId="18227" xr:uid="{2D775BC4-BD36-40E6-A2D8-533FD2ABF31B}"/>
    <cellStyle name="Note 2 8 6 2 5 3 2" xfId="40617" xr:uid="{B5558924-B0F7-4E8B-92DD-3E1251089F96}"/>
    <cellStyle name="Note 2 8 6 2 5 3 3" xfId="44581" xr:uid="{D22D511D-AF1B-422B-B897-FF008B591315}"/>
    <cellStyle name="Note 2 8 6 2 5 4" xfId="22651" xr:uid="{3C5419E7-D5C8-45A8-A97E-071AFF529C3D}"/>
    <cellStyle name="Note 2 8 6 2 5 4 2" xfId="46828" xr:uid="{6409493B-9E2B-46A1-BC93-66E3A455B88F}"/>
    <cellStyle name="Note 2 8 6 2 5 5" xfId="24177" xr:uid="{F3039CD5-F5AE-40F8-9212-D199E49616F6}"/>
    <cellStyle name="Note 2 8 6 2 6" xfId="6645" xr:uid="{00000000-0005-0000-0000-0000B4070000}"/>
    <cellStyle name="Note 2 8 6 2 6 2" xfId="13511" xr:uid="{93D501B0-E1E0-479E-8034-94EA174836D0}"/>
    <cellStyle name="Note 2 8 6 2 6 2 2" xfId="35995" xr:uid="{8D430F3C-581B-4EEE-8D9F-E84F7E97C4CC}"/>
    <cellStyle name="Note 2 8 6 2 6 2 3" xfId="52867" xr:uid="{F0C16289-39D0-4FA8-956E-DD56FB01455B}"/>
    <cellStyle name="Note 2 8 6 2 6 3" xfId="18582" xr:uid="{4B2A5D09-8B7A-4F54-B424-EB16E61E87AE}"/>
    <cellStyle name="Note 2 8 6 2 6 3 2" xfId="40972" xr:uid="{43CFB306-C906-46B3-B990-6021B6F585EB}"/>
    <cellStyle name="Note 2 8 6 2 6 3 3" xfId="36747" xr:uid="{C86DF24D-ECE4-4BEE-8BC6-83616B1FEEFE}"/>
    <cellStyle name="Note 2 8 6 2 6 4" xfId="23006" xr:uid="{AB602390-7656-4633-8E55-263147150799}"/>
    <cellStyle name="Note 2 8 6 2 6 4 2" xfId="53669" xr:uid="{481D1A13-336C-471E-B847-380C12C04EE2}"/>
    <cellStyle name="Note 2 8 6 2 6 5" xfId="49674" xr:uid="{51517346-7F6E-4896-9D77-D7578BEFB831}"/>
    <cellStyle name="Note 2 8 6 2 7" xfId="6841" xr:uid="{00000000-0005-0000-0000-0000B4070000}"/>
    <cellStyle name="Note 2 8 6 2 7 2" xfId="13685" xr:uid="{E506EE3C-9C63-4BFB-A2E1-F55B8BEBED81}"/>
    <cellStyle name="Note 2 8 6 2 7 2 2" xfId="36169" xr:uid="{6E57A639-4A53-4F3F-A41A-03867085E6E2}"/>
    <cellStyle name="Note 2 8 6 2 7 2 3" xfId="30830" xr:uid="{80188F39-BDA4-4D40-BEDE-EC33C66BEB37}"/>
    <cellStyle name="Note 2 8 6 2 7 3" xfId="18778" xr:uid="{5678E579-6762-49FE-B712-CC68FD6CA3EE}"/>
    <cellStyle name="Note 2 8 6 2 7 3 2" xfId="41168" xr:uid="{C98903C9-EF9B-41C5-9550-BC193A8834D3}"/>
    <cellStyle name="Note 2 8 6 2 7 3 3" xfId="24458" xr:uid="{C7CEC051-394E-483B-9E26-66426D4224E7}"/>
    <cellStyle name="Note 2 8 6 2 7 4" xfId="23202" xr:uid="{C9988A7E-66DA-4D21-A1C2-A0C6D4B9E069}"/>
    <cellStyle name="Note 2 8 6 2 7 4 2" xfId="42969" xr:uid="{63BB5B84-0D7D-412C-BBAF-3721D5CD5DB8}"/>
    <cellStyle name="Note 2 8 6 2 7 5" xfId="52972" xr:uid="{0E5CCD35-3382-4CB3-A6DF-3EBDC8971051}"/>
    <cellStyle name="Note 2 8 6 2 8" xfId="7100" xr:uid="{00000000-0005-0000-0000-0000B4070000}"/>
    <cellStyle name="Note 2 8 6 2 8 2" xfId="13936" xr:uid="{068B087D-5AC8-4628-BB30-697FFBEA0943}"/>
    <cellStyle name="Note 2 8 6 2 8 2 2" xfId="36420" xr:uid="{44654049-3779-48E5-9CBF-9C0753C71CFF}"/>
    <cellStyle name="Note 2 8 6 2 8 2 3" xfId="46992" xr:uid="{8A7742AA-405F-4CB7-8085-CB68A0594CE6}"/>
    <cellStyle name="Note 2 8 6 2 8 3" xfId="19037" xr:uid="{F77D74C9-3B74-4F0C-8641-75C8C5740A78}"/>
    <cellStyle name="Note 2 8 6 2 8 3 2" xfId="41427" xr:uid="{1D251AC8-E06A-48D0-8A4F-075258E42844}"/>
    <cellStyle name="Note 2 8 6 2 8 3 3" xfId="28244" xr:uid="{C673CDFE-544F-4A0E-8655-47FC43158D18}"/>
    <cellStyle name="Note 2 8 6 2 8 4" xfId="23461" xr:uid="{1DD680AA-4951-4F73-9F5D-4B179DE3156D}"/>
    <cellStyle name="Note 2 8 6 2 8 4 2" xfId="47006" xr:uid="{C4CA7D7C-710B-42C6-A6AF-051EA026667F}"/>
    <cellStyle name="Note 2 8 6 2 8 5" xfId="53845" xr:uid="{77402AB5-72FE-4264-8365-38C17D60930B}"/>
    <cellStyle name="Note 2 8 6 2 9" xfId="7215" xr:uid="{00000000-0005-0000-0000-0000B4070000}"/>
    <cellStyle name="Note 2 8 6 2 9 2" xfId="19152" xr:uid="{61E1EAF0-6745-48CA-9419-0688C582B4A2}"/>
    <cellStyle name="Note 2 8 6 2 9 2 2" xfId="41542" xr:uid="{08815281-4E8A-46F1-8272-63CD297409E8}"/>
    <cellStyle name="Note 2 8 6 2 9 2 3" xfId="29181" xr:uid="{42F8250F-3444-4DD8-8B5A-F27B221743A6}"/>
    <cellStyle name="Note 2 8 6 2 9 3" xfId="23576" xr:uid="{66BFE538-117F-4B74-9E00-DA5967A46DB6}"/>
    <cellStyle name="Note 2 8 6 2 9 3 2" xfId="29880" xr:uid="{274B1267-2C68-469F-83F6-C4EC0CF5EA6D}"/>
    <cellStyle name="Note 2 8 6 2 9 4" xfId="27973" xr:uid="{7CE6BDF6-5E53-4EA0-8B70-F4E3124484A1}"/>
    <cellStyle name="Note 2 8 6 3" xfId="5017" xr:uid="{00000000-0005-0000-0000-0000B3070000}"/>
    <cellStyle name="Note 2 8 6 3 2" xfId="11911" xr:uid="{A9554D7D-7931-44A3-85D0-041EF446937B}"/>
    <cellStyle name="Note 2 8 6 3 2 2" xfId="34397" xr:uid="{B40C12C1-5031-4A8D-9CD6-51977D1242FD}"/>
    <cellStyle name="Note 2 8 6 3 2 3" xfId="25655" xr:uid="{4138451A-DECA-468B-A3A6-D5ED2393A1B7}"/>
    <cellStyle name="Note 2 8 6 3 3" xfId="16954" xr:uid="{E3EF63A0-1921-4B27-B42D-F03D3C07B8E3}"/>
    <cellStyle name="Note 2 8 6 3 3 2" xfId="39344" xr:uid="{9A9F12D4-0228-440C-A0B7-AD0B6A324A4B}"/>
    <cellStyle name="Note 2 8 6 3 3 3" xfId="44991" xr:uid="{2C0B8244-DEA0-4128-BC63-434443D50191}"/>
    <cellStyle name="Note 2 8 6 3 4" xfId="21378" xr:uid="{813404FE-8E1E-4E85-8D05-B95E2EC92027}"/>
    <cellStyle name="Note 2 8 6 3 4 2" xfId="42543" xr:uid="{1B98021B-D02C-47DB-83D9-6E473440C0B2}"/>
    <cellStyle name="Note 2 8 6 3 5" xfId="42936" xr:uid="{F0AB168C-8802-46EF-B41B-84AC8EE862DF}"/>
    <cellStyle name="Note 2 8 6 4" xfId="5364" xr:uid="{00000000-0005-0000-0000-0000B3070000}"/>
    <cellStyle name="Note 2 8 6 4 2" xfId="12256" xr:uid="{4B0EF9EB-4992-4E79-AAC2-176A29323114}"/>
    <cellStyle name="Note 2 8 6 4 2 2" xfId="34741" xr:uid="{D60EF965-2472-4F46-B803-F4EBC87C5135}"/>
    <cellStyle name="Note 2 8 6 4 2 3" xfId="25716" xr:uid="{1CB5B96F-91B1-40AE-9E71-CEA1DB9D7C35}"/>
    <cellStyle name="Note 2 8 6 4 3" xfId="17301" xr:uid="{7CEB9F5B-900C-4FF3-ADF8-09BCDB62AA57}"/>
    <cellStyle name="Note 2 8 6 4 3 2" xfId="39691" xr:uid="{069DEA9C-82FC-447E-9BDC-599F18AE80F5}"/>
    <cellStyle name="Note 2 8 6 4 3 3" xfId="26184" xr:uid="{4080872B-E6AA-4DB6-B7E3-DE88E22F5690}"/>
    <cellStyle name="Note 2 8 6 4 4" xfId="21725" xr:uid="{ECEEDD78-F47D-4AB8-A0EE-46565F9E5070}"/>
    <cellStyle name="Note 2 8 6 4 4 2" xfId="53634" xr:uid="{AEC2E3A0-1F49-4C78-A3E2-5885D35C5817}"/>
    <cellStyle name="Note 2 8 6 4 5" xfId="49381" xr:uid="{5686BC34-D6D5-4548-B7D0-F93FC71C8433}"/>
    <cellStyle name="Note 2 8 6 5" xfId="6347" xr:uid="{00000000-0005-0000-0000-0000B3070000}"/>
    <cellStyle name="Note 2 8 6 5 2" xfId="13219" xr:uid="{ED266F6E-7A12-41F9-9750-E62192A76DF0}"/>
    <cellStyle name="Note 2 8 6 5 2 2" xfId="35703" xr:uid="{71D5E7AD-BF1D-4B58-9D6B-8877AE278AF0}"/>
    <cellStyle name="Note 2 8 6 5 2 3" xfId="50820" xr:uid="{6F76063A-3597-43E6-B7DC-A32CC52923CD}"/>
    <cellStyle name="Note 2 8 6 5 3" xfId="18284" xr:uid="{D03C7958-981A-4534-B6C7-34F1F0561EB2}"/>
    <cellStyle name="Note 2 8 6 5 3 2" xfId="40674" xr:uid="{1D3BD764-0FB9-4010-8BF9-B353B7F32454}"/>
    <cellStyle name="Note 2 8 6 5 3 3" xfId="45212" xr:uid="{84B3F712-45E5-4D37-BF4F-85A70CB99122}"/>
    <cellStyle name="Note 2 8 6 5 4" xfId="22708" xr:uid="{C4352434-5505-4B66-B914-DEB00F43E71E}"/>
    <cellStyle name="Note 2 8 6 5 4 2" xfId="53060" xr:uid="{36A21B40-5790-4B61-AA22-C808188D22FC}"/>
    <cellStyle name="Note 2 8 6 5 5" xfId="45217" xr:uid="{94B731A0-C3D3-4BE3-B879-654251C807E4}"/>
    <cellStyle name="Note 2 8 6 6" xfId="6619" xr:uid="{00000000-0005-0000-0000-0000B3070000}"/>
    <cellStyle name="Note 2 8 6 6 2" xfId="13485" xr:uid="{020D5A28-D3EC-4A67-A1BE-6D2F459EF5EB}"/>
    <cellStyle name="Note 2 8 6 6 2 2" xfId="35969" xr:uid="{E6DDF900-826E-4CAF-B106-F0E045C737AE}"/>
    <cellStyle name="Note 2 8 6 6 2 3" xfId="46539" xr:uid="{1412EB86-E428-4184-BE44-5C4111981145}"/>
    <cellStyle name="Note 2 8 6 6 3" xfId="18556" xr:uid="{F715AABF-61AF-419A-ADAA-39BCAE772466}"/>
    <cellStyle name="Note 2 8 6 6 3 2" xfId="40946" xr:uid="{183A65CA-6395-4C79-8707-26A814D53001}"/>
    <cellStyle name="Note 2 8 6 6 3 3" xfId="32156" xr:uid="{4B269013-C4D2-447C-BC90-77F9E19A81A7}"/>
    <cellStyle name="Note 2 8 6 6 4" xfId="22980" xr:uid="{F565A069-BAA6-4628-8B0A-E9402A1960B7}"/>
    <cellStyle name="Note 2 8 6 6 4 2" xfId="49620" xr:uid="{5412390F-76B7-4A28-BB1C-F2C956680EAB}"/>
    <cellStyle name="Note 2 8 6 6 5" xfId="36710" xr:uid="{4903D803-08D7-4FFD-8FBA-745643E0C96A}"/>
    <cellStyle name="Note 2 8 6 7" xfId="14199" xr:uid="{9902EC25-2664-48FF-8B1A-AB24AF3FB2AE}"/>
    <cellStyle name="Note 2 8 6 7 2" xfId="36674" xr:uid="{785EEA73-2C10-415D-899F-81DC4D6F1C05}"/>
    <cellStyle name="Note 2 8 6 7 3" xfId="53027" xr:uid="{67F6D58C-7FD5-455A-9ADE-A8A5B19BA7D2}"/>
    <cellStyle name="Note 2 8 6 8" xfId="21108" xr:uid="{AFDA4A44-F136-4D0D-842D-C61BE4535937}"/>
    <cellStyle name="Note 2 8 6 8 2" xfId="43355" xr:uid="{A0E479D1-A49C-4D1F-BAF5-A02D55BF8323}"/>
    <cellStyle name="Note 2 8 6 8 3" xfId="50790" xr:uid="{9870B0D1-53B2-4CA5-8076-219085D40C03}"/>
    <cellStyle name="Note 2 8 6 9" xfId="19664" xr:uid="{EE7DA848-BF8C-46A9-9B4D-2BD32A0FCF00}"/>
    <cellStyle name="Note 2 8 6 9 2" xfId="44099" xr:uid="{993FBF77-6E8E-4563-9178-514CF2664347}"/>
    <cellStyle name="Note 2 8 7" xfId="1652" xr:uid="{00000000-0005-0000-0000-0000B7070000}"/>
    <cellStyle name="Note 2 8 7 10" xfId="14366" xr:uid="{8E0BC0B3-1DAB-4D85-9C8B-2D5B6B2C1A70}"/>
    <cellStyle name="Note 2 8 7 10 2" xfId="36834" xr:uid="{C2D65522-0147-4CFE-AFE3-C8D0D2A25B65}"/>
    <cellStyle name="Note 2 8 7 10 3" xfId="24012" xr:uid="{49025B7B-468C-4808-88CF-2B30056B99C9}"/>
    <cellStyle name="Note 2 8 7 11" xfId="21224" xr:uid="{3EBB807C-43C6-47B7-B1CF-5584521BF652}"/>
    <cellStyle name="Note 2 8 7 11 2" xfId="43463" xr:uid="{63086BDF-DE51-4D34-AC61-2D91FA51EF87}"/>
    <cellStyle name="Note 2 8 7 11 3" xfId="38636" xr:uid="{9BC68EAC-1889-4EED-8427-E8DD67F7BFDC}"/>
    <cellStyle name="Note 2 8 7 12" xfId="15034" xr:uid="{0694DF80-F609-4664-90F7-274564315650}"/>
    <cellStyle name="Note 2 8 7 12 2" xfId="27787" xr:uid="{E5D71318-2C00-4740-B700-43215B321029}"/>
    <cellStyle name="Note 2 8 7 13" xfId="47910" xr:uid="{A15BBF89-232C-4FE5-BF83-8E77BFDF06AF}"/>
    <cellStyle name="Note 2 8 7 2" xfId="3750" xr:uid="{00000000-0005-0000-0000-0000B5070000}"/>
    <cellStyle name="Note 2 8 7 2 2" xfId="10654" xr:uid="{5EE4CBCE-976D-4383-ACCC-6DC76E6C360B}"/>
    <cellStyle name="Note 2 8 7 2 2 2" xfId="33140" xr:uid="{2C923B74-36F0-4562-B64D-411079022A8E}"/>
    <cellStyle name="Note 2 8 7 2 2 3" xfId="26226" xr:uid="{549C0F8E-3DBB-476B-B85F-312F59BA42A2}"/>
    <cellStyle name="Note 2 8 7 2 3" xfId="15831" xr:uid="{FFFED0ED-A955-4621-B755-E5D490E28744}"/>
    <cellStyle name="Note 2 8 7 2 3 2" xfId="38239" xr:uid="{11210736-39C0-428E-806F-023B52FEE02C}"/>
    <cellStyle name="Note 2 8 7 2 3 3" xfId="47405" xr:uid="{F52F6EBA-0B36-4B9C-8D85-00FBBDA2B980}"/>
    <cellStyle name="Note 2 8 7 2 4" xfId="15349" xr:uid="{62A172C8-6814-4550-8733-FCA0E58298FD}"/>
    <cellStyle name="Note 2 8 7 2 4 2" xfId="54031" xr:uid="{4159D52B-814E-4714-B38B-0D0C2A3E8FDB}"/>
    <cellStyle name="Note 2 8 7 2 5" xfId="46433" xr:uid="{F14FB947-F605-475A-BA48-F99B729472EA}"/>
    <cellStyle name="Note 2 8 7 3" xfId="5185" xr:uid="{00000000-0005-0000-0000-0000B5070000}"/>
    <cellStyle name="Note 2 8 7 3 2" xfId="12078" xr:uid="{89B70217-E988-4920-9F53-D81D4295EC4F}"/>
    <cellStyle name="Note 2 8 7 3 2 2" xfId="34564" xr:uid="{FC3137FF-D0C3-4E98-BEB7-AA3D19BEFBB3}"/>
    <cellStyle name="Note 2 8 7 3 2 3" xfId="44458" xr:uid="{35A5470F-F9E3-4662-8E33-CA8BA706DE03}"/>
    <cellStyle name="Note 2 8 7 3 3" xfId="17122" xr:uid="{7D8EDC1C-C0BB-41F0-8FAC-47AF9CE971AE}"/>
    <cellStyle name="Note 2 8 7 3 3 2" xfId="39512" xr:uid="{4CC27699-1D94-4BA2-8786-711C2547D617}"/>
    <cellStyle name="Note 2 8 7 3 3 3" xfId="27801" xr:uid="{53AA4FAB-FB70-42EE-99C7-336E090BA87E}"/>
    <cellStyle name="Note 2 8 7 3 4" xfId="21546" xr:uid="{616F2A6A-83E7-4C55-9B8E-5B3D2A19EBCF}"/>
    <cellStyle name="Note 2 8 7 3 4 2" xfId="51757" xr:uid="{12840D00-668C-453D-9A0A-A7FCB3234FA9}"/>
    <cellStyle name="Note 2 8 7 3 5" xfId="52926" xr:uid="{F847EE2E-E124-4AF9-A1C3-766E73BD73EE}"/>
    <cellStyle name="Note 2 8 7 4" xfId="4606" xr:uid="{00000000-0005-0000-0000-0000B5070000}"/>
    <cellStyle name="Note 2 8 7 4 2" xfId="11507" xr:uid="{7732FAE3-B2D2-485D-A071-4D9459EA72A0}"/>
    <cellStyle name="Note 2 8 7 4 2 2" xfId="33993" xr:uid="{1D146283-3DCE-4F18-9247-12CF6118B2DC}"/>
    <cellStyle name="Note 2 8 7 4 2 3" xfId="28262" xr:uid="{67769771-B6A7-4CC2-B97D-CEBCD57BFF36}"/>
    <cellStyle name="Note 2 8 7 4 3" xfId="16543" xr:uid="{DBF2B300-B6CC-4C0C-8E50-335E5FDD2D4F}"/>
    <cellStyle name="Note 2 8 7 4 3 2" xfId="38933" xr:uid="{698AE2FC-13FC-4345-BCEF-52C66E3861CF}"/>
    <cellStyle name="Note 2 8 7 4 3 3" xfId="27989" xr:uid="{43203CC8-1994-42D6-8C17-48F002EBD5A6}"/>
    <cellStyle name="Note 2 8 7 4 4" xfId="19890" xr:uid="{2D2032CE-976C-4E63-A53B-BC541AB8D6D0}"/>
    <cellStyle name="Note 2 8 7 4 4 2" xfId="29781" xr:uid="{D4F71242-75ED-41B6-BC98-696998E9F2A5}"/>
    <cellStyle name="Note 2 8 7 4 5" xfId="52255" xr:uid="{3AEF85FA-2AB7-4065-9888-99E8FB5B9343}"/>
    <cellStyle name="Note 2 8 7 5" xfId="4958" xr:uid="{00000000-0005-0000-0000-0000B5070000}"/>
    <cellStyle name="Note 2 8 7 5 2" xfId="11853" xr:uid="{67018768-AAAE-4AF2-881F-33F4A1D5E40B}"/>
    <cellStyle name="Note 2 8 7 5 2 2" xfId="34339" xr:uid="{79FB6F34-4447-4342-9A2E-52440912A19C}"/>
    <cellStyle name="Note 2 8 7 5 2 3" xfId="32789" xr:uid="{D48985B4-0F67-4125-9203-2A6A4BCB1579}"/>
    <cellStyle name="Note 2 8 7 5 3" xfId="16895" xr:uid="{A536869A-EE05-4FC9-ABE1-704234D2CC08}"/>
    <cellStyle name="Note 2 8 7 5 3 2" xfId="39285" xr:uid="{609B2A74-ED11-45D7-ADD5-F76341C5BE2D}"/>
    <cellStyle name="Note 2 8 7 5 3 3" xfId="27803" xr:uid="{EDB9777B-69BB-4D22-A869-CFFA7127AC73}"/>
    <cellStyle name="Note 2 8 7 5 4" xfId="21319" xr:uid="{A5B4EE60-3D70-4197-B622-B39CE1DEA503}"/>
    <cellStyle name="Note 2 8 7 5 4 2" xfId="47212" xr:uid="{267707EA-B620-4C2B-9A91-6769E44B030A}"/>
    <cellStyle name="Note 2 8 7 5 5" xfId="43388" xr:uid="{AA4C7D10-2457-4F60-80F8-BE8CB2B313A9}"/>
    <cellStyle name="Note 2 8 7 6" xfId="5210" xr:uid="{00000000-0005-0000-0000-0000B5070000}"/>
    <cellStyle name="Note 2 8 7 6 2" xfId="12103" xr:uid="{FC0005EB-4BFD-48F5-94EB-C5EC06196C17}"/>
    <cellStyle name="Note 2 8 7 6 2 2" xfId="34588" xr:uid="{F1AA79E0-373A-4C41-8EEE-98D3B2FFA9F6}"/>
    <cellStyle name="Note 2 8 7 6 2 3" xfId="32471" xr:uid="{20CA2278-7C47-4DBA-A4DE-FA78AEF70390}"/>
    <cellStyle name="Note 2 8 7 6 3" xfId="17147" xr:uid="{39482328-4FCA-47B4-8153-71AC7E813ADB}"/>
    <cellStyle name="Note 2 8 7 6 3 2" xfId="39537" xr:uid="{C242F390-ED21-480E-B639-32170E24A955}"/>
    <cellStyle name="Note 2 8 7 6 3 3" xfId="27109" xr:uid="{65695C66-6821-4E6B-9926-F1D3127DAEA4}"/>
    <cellStyle name="Note 2 8 7 6 4" xfId="21571" xr:uid="{A63EED23-ADEF-43EC-86EB-D7CB2648E618}"/>
    <cellStyle name="Note 2 8 7 6 4 2" xfId="53945" xr:uid="{727384F0-370D-4634-8ECF-EF3A2C17F4C6}"/>
    <cellStyle name="Note 2 8 7 6 5" xfId="49473" xr:uid="{DDA4CE2A-1F50-4289-84AA-B6C0B8F90FAB}"/>
    <cellStyle name="Note 2 8 7 7" xfId="6846" xr:uid="{00000000-0005-0000-0000-0000B5070000}"/>
    <cellStyle name="Note 2 8 7 7 2" xfId="13689" xr:uid="{A4887CCE-6657-4B64-B954-54F5FF1FC089}"/>
    <cellStyle name="Note 2 8 7 7 2 2" xfId="36173" xr:uid="{9D594C81-4DD4-4CD7-9D07-8B3DD0459826}"/>
    <cellStyle name="Note 2 8 7 7 2 3" xfId="29497" xr:uid="{819D3B46-495C-4176-AB37-3F9E0B58CE6F}"/>
    <cellStyle name="Note 2 8 7 7 3" xfId="18783" xr:uid="{E2D5F4F0-349F-4EBA-9D74-66F3EC36A0D3}"/>
    <cellStyle name="Note 2 8 7 7 3 2" xfId="41173" xr:uid="{9A005808-90F8-42C0-9815-CE5786D1D112}"/>
    <cellStyle name="Note 2 8 7 7 3 3" xfId="43645" xr:uid="{0428037B-6510-47ED-9CDC-18B4826666C6}"/>
    <cellStyle name="Note 2 8 7 7 4" xfId="23207" xr:uid="{BB400390-1471-484C-B0F2-592C6965C83F}"/>
    <cellStyle name="Note 2 8 7 7 4 2" xfId="27565" xr:uid="{4B6ADB0D-BE58-47C4-8113-27FFE2E0FDCC}"/>
    <cellStyle name="Note 2 8 7 7 5" xfId="52008" xr:uid="{EABDC6AC-434C-4831-B523-D4DB7B10D029}"/>
    <cellStyle name="Note 2 8 7 8" xfId="4951" xr:uid="{00000000-0005-0000-0000-0000B5070000}"/>
    <cellStyle name="Note 2 8 7 8 2" xfId="11846" xr:uid="{563E2072-06CA-45E3-B168-73D18EB6F85D}"/>
    <cellStyle name="Note 2 8 7 8 2 2" xfId="34332" xr:uid="{5B9EC32B-A97F-49C6-9044-8B3504287034}"/>
    <cellStyle name="Note 2 8 7 8 2 3" xfId="44848" xr:uid="{DAD575FA-D27C-4473-8A28-EBD184EA3A17}"/>
    <cellStyle name="Note 2 8 7 8 3" xfId="16888" xr:uid="{F48F9C2C-C8B0-435A-BEC3-640568F20BF5}"/>
    <cellStyle name="Note 2 8 7 8 3 2" xfId="39278" xr:uid="{7F1019E5-905A-4AEB-8981-EC8B3E2D217A}"/>
    <cellStyle name="Note 2 8 7 8 3 3" xfId="30841" xr:uid="{65595547-DD30-4927-B0B6-ED538A87A261}"/>
    <cellStyle name="Note 2 8 7 8 4" xfId="21312" xr:uid="{6DCE88DD-88B0-4E92-8A79-351B028E61E1}"/>
    <cellStyle name="Note 2 8 7 8 4 2" xfId="24156" xr:uid="{52545718-94B0-4C95-A811-6F62B84EE74F}"/>
    <cellStyle name="Note 2 8 7 8 5" xfId="50966" xr:uid="{C509ACB0-B7E5-405A-A2F3-594F6EE4543D}"/>
    <cellStyle name="Note 2 8 7 9" xfId="4839" xr:uid="{00000000-0005-0000-0000-0000B5070000}"/>
    <cellStyle name="Note 2 8 7 9 2" xfId="16776" xr:uid="{B88B4DFF-B32E-4891-BE5D-A577F3171AC9}"/>
    <cellStyle name="Note 2 8 7 9 2 2" xfId="39166" xr:uid="{73DA3D70-EB4A-43C4-9F7E-9DB482965655}"/>
    <cellStyle name="Note 2 8 7 9 2 3" xfId="45412" xr:uid="{21C0D749-8141-487A-988A-1AAF02B9BA72}"/>
    <cellStyle name="Note 2 8 7 9 3" xfId="14229" xr:uid="{A3B969F3-94A1-4275-9381-97D23285D2A7}"/>
    <cellStyle name="Note 2 8 7 9 3 2" xfId="46017" xr:uid="{ADF39E8F-CD0F-49AD-BC5E-088020E04233}"/>
    <cellStyle name="Note 2 8 7 9 4" xfId="51261" xr:uid="{DCA88E1B-BC59-4897-9FE2-1DE7F211340D}"/>
    <cellStyle name="Note 2 8 8" xfId="4430" xr:uid="{00000000-0005-0000-0000-0000AA070000}"/>
    <cellStyle name="Note 2 8 8 2" xfId="11332" xr:uid="{3A592E1C-34A3-468E-A391-D17CEDE8E572}"/>
    <cellStyle name="Note 2 8 8 2 2" xfId="33818" xr:uid="{DDE42148-5D9A-4A9F-836B-44D713700E32}"/>
    <cellStyle name="Note 2 8 8 2 3" xfId="26217" xr:uid="{CD88930B-1327-4F0F-928A-36B7C0505091}"/>
    <cellStyle name="Note 2 8 8 3" xfId="16367" xr:uid="{FCBD78B6-8540-412D-9ADE-ADF343002278}"/>
    <cellStyle name="Note 2 8 8 3 2" xfId="38757" xr:uid="{19C99AD1-9AE4-4B0D-BB1D-46825BFD4A73}"/>
    <cellStyle name="Note 2 8 8 3 3" xfId="43848" xr:uid="{E921CB26-6461-434E-94AC-1EECEA8884EA}"/>
    <cellStyle name="Note 2 8 8 4" xfId="19310" xr:uid="{280F2E95-F962-4AE7-95F1-FD67840E2610}"/>
    <cellStyle name="Note 2 8 8 4 2" xfId="45495" xr:uid="{9E2D32EE-02B9-422C-919D-7886BF7C0730}"/>
    <cellStyle name="Note 2 8 8 5" xfId="44745" xr:uid="{D17941FA-717B-4CF0-A35A-F72F3F856EA3}"/>
    <cellStyle name="Note 2 8 9" xfId="5905" xr:uid="{00000000-0005-0000-0000-0000AA070000}"/>
    <cellStyle name="Note 2 8 9 2" xfId="12786" xr:uid="{EE9B9432-A924-4236-B8DE-5683A7867288}"/>
    <cellStyle name="Note 2 8 9 2 2" xfId="35270" xr:uid="{242EC37F-1747-4D09-816D-DED60E37CB6C}"/>
    <cellStyle name="Note 2 8 9 2 3" xfId="42665" xr:uid="{134FB9CB-6576-48CD-A357-BB03669FF368}"/>
    <cellStyle name="Note 2 8 9 3" xfId="17842" xr:uid="{EB922961-F571-4AF9-85AC-6E5612352601}"/>
    <cellStyle name="Note 2 8 9 3 2" xfId="40232" xr:uid="{035FA758-ED91-40CC-B46B-BE1C2400C4D3}"/>
    <cellStyle name="Note 2 8 9 3 3" xfId="30391" xr:uid="{FFD999D5-06E0-4F15-84FB-45E43D763EA6}"/>
    <cellStyle name="Note 2 8 9 4" xfId="22266" xr:uid="{DA6A9CC9-9417-4981-8E45-7DF6DEA3F5E5}"/>
    <cellStyle name="Note 2 8 9 4 2" xfId="34872" xr:uid="{A7F29CCF-6B79-408E-AE55-C98FF16F31D9}"/>
    <cellStyle name="Note 2 8 9 5" xfId="45907" xr:uid="{7C641EEE-9F4F-4321-87E0-FD8883FCDA32}"/>
    <cellStyle name="Note 2 9" xfId="445" xr:uid="{00000000-0005-0000-0000-0000B8070000}"/>
    <cellStyle name="Note 2 9 10" xfId="4361" xr:uid="{00000000-0005-0000-0000-0000B6070000}"/>
    <cellStyle name="Note 2 9 10 2" xfId="11264" xr:uid="{562EFAEF-9252-4C8C-874C-A8CCD2E04D9F}"/>
    <cellStyle name="Note 2 9 10 2 2" xfId="33750" xr:uid="{97F6C1F7-EB60-435B-8231-9E03A46FD826}"/>
    <cellStyle name="Note 2 9 10 2 3" xfId="45811" xr:uid="{BA4FD372-B7B2-4D89-937B-1A1BC4B5F2F3}"/>
    <cellStyle name="Note 2 9 10 3" xfId="16298" xr:uid="{513C400C-CFDC-402E-9C3D-24427C8FD407}"/>
    <cellStyle name="Note 2 9 10 3 2" xfId="38688" xr:uid="{E652F32D-935B-4F53-B50C-787B8B23FAB4}"/>
    <cellStyle name="Note 2 9 10 3 3" xfId="44233" xr:uid="{D763AC21-8418-4CFE-AF63-6554FEC47550}"/>
    <cellStyle name="Note 2 9 10 4" xfId="21181" xr:uid="{EE1F948C-149B-46CC-90B1-12896AC50D33}"/>
    <cellStyle name="Note 2 9 10 4 2" xfId="25055" xr:uid="{6966F027-46C7-4E81-81D6-54A93285A56C}"/>
    <cellStyle name="Note 2 9 10 5" xfId="48706" xr:uid="{9CEDD355-E29D-46DA-83FD-07EB7049514E}"/>
    <cellStyle name="Note 2 9 11" xfId="6558" xr:uid="{00000000-0005-0000-0000-0000B6070000}"/>
    <cellStyle name="Note 2 9 11 2" xfId="13424" xr:uid="{150AEC51-F739-446F-B39D-EBAD36A7A6AE}"/>
    <cellStyle name="Note 2 9 11 2 2" xfId="35908" xr:uid="{70707FCE-F818-4397-9972-DEA5D7492048}"/>
    <cellStyle name="Note 2 9 11 2 3" xfId="50831" xr:uid="{2C2C18AC-28AF-4743-8A80-A9A8E816C130}"/>
    <cellStyle name="Note 2 9 11 3" xfId="18495" xr:uid="{F7063553-459B-4877-B7E7-63510EC91189}"/>
    <cellStyle name="Note 2 9 11 3 2" xfId="40885" xr:uid="{DBA95CA4-2886-4E48-8DC4-60B0864C568C}"/>
    <cellStyle name="Note 2 9 11 3 3" xfId="45392" xr:uid="{AABE0C9D-7EFF-488C-95BE-4209D072B10C}"/>
    <cellStyle name="Note 2 9 11 4" xfId="22919" xr:uid="{27194A6C-7785-4598-B11F-3BA8DED56295}"/>
    <cellStyle name="Note 2 9 11 4 2" xfId="47756" xr:uid="{D807D645-F63B-4844-8566-EBC1130B6F56}"/>
    <cellStyle name="Note 2 9 11 5" xfId="51507" xr:uid="{CD634280-A39F-4C09-9543-43091532A9DB}"/>
    <cellStyle name="Note 2 9 12" xfId="13079" xr:uid="{35098AC1-768E-4B44-837C-C4AE126EB9F2}"/>
    <cellStyle name="Note 2 9 12 2" xfId="35563" xr:uid="{18714546-48D6-4099-A325-6D759FCCD2DA}"/>
    <cellStyle name="Note 2 9 12 3" xfId="46451" xr:uid="{2C97DED7-2A18-4158-84BE-3DD058FFEF12}"/>
    <cellStyle name="Note 2 9 13" xfId="20823" xr:uid="{4740FAA2-3AC0-4AB3-82BB-3B7E374D2120}"/>
    <cellStyle name="Note 2 9 13 2" xfId="43089" xr:uid="{467043DB-16C1-480D-B748-00F457D72799}"/>
    <cellStyle name="Note 2 9 13 3" xfId="44329" xr:uid="{403C74A3-D36F-4462-A362-6815C0DBA661}"/>
    <cellStyle name="Note 2 9 14" xfId="21095" xr:uid="{4810F014-F04C-4FF5-9D61-024206A15B2A}"/>
    <cellStyle name="Note 2 9 14 2" xfId="28410" xr:uid="{557F21C1-2BB8-4657-BDE7-F09EB492EDA6}"/>
    <cellStyle name="Note 2 9 15" xfId="50954" xr:uid="{21F2CB60-DEA9-48D2-A71B-7FE502D66210}"/>
    <cellStyle name="Note 2 9 2" xfId="598" xr:uid="{00000000-0005-0000-0000-0000B9070000}"/>
    <cellStyle name="Note 2 9 2 10" xfId="47390" xr:uid="{60D72259-26DF-4AF2-A1E8-19DC6D93734D}"/>
    <cellStyle name="Note 2 9 2 2" xfId="1732" xr:uid="{00000000-0005-0000-0000-0000BA070000}"/>
    <cellStyle name="Note 2 9 2 2 10" xfId="14433" xr:uid="{122BD8E9-852F-406F-BE7C-F4AF5ABA09EC}"/>
    <cellStyle name="Note 2 9 2 2 10 2" xfId="36899" xr:uid="{65C45776-DC0C-4945-A29A-4E3B9A35F3F9}"/>
    <cellStyle name="Note 2 9 2 2 10 3" xfId="44528" xr:uid="{006F3E81-AE5C-45CE-88AD-41C0D96D6891}"/>
    <cellStyle name="Note 2 9 2 2 11" xfId="20272" xr:uid="{442099E4-76F9-4415-95BB-95A995AB600C}"/>
    <cellStyle name="Note 2 9 2 2 11 2" xfId="42574" xr:uid="{CEC3A0DF-BE7C-4098-A048-D0CC528547DF}"/>
    <cellStyle name="Note 2 9 2 2 11 3" xfId="53808" xr:uid="{7CC66ECB-DB0C-4FF6-AC71-982450180AC4}"/>
    <cellStyle name="Note 2 9 2 2 12" xfId="14924" xr:uid="{1EDE61C5-D7BE-4694-BBB4-D01684FF8473}"/>
    <cellStyle name="Note 2 9 2 2 12 2" xfId="49799" xr:uid="{69DEC8FB-FF08-42AF-ADAD-9151C312FD84}"/>
    <cellStyle name="Note 2 9 2 2 13" xfId="48459" xr:uid="{8FB7A61A-B013-4D6B-9B5C-E31194234645}"/>
    <cellStyle name="Note 2 9 2 2 2" xfId="3830" xr:uid="{00000000-0005-0000-0000-0000B8070000}"/>
    <cellStyle name="Note 2 9 2 2 2 2" xfId="10734" xr:uid="{EF5229F7-D098-4643-8A6E-335FC941D451}"/>
    <cellStyle name="Note 2 9 2 2 2 2 2" xfId="33220" xr:uid="{A29DBAA1-BB11-4C2E-8FCE-09BE8A6B95A4}"/>
    <cellStyle name="Note 2 9 2 2 2 2 3" xfId="51254" xr:uid="{3A5BF2BE-AB33-48A4-8BAD-6AB1B1E200DC}"/>
    <cellStyle name="Note 2 9 2 2 2 3" xfId="15890" xr:uid="{4941CABE-132A-4446-9AED-E5032CFDF473}"/>
    <cellStyle name="Note 2 9 2 2 2 3 2" xfId="38296" xr:uid="{7266C359-F567-4699-B0B1-E9E07CEF8535}"/>
    <cellStyle name="Note 2 9 2 2 2 3 3" xfId="47363" xr:uid="{0E56D2A3-845A-46A7-98F9-867FB9227A9F}"/>
    <cellStyle name="Note 2 9 2 2 2 4" xfId="20750" xr:uid="{5F5DBB06-6BA6-4FA7-8582-D969729FA544}"/>
    <cellStyle name="Note 2 9 2 2 2 4 2" xfId="49882" xr:uid="{6C980AC8-FDEC-4C2C-8769-180D0C0E07EE}"/>
    <cellStyle name="Note 2 9 2 2 2 5" xfId="51524" xr:uid="{F7210BC5-13A3-463A-9D10-0D03B83FD351}"/>
    <cellStyle name="Note 2 9 2 2 3" xfId="5246" xr:uid="{00000000-0005-0000-0000-0000B8070000}"/>
    <cellStyle name="Note 2 9 2 2 3 2" xfId="12138" xr:uid="{28BFC4CD-3AD4-4938-8E4C-8B1CD0885ED0}"/>
    <cellStyle name="Note 2 9 2 2 3 2 2" xfId="34623" xr:uid="{ABE552E3-8FCE-4204-93A1-4AEFB894E83F}"/>
    <cellStyle name="Note 2 9 2 2 3 2 3" xfId="28123" xr:uid="{89E880F1-2577-44F9-9243-3370AD617B51}"/>
    <cellStyle name="Note 2 9 2 2 3 3" xfId="17183" xr:uid="{B4225863-02B4-46F3-A33E-5D230F407C2C}"/>
    <cellStyle name="Note 2 9 2 2 3 3 2" xfId="39573" xr:uid="{B5FF1A65-6AB7-4361-87B6-66F2A7A0A9C3}"/>
    <cellStyle name="Note 2 9 2 2 3 3 3" xfId="24104" xr:uid="{23E2A615-9801-423A-A6F1-64013A49AC97}"/>
    <cellStyle name="Note 2 9 2 2 3 4" xfId="21607" xr:uid="{7BE24303-C76C-4FC8-893E-35A5C8739F67}"/>
    <cellStyle name="Note 2 9 2 2 3 4 2" xfId="52956" xr:uid="{D57B79E5-D2C6-46D0-BE2E-82615C9BF144}"/>
    <cellStyle name="Note 2 9 2 2 3 5" xfId="44077" xr:uid="{1684ECE3-2EC3-4E00-8BC4-8CBE8936073B}"/>
    <cellStyle name="Note 2 9 2 2 4" xfId="5658" xr:uid="{00000000-0005-0000-0000-0000B8070000}"/>
    <cellStyle name="Note 2 9 2 2 4 2" xfId="12542" xr:uid="{1676D2D4-4D02-45DC-B521-391BA633670F}"/>
    <cellStyle name="Note 2 9 2 2 4 2 2" xfId="35027" xr:uid="{FB62F081-C023-4C37-9533-A53AD0514FBA}"/>
    <cellStyle name="Note 2 9 2 2 4 2 3" xfId="28294" xr:uid="{26A8AC62-711A-4CBB-AB50-19845FBC26A4}"/>
    <cellStyle name="Note 2 9 2 2 4 3" xfId="17595" xr:uid="{27A9735B-1090-49F3-96A5-94C642571146}"/>
    <cellStyle name="Note 2 9 2 2 4 3 2" xfId="39985" xr:uid="{D4E9BCA5-7678-47BA-BA3A-1E126864BF0C}"/>
    <cellStyle name="Note 2 9 2 2 4 3 3" xfId="30630" xr:uid="{4B533792-9A99-40DC-ADF8-6DF2413CFBCA}"/>
    <cellStyle name="Note 2 9 2 2 4 4" xfId="22019" xr:uid="{DD5E61E1-7311-4042-AB02-06F6D1909A1D}"/>
    <cellStyle name="Note 2 9 2 2 4 4 2" xfId="51846" xr:uid="{E3BF6891-EE94-4260-9291-51D45FC945B4}"/>
    <cellStyle name="Note 2 9 2 2 4 5" xfId="45100" xr:uid="{DEF5D183-5E27-4114-9919-CF97FFC3AFBE}"/>
    <cellStyle name="Note 2 9 2 2 5" xfId="5138" xr:uid="{00000000-0005-0000-0000-0000B8070000}"/>
    <cellStyle name="Note 2 9 2 2 5 2" xfId="12031" xr:uid="{6B51577A-8B5C-4942-9B84-111C77970F02}"/>
    <cellStyle name="Note 2 9 2 2 5 2 2" xfId="34517" xr:uid="{EBF8F054-F957-43B6-8749-870B297A0658}"/>
    <cellStyle name="Note 2 9 2 2 5 2 3" xfId="26155" xr:uid="{B1622DE1-7DE7-4153-A2AF-E5C8B367A2C1}"/>
    <cellStyle name="Note 2 9 2 2 5 3" xfId="17075" xr:uid="{06F4A466-9AFB-43A9-AB56-1B307EA3743B}"/>
    <cellStyle name="Note 2 9 2 2 5 3 2" xfId="39465" xr:uid="{7B5E0C10-E5F7-450A-8F92-F8727A8D7E05}"/>
    <cellStyle name="Note 2 9 2 2 5 3 3" xfId="44758" xr:uid="{8ADA1FE8-94C0-417E-A8EB-8A19E6E2F406}"/>
    <cellStyle name="Note 2 9 2 2 5 4" xfId="21499" xr:uid="{E7049265-6FFC-44FA-AB1C-7089F74DDF44}"/>
    <cellStyle name="Note 2 9 2 2 5 4 2" xfId="45987" xr:uid="{D8DECA2F-A9DC-45F7-AD65-960C281335A2}"/>
    <cellStyle name="Note 2 9 2 2 5 5" xfId="50511" xr:uid="{0786F528-6EA6-4316-B1BE-9554C448A152}"/>
    <cellStyle name="Note 2 9 2 2 6" xfId="6397" xr:uid="{00000000-0005-0000-0000-0000B8070000}"/>
    <cellStyle name="Note 2 9 2 2 6 2" xfId="13269" xr:uid="{74032FA5-C613-4564-A33C-754E21F2BF28}"/>
    <cellStyle name="Note 2 9 2 2 6 2 2" xfId="35753" xr:uid="{3D282929-50D0-4279-A539-327A647DAD0D}"/>
    <cellStyle name="Note 2 9 2 2 6 2 3" xfId="54019" xr:uid="{F8413854-7A33-4260-B04C-4B4375CE94D5}"/>
    <cellStyle name="Note 2 9 2 2 6 3" xfId="18334" xr:uid="{D8E21F59-A4FC-4DAB-8C4A-938E4FFFFA96}"/>
    <cellStyle name="Note 2 9 2 2 6 3 2" xfId="40724" xr:uid="{3C145978-7073-4ACF-A496-56AA1452CD51}"/>
    <cellStyle name="Note 2 9 2 2 6 3 3" xfId="30431" xr:uid="{DEA21471-A3B5-46AB-B9F4-A0A032681139}"/>
    <cellStyle name="Note 2 9 2 2 6 4" xfId="22758" xr:uid="{F7102545-DAF6-4C72-BC70-0BE7A663A92D}"/>
    <cellStyle name="Note 2 9 2 2 6 4 2" xfId="49286" xr:uid="{3E416902-821F-4ECF-8C61-43E403542EF6}"/>
    <cellStyle name="Note 2 9 2 2 6 5" xfId="47434" xr:uid="{1AF3FCA8-B91B-4B7B-9859-F6EFE244B8A7}"/>
    <cellStyle name="Note 2 9 2 2 7" xfId="5122" xr:uid="{00000000-0005-0000-0000-0000B8070000}"/>
    <cellStyle name="Note 2 9 2 2 7 2" xfId="12015" xr:uid="{32978FDD-EA5B-45F0-A4C8-43BA1FEDE7E2}"/>
    <cellStyle name="Note 2 9 2 2 7 2 2" xfId="34501" xr:uid="{81AA2C82-AC70-41AD-A9CC-B3613EA39A43}"/>
    <cellStyle name="Note 2 9 2 2 7 2 3" xfId="24584" xr:uid="{A1D0AA34-378A-4933-A88E-CEDA1A9E5FD2}"/>
    <cellStyle name="Note 2 9 2 2 7 3" xfId="17059" xr:uid="{78D8E85C-B77F-422C-8542-C79F991663BE}"/>
    <cellStyle name="Note 2 9 2 2 7 3 2" xfId="39449" xr:uid="{7E786057-4323-42A1-8EB5-69B83C26F9C8}"/>
    <cellStyle name="Note 2 9 2 2 7 3 3" xfId="28320" xr:uid="{3CC32484-983D-4C5D-9A02-B55477CBDD10}"/>
    <cellStyle name="Note 2 9 2 2 7 4" xfId="21483" xr:uid="{47591659-CFA3-43F7-8BB5-A8AC40C0E257}"/>
    <cellStyle name="Note 2 9 2 2 7 4 2" xfId="48176" xr:uid="{E6C3D064-22C2-4574-A5EE-83F693AD2453}"/>
    <cellStyle name="Note 2 9 2 2 7 5" xfId="28002" xr:uid="{EAC371C0-BE09-45DB-9D60-281A5DB714EC}"/>
    <cellStyle name="Note 2 9 2 2 8" xfId="6914" xr:uid="{00000000-0005-0000-0000-0000B8070000}"/>
    <cellStyle name="Note 2 9 2 2 8 2" xfId="13752" xr:uid="{14D2267B-7BC2-46C7-831A-4930CB9657FD}"/>
    <cellStyle name="Note 2 9 2 2 8 2 2" xfId="36236" xr:uid="{02F6E623-6A91-4808-90D8-51EFECDF4A9B}"/>
    <cellStyle name="Note 2 9 2 2 8 2 3" xfId="29636" xr:uid="{DBBF1DEC-6427-4BFF-964C-C8AF298523BE}"/>
    <cellStyle name="Note 2 9 2 2 8 3" xfId="18851" xr:uid="{F481E6F5-E048-499C-BE2B-7693EE8DACDC}"/>
    <cellStyle name="Note 2 9 2 2 8 3 2" xfId="41241" xr:uid="{6825193A-C22F-4ACF-A714-A37690211037}"/>
    <cellStyle name="Note 2 9 2 2 8 3 3" xfId="25153" xr:uid="{FD299C24-87E6-4A77-85D1-7EF1DE011E16}"/>
    <cellStyle name="Note 2 9 2 2 8 4" xfId="23275" xr:uid="{B4FF31DE-6508-4B3F-A23D-F19740772211}"/>
    <cellStyle name="Note 2 9 2 2 8 4 2" xfId="50890" xr:uid="{BC6C294C-D0A2-4D91-93FC-772E2C4644D5}"/>
    <cellStyle name="Note 2 9 2 2 8 5" xfId="51658" xr:uid="{ED9263F4-3A80-4D37-A7AF-A202CC32650D}"/>
    <cellStyle name="Note 2 9 2 2 9" xfId="4638" xr:uid="{00000000-0005-0000-0000-0000B8070000}"/>
    <cellStyle name="Note 2 9 2 2 9 2" xfId="16575" xr:uid="{192AD5DD-5FD6-4D26-A524-EF04B871AAD4}"/>
    <cellStyle name="Note 2 9 2 2 9 2 2" xfId="38965" xr:uid="{2736C282-651B-4185-ACD5-513D39680231}"/>
    <cellStyle name="Note 2 9 2 2 9 2 3" xfId="44592" xr:uid="{AC053CF8-6192-4580-A67A-27154620A397}"/>
    <cellStyle name="Note 2 9 2 2 9 3" xfId="8554" xr:uid="{4E8EF829-DB59-4D3F-A810-81FE2CA6EFFB}"/>
    <cellStyle name="Note 2 9 2 2 9 3 2" xfId="53309" xr:uid="{E2D4EC7F-A03E-4E52-A3AF-4D66FC5E163A}"/>
    <cellStyle name="Note 2 9 2 2 9 4" xfId="51395" xr:uid="{DFEEDD5A-7079-4713-A096-169B6F691EC2}"/>
    <cellStyle name="Note 2 9 2 3" xfId="4537" xr:uid="{00000000-0005-0000-0000-0000B7070000}"/>
    <cellStyle name="Note 2 9 2 3 2" xfId="11439" xr:uid="{B0BC53F7-B830-49C2-8DB0-F4C405189EB9}"/>
    <cellStyle name="Note 2 9 2 3 2 2" xfId="33925" xr:uid="{55834A77-F76B-4392-A485-7556107D202D}"/>
    <cellStyle name="Note 2 9 2 3 2 3" xfId="27208" xr:uid="{99FBBAB8-7FAB-4DDD-B96D-118A6068D4BE}"/>
    <cellStyle name="Note 2 9 2 3 3" xfId="16474" xr:uid="{18E09635-84CE-4BF0-9B34-51A3E823C119}"/>
    <cellStyle name="Note 2 9 2 3 3 2" xfId="38864" xr:uid="{15E8C34B-374B-43F4-8AB6-6EA7949F7A84}"/>
    <cellStyle name="Note 2 9 2 3 3 3" xfId="27640" xr:uid="{B51BA648-5E79-417D-A2FF-B81724042F9E}"/>
    <cellStyle name="Note 2 9 2 3 4" xfId="19252" xr:uid="{84B6763E-FB41-495C-8469-1964FBE6447A}"/>
    <cellStyle name="Note 2 9 2 3 4 2" xfId="43805" xr:uid="{60F4790D-28BC-4CCA-B66E-2A75D17B8521}"/>
    <cellStyle name="Note 2 9 2 3 5" xfId="52791" xr:uid="{8D42C645-7F4F-4900-AEA6-9FFF5FD9D3FF}"/>
    <cellStyle name="Note 2 9 2 4" xfId="5979" xr:uid="{00000000-0005-0000-0000-0000B7070000}"/>
    <cellStyle name="Note 2 9 2 4 2" xfId="12860" xr:uid="{9723A388-3E80-444F-B9BC-C1E265B7D96F}"/>
    <cellStyle name="Note 2 9 2 4 2 2" xfId="35344" xr:uid="{E39322E6-B361-4781-BDF4-FFABB4780B74}"/>
    <cellStyle name="Note 2 9 2 4 2 3" xfId="53527" xr:uid="{1FAFE918-AD3A-4610-81C6-EEA73D055420}"/>
    <cellStyle name="Note 2 9 2 4 3" xfId="17916" xr:uid="{24C41A44-50A3-4E6A-BA16-B78BDAF6C64D}"/>
    <cellStyle name="Note 2 9 2 4 3 2" xfId="40306" xr:uid="{255387C8-E1CB-4C6E-848D-650BA0229D45}"/>
    <cellStyle name="Note 2 9 2 4 3 3" xfId="29835" xr:uid="{D4E9E2EF-AF2D-4C58-8740-C321FE43B0CA}"/>
    <cellStyle name="Note 2 9 2 4 4" xfId="22340" xr:uid="{143A02F9-917C-4BC4-AEE9-DCC9D0C60BBE}"/>
    <cellStyle name="Note 2 9 2 4 4 2" xfId="47590" xr:uid="{6104564F-1571-4AE1-8F9D-90753A0D2774}"/>
    <cellStyle name="Note 2 9 2 4 5" xfId="50053" xr:uid="{A6397661-B96F-432C-B59D-2224654F0A27}"/>
    <cellStyle name="Note 2 9 2 5" xfId="5841" xr:uid="{00000000-0005-0000-0000-0000B7070000}"/>
    <cellStyle name="Note 2 9 2 5 2" xfId="12723" xr:uid="{98BB5F7A-C40E-40FA-B2A8-B2AA35877FE7}"/>
    <cellStyle name="Note 2 9 2 5 2 2" xfId="35207" xr:uid="{86091FC1-0729-4512-AE0F-598F68F78EA0}"/>
    <cellStyle name="Note 2 9 2 5 2 3" xfId="43889" xr:uid="{BAC6088E-D366-45C2-957C-C81298AE8307}"/>
    <cellStyle name="Note 2 9 2 5 3" xfId="17778" xr:uid="{40017DAB-C138-4C6C-BB60-53415C50E91C}"/>
    <cellStyle name="Note 2 9 2 5 3 2" xfId="40168" xr:uid="{24FB7324-2FBD-4C99-97E0-97C485C5C552}"/>
    <cellStyle name="Note 2 9 2 5 3 3" xfId="41991" xr:uid="{9E3ED7CB-EFE5-420F-A998-ED9B3A449D72}"/>
    <cellStyle name="Note 2 9 2 5 4" xfId="22202" xr:uid="{8BD26ABD-726F-44D1-9802-A569E9C17D94}"/>
    <cellStyle name="Note 2 9 2 5 4 2" xfId="48392" xr:uid="{39085732-B567-4935-A141-3BC87E1419B6}"/>
    <cellStyle name="Note 2 9 2 5 5" xfId="23654" xr:uid="{FACD896F-1352-47B1-86C0-A0052A829951}"/>
    <cellStyle name="Note 2 9 2 6" xfId="6327" xr:uid="{00000000-0005-0000-0000-0000B7070000}"/>
    <cellStyle name="Note 2 9 2 6 2" xfId="13199" xr:uid="{45AB228F-8D5D-4758-807A-6CD49E11FAD3}"/>
    <cellStyle name="Note 2 9 2 6 2 2" xfId="35683" xr:uid="{81BB5C1C-A1B6-4E93-842C-3D77033053C3}"/>
    <cellStyle name="Note 2 9 2 6 2 3" xfId="52635" xr:uid="{65D29682-9BF8-424E-9D31-D029307E8CEE}"/>
    <cellStyle name="Note 2 9 2 6 3" xfId="18264" xr:uid="{01992CB1-1765-4348-9C75-7C8D39EEA36B}"/>
    <cellStyle name="Note 2 9 2 6 3 2" xfId="40654" xr:uid="{534BEFE5-8AF1-437E-90A3-A32F2A5C97BF}"/>
    <cellStyle name="Note 2 9 2 6 3 3" xfId="29456" xr:uid="{B0785CD8-9EBA-4800-91CB-B17771F3E4E0}"/>
    <cellStyle name="Note 2 9 2 6 4" xfId="22688" xr:uid="{46E32F1D-4216-489A-AF19-0E45EA918E99}"/>
    <cellStyle name="Note 2 9 2 6 4 2" xfId="45051" xr:uid="{F9A16AD3-1F67-4077-85C1-D700EFAC405B}"/>
    <cellStyle name="Note 2 9 2 6 5" xfId="46170" xr:uid="{3ABCF650-962B-4897-B0E8-0C7BE0A544BD}"/>
    <cellStyle name="Note 2 9 2 7" xfId="7265" xr:uid="{3A83EFF5-F87E-44F9-84CB-033AF065B11B}"/>
    <cellStyle name="Note 2 9 2 7 2" xfId="29954" xr:uid="{2041A92C-85B8-4032-94F6-F24CFFBB4AB5}"/>
    <cellStyle name="Note 2 9 2 7 3" xfId="24382" xr:uid="{CC8DC63D-2024-45BE-957C-CB079C7877EF}"/>
    <cellStyle name="Note 2 9 2 8" xfId="20039" xr:uid="{FC8E1C04-72BA-42ED-91A0-77C17FD0C983}"/>
    <cellStyle name="Note 2 9 2 8 2" xfId="42360" xr:uid="{E1611337-9AEE-48DE-9E53-C0724044B67B}"/>
    <cellStyle name="Note 2 9 2 8 3" xfId="44150" xr:uid="{FA649476-95FA-4961-ABAF-F7702962A46A}"/>
    <cellStyle name="Note 2 9 2 9" xfId="20796" xr:uid="{21593279-1661-4B85-ABC8-C0D6907AA983}"/>
    <cellStyle name="Note 2 9 2 9 2" xfId="37349" xr:uid="{63E07C5C-0554-42D2-B6D0-5FB1F2EF4175}"/>
    <cellStyle name="Note 2 9 3" xfId="845" xr:uid="{00000000-0005-0000-0000-0000BB070000}"/>
    <cellStyle name="Note 2 9 3 10" xfId="51233" xr:uid="{035CDFF9-9C36-4E66-961F-2A675C15E32D}"/>
    <cellStyle name="Note 2 9 3 2" xfId="1830" xr:uid="{00000000-0005-0000-0000-0000BC070000}"/>
    <cellStyle name="Note 2 9 3 2 10" xfId="14514" xr:uid="{0DD8187B-D924-4F96-84E9-E3A89CCAEA88}"/>
    <cellStyle name="Note 2 9 3 2 10 2" xfId="36975" xr:uid="{9AB973F9-D43F-49AB-B7B6-F82246010DC9}"/>
    <cellStyle name="Note 2 9 3 2 10 3" xfId="46590" xr:uid="{0B629418-C3EF-40A0-9E1B-5943DD8E49D9}"/>
    <cellStyle name="Note 2 9 3 2 11" xfId="19566" xr:uid="{BE9C48E2-10B5-4770-B6D2-E0C3F72B4E95}"/>
    <cellStyle name="Note 2 9 3 2 11 2" xfId="41924" xr:uid="{DE1DD0A9-7E94-40D5-87A9-4CDB13886696}"/>
    <cellStyle name="Note 2 9 3 2 11 3" xfId="45019" xr:uid="{888894CC-D74E-4DB5-A8E8-AA2864CF0C13}"/>
    <cellStyle name="Note 2 9 3 2 12" xfId="20149" xr:uid="{76B44DD1-65F4-4165-9B52-EA8FA98950FE}"/>
    <cellStyle name="Note 2 9 3 2 12 2" xfId="24700" xr:uid="{01C6CD35-745B-4A55-9818-F567FAAAC889}"/>
    <cellStyle name="Note 2 9 3 2 13" xfId="49165" xr:uid="{EB91022A-8A66-4E48-B3F2-2B8A012CF21C}"/>
    <cellStyle name="Note 2 9 3 2 2" xfId="3928" xr:uid="{00000000-0005-0000-0000-0000BA070000}"/>
    <cellStyle name="Note 2 9 3 2 2 2" xfId="10832" xr:uid="{B128460C-7FB0-40AD-BED9-779C8E026479}"/>
    <cellStyle name="Note 2 9 3 2 2 2 2" xfId="33318" xr:uid="{369EED84-71E5-4212-9369-A6217A0AA64D}"/>
    <cellStyle name="Note 2 9 3 2 2 2 3" xfId="53306" xr:uid="{4D2B4CEA-91D3-4DC6-BF71-F35A14A17C91}"/>
    <cellStyle name="Note 2 9 3 2 2 3" xfId="15970" xr:uid="{201118A1-69A1-48B2-9737-A2DE0309E678}"/>
    <cellStyle name="Note 2 9 3 2 2 3 2" xfId="38373" xr:uid="{BBB32A17-954A-4BC8-863A-672198BCDAE4}"/>
    <cellStyle name="Note 2 9 3 2 2 3 3" xfId="27119" xr:uid="{B18E2305-489D-4BE3-8CBE-2F0E9C94EDF4}"/>
    <cellStyle name="Note 2 9 3 2 2 4" xfId="19463" xr:uid="{8FC825CA-71B8-4576-AB17-B7625182677D}"/>
    <cellStyle name="Note 2 9 3 2 2 4 2" xfId="44375" xr:uid="{AE260467-5C6A-4336-A65F-221093A494D5}"/>
    <cellStyle name="Note 2 9 3 2 2 5" xfId="47047" xr:uid="{8B4AB379-F28E-43FF-BD46-EA015BC817A3}"/>
    <cellStyle name="Note 2 9 3 2 3" xfId="5323" xr:uid="{00000000-0005-0000-0000-0000BA070000}"/>
    <cellStyle name="Note 2 9 3 2 3 2" xfId="12215" xr:uid="{AD157E0C-BE31-4B36-B121-DF33D847FC17}"/>
    <cellStyle name="Note 2 9 3 2 3 2 2" xfId="34700" xr:uid="{976AD734-B26F-4EB8-A8DB-15F41F962224}"/>
    <cellStyle name="Note 2 9 3 2 3 2 3" xfId="44958" xr:uid="{F1F9B680-6DB3-43DE-B0ED-331FCC2BF3BE}"/>
    <cellStyle name="Note 2 9 3 2 3 3" xfId="17260" xr:uid="{87377B4A-2A59-425D-8078-E1666C9E22FF}"/>
    <cellStyle name="Note 2 9 3 2 3 3 2" xfId="39650" xr:uid="{98F6F526-0065-4E87-8025-EB7B0D311B14}"/>
    <cellStyle name="Note 2 9 3 2 3 3 3" xfId="24431" xr:uid="{2864E917-C3C9-46D7-814D-93E8286895ED}"/>
    <cellStyle name="Note 2 9 3 2 3 4" xfId="21684" xr:uid="{C39B37E7-B2F4-4B77-B669-1971446BE6FC}"/>
    <cellStyle name="Note 2 9 3 2 3 4 2" xfId="48413" xr:uid="{CF43D797-6F2A-455A-AE14-F26E0C4473E1}"/>
    <cellStyle name="Note 2 9 3 2 3 5" xfId="45199" xr:uid="{A4042F05-9F4C-4079-AFC9-55DC5A9D2DE2}"/>
    <cellStyle name="Note 2 9 3 2 4" xfId="5733" xr:uid="{00000000-0005-0000-0000-0000BA070000}"/>
    <cellStyle name="Note 2 9 3 2 4 2" xfId="12617" xr:uid="{DCBDE295-1E1E-4AAC-9EB5-379A41BB9F34}"/>
    <cellStyle name="Note 2 9 3 2 4 2 2" xfId="35102" xr:uid="{848B8F9D-45AF-4119-B466-8303F431F22F}"/>
    <cellStyle name="Note 2 9 3 2 4 2 3" xfId="30551" xr:uid="{C6F1A536-7A9A-4FA0-BF9A-1A1687D3AADC}"/>
    <cellStyle name="Note 2 9 3 2 4 3" xfId="17670" xr:uid="{2818E4AF-DF6C-49E4-A038-7F238847DF7C}"/>
    <cellStyle name="Note 2 9 3 2 4 3 2" xfId="40060" xr:uid="{9C8BE755-BB65-4B57-AA8E-F4594668DE32}"/>
    <cellStyle name="Note 2 9 3 2 4 3 3" xfId="44979" xr:uid="{58D1DF26-E377-4C98-9534-FCDB9C8260A8}"/>
    <cellStyle name="Note 2 9 3 2 4 4" xfId="22094" xr:uid="{B5777E15-5F27-4839-8B47-7B6C7C78C774}"/>
    <cellStyle name="Note 2 9 3 2 4 4 2" xfId="24133" xr:uid="{996DA366-969A-4955-96D1-C7F3600B65BD}"/>
    <cellStyle name="Note 2 9 3 2 4 5" xfId="49204" xr:uid="{A4AD435A-3AFF-4E86-88E1-EC3C397777D0}"/>
    <cellStyle name="Note 2 9 3 2 5" xfId="6087" xr:uid="{00000000-0005-0000-0000-0000BA070000}"/>
    <cellStyle name="Note 2 9 3 2 5 2" xfId="12965" xr:uid="{CA7A44AE-4D8A-436B-87B0-9D2B69959D02}"/>
    <cellStyle name="Note 2 9 3 2 5 2 2" xfId="35449" xr:uid="{38169B34-3C95-4C0D-B1DB-8AA08418687C}"/>
    <cellStyle name="Note 2 9 3 2 5 2 3" xfId="46214" xr:uid="{7D7D1885-FC8F-47C5-BEF4-7CDF893FDBE6}"/>
    <cellStyle name="Note 2 9 3 2 5 3" xfId="18024" xr:uid="{8CA9B4BE-F7D9-439C-9796-D867BF1458C9}"/>
    <cellStyle name="Note 2 9 3 2 5 3 2" xfId="40414" xr:uid="{984A4B7D-E4C3-413D-A325-B796D477493F}"/>
    <cellStyle name="Note 2 9 3 2 5 3 3" xfId="32695" xr:uid="{65668F1F-E659-47B6-9891-CE1E63991F44}"/>
    <cellStyle name="Note 2 9 3 2 5 4" xfId="22448" xr:uid="{19D9784E-5DF9-4265-9165-4F9CB065FA72}"/>
    <cellStyle name="Note 2 9 3 2 5 4 2" xfId="25604" xr:uid="{4EB293F8-899A-4AA3-A60A-DA7855746E9B}"/>
    <cellStyle name="Note 2 9 3 2 5 5" xfId="48275" xr:uid="{9153F233-CC80-4E0A-AE9C-212DFAFF83FB}"/>
    <cellStyle name="Note 2 9 3 2 6" xfId="6462" xr:uid="{00000000-0005-0000-0000-0000BA070000}"/>
    <cellStyle name="Note 2 9 3 2 6 2" xfId="13332" xr:uid="{5914FA4B-D94B-4A42-9E02-A203B60CE86B}"/>
    <cellStyle name="Note 2 9 3 2 6 2 2" xfId="35816" xr:uid="{B74676E3-5D06-4874-9177-384AD0DC8D6E}"/>
    <cellStyle name="Note 2 9 3 2 6 2 3" xfId="53591" xr:uid="{1DE7664D-31EE-47E1-9F2D-4369EAFAEBC1}"/>
    <cellStyle name="Note 2 9 3 2 6 3" xfId="18399" xr:uid="{AA8E9F00-2815-4F86-AD8A-DAB33BDBEA2A}"/>
    <cellStyle name="Note 2 9 3 2 6 3 2" xfId="40789" xr:uid="{D4CBDEAA-5AD1-4270-B453-35856AF7E8E1}"/>
    <cellStyle name="Note 2 9 3 2 6 3 3" xfId="36850" xr:uid="{58C287A4-4AA3-4505-B0EB-CA4B939A8317}"/>
    <cellStyle name="Note 2 9 3 2 6 4" xfId="22823" xr:uid="{110DF361-1A7B-44A5-A594-346DADF9552E}"/>
    <cellStyle name="Note 2 9 3 2 6 4 2" xfId="51199" xr:uid="{A5200454-7297-48CA-AF3D-E8D5233B6A8F}"/>
    <cellStyle name="Note 2 9 3 2 6 5" xfId="52116" xr:uid="{C2EA1F56-4A8A-4589-8893-EEF5A45C0965}"/>
    <cellStyle name="Note 2 9 3 2 7" xfId="6817" xr:uid="{00000000-0005-0000-0000-0000BA070000}"/>
    <cellStyle name="Note 2 9 3 2 7 2" xfId="13664" xr:uid="{6628B7A1-D94A-4850-BEF0-16342828B1D7}"/>
    <cellStyle name="Note 2 9 3 2 7 2 2" xfId="36148" xr:uid="{31DB331A-9CEB-4283-8D1D-480807F94168}"/>
    <cellStyle name="Note 2 9 3 2 7 2 3" xfId="49813" xr:uid="{3D46405B-1ACE-456E-9C04-5B539CF2D889}"/>
    <cellStyle name="Note 2 9 3 2 7 3" xfId="18754" xr:uid="{4E61A2D8-ED17-4789-AFA9-EDC3B2B35720}"/>
    <cellStyle name="Note 2 9 3 2 7 3 2" xfId="41144" xr:uid="{54F63C12-D83F-4E7D-B867-AA49656AE92A}"/>
    <cellStyle name="Note 2 9 3 2 7 3 3" xfId="26579" xr:uid="{75C022A0-3167-4E87-AC0B-66F232EDEBBA}"/>
    <cellStyle name="Note 2 9 3 2 7 4" xfId="23178" xr:uid="{B771F6AB-6EFB-44C4-8512-8C4623F8E036}"/>
    <cellStyle name="Note 2 9 3 2 7 4 2" xfId="24039" xr:uid="{5ABF0459-9602-4EDD-9C1D-E2D70A53E6F2}"/>
    <cellStyle name="Note 2 9 3 2 7 5" xfId="48975" xr:uid="{0DEBC3E9-7EC7-49CA-ADAE-880DB091BA97}"/>
    <cellStyle name="Note 2 9 3 2 8" xfId="6962" xr:uid="{00000000-0005-0000-0000-0000BA070000}"/>
    <cellStyle name="Note 2 9 3 2 8 2" xfId="13799" xr:uid="{F6230F6F-7174-4857-9B80-F9D5A2255226}"/>
    <cellStyle name="Note 2 9 3 2 8 2 2" xfId="36283" xr:uid="{C5C2171F-CE5E-4494-A4D0-1CF4B537BC3C}"/>
    <cellStyle name="Note 2 9 3 2 8 2 3" xfId="24283" xr:uid="{73823BE5-9437-489F-9CFB-F4B51944FAAA}"/>
    <cellStyle name="Note 2 9 3 2 8 3" xfId="18899" xr:uid="{42121C16-1FEB-47AA-91E2-B0526A9F408C}"/>
    <cellStyle name="Note 2 9 3 2 8 3 2" xfId="41289" xr:uid="{C2DACA7A-C893-4C56-8E2E-E80867BB899B}"/>
    <cellStyle name="Note 2 9 3 2 8 3 3" xfId="24726" xr:uid="{7A41D99F-EA85-4606-8A72-D18090ECE602}"/>
    <cellStyle name="Note 2 9 3 2 8 4" xfId="23323" xr:uid="{CF06E6D0-30FC-4AE6-A23A-7B44D6B81424}"/>
    <cellStyle name="Note 2 9 3 2 8 4 2" xfId="45498" xr:uid="{731C66C1-2512-4E2A-9FB3-804048A43501}"/>
    <cellStyle name="Note 2 9 3 2 8 5" xfId="51072" xr:uid="{A12A53FC-5C02-422D-8B5D-6C96EB0F46B5}"/>
    <cellStyle name="Note 2 9 3 2 9" xfId="2282" xr:uid="{00000000-0005-0000-0000-0000BA070000}"/>
    <cellStyle name="Note 2 9 3 2 9 2" xfId="14849" xr:uid="{2E2AC2A7-8043-4758-B922-BDC7C2F03CA3}"/>
    <cellStyle name="Note 2 9 3 2 9 2 2" xfId="37303" xr:uid="{221CFCCF-A771-4A16-B569-E38A422C39BC}"/>
    <cellStyle name="Note 2 9 3 2 9 2 3" xfId="46441" xr:uid="{C478775A-E308-4776-A2FA-F9999E9556B2}"/>
    <cellStyle name="Note 2 9 3 2 9 3" xfId="20699" xr:uid="{CB761CB3-9229-4C22-A171-DB0E518E7C9E}"/>
    <cellStyle name="Note 2 9 3 2 9 3 2" xfId="50587" xr:uid="{1E97B9BD-3025-4674-BF2A-90C55E21B923}"/>
    <cellStyle name="Note 2 9 3 2 9 4" xfId="47521" xr:uid="{287AC22B-F9D0-4FF7-AD6A-10F24F4A6008}"/>
    <cellStyle name="Note 2 9 3 3" xfId="4689" xr:uid="{00000000-0005-0000-0000-0000B9070000}"/>
    <cellStyle name="Note 2 9 3 3 2" xfId="11587" xr:uid="{AED63007-7B05-4DC1-BB51-4079A85E13EC}"/>
    <cellStyle name="Note 2 9 3 3 2 2" xfId="34073" xr:uid="{91512A4D-C09A-4A6B-9D89-8F8C2EA321AC}"/>
    <cellStyle name="Note 2 9 3 3 2 3" xfId="31615" xr:uid="{DA943F8D-DE97-42FA-B72C-1AE9C82A0E97}"/>
    <cellStyle name="Note 2 9 3 3 3" xfId="16626" xr:uid="{EF6A3FD6-6412-4692-B6F9-47D0432B6A22}"/>
    <cellStyle name="Note 2 9 3 3 3 2" xfId="39016" xr:uid="{B3ACBF81-029E-4981-81DA-E7C12E4F46FB}"/>
    <cellStyle name="Note 2 9 3 3 3 3" xfId="28083" xr:uid="{F4973FB3-82D1-4435-BBA2-A62D14FC4D78}"/>
    <cellStyle name="Note 2 9 3 3 4" xfId="14553" xr:uid="{2B8B755F-5B73-43A1-928E-00B2D8E3A5ED}"/>
    <cellStyle name="Note 2 9 3 3 4 2" xfId="24270" xr:uid="{06923CC3-2F0F-4A00-8353-EA8075E1D6EF}"/>
    <cellStyle name="Note 2 9 3 3 5" xfId="45773" xr:uid="{858AA5C5-A49B-49E8-9274-BDD64EB5F431}"/>
    <cellStyle name="Note 2 9 3 4" xfId="4391" xr:uid="{00000000-0005-0000-0000-0000B9070000}"/>
    <cellStyle name="Note 2 9 3 4 2" xfId="11293" xr:uid="{B8417669-B923-4F13-83F8-52054C344348}"/>
    <cellStyle name="Note 2 9 3 4 2 2" xfId="33779" xr:uid="{625DFE82-8C72-44D4-A4BC-65390B709F76}"/>
    <cellStyle name="Note 2 9 3 4 2 3" xfId="37075" xr:uid="{447CEA1B-9F5B-4620-9AF2-4D98F03665C0}"/>
    <cellStyle name="Note 2 9 3 4 3" xfId="16328" xr:uid="{B4706400-819B-4705-8E08-17BD6799CFDC}"/>
    <cellStyle name="Note 2 9 3 4 3 2" xfId="38718" xr:uid="{1C4BFF6F-D3D7-4FB3-A883-3C7CEFE2A1D6}"/>
    <cellStyle name="Note 2 9 3 4 3 3" xfId="25296" xr:uid="{F3FE35E2-39BB-4E3C-BB0C-7D4D7C658A63}"/>
    <cellStyle name="Note 2 9 3 4 4" xfId="20873" xr:uid="{6E304965-4AD4-4E5A-B11E-38E57CD02692}"/>
    <cellStyle name="Note 2 9 3 4 4 2" xfId="47320" xr:uid="{3BBB8BA8-5E00-47BC-A6D1-A76CF866E69F}"/>
    <cellStyle name="Note 2 9 3 4 5" xfId="46883" xr:uid="{CE03E798-BD4F-4A53-A808-4B30C62ABEAA}"/>
    <cellStyle name="Note 2 9 3 5" xfId="4491" xr:uid="{00000000-0005-0000-0000-0000B9070000}"/>
    <cellStyle name="Note 2 9 3 5 2" xfId="11393" xr:uid="{2CE76080-DA03-44E9-88E9-BBD4850DE417}"/>
    <cellStyle name="Note 2 9 3 5 2 2" xfId="33879" xr:uid="{83EC6678-BEE7-4DCA-BF4E-8CE2F4881B37}"/>
    <cellStyle name="Note 2 9 3 5 2 3" xfId="24504" xr:uid="{96D051D4-0876-4458-880D-3528CC3451F8}"/>
    <cellStyle name="Note 2 9 3 5 3" xfId="16428" xr:uid="{1D963689-807F-475E-9DE1-FEAE52AF4BB8}"/>
    <cellStyle name="Note 2 9 3 5 3 2" xfId="38818" xr:uid="{175A8595-5A93-4CFB-9627-2FBB2132DEC1}"/>
    <cellStyle name="Note 2 9 3 5 3 3" xfId="44727" xr:uid="{A4721C2D-C64F-4705-A360-B1D6A1FC2FC8}"/>
    <cellStyle name="Note 2 9 3 5 4" xfId="8275" xr:uid="{EF96FB16-7B54-4014-A620-0CCA68AEB29F}"/>
    <cellStyle name="Note 2 9 3 5 4 2" xfId="53986" xr:uid="{29289F80-091B-4E65-82A1-6075C04A5A10}"/>
    <cellStyle name="Note 2 9 3 5 5" xfId="46185" xr:uid="{369DC51F-6352-421C-A582-3E1B651D9816}"/>
    <cellStyle name="Note 2 9 3 6" xfId="5828" xr:uid="{00000000-0005-0000-0000-0000B9070000}"/>
    <cellStyle name="Note 2 9 3 6 2" xfId="12711" xr:uid="{EB4EAE90-1360-46EF-A490-20B56D13391D}"/>
    <cellStyle name="Note 2 9 3 6 2 2" xfId="35196" xr:uid="{130297CC-436C-4BFB-8189-E7702F758814}"/>
    <cellStyle name="Note 2 9 3 6 2 3" xfId="45061" xr:uid="{2B388361-93AA-4CE0-99F7-E721FAFD26F1}"/>
    <cellStyle name="Note 2 9 3 6 3" xfId="17765" xr:uid="{DFCDDEC6-ABF5-4BB3-9544-34D52A1E42F9}"/>
    <cellStyle name="Note 2 9 3 6 3 2" xfId="40155" xr:uid="{1ABC7A6C-580A-480C-B557-87A9E2E22359}"/>
    <cellStyle name="Note 2 9 3 6 3 3" xfId="43552" xr:uid="{D7065A96-5B38-4540-9855-849282CD27CE}"/>
    <cellStyle name="Note 2 9 3 6 4" xfId="22189" xr:uid="{0D965FBF-820C-48BA-AD3C-1F261511DA32}"/>
    <cellStyle name="Note 2 9 3 6 4 2" xfId="52549" xr:uid="{3FB9B9C4-834D-4D5A-B249-DB692C213CE4}"/>
    <cellStyle name="Note 2 9 3 6 5" xfId="53057" xr:uid="{21CF9C19-48FA-4EAC-8064-14F788D513A6}"/>
    <cellStyle name="Note 2 9 3 7" xfId="7283" xr:uid="{AD478A34-F475-4A0B-BCA5-BF16BCBF2D92}"/>
    <cellStyle name="Note 2 9 3 7 2" xfId="29971" xr:uid="{3C2B5C28-AAA2-40F5-9F87-B69E9C183771}"/>
    <cellStyle name="Note 2 9 3 7 3" xfId="50337" xr:uid="{A8212650-4F2D-454D-A1D2-E938A7769DDE}"/>
    <cellStyle name="Note 2 9 3 8" xfId="14758" xr:uid="{59C1DCA5-3CCE-4743-A2D1-21ED169B7BD7}"/>
    <cellStyle name="Note 2 9 3 8 2" xfId="37216" xr:uid="{EA65C97F-62FC-4B81-BEED-4AE24669E346}"/>
    <cellStyle name="Note 2 9 3 8 3" xfId="47114" xr:uid="{131D5D23-983D-4C40-9BF6-785F93835571}"/>
    <cellStyle name="Note 2 9 3 9" xfId="15192" xr:uid="{908B45E7-F204-4BA8-8EF1-5B3ABE353601}"/>
    <cellStyle name="Note 2 9 3 9 2" xfId="23938" xr:uid="{9DB9A712-72E1-44E6-B082-5883E048635D}"/>
    <cellStyle name="Note 2 9 4" xfId="1032" xr:uid="{00000000-0005-0000-0000-0000BD070000}"/>
    <cellStyle name="Note 2 9 4 10" xfId="53449" xr:uid="{FDDBE9DE-C1F3-4762-BD34-2FA05FF4DE69}"/>
    <cellStyle name="Note 2 9 4 2" xfId="1922" xr:uid="{00000000-0005-0000-0000-0000BE070000}"/>
    <cellStyle name="Note 2 9 4 2 10" xfId="14592" xr:uid="{08C048D3-315D-4AA4-A9E2-135D2C994CAC}"/>
    <cellStyle name="Note 2 9 4 2 10 2" xfId="37053" xr:uid="{ED10A429-3B8F-4B1A-A432-4469BB8BE88C}"/>
    <cellStyle name="Note 2 9 4 2 10 3" xfId="26038" xr:uid="{40104D73-1BF5-418C-9CFB-1A4E2603076E}"/>
    <cellStyle name="Note 2 9 4 2 11" xfId="20729" xr:uid="{6EFBBC10-9524-44C0-9465-6A3A9C99707C}"/>
    <cellStyle name="Note 2 9 4 2 11 2" xfId="43000" xr:uid="{BFA9A93C-F037-4BE1-8E39-A33BDAB74E3E}"/>
    <cellStyle name="Note 2 9 4 2 11 3" xfId="24649" xr:uid="{261B8584-ACB0-498D-8A30-AD213AD6B3A0}"/>
    <cellStyle name="Note 2 9 4 2 12" xfId="19535" xr:uid="{28B39F62-5C2E-4515-8FBB-38B61D6BCEE7}"/>
    <cellStyle name="Note 2 9 4 2 12 2" xfId="28054" xr:uid="{D5C15EBD-8274-4F55-ACB5-D96E4D70A324}"/>
    <cellStyle name="Note 2 9 4 2 13" xfId="52265" xr:uid="{3CB611E7-D830-4D27-AFBE-0F3802C25241}"/>
    <cellStyle name="Note 2 9 4 2 2" xfId="4019" xr:uid="{00000000-0005-0000-0000-0000BC070000}"/>
    <cellStyle name="Note 2 9 4 2 2 2" xfId="10923" xr:uid="{4ACD6DB3-EEC9-4839-833E-EE97EF50391D}"/>
    <cellStyle name="Note 2 9 4 2 2 2 2" xfId="33409" xr:uid="{8FC48198-4EBE-437D-B9F1-CF748A8B5BBE}"/>
    <cellStyle name="Note 2 9 4 2 2 2 3" xfId="54109" xr:uid="{3FC3CEA4-210C-40D5-817B-39591920DA78}"/>
    <cellStyle name="Note 2 9 4 2 2 3" xfId="16043" xr:uid="{AD0DE46E-67E2-481C-A629-44EB03E11E6A}"/>
    <cellStyle name="Note 2 9 4 2 2 3 2" xfId="38444" xr:uid="{39E77C87-C095-490F-A7C7-C8DC84358ED2}"/>
    <cellStyle name="Note 2 9 4 2 2 3 3" xfId="48325" xr:uid="{A0D31FEE-2BDB-443B-8F25-898F88CCB0D1}"/>
    <cellStyle name="Note 2 9 4 2 2 4" xfId="20674" xr:uid="{51BD86C5-1C95-4BEF-9EE8-BE5E59D4F7AE}"/>
    <cellStyle name="Note 2 9 4 2 2 4 2" xfId="44247" xr:uid="{0B7DE5E3-E06D-4CD2-92FB-0866BE893815}"/>
    <cellStyle name="Note 2 9 4 2 2 5" xfId="47959" xr:uid="{25F24DB4-4832-4701-98D5-0ED70A79EECF}"/>
    <cellStyle name="Note 2 9 4 2 3" xfId="5394" xr:uid="{00000000-0005-0000-0000-0000BC070000}"/>
    <cellStyle name="Note 2 9 4 2 3 2" xfId="12285" xr:uid="{D46FE9D0-1728-4A47-8644-20053A379941}"/>
    <cellStyle name="Note 2 9 4 2 3 2 2" xfId="34770" xr:uid="{5645E5DE-13A9-45C2-8031-622140A59CC7}"/>
    <cellStyle name="Note 2 9 4 2 3 2 3" xfId="44709" xr:uid="{B27454CA-DE60-4DC8-9E73-8F31660DAB23}"/>
    <cellStyle name="Note 2 9 4 2 3 3" xfId="17331" xr:uid="{C962A80D-8970-428A-92B4-C6BE70632F19}"/>
    <cellStyle name="Note 2 9 4 2 3 3 2" xfId="39721" xr:uid="{F7D0F465-39A7-404F-A7C9-AD89939E0FE4}"/>
    <cellStyle name="Note 2 9 4 2 3 3 3" xfId="26219" xr:uid="{0144FB0A-3A1E-45F6-99DA-1C8EE2FE6337}"/>
    <cellStyle name="Note 2 9 4 2 3 4" xfId="21755" xr:uid="{5274EDD6-5A36-4EF3-8776-D6E8A8C17EC3}"/>
    <cellStyle name="Note 2 9 4 2 3 4 2" xfId="38171" xr:uid="{1DE0323D-9DAF-4D46-90F1-3D26272D7D08}"/>
    <cellStyle name="Note 2 9 4 2 3 5" xfId="46719" xr:uid="{2410BC91-8A21-472B-84FC-755F2B7730D9}"/>
    <cellStyle name="Note 2 9 4 2 4" xfId="5807" xr:uid="{00000000-0005-0000-0000-0000BC070000}"/>
    <cellStyle name="Note 2 9 4 2 4 2" xfId="12690" xr:uid="{58DC5AEE-4D1F-4B47-A05D-A9AAA62CC6AE}"/>
    <cellStyle name="Note 2 9 4 2 4 2 2" xfId="35175" xr:uid="{B20F3A3C-9D90-459C-88B8-9EA97756BBC7}"/>
    <cellStyle name="Note 2 9 4 2 4 2 3" xfId="44451" xr:uid="{51B04B24-9535-463F-ACE6-F9A456EC749A}"/>
    <cellStyle name="Note 2 9 4 2 4 3" xfId="17744" xr:uid="{59D68E1F-FDFD-4BE2-A4E1-34C8CEC2846D}"/>
    <cellStyle name="Note 2 9 4 2 4 3 2" xfId="40134" xr:uid="{9199E122-23BF-4241-8EA9-188B91DF9DE8}"/>
    <cellStyle name="Note 2 9 4 2 4 3 3" xfId="28384" xr:uid="{CCF29528-2789-4425-A05D-E5FC1A123972}"/>
    <cellStyle name="Note 2 9 4 2 4 4" xfId="22168" xr:uid="{E0E4C418-E071-4CFE-95BD-8A8EE29CADEF}"/>
    <cellStyle name="Note 2 9 4 2 4 4 2" xfId="37895" xr:uid="{DB24A073-CDBE-4B11-9706-F2CE046D03D3}"/>
    <cellStyle name="Note 2 9 4 2 4 5" xfId="44535" xr:uid="{4740D533-8BAE-4AEC-8641-B17FA015E7CD}"/>
    <cellStyle name="Note 2 9 4 2 5" xfId="6151" xr:uid="{00000000-0005-0000-0000-0000BC070000}"/>
    <cellStyle name="Note 2 9 4 2 5 2" xfId="13028" xr:uid="{9CFF9064-C2FF-4988-8EC3-1C7BA0EE655C}"/>
    <cellStyle name="Note 2 9 4 2 5 2 2" xfId="35512" xr:uid="{74C4CF1E-A794-49C5-A236-B337630C86A1}"/>
    <cellStyle name="Note 2 9 4 2 5 2 3" xfId="45258" xr:uid="{0F103900-26A1-4A3D-ADC0-F885F9B6A251}"/>
    <cellStyle name="Note 2 9 4 2 5 3" xfId="18088" xr:uid="{FCA9628F-2B16-472C-A836-AE4DAB4139E2}"/>
    <cellStyle name="Note 2 9 4 2 5 3 2" xfId="40478" xr:uid="{4A041F10-0BD5-476B-9A60-39ABE47B4A51}"/>
    <cellStyle name="Note 2 9 4 2 5 3 3" xfId="27859" xr:uid="{5F9A674D-2FE5-4FA6-959E-692A50B92CC6}"/>
    <cellStyle name="Note 2 9 4 2 5 4" xfId="22512" xr:uid="{85638988-2277-42C9-BB23-C26B10E6F806}"/>
    <cellStyle name="Note 2 9 4 2 5 4 2" xfId="54085" xr:uid="{1B34FFCF-32F8-44DE-BD15-9FBC13DA0DDE}"/>
    <cellStyle name="Note 2 9 4 2 5 5" xfId="49937" xr:uid="{3EDFE915-8D33-49E9-AD5B-1A81110A062F}"/>
    <cellStyle name="Note 2 9 4 2 6" xfId="6524" xr:uid="{00000000-0005-0000-0000-0000BC070000}"/>
    <cellStyle name="Note 2 9 4 2 6 2" xfId="13393" xr:uid="{37293DBB-9CED-4E9F-8685-BCE28663C133}"/>
    <cellStyle name="Note 2 9 4 2 6 2 2" xfId="35877" xr:uid="{79675ED7-B5E2-4C1A-BA2A-F8AF50EC6BB1}"/>
    <cellStyle name="Note 2 9 4 2 6 2 3" xfId="47228" xr:uid="{28622367-50A5-4A2E-A11F-BDC24E4DA76D}"/>
    <cellStyle name="Note 2 9 4 2 6 3" xfId="18461" xr:uid="{BC24F418-1222-46D5-A533-F69347BC9D08}"/>
    <cellStyle name="Note 2 9 4 2 6 3 2" xfId="40851" xr:uid="{C650746C-D7A1-446D-A967-BA59EF871400}"/>
    <cellStyle name="Note 2 9 4 2 6 3 3" xfId="28656" xr:uid="{BFA69CCD-23C5-4BCE-A736-A03F28A42D62}"/>
    <cellStyle name="Note 2 9 4 2 6 4" xfId="22885" xr:uid="{2822DB31-8D4B-4B51-A7CF-6F00B8EADB66}"/>
    <cellStyle name="Note 2 9 4 2 6 4 2" xfId="51091" xr:uid="{9F23EF27-DB1D-4D02-93B0-51FBF447733B}"/>
    <cellStyle name="Note 2 9 4 2 6 5" xfId="54068" xr:uid="{DB13B8E5-51D5-4C90-A846-D2C7BFBEFA0D}"/>
    <cellStyle name="Note 2 9 4 2 7" xfId="2283" xr:uid="{00000000-0005-0000-0000-0000BC070000}"/>
    <cellStyle name="Note 2 9 4 2 7 2" xfId="9194" xr:uid="{7F7D52D2-393C-4672-9913-290A8B9D9D89}"/>
    <cellStyle name="Note 2 9 4 2 7 2 2" xfId="31769" xr:uid="{AEB498B9-5E89-4C2B-B80C-3CD4CC26A773}"/>
    <cellStyle name="Note 2 9 4 2 7 2 3" xfId="42478" xr:uid="{064EF784-9399-42F6-9462-1A007FD38A2A}"/>
    <cellStyle name="Note 2 9 4 2 7 3" xfId="14850" xr:uid="{9D80BE6B-3851-4CC0-B044-1DBDF9DA3F39}"/>
    <cellStyle name="Note 2 9 4 2 7 3 2" xfId="37304" xr:uid="{EB5B12F5-4A31-4A8F-ABC1-ADD278CA9C5F}"/>
    <cellStyle name="Note 2 9 4 2 7 3 3" xfId="43241" xr:uid="{DA44D106-55DA-4C6C-A899-C123FD11C0E4}"/>
    <cellStyle name="Note 2 9 4 2 7 4" xfId="19927" xr:uid="{3EAEB20C-D5AD-4BDB-AFFD-09AEDFC04A20}"/>
    <cellStyle name="Note 2 9 4 2 7 4 2" xfId="45393" xr:uid="{D60BDA1B-1A00-4CAE-8033-69796A0071CC}"/>
    <cellStyle name="Note 2 9 4 2 7 5" xfId="26511" xr:uid="{6D072CAC-1843-4B20-84C2-F8C47B4BC1F4}"/>
    <cellStyle name="Note 2 9 4 2 8" xfId="7008" xr:uid="{00000000-0005-0000-0000-0000BC070000}"/>
    <cellStyle name="Note 2 9 4 2 8 2" xfId="13845" xr:uid="{E7ED1C8A-B113-4FB4-B579-791774DDDDA4}"/>
    <cellStyle name="Note 2 9 4 2 8 2 2" xfId="36329" xr:uid="{C3A9F58D-DCB8-4905-9D25-90C77C4A612F}"/>
    <cellStyle name="Note 2 9 4 2 8 2 3" xfId="51323" xr:uid="{D940B95B-5953-4283-BB70-B0A2CEF43048}"/>
    <cellStyle name="Note 2 9 4 2 8 3" xfId="18945" xr:uid="{EF0BE522-30EB-45FA-B847-B5B912B080B9}"/>
    <cellStyle name="Note 2 9 4 2 8 3 2" xfId="41335" xr:uid="{4E97D592-E427-4B2B-91EB-676C781D461D}"/>
    <cellStyle name="Note 2 9 4 2 8 3 3" xfId="27731" xr:uid="{C1B6DA88-E31F-4C0C-B7E7-8F2263DDB9C6}"/>
    <cellStyle name="Note 2 9 4 2 8 4" xfId="23369" xr:uid="{D638EADB-0603-48E5-A208-8BCF1B2ECBAC}"/>
    <cellStyle name="Note 2 9 4 2 8 4 2" xfId="50497" xr:uid="{A3D2F568-2A68-4216-81EB-7646FFBD26F8}"/>
    <cellStyle name="Note 2 9 4 2 8 5" xfId="51690" xr:uid="{C6A28FF4-2E00-45BE-8B8A-3E84BBE0F6C3}"/>
    <cellStyle name="Note 2 9 4 2 9" xfId="6869" xr:uid="{00000000-0005-0000-0000-0000BC070000}"/>
    <cellStyle name="Note 2 9 4 2 9 2" xfId="18806" xr:uid="{4423F976-BC6B-4556-A945-7BCE30A596D5}"/>
    <cellStyle name="Note 2 9 4 2 9 2 2" xfId="41196" xr:uid="{B2502BC0-ECF6-4AB2-95E7-D569994C56D2}"/>
    <cellStyle name="Note 2 9 4 2 9 2 3" xfId="45824" xr:uid="{DE171919-42A3-4839-85C5-EC429BFAC2BC}"/>
    <cellStyle name="Note 2 9 4 2 9 3" xfId="23230" xr:uid="{AFFDFC2F-84DF-4E86-A069-1A25FFA34E62}"/>
    <cellStyle name="Note 2 9 4 2 9 3 2" xfId="29168" xr:uid="{BC900A82-5C7D-494A-B13B-6C1F62211E2C}"/>
    <cellStyle name="Note 2 9 4 2 9 4" xfId="53156" xr:uid="{BB4E7FC4-450B-407A-B574-834E7E0378E2}"/>
    <cellStyle name="Note 2 9 4 3" xfId="4806" xr:uid="{00000000-0005-0000-0000-0000BB070000}"/>
    <cellStyle name="Note 2 9 4 3 2" xfId="11703" xr:uid="{28805402-69FC-40A6-B3D2-E05E0F0E65F6}"/>
    <cellStyle name="Note 2 9 4 3 2 2" xfId="34189" xr:uid="{960BE989-35BC-4E5E-8DD2-582868B48F1C}"/>
    <cellStyle name="Note 2 9 4 3 2 3" xfId="27551" xr:uid="{79A73BB5-C7E1-4E92-B470-C7A6CABA1E05}"/>
    <cellStyle name="Note 2 9 4 3 3" xfId="16743" xr:uid="{EE037B56-C2D3-43CD-9FA2-4DB135952125}"/>
    <cellStyle name="Note 2 9 4 3 3 2" xfId="39133" xr:uid="{6089126B-4CF2-4331-8458-B2500E1C912C}"/>
    <cellStyle name="Note 2 9 4 3 3 3" xfId="38484" xr:uid="{6BD9217A-1FA8-42EC-8C52-184E54DCCFCD}"/>
    <cellStyle name="Note 2 9 4 3 4" xfId="14948" xr:uid="{C379B100-0C4C-4CA3-8CC7-7EAC7E17BF27}"/>
    <cellStyle name="Note 2 9 4 3 4 2" xfId="48953" xr:uid="{285D8F90-6245-4983-8D74-AAF212926FFE}"/>
    <cellStyle name="Note 2 9 4 3 5" xfId="51358" xr:uid="{F328A439-41CD-4996-9877-A2E05DBDADDC}"/>
    <cellStyle name="Note 2 9 4 4" xfId="4602" xr:uid="{00000000-0005-0000-0000-0000BB070000}"/>
    <cellStyle name="Note 2 9 4 4 2" xfId="11503" xr:uid="{A21CC4D3-5464-4C67-BC9C-6578257700E5}"/>
    <cellStyle name="Note 2 9 4 4 2 2" xfId="33989" xr:uid="{33086F88-0C84-40F1-B65D-3065499DBC63}"/>
    <cellStyle name="Note 2 9 4 4 2 3" xfId="28746" xr:uid="{EDD46EB5-D6B8-49D2-A952-C91024A2AAC4}"/>
    <cellStyle name="Note 2 9 4 4 3" xfId="16539" xr:uid="{84826259-5B8E-40C4-858D-6CA7D4AED302}"/>
    <cellStyle name="Note 2 9 4 4 3 2" xfId="38929" xr:uid="{BD56EEEE-6506-4459-BAF9-51B95F19BFB7}"/>
    <cellStyle name="Note 2 9 4 4 3 3" xfId="44049" xr:uid="{BBB63CF6-063E-455F-B131-BA6A739604B0}"/>
    <cellStyle name="Note 2 9 4 4 4" xfId="19718" xr:uid="{6390C8E8-E3F2-4B0E-A85C-E6C3BA176926}"/>
    <cellStyle name="Note 2 9 4 4 4 2" xfId="27781" xr:uid="{0DD6AFEE-514C-4434-8226-F3C21B4CA01E}"/>
    <cellStyle name="Note 2 9 4 4 5" xfId="47769" xr:uid="{51D8F2AB-E447-4A44-A121-81715E9D7A0E}"/>
    <cellStyle name="Note 2 9 4 5" xfId="4569" xr:uid="{00000000-0005-0000-0000-0000BB070000}"/>
    <cellStyle name="Note 2 9 4 5 2" xfId="11471" xr:uid="{F527724D-5AA9-4B02-93AE-08A0804352B4}"/>
    <cellStyle name="Note 2 9 4 5 2 2" xfId="33957" xr:uid="{30BF1BBE-26C0-4BAF-A257-193D727CE1FB}"/>
    <cellStyle name="Note 2 9 4 5 2 3" xfId="44178" xr:uid="{13A12056-0BD5-4F02-80E5-DC06B853B0EC}"/>
    <cellStyle name="Note 2 9 4 5 3" xfId="16506" xr:uid="{5C3395A0-A543-492C-BF28-074168C0345A}"/>
    <cellStyle name="Note 2 9 4 5 3 2" xfId="38896" xr:uid="{73325F26-C34F-410B-B4B8-06A255185D8C}"/>
    <cellStyle name="Note 2 9 4 5 3 3" xfId="44571" xr:uid="{4BAD680F-5978-4201-AC81-4542A3D47046}"/>
    <cellStyle name="Note 2 9 4 5 4" xfId="16273" xr:uid="{F1D6A28A-7E1F-4525-836F-7AD112EA9B0F}"/>
    <cellStyle name="Note 2 9 4 5 4 2" xfId="45752" xr:uid="{CDEBCDCB-9696-4D98-805D-2E3B6365B64D}"/>
    <cellStyle name="Note 2 9 4 5 5" xfId="46448" xr:uid="{FDE057C8-DE86-4384-AC0A-09658C1AEA12}"/>
    <cellStyle name="Note 2 9 4 6" xfId="4860" xr:uid="{00000000-0005-0000-0000-0000BB070000}"/>
    <cellStyle name="Note 2 9 4 6 2" xfId="11756" xr:uid="{D680CAEB-6365-4FB0-A0B8-5136BF35E2A2}"/>
    <cellStyle name="Note 2 9 4 6 2 2" xfId="34242" xr:uid="{F01C3D93-5C2B-45E8-B32D-4AFFF2D6D578}"/>
    <cellStyle name="Note 2 9 4 6 2 3" xfId="42363" xr:uid="{B81897D0-81DA-469C-87C3-2FB4C9B38E79}"/>
    <cellStyle name="Note 2 9 4 6 3" xfId="16797" xr:uid="{508F5D31-18AE-4110-A7C2-8DA32851F74C}"/>
    <cellStyle name="Note 2 9 4 6 3 2" xfId="39187" xr:uid="{6A5FC263-0FB2-4854-A4B1-75486D2E54ED}"/>
    <cellStyle name="Note 2 9 4 6 3 3" xfId="30239" xr:uid="{6F91C123-176D-45B9-9937-A1488611A128}"/>
    <cellStyle name="Note 2 9 4 6 4" xfId="16166" xr:uid="{C78D68B8-9FFA-422A-9E3A-95A95E5C59AC}"/>
    <cellStyle name="Note 2 9 4 6 4 2" xfId="45474" xr:uid="{572DBF13-B1E3-4DFA-8B1C-65D14DF9760D}"/>
    <cellStyle name="Note 2 9 4 6 5" xfId="49488" xr:uid="{B7F9781B-5748-4FE1-BC30-3BB3E33A13BF}"/>
    <cellStyle name="Note 2 9 4 7" xfId="8750" xr:uid="{08BF25A4-E187-40CF-9064-337DB83AE9C6}"/>
    <cellStyle name="Note 2 9 4 7 2" xfId="31333" xr:uid="{063944C6-ED4F-4932-B54D-074EDEB90909}"/>
    <cellStyle name="Note 2 9 4 7 3" xfId="30957" xr:uid="{A7F61009-9388-4800-BBBB-FE5FE2AC108D}"/>
    <cellStyle name="Note 2 9 4 8" xfId="19318" xr:uid="{689D9C5C-1D64-4C11-B4F7-113A25BEBD4E}"/>
    <cellStyle name="Note 2 9 4 8 2" xfId="41698" xr:uid="{E58C7073-D2AF-4F62-8B3B-3CC720503BB1}"/>
    <cellStyle name="Note 2 9 4 8 3" xfId="45504" xr:uid="{9CF87C00-8A8A-4AEA-A306-23FDDFD00520}"/>
    <cellStyle name="Note 2 9 4 9" xfId="15775" xr:uid="{639240D6-B543-4125-A98F-09BCE1231CB6}"/>
    <cellStyle name="Note 2 9 4 9 2" xfId="50598" xr:uid="{E706E93E-72B6-45F6-9ABD-BE5419E4B41F}"/>
    <cellStyle name="Note 2 9 5" xfId="1216" xr:uid="{00000000-0005-0000-0000-0000BF070000}"/>
    <cellStyle name="Note 2 9 5 10" xfId="49541" xr:uid="{7711D7D7-0E30-48E2-BF4B-AA0C3C37899C}"/>
    <cellStyle name="Note 2 9 5 2" xfId="2016" xr:uid="{00000000-0005-0000-0000-0000C0070000}"/>
    <cellStyle name="Note 2 9 5 2 10" xfId="14664" xr:uid="{6BEAF69A-7DCA-41DE-A7E8-6493A3ADFE58}"/>
    <cellStyle name="Note 2 9 5 2 10 2" xfId="37124" xr:uid="{944A5001-73D2-4C36-8678-AF910861238E}"/>
    <cellStyle name="Note 2 9 5 2 10 3" xfId="47569" xr:uid="{4A3E1C21-3C9E-42BB-9C7E-15E72FC8F94F}"/>
    <cellStyle name="Note 2 9 5 2 11" xfId="13994" xr:uid="{89E9B4A8-55FA-4EDE-8D54-437E0CABD848}"/>
    <cellStyle name="Note 2 9 5 2 11 2" xfId="36477" xr:uid="{F2F89B54-519D-4976-A5B9-6162C1175856}"/>
    <cellStyle name="Note 2 9 5 2 11 3" xfId="50314" xr:uid="{340DFCAA-0BBB-4732-AACC-16C4F626F9DB}"/>
    <cellStyle name="Note 2 9 5 2 12" xfId="8297" xr:uid="{42D994DB-5FD8-43B1-946E-96D83AB42F16}"/>
    <cellStyle name="Note 2 9 5 2 12 2" xfId="46615" xr:uid="{914A2F39-9544-4BBE-9785-76EB63F124D0}"/>
    <cellStyle name="Note 2 9 5 2 13" xfId="51866" xr:uid="{6144BBC9-5807-430B-8DBA-1F632D8DC3D6}"/>
    <cellStyle name="Note 2 9 5 2 2" xfId="4111" xr:uid="{00000000-0005-0000-0000-0000BE070000}"/>
    <cellStyle name="Note 2 9 5 2 2 2" xfId="11015" xr:uid="{60849053-60EE-483E-BE31-2DC485CCC5B5}"/>
    <cellStyle name="Note 2 9 5 2 2 2 2" xfId="33501" xr:uid="{8B20AECD-0985-4E04-9772-1A31DAA2C65C}"/>
    <cellStyle name="Note 2 9 5 2 2 2 3" xfId="24564" xr:uid="{7F57736E-961C-4A71-8F21-AF961CDBDB5A}"/>
    <cellStyle name="Note 2 9 5 2 2 3" xfId="16115" xr:uid="{CB9DC6B7-5594-4115-BCEB-CDAD766E3AFD}"/>
    <cellStyle name="Note 2 9 5 2 2 3 2" xfId="38515" xr:uid="{88BB129C-FA76-4FD7-92FF-8DB911CB6119}"/>
    <cellStyle name="Note 2 9 5 2 2 3 3" xfId="44611" xr:uid="{9126273E-2FAF-4441-9B89-7AE2A6293E6F}"/>
    <cellStyle name="Note 2 9 5 2 2 4" xfId="20235" xr:uid="{FF6B0C79-DADF-4BCA-9C62-64AFB4694221}"/>
    <cellStyle name="Note 2 9 5 2 2 4 2" xfId="28886" xr:uid="{35EF4461-6EFB-4DD3-864A-D40F934959DD}"/>
    <cellStyle name="Note 2 9 5 2 2 5" xfId="42393" xr:uid="{DF86B454-9E0D-4DAF-80EA-D70C75DB4B86}"/>
    <cellStyle name="Note 2 9 5 2 3" xfId="5457" xr:uid="{00000000-0005-0000-0000-0000BE070000}"/>
    <cellStyle name="Note 2 9 5 2 3 2" xfId="12346" xr:uid="{183EFDAA-C700-4F98-AB45-D98E36B4BD25}"/>
    <cellStyle name="Note 2 9 5 2 3 2 2" xfId="34831" xr:uid="{52E20CCB-B26A-49FF-B94D-6E2D7A3F8C2F}"/>
    <cellStyle name="Note 2 9 5 2 3 2 3" xfId="27945" xr:uid="{1333E9A3-B160-4453-B446-C8E585C85B8C}"/>
    <cellStyle name="Note 2 9 5 2 3 3" xfId="17394" xr:uid="{987D5C0A-B48C-4FE1-97A0-7E2094D64D1B}"/>
    <cellStyle name="Note 2 9 5 2 3 3 2" xfId="39784" xr:uid="{E0158190-A775-4D1E-8AC8-D1EAC24CA5C8}"/>
    <cellStyle name="Note 2 9 5 2 3 3 3" xfId="42118" xr:uid="{268CBAD9-4B95-4CFD-9F9D-C7AD32790782}"/>
    <cellStyle name="Note 2 9 5 2 3 4" xfId="21818" xr:uid="{0DFF8FB9-8080-45A2-96C6-3E24B39A778D}"/>
    <cellStyle name="Note 2 9 5 2 3 4 2" xfId="29744" xr:uid="{DD6C4FF4-8903-4596-B194-E4875D3B0709}"/>
    <cellStyle name="Note 2 9 5 2 3 5" xfId="50681" xr:uid="{EAB4D55E-C726-47ED-8FCF-69D2CBF52CCB}"/>
    <cellStyle name="Note 2 9 5 2 4" xfId="5880" xr:uid="{00000000-0005-0000-0000-0000BE070000}"/>
    <cellStyle name="Note 2 9 5 2 4 2" xfId="12762" xr:uid="{B9D2BD96-135F-4A62-BE37-35B896A4A0B6}"/>
    <cellStyle name="Note 2 9 5 2 4 2 2" xfId="35246" xr:uid="{A5E81575-CA52-4D74-A79B-8CFF5DF8D6BD}"/>
    <cellStyle name="Note 2 9 5 2 4 2 3" xfId="27870" xr:uid="{617D9664-3D36-4E96-9CE5-23E94866B01E}"/>
    <cellStyle name="Note 2 9 5 2 4 3" xfId="17817" xr:uid="{10722DA1-29A6-48E5-B258-6563A122E2FC}"/>
    <cellStyle name="Note 2 9 5 2 4 3 2" xfId="40207" xr:uid="{FB0847CB-FB9B-48C0-B209-5AAD9B0D6162}"/>
    <cellStyle name="Note 2 9 5 2 4 3 3" xfId="24148" xr:uid="{0D832AD5-A153-4081-B288-933EC9630E52}"/>
    <cellStyle name="Note 2 9 5 2 4 4" xfId="22241" xr:uid="{0E520BE5-BB73-47A5-8580-B50797E4E80B}"/>
    <cellStyle name="Note 2 9 5 2 4 4 2" xfId="49963" xr:uid="{8387DF58-7377-4D8C-B8A0-27F2DBD21E16}"/>
    <cellStyle name="Note 2 9 5 2 4 5" xfId="49618" xr:uid="{8A04444B-6B2A-473C-9B98-6AE0618D91D5}"/>
    <cellStyle name="Note 2 9 5 2 5" xfId="6218" xr:uid="{00000000-0005-0000-0000-0000BE070000}"/>
    <cellStyle name="Note 2 9 5 2 5 2" xfId="13093" xr:uid="{04903042-7DC3-4E84-BB7E-CB17A3B8DD62}"/>
    <cellStyle name="Note 2 9 5 2 5 2 2" xfId="35577" xr:uid="{4AC3491F-8E80-4C5E-B15F-11A238DD1DF4}"/>
    <cellStyle name="Note 2 9 5 2 5 2 3" xfId="51000" xr:uid="{D878DED6-D816-4B1D-8387-88C09892A56E}"/>
    <cellStyle name="Note 2 9 5 2 5 3" xfId="18155" xr:uid="{777FA6F8-E38A-49DB-9A13-6078A370167F}"/>
    <cellStyle name="Note 2 9 5 2 5 3 2" xfId="40545" xr:uid="{5AA113BC-0E5B-4DC2-99FE-F49A0E60B93A}"/>
    <cellStyle name="Note 2 9 5 2 5 3 3" xfId="45445" xr:uid="{58695BF1-3505-4357-98BE-80FF63A2A353}"/>
    <cellStyle name="Note 2 9 5 2 5 4" xfId="22579" xr:uid="{E3D37557-2761-40F1-B492-1763EBFA192C}"/>
    <cellStyle name="Note 2 9 5 2 5 4 2" xfId="50504" xr:uid="{430F5F8C-7EA5-402D-8565-63BDCC4DAB49}"/>
    <cellStyle name="Note 2 9 5 2 5 5" xfId="49348" xr:uid="{E82C03C9-871E-4D58-A8C3-BBEB90FEB205}"/>
    <cellStyle name="Note 2 9 5 2 6" xfId="6584" xr:uid="{00000000-0005-0000-0000-0000BE070000}"/>
    <cellStyle name="Note 2 9 5 2 6 2" xfId="13450" xr:uid="{E2BE6928-0966-468E-8AC3-49E9708DD71E}"/>
    <cellStyle name="Note 2 9 5 2 6 2 2" xfId="35934" xr:uid="{0A9622F6-C393-45FB-900B-2DA6CBCEE31C}"/>
    <cellStyle name="Note 2 9 5 2 6 2 3" xfId="52754" xr:uid="{8AFA4281-BC48-45D9-A6E2-37B516699119}"/>
    <cellStyle name="Note 2 9 5 2 6 3" xfId="18521" xr:uid="{F507B3C4-2B3B-4380-9EE3-DC64A2B0EDDF}"/>
    <cellStyle name="Note 2 9 5 2 6 3 2" xfId="40911" xr:uid="{2FACD80A-8478-4506-A6D2-DB73680E1F8C}"/>
    <cellStyle name="Note 2 9 5 2 6 3 3" xfId="26442" xr:uid="{0CB47E53-853A-4F72-A8DD-AE6812267B32}"/>
    <cellStyle name="Note 2 9 5 2 6 4" xfId="22945" xr:uid="{B27DC39B-C6B9-40FE-A15C-BA9A8999B48B}"/>
    <cellStyle name="Note 2 9 5 2 6 4 2" xfId="47645" xr:uid="{E4D7F9FA-2BDF-4108-9C58-4924E32AA886}"/>
    <cellStyle name="Note 2 9 5 2 6 5" xfId="46340" xr:uid="{F4F444F1-7D92-4C0D-94CC-204549A4CFC2}"/>
    <cellStyle name="Note 2 9 5 2 7" xfId="6035" xr:uid="{00000000-0005-0000-0000-0000BE070000}"/>
    <cellStyle name="Note 2 9 5 2 7 2" xfId="12914" xr:uid="{B3B35AF1-B1A9-45F6-BDAD-4C3372CAEA78}"/>
    <cellStyle name="Note 2 9 5 2 7 2 2" xfId="35398" xr:uid="{F486B848-6D61-45C2-BC2C-E0046052D4D0}"/>
    <cellStyle name="Note 2 9 5 2 7 2 3" xfId="32367" xr:uid="{CA4C5ED0-216F-40E5-8E78-8AC8723A296E}"/>
    <cellStyle name="Note 2 9 5 2 7 3" xfId="17972" xr:uid="{865F7C4B-C87C-4EDD-AD15-C28AFF0FB7FB}"/>
    <cellStyle name="Note 2 9 5 2 7 3 2" xfId="40362" xr:uid="{4344C240-C5C9-4353-9292-EEBE262683F0}"/>
    <cellStyle name="Note 2 9 5 2 7 3 3" xfId="29025" xr:uid="{0598A984-1FF2-4112-A378-C8E3D07BCEE7}"/>
    <cellStyle name="Note 2 9 5 2 7 4" xfId="22396" xr:uid="{CD1591EC-99BC-47AD-BBBE-49DD48F5C28D}"/>
    <cellStyle name="Note 2 9 5 2 7 4 2" xfId="53801" xr:uid="{7FEFF102-60DE-47ED-AF42-63480CE92A12}"/>
    <cellStyle name="Note 2 9 5 2 7 5" xfId="52007" xr:uid="{F63E3D19-4C8E-450F-ABFF-635BF2EAE9ED}"/>
    <cellStyle name="Note 2 9 5 2 8" xfId="7054" xr:uid="{00000000-0005-0000-0000-0000BE070000}"/>
    <cellStyle name="Note 2 9 5 2 8 2" xfId="13890" xr:uid="{F3C1CFF5-D0DD-4359-8CB6-7FE4CDB4AB35}"/>
    <cellStyle name="Note 2 9 5 2 8 2 2" xfId="36374" xr:uid="{6D613696-5D14-405B-9250-199E5766DEF1}"/>
    <cellStyle name="Note 2 9 5 2 8 2 3" xfId="52197" xr:uid="{6D365C7A-E0AF-4128-87E8-40990DB7A201}"/>
    <cellStyle name="Note 2 9 5 2 8 3" xfId="18991" xr:uid="{5D52548E-C09C-4522-8183-D4BBA4EBE26E}"/>
    <cellStyle name="Note 2 9 5 2 8 3 2" xfId="41381" xr:uid="{645E51D7-080D-41ED-B099-33F21ECE0CEF}"/>
    <cellStyle name="Note 2 9 5 2 8 3 3" xfId="45879" xr:uid="{67F53E37-1B24-44A7-8903-73BF4CC6B92F}"/>
    <cellStyle name="Note 2 9 5 2 8 4" xfId="23415" xr:uid="{A30454D0-EE18-4951-9137-899F3388271D}"/>
    <cellStyle name="Note 2 9 5 2 8 4 2" xfId="53966" xr:uid="{37DB431A-DE24-4799-A8E9-1E51F45D5048}"/>
    <cellStyle name="Note 2 9 5 2 8 5" xfId="50195" xr:uid="{AA99BDC6-A53F-4A58-BF36-03ED342E66F6}"/>
    <cellStyle name="Note 2 9 5 2 9" xfId="7169" xr:uid="{00000000-0005-0000-0000-0000BE070000}"/>
    <cellStyle name="Note 2 9 5 2 9 2" xfId="19106" xr:uid="{E4146516-8C21-4F0B-B0DB-4A4E92ECCEF3}"/>
    <cellStyle name="Note 2 9 5 2 9 2 2" xfId="41496" xr:uid="{153AB045-1ACA-48A0-BB34-EE8DDC1F593D}"/>
    <cellStyle name="Note 2 9 5 2 9 2 3" xfId="28463" xr:uid="{AF852136-21EA-48F0-97A6-489122D57781}"/>
    <cellStyle name="Note 2 9 5 2 9 3" xfId="23530" xr:uid="{AAD3C289-C5AD-4730-872C-B5871190208E}"/>
    <cellStyle name="Note 2 9 5 2 9 3 2" xfId="53420" xr:uid="{5AA4F002-A4EB-453B-B8BB-8E67EA41D6DC}"/>
    <cellStyle name="Note 2 9 5 2 9 4" xfId="49595" xr:uid="{0405DF98-A9C8-4212-9DB2-8B98CC6B2FE8}"/>
    <cellStyle name="Note 2 9 5 3" xfId="4916" xr:uid="{00000000-0005-0000-0000-0000BD070000}"/>
    <cellStyle name="Note 2 9 5 3 2" xfId="11811" xr:uid="{A1DC9539-4535-4B12-BC8F-14D714C7155C}"/>
    <cellStyle name="Note 2 9 5 3 2 2" xfId="34297" xr:uid="{F4E7F7BB-DBB1-49EB-929C-2B39B4331929}"/>
    <cellStyle name="Note 2 9 5 3 2 3" xfId="37079" xr:uid="{EAC08F77-02C6-4E3D-A5E9-275F71913172}"/>
    <cellStyle name="Note 2 9 5 3 3" xfId="16853" xr:uid="{2B903C5A-446A-4663-94E8-587155E93F6E}"/>
    <cellStyle name="Note 2 9 5 3 3 2" xfId="39243" xr:uid="{BB132892-C978-485D-B599-7B6E7E06D35A}"/>
    <cellStyle name="Note 2 9 5 3 3 3" xfId="26458" xr:uid="{5BE5C596-95CD-4623-9F4C-171AD9FAFEB7}"/>
    <cellStyle name="Note 2 9 5 3 4" xfId="19878" xr:uid="{39E5D9C4-01E3-406B-8360-8E43E596CEF3}"/>
    <cellStyle name="Note 2 9 5 3 4 2" xfId="45034" xr:uid="{98CA2478-C090-42C3-98C5-646E4E982284}"/>
    <cellStyle name="Note 2 9 5 3 5" xfId="52291" xr:uid="{F27ACBC1-7A11-411D-B7C4-D64DD0D26DA0}"/>
    <cellStyle name="Note 2 9 5 4" xfId="5083" xr:uid="{00000000-0005-0000-0000-0000BD070000}"/>
    <cellStyle name="Note 2 9 5 4 2" xfId="11976" xr:uid="{2DEF1584-643E-4706-8213-BFE155A85E48}"/>
    <cellStyle name="Note 2 9 5 4 2 2" xfId="34462" xr:uid="{BA4E932B-DED4-4F49-932F-346020E21976}"/>
    <cellStyle name="Note 2 9 5 4 2 3" xfId="28215" xr:uid="{0A2D1010-6E41-4E9C-9B23-BD454C77C053}"/>
    <cellStyle name="Note 2 9 5 4 3" xfId="17020" xr:uid="{9C08AD06-F980-487F-A431-9D4A35A4419A}"/>
    <cellStyle name="Note 2 9 5 4 3 2" xfId="39410" xr:uid="{A1D93CE6-747C-4689-9135-E4ADA9AD5298}"/>
    <cellStyle name="Note 2 9 5 4 3 3" xfId="43599" xr:uid="{CEFFBF8A-8E51-42DC-A675-46EF07909ED0}"/>
    <cellStyle name="Note 2 9 5 4 4" xfId="21444" xr:uid="{275C711A-86B1-4E79-9216-08062564AA0F}"/>
    <cellStyle name="Note 2 9 5 4 4 2" xfId="46284" xr:uid="{F5D5D418-1501-45E9-85DE-B136FBB379B2}"/>
    <cellStyle name="Note 2 9 5 4 5" xfId="29569" xr:uid="{944F92D4-A572-4940-B35E-424F8C3D1759}"/>
    <cellStyle name="Note 2 9 5 5" xfId="4661" xr:uid="{00000000-0005-0000-0000-0000BD070000}"/>
    <cellStyle name="Note 2 9 5 5 2" xfId="11559" xr:uid="{03C51CDA-8925-430E-857A-056A28233F4D}"/>
    <cellStyle name="Note 2 9 5 5 2 2" xfId="34045" xr:uid="{F7A39CE8-5489-4C06-833A-5CE3093735C3}"/>
    <cellStyle name="Note 2 9 5 5 2 3" xfId="45117" xr:uid="{22893376-7428-499A-8B53-BA799D639E9B}"/>
    <cellStyle name="Note 2 9 5 5 3" xfId="16598" xr:uid="{AC433D3E-84B7-4AA8-981D-F2525A43E8FD}"/>
    <cellStyle name="Note 2 9 5 5 3 2" xfId="38988" xr:uid="{EB891F69-2C5B-4966-922F-1DEBF14CFCE5}"/>
    <cellStyle name="Note 2 9 5 5 3 3" xfId="28868" xr:uid="{DCAF0BF1-9AB6-4D1F-8E60-17EC00432C0A}"/>
    <cellStyle name="Note 2 9 5 5 4" xfId="14809" xr:uid="{2F0A408C-DA9D-4E48-8F9D-EB6BE03EF81C}"/>
    <cellStyle name="Note 2 9 5 5 4 2" xfId="46251" xr:uid="{55AA54EE-2DC5-456F-8C15-56D891CE7972}"/>
    <cellStyle name="Note 2 9 5 5 5" xfId="52620" xr:uid="{D7A5C884-D07C-4AB6-A068-1E0F4C3D2304}"/>
    <cellStyle name="Note 2 9 5 6" xfId="6413" xr:uid="{00000000-0005-0000-0000-0000BD070000}"/>
    <cellStyle name="Note 2 9 5 6 2" xfId="13285" xr:uid="{6DBA618F-2799-4A35-A0F5-9ABBFD2A87D9}"/>
    <cellStyle name="Note 2 9 5 6 2 2" xfId="35769" xr:uid="{07E76258-CA61-4084-AC02-53FE777B81E1}"/>
    <cellStyle name="Note 2 9 5 6 2 3" xfId="53229" xr:uid="{97131711-7886-4284-A4BB-9A5B2C14B1AE}"/>
    <cellStyle name="Note 2 9 5 6 3" xfId="18350" xr:uid="{C9389DBA-6DF2-4876-BC36-640CA67D577E}"/>
    <cellStyle name="Note 2 9 5 6 3 2" xfId="40740" xr:uid="{63596369-32A7-4AE0-9666-383FB0C4BB05}"/>
    <cellStyle name="Note 2 9 5 6 3 3" xfId="28192" xr:uid="{6EB37748-ADF2-4574-8063-2A90766D6E9C}"/>
    <cellStyle name="Note 2 9 5 6 4" xfId="22774" xr:uid="{263F211A-DD39-43D7-B858-F8863871FC53}"/>
    <cellStyle name="Note 2 9 5 6 4 2" xfId="46002" xr:uid="{14B68B2E-8E00-4C85-9B90-7A53E2205201}"/>
    <cellStyle name="Note 2 9 5 6 5" xfId="28279" xr:uid="{259B3BE7-FADE-45B7-9A4D-A50465E6F3F2}"/>
    <cellStyle name="Note 2 9 5 7" xfId="14091" xr:uid="{4A85002B-10A8-4A0F-825D-C040589284E4}"/>
    <cellStyle name="Note 2 9 5 7 2" xfId="36569" xr:uid="{D68D8155-41BD-4F31-B520-C2A561ACA398}"/>
    <cellStyle name="Note 2 9 5 7 3" xfId="42636" xr:uid="{7F57B79F-3401-4D94-8D8B-B70EC111A893}"/>
    <cellStyle name="Note 2 9 5 8" xfId="20976" xr:uid="{9BA3764B-E619-4F29-9AA6-721BED709F4A}"/>
    <cellStyle name="Note 2 9 5 8 2" xfId="43230" xr:uid="{6B3E6FFF-50B4-4297-9FBD-B5DFCF67BA71}"/>
    <cellStyle name="Note 2 9 5 8 3" xfId="51502" xr:uid="{D3B27BA3-2B9A-4525-B220-9EA44689F2FE}"/>
    <cellStyle name="Note 2 9 5 9" xfId="20473" xr:uid="{E4B68272-2DF6-417D-B862-0A203051A331}"/>
    <cellStyle name="Note 2 9 5 9 2" xfId="42302" xr:uid="{1E69000C-773A-4AEA-A35B-19840042B818}"/>
    <cellStyle name="Note 2 9 6" xfId="1378" xr:uid="{00000000-0005-0000-0000-0000C1070000}"/>
    <cellStyle name="Note 2 9 6 10" xfId="51877" xr:uid="{A3014C95-6EDF-4154-B1DB-AEC1E0EFA69C}"/>
    <cellStyle name="Note 2 9 6 2" xfId="2107" xr:uid="{00000000-0005-0000-0000-0000C2070000}"/>
    <cellStyle name="Note 2 9 6 2 10" xfId="14736" xr:uid="{A7DFC355-0383-404F-A534-30CE98A653B3}"/>
    <cellStyle name="Note 2 9 6 2 10 2" xfId="37194" xr:uid="{FE593536-EA8D-4BF0-AEBE-0F70B07D5EB1}"/>
    <cellStyle name="Note 2 9 6 2 10 3" xfId="29089" xr:uid="{87D1451B-818B-4239-B3C1-EB94DB8157CA}"/>
    <cellStyle name="Note 2 9 6 2 11" xfId="20647" xr:uid="{AFD016A1-1D3B-4B42-B40A-BA8D8FFF15A5}"/>
    <cellStyle name="Note 2 9 6 2 11 2" xfId="42925" xr:uid="{B2D35E99-48CE-46AC-8392-E04089B9940A}"/>
    <cellStyle name="Note 2 9 6 2 11 3" xfId="46420" xr:uid="{41E994F7-CF81-4007-8CFB-FAB4F574276D}"/>
    <cellStyle name="Note 2 9 6 2 12" xfId="19970" xr:uid="{2782D6C3-5A95-456F-B5EF-C39BC2AE93DC}"/>
    <cellStyle name="Note 2 9 6 2 12 2" xfId="45462" xr:uid="{35E60BDD-36F0-4EAB-9D38-2592D627DA60}"/>
    <cellStyle name="Note 2 9 6 2 13" xfId="53575" xr:uid="{484722CC-ED68-4EA6-9B12-17F89E53FC7E}"/>
    <cellStyle name="Note 2 9 6 2 2" xfId="4200" xr:uid="{00000000-0005-0000-0000-0000C0070000}"/>
    <cellStyle name="Note 2 9 6 2 2 2" xfId="11104" xr:uid="{D5366FAF-66B8-4E17-A5E0-91672CABADB5}"/>
    <cellStyle name="Note 2 9 6 2 2 2 2" xfId="33590" xr:uid="{8DAB3727-8386-4099-A3E0-B46A0638B408}"/>
    <cellStyle name="Note 2 9 6 2 2 2 3" xfId="50416" xr:uid="{57A32625-9E5A-4F5D-B7BD-23B2C3F5AE22}"/>
    <cellStyle name="Note 2 9 6 2 2 3" xfId="16193" xr:uid="{F2082514-A860-40AE-94F0-EBDDDE3E21AD}"/>
    <cellStyle name="Note 2 9 6 2 2 3 2" xfId="38592" xr:uid="{C3351016-5817-43E6-9309-6D9BB9600FD9}"/>
    <cellStyle name="Note 2 9 6 2 2 3 3" xfId="25393" xr:uid="{DEBBB7C6-0CE5-4454-9DDA-9B5E9BF2E3F6}"/>
    <cellStyle name="Note 2 9 6 2 2 4" xfId="13977" xr:uid="{514CDBC1-997D-4B86-B25C-C353B8237130}"/>
    <cellStyle name="Note 2 9 6 2 2 4 2" xfId="54025" xr:uid="{35AEF5C4-87A6-4AF9-A6E8-8CB5D92408F1}"/>
    <cellStyle name="Note 2 9 6 2 2 5" xfId="51376" xr:uid="{00CD24F4-3BAA-49CB-BBBF-6C1470A16C90}"/>
    <cellStyle name="Note 2 9 6 2 3" xfId="5526" xr:uid="{00000000-0005-0000-0000-0000C0070000}"/>
    <cellStyle name="Note 2 9 6 2 3 2" xfId="12415" xr:uid="{0F41F013-087C-4E70-A1B3-A2D2BB3CE82E}"/>
    <cellStyle name="Note 2 9 6 2 3 2 2" xfId="34900" xr:uid="{187B621A-6954-450F-9E9C-24182F676D6B}"/>
    <cellStyle name="Note 2 9 6 2 3 2 3" xfId="42312" xr:uid="{1EFDC4AC-3AB2-4361-B5BC-2EF0167E8E90}"/>
    <cellStyle name="Note 2 9 6 2 3 3" xfId="17463" xr:uid="{B982EA92-2820-4C91-B3B6-2B7A0945F0FD}"/>
    <cellStyle name="Note 2 9 6 2 3 3 2" xfId="39853" xr:uid="{42B19A76-7302-4C50-A514-462AF0C7F122}"/>
    <cellStyle name="Note 2 9 6 2 3 3 3" xfId="26339" xr:uid="{2F90284B-AD69-4157-A35D-35C633582C74}"/>
    <cellStyle name="Note 2 9 6 2 3 4" xfId="21887" xr:uid="{CE995CBA-AA41-4A39-8277-FCA87C0F74BD}"/>
    <cellStyle name="Note 2 9 6 2 3 4 2" xfId="49978" xr:uid="{6A26E93D-8A09-4D9D-B442-FBEA1A893383}"/>
    <cellStyle name="Note 2 9 6 2 3 5" xfId="52545" xr:uid="{3DCE9D3E-DA6E-41D9-97F6-221C6D85311E}"/>
    <cellStyle name="Note 2 9 6 2 4" xfId="5948" xr:uid="{00000000-0005-0000-0000-0000C0070000}"/>
    <cellStyle name="Note 2 9 6 2 4 2" xfId="12829" xr:uid="{A6F598BA-C3A5-4ABA-BED1-20DCCEFC12F9}"/>
    <cellStyle name="Note 2 9 6 2 4 2 2" xfId="35313" xr:uid="{8F43A7B8-E2A0-42A5-BC17-832E0A5DD542}"/>
    <cellStyle name="Note 2 9 6 2 4 2 3" xfId="47977" xr:uid="{91618707-2106-406F-9BCE-B4BEC3624EAE}"/>
    <cellStyle name="Note 2 9 6 2 4 3" xfId="17885" xr:uid="{C0C55A04-552F-48BF-A748-ED871B87032B}"/>
    <cellStyle name="Note 2 9 6 2 4 3 2" xfId="40275" xr:uid="{D429309D-16F0-428C-A0CB-BE4DEE52DA9E}"/>
    <cellStyle name="Note 2 9 6 2 4 3 3" xfId="23970" xr:uid="{6FB310B3-6391-45A8-A4B4-AA6F0288B9B7}"/>
    <cellStyle name="Note 2 9 6 2 4 4" xfId="22309" xr:uid="{7D09A77E-2691-4E78-ABED-912BC1D32149}"/>
    <cellStyle name="Note 2 9 6 2 4 4 2" xfId="48084" xr:uid="{48ACCFBD-C90F-4819-8A52-C7D47CF60DFE}"/>
    <cellStyle name="Note 2 9 6 2 4 5" xfId="54127" xr:uid="{138606CD-C4EF-4B76-BE39-D9D6294F670A}"/>
    <cellStyle name="Note 2 9 6 2 5" xfId="6288" xr:uid="{00000000-0005-0000-0000-0000C0070000}"/>
    <cellStyle name="Note 2 9 6 2 5 2" xfId="13160" xr:uid="{C3B619A6-F3A0-4F95-94DE-C617FD8F0E51}"/>
    <cellStyle name="Note 2 9 6 2 5 2 2" xfId="35644" xr:uid="{3958748C-0DEE-4FB7-966B-95BEAE759E33}"/>
    <cellStyle name="Note 2 9 6 2 5 2 3" xfId="28889" xr:uid="{C64CD489-0FFA-4DD0-B692-3093707BA166}"/>
    <cellStyle name="Note 2 9 6 2 5 3" xfId="18225" xr:uid="{F5057880-ED13-42B5-A55F-913AD4C92054}"/>
    <cellStyle name="Note 2 9 6 2 5 3 2" xfId="40615" xr:uid="{8158EA22-BB89-41D6-BB07-15F18D8D73CC}"/>
    <cellStyle name="Note 2 9 6 2 5 3 3" xfId="26969" xr:uid="{AAD0F2AB-F54D-4B89-BED2-3DC2F711DAF8}"/>
    <cellStyle name="Note 2 9 6 2 5 4" xfId="22649" xr:uid="{75F52A5F-8AD0-40F8-9B99-1A31681A9288}"/>
    <cellStyle name="Note 2 9 6 2 5 4 2" xfId="53115" xr:uid="{A34CC4D5-614D-483D-8531-7D2BF09216AB}"/>
    <cellStyle name="Note 2 9 6 2 5 5" xfId="24640" xr:uid="{DB9E7722-7623-46A3-8495-099E0371BCA9}"/>
    <cellStyle name="Note 2 9 6 2 6" xfId="6643" xr:uid="{00000000-0005-0000-0000-0000C0070000}"/>
    <cellStyle name="Note 2 9 6 2 6 2" xfId="13509" xr:uid="{C8A9E8C7-D298-4A42-9A5F-CD9BA1799228}"/>
    <cellStyle name="Note 2 9 6 2 6 2 2" xfId="35993" xr:uid="{2C789166-81F9-4BE4-9F7E-DBE442B71DCE}"/>
    <cellStyle name="Note 2 9 6 2 6 2 3" xfId="47483" xr:uid="{BF314062-C3F3-4E45-8B6A-737195C5DC44}"/>
    <cellStyle name="Note 2 9 6 2 6 3" xfId="18580" xr:uid="{5D847309-E315-4252-B387-FE4735E72AD6}"/>
    <cellStyle name="Note 2 9 6 2 6 3 2" xfId="40970" xr:uid="{67B4641E-C607-4790-B275-A5C2B48CF818}"/>
    <cellStyle name="Note 2 9 6 2 6 3 3" xfId="36858" xr:uid="{7309A8CC-5856-4AE3-9D0C-846AB56B18F8}"/>
    <cellStyle name="Note 2 9 6 2 6 4" xfId="23004" xr:uid="{B76405E9-1CA6-4448-BE09-39772E76B489}"/>
    <cellStyle name="Note 2 9 6 2 6 4 2" xfId="47614" xr:uid="{22E62F4C-EAAF-43D3-8BA6-415E7C0ACD6A}"/>
    <cellStyle name="Note 2 9 6 2 6 5" xfId="52596" xr:uid="{0E54CF70-2AA7-47C5-9800-8325AA26A0C2}"/>
    <cellStyle name="Note 2 9 6 2 7" xfId="6712" xr:uid="{00000000-0005-0000-0000-0000C0070000}"/>
    <cellStyle name="Note 2 9 6 2 7 2" xfId="13575" xr:uid="{28B61CE6-771F-4BF0-BF0E-353583B6AAF5}"/>
    <cellStyle name="Note 2 9 6 2 7 2 2" xfId="36059" xr:uid="{E8C3394B-EC41-4F76-8464-42367D5449CB}"/>
    <cellStyle name="Note 2 9 6 2 7 2 3" xfId="44408" xr:uid="{7A26031D-F271-42DB-8DD4-ADCD995124C7}"/>
    <cellStyle name="Note 2 9 6 2 7 3" xfId="18649" xr:uid="{5245C134-7E15-40C3-A360-34E436CBDA83}"/>
    <cellStyle name="Note 2 9 6 2 7 3 2" xfId="41039" xr:uid="{494C33D4-85DD-40E8-88D2-1132AC31142B}"/>
    <cellStyle name="Note 2 9 6 2 7 3 3" xfId="24272" xr:uid="{F4827B8F-753F-4A3D-B538-91BCC9F7138C}"/>
    <cellStyle name="Note 2 9 6 2 7 4" xfId="23073" xr:uid="{E558B1F5-0388-4837-B415-5A82FB25A2E2}"/>
    <cellStyle name="Note 2 9 6 2 7 4 2" xfId="48541" xr:uid="{2BA9D734-8CAE-49E7-B2C7-92956F1344DE}"/>
    <cellStyle name="Note 2 9 6 2 7 5" xfId="29879" xr:uid="{EB0A4EF0-BA11-4AF3-8245-921377370E4E}"/>
    <cellStyle name="Note 2 9 6 2 8" xfId="7098" xr:uid="{00000000-0005-0000-0000-0000C0070000}"/>
    <cellStyle name="Note 2 9 6 2 8 2" xfId="13934" xr:uid="{DC21D536-9125-4674-94C1-5DBB206B93DD}"/>
    <cellStyle name="Note 2 9 6 2 8 2 2" xfId="36418" xr:uid="{A8A4C459-1D97-4B4F-A0E3-9D6FA052383F}"/>
    <cellStyle name="Note 2 9 6 2 8 2 3" xfId="53280" xr:uid="{F0B61D6D-C896-4C94-96E3-4158628FA0EA}"/>
    <cellStyle name="Note 2 9 6 2 8 3" xfId="19035" xr:uid="{479515CF-3D6E-4DBF-834A-C7D3D59250C5}"/>
    <cellStyle name="Note 2 9 6 2 8 3 2" xfId="41425" xr:uid="{0A3E4FF8-40E9-4A18-8D60-4FBF0A87032B}"/>
    <cellStyle name="Note 2 9 6 2 8 3 3" xfId="30465" xr:uid="{92A19D8A-C4C5-4E13-BADC-401D48D7E981}"/>
    <cellStyle name="Note 2 9 6 2 8 4" xfId="23459" xr:uid="{FDE749F2-26B5-4B27-BE86-81C3DDAAA5D7}"/>
    <cellStyle name="Note 2 9 6 2 8 4 2" xfId="53293" xr:uid="{F829DB0D-3621-44E4-B691-F3F3CA3E7439}"/>
    <cellStyle name="Note 2 9 6 2 8 5" xfId="42942" xr:uid="{FAD49A3F-1022-48DF-BE0C-F48DFE424CB1}"/>
    <cellStyle name="Note 2 9 6 2 9" xfId="7213" xr:uid="{00000000-0005-0000-0000-0000C0070000}"/>
    <cellStyle name="Note 2 9 6 2 9 2" xfId="19150" xr:uid="{C0F47B96-FB92-4E7A-A783-F8DF2268145E}"/>
    <cellStyle name="Note 2 9 6 2 9 2 2" xfId="41540" xr:uid="{6EDFE892-5F7B-42B1-ABE6-25DDE05D7ADA}"/>
    <cellStyle name="Note 2 9 6 2 9 2 3" xfId="26146" xr:uid="{A86AC271-BD2E-44CC-B4E4-1E29F136E160}"/>
    <cellStyle name="Note 2 9 6 2 9 3" xfId="23574" xr:uid="{EF488106-E3BE-440A-8192-B2603A754D15}"/>
    <cellStyle name="Note 2 9 6 2 9 3 2" xfId="29778" xr:uid="{97A78FA2-7928-434C-AEF9-AF588EDFADB4}"/>
    <cellStyle name="Note 2 9 6 2 9 4" xfId="48322" xr:uid="{39F3EA4F-6AF6-48DA-8E26-67753953B533}"/>
    <cellStyle name="Note 2 9 6 3" xfId="5015" xr:uid="{00000000-0005-0000-0000-0000BF070000}"/>
    <cellStyle name="Note 2 9 6 3 2" xfId="11909" xr:uid="{77FB7E1D-78F0-4035-97D9-87E5BA769606}"/>
    <cellStyle name="Note 2 9 6 3 2 2" xfId="34395" xr:uid="{57337D35-EAEE-4C32-837F-7BFD510F2EBC}"/>
    <cellStyle name="Note 2 9 6 3 2 3" xfId="25853" xr:uid="{1B07C7BC-24B6-4614-B283-2AA86E78924D}"/>
    <cellStyle name="Note 2 9 6 3 3" xfId="16952" xr:uid="{186E9F48-7842-44C5-A1FF-1DAAE76B3806}"/>
    <cellStyle name="Note 2 9 6 3 3 2" xfId="39342" xr:uid="{716AF5B4-0EBE-40F2-BFA7-E96B060C2D6C}"/>
    <cellStyle name="Note 2 9 6 3 3 3" xfId="26457" xr:uid="{D34E26E9-AD77-4DBB-8BAE-8604AB5B6496}"/>
    <cellStyle name="Note 2 9 6 3 4" xfId="21376" xr:uid="{072D8E57-946C-4FA0-991F-A13AD4D0DF33}"/>
    <cellStyle name="Note 2 9 6 3 4 2" xfId="49614" xr:uid="{AFE2DAE3-4847-4C35-ADE0-AEDDD69CA62C}"/>
    <cellStyle name="Note 2 9 6 3 5" xfId="51316" xr:uid="{08EE868B-CFF5-4ECE-BA7A-0998B0790CAE}"/>
    <cellStyle name="Note 2 9 6 4" xfId="4842" xr:uid="{00000000-0005-0000-0000-0000BF070000}"/>
    <cellStyle name="Note 2 9 6 4 2" xfId="11738" xr:uid="{2CE209DB-A91E-42EA-A306-A9112AB17DA1}"/>
    <cellStyle name="Note 2 9 6 4 2 2" xfId="34224" xr:uid="{A64EEE30-DE54-4EB8-B693-760E15AC2D25}"/>
    <cellStyle name="Note 2 9 6 4 2 3" xfId="38100" xr:uid="{BCDA5888-376A-4655-BC61-115FA2F84AEF}"/>
    <cellStyle name="Note 2 9 6 4 3" xfId="16779" xr:uid="{1EFEEB30-14F9-4E3D-AECD-D8CF83A9B741}"/>
    <cellStyle name="Note 2 9 6 4 3 2" xfId="39169" xr:uid="{0256E357-C4B8-4C0B-BF0F-A54C2045FA27}"/>
    <cellStyle name="Note 2 9 6 4 3 3" xfId="29014" xr:uid="{7C23949C-316A-44D9-8FF3-2F021A9C10E6}"/>
    <cellStyle name="Note 2 9 6 4 4" xfId="16153" xr:uid="{BF66538A-CDB0-4DB1-8E1F-2EE47CA1D75B}"/>
    <cellStyle name="Note 2 9 6 4 4 2" xfId="29082" xr:uid="{F96D58D3-EF72-4967-9161-BBD8CBF327A6}"/>
    <cellStyle name="Note 2 9 6 4 5" xfId="23821" xr:uid="{1695823B-F234-4F8C-9A5F-A0B84C74C81B}"/>
    <cellStyle name="Note 2 9 6 5" xfId="5101" xr:uid="{00000000-0005-0000-0000-0000BF070000}"/>
    <cellStyle name="Note 2 9 6 5 2" xfId="11994" xr:uid="{3116E67A-BA7E-4638-8D3C-94C11145C61F}"/>
    <cellStyle name="Note 2 9 6 5 2 2" xfId="34480" xr:uid="{B22722D0-5FB4-4C40-8BA3-7D8F268EC9F3}"/>
    <cellStyle name="Note 2 9 6 5 2 3" xfId="29256" xr:uid="{3358AC25-A6AA-41C9-88BD-4FBE15DC6D20}"/>
    <cellStyle name="Note 2 9 6 5 3" xfId="17038" xr:uid="{023519F8-5AEB-409B-83BC-F9638F48128C}"/>
    <cellStyle name="Note 2 9 6 5 3 2" xfId="39428" xr:uid="{2B553C07-3516-4B6E-A718-8B2DDEB5C692}"/>
    <cellStyle name="Note 2 9 6 5 3 3" xfId="43251" xr:uid="{551716D7-A9F6-408F-A64D-164D55084074}"/>
    <cellStyle name="Note 2 9 6 5 4" xfId="21462" xr:uid="{114EE11F-CE05-4C2D-9F33-F498DE1945A7}"/>
    <cellStyle name="Note 2 9 6 5 4 2" xfId="50768" xr:uid="{588FE33B-B582-4674-BD30-66E968027E88}"/>
    <cellStyle name="Note 2 9 6 5 5" xfId="47428" xr:uid="{CE7E5E47-2D82-4D3F-9C05-DA57C1D84947}"/>
    <cellStyle name="Note 2 9 6 6" xfId="5147" xr:uid="{00000000-0005-0000-0000-0000BF070000}"/>
    <cellStyle name="Note 2 9 6 6 2" xfId="12040" xr:uid="{8D3B1D4C-AD67-408E-81B9-092013F0A3A0}"/>
    <cellStyle name="Note 2 9 6 6 2 2" xfId="34526" xr:uid="{E0CE0590-5A1B-40A6-94E6-87CDD743C70F}"/>
    <cellStyle name="Note 2 9 6 6 2 3" xfId="43695" xr:uid="{F4869E17-4AFE-44B0-8D83-9A7640F7C4C7}"/>
    <cellStyle name="Note 2 9 6 6 3" xfId="17084" xr:uid="{D917596C-5F79-47BC-B8FA-EF5510BFD14B}"/>
    <cellStyle name="Note 2 9 6 6 3 2" xfId="39474" xr:uid="{922FEE9D-5706-4E1A-892A-686423FE7F7F}"/>
    <cellStyle name="Note 2 9 6 6 3 3" xfId="27749" xr:uid="{551F4AEE-1CE1-4D41-89C4-0C6FCE9352E5}"/>
    <cellStyle name="Note 2 9 6 6 4" xfId="21508" xr:uid="{9D93A5C4-632E-48A5-9372-7CE649E51E93}"/>
    <cellStyle name="Note 2 9 6 6 4 2" xfId="24101" xr:uid="{300542A2-345B-44A2-821E-6731EFBBF0F2}"/>
    <cellStyle name="Note 2 9 6 6 5" xfId="48741" xr:uid="{3F22007D-F43C-43EF-97DA-28F3E89C6D55}"/>
    <cellStyle name="Note 2 9 6 7" xfId="14197" xr:uid="{864036E9-D50F-415E-9F00-BA7C1D7E3EDA}"/>
    <cellStyle name="Note 2 9 6 7 2" xfId="36672" xr:uid="{4A13737C-E8C7-4F92-83E0-C2260D7E7673}"/>
    <cellStyle name="Note 2 9 6 7 3" xfId="46547" xr:uid="{5B2834BE-2ACE-404F-ABD4-9D950AFDDF54}"/>
    <cellStyle name="Note 2 9 6 8" xfId="21276" xr:uid="{7A695004-3C51-43B5-87DA-A7FFAA481A5F}"/>
    <cellStyle name="Note 2 9 6 8 2" xfId="43511" xr:uid="{85DABAAC-7242-4D02-8448-874582F44397}"/>
    <cellStyle name="Note 2 9 6 8 3" xfId="53929" xr:uid="{C288FC1C-F8B6-4B21-A5F6-9B114DB1F123}"/>
    <cellStyle name="Note 2 9 6 9" xfId="21277" xr:uid="{CFB2EC7B-30A2-404F-805E-B684488CDF0E}"/>
    <cellStyle name="Note 2 9 6 9 2" xfId="51021" xr:uid="{C4FB212D-62D2-4CE7-816A-3CBCD3609070}"/>
    <cellStyle name="Note 2 9 7" xfId="1650" xr:uid="{00000000-0005-0000-0000-0000C3070000}"/>
    <cellStyle name="Note 2 9 7 10" xfId="14364" xr:uid="{3779E091-702B-476B-BC2C-C2027BEE17AB}"/>
    <cellStyle name="Note 2 9 7 10 2" xfId="36832" xr:uid="{72A9FA9D-FDD2-4A29-A94C-49EBFCD6594B}"/>
    <cellStyle name="Note 2 9 7 10 3" xfId="44415" xr:uid="{91979B4B-35BF-4B39-B364-666F15E95C81}"/>
    <cellStyle name="Note 2 9 7 11" xfId="19417" xr:uid="{6101B42C-5FD0-4312-85A0-AD7D0AE72AFE}"/>
    <cellStyle name="Note 2 9 7 11 2" xfId="41789" xr:uid="{6F672C6C-9E81-40D5-88A3-F66DD1A62BD4}"/>
    <cellStyle name="Note 2 9 7 11 3" xfId="43546" xr:uid="{A433D8F4-2A25-4089-8226-C0746EF3F4B3}"/>
    <cellStyle name="Note 2 9 7 12" xfId="16001" xr:uid="{1AFDADCC-0539-43B4-AA91-90528552C2A6}"/>
    <cellStyle name="Note 2 9 7 12 2" xfId="26503" xr:uid="{F826F6B8-8C40-4514-8D8B-6589A34DDB6F}"/>
    <cellStyle name="Note 2 9 7 13" xfId="26571" xr:uid="{A6AC5B04-9F3E-4954-93AF-A0BAA05ACF7F}"/>
    <cellStyle name="Note 2 9 7 2" xfId="3748" xr:uid="{00000000-0005-0000-0000-0000C1070000}"/>
    <cellStyle name="Note 2 9 7 2 2" xfId="10652" xr:uid="{5C85A955-AF73-49CE-8757-6E89752362E6}"/>
    <cellStyle name="Note 2 9 7 2 2 2" xfId="33138" xr:uid="{AC4448D4-021D-4D66-AB39-97800BE4AFF7}"/>
    <cellStyle name="Note 2 9 7 2 2 3" xfId="51032" xr:uid="{8D819BD5-96BE-4345-ABF0-6983ECD5CCCE}"/>
    <cellStyle name="Note 2 9 7 2 3" xfId="15829" xr:uid="{B59160D1-3FD9-4B5A-A226-E18BA6208399}"/>
    <cellStyle name="Note 2 9 7 2 3 2" xfId="38237" xr:uid="{648CC00C-6AC4-443A-89A5-04159A01624F}"/>
    <cellStyle name="Note 2 9 7 2 3 3" xfId="53706" xr:uid="{6CAF9265-C416-4E22-85E5-937FCA3BE2A3}"/>
    <cellStyle name="Note 2 9 7 2 4" xfId="19580" xr:uid="{D2F7631D-E43E-4626-B714-6D7D87C5EB95}"/>
    <cellStyle name="Note 2 9 7 2 4 2" xfId="29821" xr:uid="{477D654D-5D28-4D25-8D9D-40176680A7C3}"/>
    <cellStyle name="Note 2 9 7 2 5" xfId="51288" xr:uid="{9E3A2F4A-C3C1-4E42-A594-149EFE9BE171}"/>
    <cellStyle name="Note 2 9 7 3" xfId="5183" xr:uid="{00000000-0005-0000-0000-0000C1070000}"/>
    <cellStyle name="Note 2 9 7 3 2" xfId="12076" xr:uid="{FCE85089-0F19-4CD6-8A89-6D4DD04DA8CD}"/>
    <cellStyle name="Note 2 9 7 3 2 2" xfId="34562" xr:uid="{CC4635C7-6093-44B2-A190-0B3CA98A6996}"/>
    <cellStyle name="Note 2 9 7 3 2 3" xfId="23904" xr:uid="{FD278875-3357-4535-8B0C-AEB3A2113C2D}"/>
    <cellStyle name="Note 2 9 7 3 3" xfId="17120" xr:uid="{D74B83CB-8C58-42CB-BED1-81DEC274BB7B}"/>
    <cellStyle name="Note 2 9 7 3 3 2" xfId="39510" xr:uid="{ADD23329-B60C-411A-8EC3-B99CAF86D780}"/>
    <cellStyle name="Note 2 9 7 3 3 3" xfId="31971" xr:uid="{1AD3D8CB-1097-4A04-994B-EDD7CE09214B}"/>
    <cellStyle name="Note 2 9 7 3 4" xfId="21544" xr:uid="{F21E896F-FF7B-457A-8708-BAC7598D937B}"/>
    <cellStyle name="Note 2 9 7 3 4 2" xfId="48730" xr:uid="{86EE1B38-619D-4F9D-B95C-8EC92F78E9BC}"/>
    <cellStyle name="Note 2 9 7 3 5" xfId="46932" xr:uid="{8BE45C17-9A44-426E-8BE1-41F1D516E090}"/>
    <cellStyle name="Note 2 9 7 4" xfId="4843" xr:uid="{00000000-0005-0000-0000-0000C1070000}"/>
    <cellStyle name="Note 2 9 7 4 2" xfId="11739" xr:uid="{58A53B37-260E-4EB8-94AD-C8653B404C98}"/>
    <cellStyle name="Note 2 9 7 4 2 2" xfId="34225" xr:uid="{990B6259-393D-43A2-9151-30097227954B}"/>
    <cellStyle name="Note 2 9 7 4 2 3" xfId="24330" xr:uid="{7AFECAB8-3084-4CE9-9B10-700C94DA0C7D}"/>
    <cellStyle name="Note 2 9 7 4 3" xfId="16780" xr:uid="{E116B0F3-417C-4710-8157-E07FF94EC34B}"/>
    <cellStyle name="Note 2 9 7 4 3 2" xfId="39170" xr:uid="{75F85FB8-CD9B-4D4D-B3FA-0D4716033BAB}"/>
    <cellStyle name="Note 2 9 7 4 3 3" xfId="28696" xr:uid="{917521DE-9A38-42A1-A0C6-6FCB3D138075}"/>
    <cellStyle name="Note 2 9 7 4 4" xfId="21011" xr:uid="{3573BC68-3E5C-424A-AD55-72DD2531DE55}"/>
    <cellStyle name="Note 2 9 7 4 4 2" xfId="52281" xr:uid="{547FCF12-4E12-41DD-BCD6-4E79EAB26B16}"/>
    <cellStyle name="Note 2 9 7 4 5" xfId="53885" xr:uid="{74955AEF-9244-444D-94EA-FD451185306D}"/>
    <cellStyle name="Note 2 9 7 5" xfId="4722" xr:uid="{00000000-0005-0000-0000-0000C1070000}"/>
    <cellStyle name="Note 2 9 7 5 2" xfId="11620" xr:uid="{DB4474EF-5B33-4403-8E7F-7D8A202CB4D9}"/>
    <cellStyle name="Note 2 9 7 5 2 2" xfId="34106" xr:uid="{B2DA4B94-9459-40F9-8A2E-2542658738F6}"/>
    <cellStyle name="Note 2 9 7 5 2 3" xfId="44605" xr:uid="{E3A05A49-626C-4154-9BA4-314E63CF8EF2}"/>
    <cellStyle name="Note 2 9 7 5 3" xfId="16659" xr:uid="{BDB452D0-1540-4238-AD1C-59B6159C3D74}"/>
    <cellStyle name="Note 2 9 7 5 3 2" xfId="39049" xr:uid="{94191545-34CD-41E6-ADE2-73054E283A6D}"/>
    <cellStyle name="Note 2 9 7 5 3 3" xfId="37650" xr:uid="{1496B5B9-A6CE-4642-A197-0CDADC4F4E1A}"/>
    <cellStyle name="Note 2 9 7 5 4" xfId="19621" xr:uid="{46CE65D7-E87D-44D8-8ABB-C17C57528265}"/>
    <cellStyle name="Note 2 9 7 5 4 2" xfId="30301" xr:uid="{FD36D777-CD07-44AD-A8F8-644CE3A1104F}"/>
    <cellStyle name="Note 2 9 7 5 5" xfId="45233" xr:uid="{16598F29-642A-4FA0-A2AD-318B35A5B77D}"/>
    <cellStyle name="Note 2 9 7 6" xfId="5575" xr:uid="{00000000-0005-0000-0000-0000C1070000}"/>
    <cellStyle name="Note 2 9 7 6 2" xfId="12460" xr:uid="{895573E2-D1B0-4A5C-A37C-6B8F60DD5B6D}"/>
    <cellStyle name="Note 2 9 7 6 2 2" xfId="34945" xr:uid="{D50E4A6B-3773-4F45-BE10-F9F05947BA2E}"/>
    <cellStyle name="Note 2 9 7 6 2 3" xfId="45686" xr:uid="{959485D1-6C5A-4240-947C-553ECFD3F024}"/>
    <cellStyle name="Note 2 9 7 6 3" xfId="17512" xr:uid="{14DD7EDE-8822-4775-987C-B0D8ACF01E4D}"/>
    <cellStyle name="Note 2 9 7 6 3 2" xfId="39902" xr:uid="{2FD0FF96-4BB4-42E4-A4E0-9A32CCE508FE}"/>
    <cellStyle name="Note 2 9 7 6 3 3" xfId="45397" xr:uid="{B3B95C30-F89E-41A5-A8E6-763057675234}"/>
    <cellStyle name="Note 2 9 7 6 4" xfId="21936" xr:uid="{71ABBC4E-F05C-4028-AD29-6755815D62E9}"/>
    <cellStyle name="Note 2 9 7 6 4 2" xfId="25662" xr:uid="{49AFA08C-F6B0-47FE-ABB8-1D7414D4B466}"/>
    <cellStyle name="Note 2 9 7 6 5" xfId="50115" xr:uid="{0C2059F0-16F4-4980-A5E8-F59EA1DF5BCD}"/>
    <cellStyle name="Note 2 9 7 7" xfId="6881" xr:uid="{00000000-0005-0000-0000-0000C1070000}"/>
    <cellStyle name="Note 2 9 7 7 2" xfId="13720" xr:uid="{0F7E6E31-A79D-4E23-BAA5-F2A92304D84C}"/>
    <cellStyle name="Note 2 9 7 7 2 2" xfId="36204" xr:uid="{3DEACEA9-B6B5-4FBC-9873-701BD1C3B1D3}"/>
    <cellStyle name="Note 2 9 7 7 2 3" xfId="46120" xr:uid="{BBF5B845-EA4E-4505-A7CD-7F0D029DBA24}"/>
    <cellStyle name="Note 2 9 7 7 3" xfId="18818" xr:uid="{F6860D84-9B6F-4F21-9D2C-70C317D7BB48}"/>
    <cellStyle name="Note 2 9 7 7 3 2" xfId="41208" xr:uid="{2C19EA52-3C70-485F-A6B7-763DD4899760}"/>
    <cellStyle name="Note 2 9 7 7 3 3" xfId="24074" xr:uid="{7EF280E2-84CB-4E8E-AC8C-E7787DFFC534}"/>
    <cellStyle name="Note 2 9 7 7 4" xfId="23242" xr:uid="{01424BF1-2F68-496E-8655-7A5AFCB37C39}"/>
    <cellStyle name="Note 2 9 7 7 4 2" xfId="53787" xr:uid="{0AB785E0-1768-418A-890B-2C1F7AF7329B}"/>
    <cellStyle name="Note 2 9 7 7 5" xfId="48782" xr:uid="{DA7A4A79-7AD0-46D0-98BF-9B7B623C2507}"/>
    <cellStyle name="Note 2 9 7 8" xfId="5901" xr:uid="{00000000-0005-0000-0000-0000C1070000}"/>
    <cellStyle name="Note 2 9 7 8 2" xfId="12783" xr:uid="{22F20DB4-B536-4D1B-851C-7A4E719820A0}"/>
    <cellStyle name="Note 2 9 7 8 2 2" xfId="35267" xr:uid="{504C6AAA-A88E-4429-B61C-2909CE0BB571}"/>
    <cellStyle name="Note 2 9 7 8 2 3" xfId="28347" xr:uid="{0D01C618-231B-4111-8E0E-493EF06555E4}"/>
    <cellStyle name="Note 2 9 7 8 3" xfId="17838" xr:uid="{516684E4-637C-4A98-A2B4-0D4621FD23C9}"/>
    <cellStyle name="Note 2 9 7 8 3 2" xfId="40228" xr:uid="{609368C0-69E1-4811-A77C-3391B00441D6}"/>
    <cellStyle name="Note 2 9 7 8 3 3" xfId="24635" xr:uid="{C674B750-C1D1-4515-B0CC-0B229CE08C3F}"/>
    <cellStyle name="Note 2 9 7 8 4" xfId="22262" xr:uid="{B426EA75-B414-4520-B725-76C082C5DF33}"/>
    <cellStyle name="Note 2 9 7 8 4 2" xfId="46959" xr:uid="{158B0310-4AFA-4413-AD78-8C49E9B725C4}"/>
    <cellStyle name="Note 2 9 7 8 5" xfId="27359" xr:uid="{014B0491-42F6-40E1-A901-7DE34B1D27CD}"/>
    <cellStyle name="Note 2 9 7 9" xfId="6557" xr:uid="{00000000-0005-0000-0000-0000C1070000}"/>
    <cellStyle name="Note 2 9 7 9 2" xfId="18494" xr:uid="{0D880E98-1E4C-48D3-9A1A-3475D4679173}"/>
    <cellStyle name="Note 2 9 7 9 2 2" xfId="40884" xr:uid="{571FB76A-436B-4E32-9504-A091EA190B8A}"/>
    <cellStyle name="Note 2 9 7 9 2 3" xfId="28260" xr:uid="{D61E147E-97B8-41AF-A95E-9CA0A1D8D21D}"/>
    <cellStyle name="Note 2 9 7 9 3" xfId="22918" xr:uid="{B72AB943-4632-4518-A556-A8381F365F91}"/>
    <cellStyle name="Note 2 9 7 9 3 2" xfId="52421" xr:uid="{88D856E5-E036-4348-9429-77B6B17E45EB}"/>
    <cellStyle name="Note 2 9 7 9 4" xfId="28557" xr:uid="{15E55DE5-6567-407F-8507-5A8A3AEB72D1}"/>
    <cellStyle name="Note 2 9 8" xfId="4428" xr:uid="{00000000-0005-0000-0000-0000B6070000}"/>
    <cellStyle name="Note 2 9 8 2" xfId="11330" xr:uid="{4721CDB1-1AD1-4498-A8F3-256079A52B8A}"/>
    <cellStyle name="Note 2 9 8 2 2" xfId="33816" xr:uid="{48372956-0F9D-475A-8045-7F7391D3A3FA}"/>
    <cellStyle name="Note 2 9 8 2 3" xfId="43637" xr:uid="{76A219BB-88D4-4B90-B564-6F851F033E4E}"/>
    <cellStyle name="Note 2 9 8 3" xfId="16365" xr:uid="{C23D499C-034C-4D60-8D30-AE86DE7D0BF7}"/>
    <cellStyle name="Note 2 9 8 3 2" xfId="38755" xr:uid="{2FE54CA3-6DDD-4355-8814-C0B44107FD7C}"/>
    <cellStyle name="Note 2 9 8 3 3" xfId="25782" xr:uid="{AF9BDCE6-BC5C-4201-9754-EF77317467CB}"/>
    <cellStyle name="Note 2 9 8 4" xfId="14177" xr:uid="{4760E264-D82A-470A-90DD-2876B83FFF2F}"/>
    <cellStyle name="Note 2 9 8 4 2" xfId="45081" xr:uid="{40DE10A5-1186-4F14-BEC8-7D88D251E90F}"/>
    <cellStyle name="Note 2 9 8 5" xfId="49491" xr:uid="{D8FAF5DF-EA58-4511-AD9A-ECB569C9C66A}"/>
    <cellStyle name="Note 2 9 9" xfId="5993" xr:uid="{00000000-0005-0000-0000-0000B6070000}"/>
    <cellStyle name="Note 2 9 9 2" xfId="12874" xr:uid="{6DCE99A7-40D8-4EA0-9820-AA7614B2E56F}"/>
    <cellStyle name="Note 2 9 9 2 2" xfId="35358" xr:uid="{11A74AEE-89CD-4AFF-9C37-955D9618FB1C}"/>
    <cellStyle name="Note 2 9 9 2 3" xfId="46972" xr:uid="{23760E42-D335-46E4-A40C-56C35EB3247D}"/>
    <cellStyle name="Note 2 9 9 3" xfId="17930" xr:uid="{7363DBED-1E5C-42D5-8549-5CA06BECEC9A}"/>
    <cellStyle name="Note 2 9 9 3 2" xfId="40320" xr:uid="{32DCA0CE-47A2-497F-8979-A2DCB51BF2A0}"/>
    <cellStyle name="Note 2 9 9 3 3" xfId="23939" xr:uid="{A504CA19-C2A0-4518-8D97-7271B3BDF23E}"/>
    <cellStyle name="Note 2 9 9 4" xfId="22354" xr:uid="{D9146341-CB24-49F5-B6D3-1EE1475E342F}"/>
    <cellStyle name="Note 2 9 9 4 2" xfId="53063" xr:uid="{F7E1CE6F-2FA2-46E0-8478-3F41AFD4399E}"/>
    <cellStyle name="Note 2 9 9 5" xfId="51587" xr:uid="{C6BF539E-ECEB-4EC5-A3A3-744159C0EF5A}"/>
    <cellStyle name="Output 2" xfId="83" xr:uid="{00000000-0005-0000-0000-0000C4070000}"/>
    <cellStyle name="Output 2 10" xfId="294" xr:uid="{00000000-0005-0000-0000-0000C5070000}"/>
    <cellStyle name="Output 2 10 10" xfId="19863" xr:uid="{E544881B-3BC1-4711-9A28-A6A7944794D6}"/>
    <cellStyle name="Output 2 10 10 2" xfId="25981" xr:uid="{306A91CF-3B99-44A5-97BD-BE823094B9F5}"/>
    <cellStyle name="Output 2 10 11" xfId="48916" xr:uid="{4AA10EAA-A1E5-47B7-A47D-A825C3566644}"/>
    <cellStyle name="Output 2 10 2" xfId="1579" xr:uid="{00000000-0005-0000-0000-0000C6070000}"/>
    <cellStyle name="Output 2 10 2 10" xfId="14316" xr:uid="{F6B72E8C-BBE9-4561-96AD-795B78AB2B95}"/>
    <cellStyle name="Output 2 10 2 10 2" xfId="36785" xr:uid="{EAD3C431-8315-40C4-8560-9E8D4B9D97FF}"/>
    <cellStyle name="Output 2 10 2 10 3" xfId="53204" xr:uid="{A6DE7CC7-8E21-4CF7-9E18-857C1A2D53D9}"/>
    <cellStyle name="Output 2 10 2 11" xfId="20798" xr:uid="{685AC423-EA20-4C59-8AB1-DA6BD03D2B6B}"/>
    <cellStyle name="Output 2 10 2 11 2" xfId="43064" xr:uid="{C1F0913A-CFB5-4E4D-B130-9ECF3776D2D4}"/>
    <cellStyle name="Output 2 10 2 11 3" xfId="48714" xr:uid="{88292103-2C16-4507-84D4-10570429615B}"/>
    <cellStyle name="Output 2 10 2 12" xfId="15774" xr:uid="{D5C915EB-9B6B-4AE3-B904-CB90F5E8A7BE}"/>
    <cellStyle name="Output 2 10 2 12 2" xfId="53516" xr:uid="{5AE9BB80-ABB3-4A20-A496-7282E169DDEE}"/>
    <cellStyle name="Output 2 10 2 13" xfId="52475" xr:uid="{8FF8B741-77F8-47DE-B56D-FEE6A46B56A8}"/>
    <cellStyle name="Output 2 10 2 2" xfId="3680" xr:uid="{00000000-0005-0000-0000-0000C4070000}"/>
    <cellStyle name="Output 2 10 2 2 2" xfId="10584" xr:uid="{67E76C49-F4BF-439A-90E4-6986FC543B43}"/>
    <cellStyle name="Output 2 10 2 2 2 2" xfId="33070" xr:uid="{3C435B97-092C-4705-9007-C6797973E89E}"/>
    <cellStyle name="Output 2 10 2 2 2 3" xfId="25392" xr:uid="{B7BF20B4-E2D6-4BC9-9E90-3B868097333F}"/>
    <cellStyle name="Output 2 10 2 2 3" xfId="15785" xr:uid="{658E80FE-C1D0-4533-8A15-94DAFFD229C3}"/>
    <cellStyle name="Output 2 10 2 2 3 2" xfId="38195" xr:uid="{E2F1031A-B411-46DB-8B03-859685127B3F}"/>
    <cellStyle name="Output 2 10 2 2 3 3" xfId="43784" xr:uid="{E828A219-4B27-4CC0-AAEC-842575DE72C8}"/>
    <cellStyle name="Output 2 10 2 2 4" xfId="20813" xr:uid="{00EAB0A0-9F4E-4CB6-883A-C3FF5CE3AE2A}"/>
    <cellStyle name="Output 2 10 2 2 4 2" xfId="43079" xr:uid="{81FC2C46-3BC4-4054-BC7B-735177C43C14}"/>
    <cellStyle name="Output 2 10 2 2 4 3" xfId="50743" xr:uid="{204AE4CE-B81B-4DCB-B867-B5E5D12564BB}"/>
    <cellStyle name="Output 2 10 2 2 5" xfId="20807" xr:uid="{93A9563B-FD7B-4A1A-978E-7897732A5C56}"/>
    <cellStyle name="Output 2 10 2 2 5 2" xfId="30812" xr:uid="{69CFC26F-D968-4F53-A237-1EF925867A71}"/>
    <cellStyle name="Output 2 10 2 2 6" xfId="52581" xr:uid="{6B068253-1954-4899-B75B-0EE4D8BE927E}"/>
    <cellStyle name="Output 2 10 2 3" xfId="5131" xr:uid="{00000000-0005-0000-0000-0000C4070000}"/>
    <cellStyle name="Output 2 10 2 3 2" xfId="12024" xr:uid="{0212C1DF-C90F-4C74-A464-5707F52ED972}"/>
    <cellStyle name="Output 2 10 2 3 2 2" xfId="34510" xr:uid="{DF2ED781-234E-4FE9-876C-BE7718DDDFEF}"/>
    <cellStyle name="Output 2 10 2 3 2 3" xfId="45604" xr:uid="{2AF854A7-E5AE-4307-8C1D-159FCACC8902}"/>
    <cellStyle name="Output 2 10 2 3 3" xfId="17068" xr:uid="{D60B914F-335C-4CEC-9C38-E6C89E80DA65}"/>
    <cellStyle name="Output 2 10 2 3 3 2" xfId="39458" xr:uid="{E52B9037-C571-49C4-9BB4-2A1B74EF1D8E}"/>
    <cellStyle name="Output 2 10 2 3 3 3" xfId="44106" xr:uid="{A5F3462A-0868-40E9-A34F-0ED84ED556EB}"/>
    <cellStyle name="Output 2 10 2 3 4" xfId="13551" xr:uid="{0A8E69D3-7082-4E22-B7E0-0CB15B885326}"/>
    <cellStyle name="Output 2 10 2 3 4 2" xfId="36035" xr:uid="{044DBFBA-D2A5-4350-B305-F9D154184C6F}"/>
    <cellStyle name="Output 2 10 2 3 4 3" xfId="46904" xr:uid="{4502CA27-F6F8-4897-857C-7C553E37228E}"/>
    <cellStyle name="Output 2 10 2 3 5" xfId="21492" xr:uid="{D9301AD6-0DC0-4F02-8AEC-A3C9E04F98E7}"/>
    <cellStyle name="Output 2 10 2 3 5 2" xfId="44048" xr:uid="{89123517-CC0C-4B9E-8A5D-443FEA1E5239}"/>
    <cellStyle name="Output 2 10 2 3 6" xfId="53714" xr:uid="{810AEF7F-42CF-4322-8ECE-CDC0C188A968}"/>
    <cellStyle name="Output 2 10 2 4" xfId="3132" xr:uid="{00000000-0005-0000-0000-0000C4070000}"/>
    <cellStyle name="Output 2 10 2 4 2" xfId="10041" xr:uid="{1C4EF95D-A1DF-4740-AC49-B41FB777D38D}"/>
    <cellStyle name="Output 2 10 2 4 2 2" xfId="32548" xr:uid="{18D359FE-DEA1-42FE-A2A6-274B73F51898}"/>
    <cellStyle name="Output 2 10 2 4 2 3" xfId="47460" xr:uid="{1806117A-16FA-49D1-A00C-BE916E78B3A3}"/>
    <cellStyle name="Output 2 10 2 4 3" xfId="15419" xr:uid="{3C882F37-B879-4F48-B7B0-03A5BE6E68D1}"/>
    <cellStyle name="Output 2 10 2 4 3 2" xfId="37845" xr:uid="{A2DA28DA-0677-4F71-8BDD-BB922C1B827D}"/>
    <cellStyle name="Output 2 10 2 4 3 3" xfId="26564" xr:uid="{3F4CCC30-FB60-4C5A-9590-D2FC16B48DE2}"/>
    <cellStyle name="Output 2 10 2 4 4" xfId="19846" xr:uid="{9B208FBC-760C-4DBD-8CA0-95DC46F7B093}"/>
    <cellStyle name="Output 2 10 2 4 4 2" xfId="42181" xr:uid="{4BCA519E-E38A-4EAE-B8C4-3E677F217EAA}"/>
    <cellStyle name="Output 2 10 2 4 4 3" xfId="44483" xr:uid="{B71CCAE9-C8FE-4FF3-9153-7E9D1A6E074D}"/>
    <cellStyle name="Output 2 10 2 4 5" xfId="20888" xr:uid="{4BDCBD21-6648-4977-95A9-F5EA39DC5495}"/>
    <cellStyle name="Output 2 10 2 4 5 2" xfId="49058" xr:uid="{7AA526B2-EAB3-4E5D-A91C-A348E2442817}"/>
    <cellStyle name="Output 2 10 2 4 6" xfId="27815" xr:uid="{3A8AB77D-26F5-425F-84BA-528E9CE1DF62}"/>
    <cellStyle name="Output 2 10 2 5" xfId="4824" xr:uid="{00000000-0005-0000-0000-0000C4070000}"/>
    <cellStyle name="Output 2 10 2 5 2" xfId="11721" xr:uid="{5B436783-5CCF-466A-9A18-86759CDE6DAB}"/>
    <cellStyle name="Output 2 10 2 5 2 2" xfId="34207" xr:uid="{5E16DDE1-0F88-4E9A-A88F-03A84E4DC325}"/>
    <cellStyle name="Output 2 10 2 5 2 3" xfId="28399" xr:uid="{78883265-95E1-4976-A18C-1F9FC5D7ED54}"/>
    <cellStyle name="Output 2 10 2 5 3" xfId="16761" xr:uid="{8DFC1C0A-210D-4AB8-AE5F-D6F4286D9500}"/>
    <cellStyle name="Output 2 10 2 5 3 2" xfId="39151" xr:uid="{BD58CF83-82CA-474A-ADC4-E24D6BB6B082}"/>
    <cellStyle name="Output 2 10 2 5 3 3" xfId="28933" xr:uid="{002EA470-7FE5-4E42-B1DF-82E6DCC93FDC}"/>
    <cellStyle name="Output 2 10 2 5 4" xfId="19251" xr:uid="{ED891E26-EF69-4C35-AA75-921147ED3C8D}"/>
    <cellStyle name="Output 2 10 2 5 4 2" xfId="41634" xr:uid="{69525079-6415-4420-B004-63E8700F2ED3}"/>
    <cellStyle name="Output 2 10 2 5 4 3" xfId="23735" xr:uid="{F532AF1F-8AD2-47F0-9B0B-2141B4736B66}"/>
    <cellStyle name="Output 2 10 2 5 5" xfId="7256" xr:uid="{19416248-08ED-46B3-AD71-D281F3D20D45}"/>
    <cellStyle name="Output 2 10 2 5 5 2" xfId="24502" xr:uid="{5DB3168D-DA74-4EAB-A491-8CE4338A9225}"/>
    <cellStyle name="Output 2 10 2 5 6" xfId="28471" xr:uid="{3A3BCAC8-3B83-4D37-A379-CD9372569D72}"/>
    <cellStyle name="Output 2 10 2 6" xfId="5421" xr:uid="{00000000-0005-0000-0000-0000C4070000}"/>
    <cellStyle name="Output 2 10 2 6 2" xfId="12311" xr:uid="{3647918C-251E-4397-82E2-9D4C0790D8CA}"/>
    <cellStyle name="Output 2 10 2 6 2 2" xfId="34796" xr:uid="{655749D9-26FB-4DEB-86F4-035389176592}"/>
    <cellStyle name="Output 2 10 2 6 2 3" xfId="24300" xr:uid="{4A824CDA-EA13-488B-9D99-806F1F9A349D}"/>
    <cellStyle name="Output 2 10 2 6 3" xfId="17358" xr:uid="{BAD0EC58-79DF-4A81-80DA-F3F45A81F086}"/>
    <cellStyle name="Output 2 10 2 6 3 2" xfId="39748" xr:uid="{95800C28-AA07-4E27-B34B-CBA991A4DFC9}"/>
    <cellStyle name="Output 2 10 2 6 3 3" xfId="42466" xr:uid="{815D3A0D-6E20-4682-AA63-84E101296D27}"/>
    <cellStyle name="Output 2 10 2 6 4" xfId="14680" xr:uid="{3F19AB58-2138-4098-8D93-A3890AE6D77B}"/>
    <cellStyle name="Output 2 10 2 6 4 2" xfId="37140" xr:uid="{777E857D-EBD2-48A6-A61C-1B75C06D22C4}"/>
    <cellStyle name="Output 2 10 2 6 4 3" xfId="45080" xr:uid="{3767AED0-98E3-47F1-AECE-DD9741F7C8D6}"/>
    <cellStyle name="Output 2 10 2 6 5" xfId="21782" xr:uid="{CE52D658-5009-407F-9607-BF82BCCEBF2C}"/>
    <cellStyle name="Output 2 10 2 6 5 2" xfId="52357" xr:uid="{D86C1A64-D67A-409D-B82B-ABBAD65CE501}"/>
    <cellStyle name="Output 2 10 2 6 6" xfId="48577" xr:uid="{25A9A64E-AB0E-4068-B326-9C33A7677940}"/>
    <cellStyle name="Output 2 10 2 7" xfId="4981" xr:uid="{00000000-0005-0000-0000-0000C4070000}"/>
    <cellStyle name="Output 2 10 2 7 2" xfId="11876" xr:uid="{6C7DAC97-FF43-43B8-BE85-76D5413E1A77}"/>
    <cellStyle name="Output 2 10 2 7 2 2" xfId="34362" xr:uid="{AE75B1D7-1A44-4A4B-9FC6-F6402E751989}"/>
    <cellStyle name="Output 2 10 2 7 2 3" xfId="45254" xr:uid="{CFB17B9D-325A-4383-85EA-B5B44829B54F}"/>
    <cellStyle name="Output 2 10 2 7 3" xfId="16918" xr:uid="{EF924E41-6CC0-4F5C-9751-FB3389EA772F}"/>
    <cellStyle name="Output 2 10 2 7 3 2" xfId="39308" xr:uid="{191D37DC-E889-44C5-ABED-2DBD0FCE7D18}"/>
    <cellStyle name="Output 2 10 2 7 3 3" xfId="25913" xr:uid="{967907E2-A9E4-44A4-A09B-DB23AF0BD689}"/>
    <cellStyle name="Output 2 10 2 7 4" xfId="8812" xr:uid="{6D88F2AF-6165-474B-B618-AD5C2AA5AF62}"/>
    <cellStyle name="Output 2 10 2 7 4 2" xfId="31393" xr:uid="{B1500BAE-6695-430C-B15D-257E935F5E98}"/>
    <cellStyle name="Output 2 10 2 7 4 3" xfId="46596" xr:uid="{522BACC5-F14F-4745-9A56-F3E417F7F36E}"/>
    <cellStyle name="Output 2 10 2 7 5" xfId="21342" xr:uid="{72BA37B2-5896-4743-A615-6189E12B7168}"/>
    <cellStyle name="Output 2 10 2 7 5 2" xfId="50176" xr:uid="{8BD9575E-C064-4078-9438-4793427E332E}"/>
    <cellStyle name="Output 2 10 2 7 6" xfId="48033" xr:uid="{90899ED3-A317-4F79-9A3C-980947F8C924}"/>
    <cellStyle name="Output 2 10 2 8" xfId="5142" xr:uid="{00000000-0005-0000-0000-0000C4070000}"/>
    <cellStyle name="Output 2 10 2 8 2" xfId="12035" xr:uid="{54AD27D1-D116-42C5-9610-2D88AD905315}"/>
    <cellStyle name="Output 2 10 2 8 2 2" xfId="34521" xr:uid="{85568E74-948C-4333-B239-72BF983590DE}"/>
    <cellStyle name="Output 2 10 2 8 2 3" xfId="27935" xr:uid="{267D5B59-28E3-4193-A71C-9880CBD0E998}"/>
    <cellStyle name="Output 2 10 2 8 3" xfId="17079" xr:uid="{BE5EBE34-E90D-4069-8558-4B8687588B11}"/>
    <cellStyle name="Output 2 10 2 8 3 2" xfId="39469" xr:uid="{80CDBB09-8E4B-4BBC-986B-AB17242C8A05}"/>
    <cellStyle name="Output 2 10 2 8 3 3" xfId="28906" xr:uid="{F9544B40-8D2D-4731-A452-E891729202E3}"/>
    <cellStyle name="Output 2 10 2 8 4" xfId="8738" xr:uid="{92E86DCA-A217-4466-A908-F94B4063429A}"/>
    <cellStyle name="Output 2 10 2 8 4 2" xfId="31321" xr:uid="{67964581-5198-4075-A1CA-30FA3D83ABB6}"/>
    <cellStyle name="Output 2 10 2 8 4 3" xfId="29134" xr:uid="{B9DA846E-D367-4EC7-ADC1-72F72E6DC9B4}"/>
    <cellStyle name="Output 2 10 2 8 5" xfId="21503" xr:uid="{D2C271ED-F6C2-4862-B068-0A93DB0359CE}"/>
    <cellStyle name="Output 2 10 2 8 5 2" xfId="46215" xr:uid="{FEA4FB48-41B2-4CAA-AC9D-E91F9BA3C424}"/>
    <cellStyle name="Output 2 10 2 8 6" xfId="47904" xr:uid="{25DEF500-0947-4661-9155-E8690A22CEBC}"/>
    <cellStyle name="Output 2 10 2 9" xfId="6434" xr:uid="{00000000-0005-0000-0000-0000C4070000}"/>
    <cellStyle name="Output 2 10 2 9 2" xfId="18371" xr:uid="{9BB35081-0AE6-4D71-B044-4F31F40067E8}"/>
    <cellStyle name="Output 2 10 2 9 2 2" xfId="40761" xr:uid="{F4B1FEB7-D9BB-402A-A133-73853F3EBEA7}"/>
    <cellStyle name="Output 2 10 2 9 2 3" xfId="44928" xr:uid="{F78BF1EE-ADB9-4A0B-B168-F9C432A59C11}"/>
    <cellStyle name="Output 2 10 2 9 3" xfId="20611" xr:uid="{17FC0FB7-CCD4-49F8-A8F3-AB0EE19A86B5}"/>
    <cellStyle name="Output 2 10 2 9 3 2" xfId="42892" xr:uid="{6AD5DD1A-0982-40FB-B102-EE31E25C43BF}"/>
    <cellStyle name="Output 2 10 2 9 3 3" xfId="44940" xr:uid="{ADA12843-274D-4964-B4BF-E08B8A24264E}"/>
    <cellStyle name="Output 2 10 2 9 4" xfId="22795" xr:uid="{7EBFD10B-CC7A-4DD5-9D89-311B147C0B63}"/>
    <cellStyle name="Output 2 10 2 9 4 2" xfId="29902" xr:uid="{A0C0B589-5A40-4A78-98BA-81721D0F993D}"/>
    <cellStyle name="Output 2 10 2 9 5" xfId="50623" xr:uid="{A2371C49-82AD-45A6-99A1-F94FF293FA68}"/>
    <cellStyle name="Output 2 10 3" xfId="2458" xr:uid="{00000000-0005-0000-0000-0000C3070000}"/>
    <cellStyle name="Output 2 10 3 2" xfId="9367" xr:uid="{1DB81C7F-9135-4382-BFC0-BE709F4843D3}"/>
    <cellStyle name="Output 2 10 3 2 2" xfId="31932" xr:uid="{ABAB694D-C73B-483E-AEAD-171174CBE7C3}"/>
    <cellStyle name="Output 2 10 3 2 3" xfId="44635" xr:uid="{741C9284-4804-4F36-8806-CF33AA842065}"/>
    <cellStyle name="Output 2 10 3 3" xfId="14983" xr:uid="{AF1253B6-D3BD-4BA5-9924-79BC8AB6BFB9}"/>
    <cellStyle name="Output 2 10 3 3 2" xfId="37434" xr:uid="{12EFACF7-4F5A-41D5-B0BA-B694403FBA05}"/>
    <cellStyle name="Output 2 10 3 3 3" xfId="30152" xr:uid="{174BCDDF-CEDE-42DE-B3FE-BBFB5B642534}"/>
    <cellStyle name="Output 2 10 3 4" xfId="20651" xr:uid="{B9FA1EA7-9C71-4347-B929-D9A9502AE451}"/>
    <cellStyle name="Output 2 10 3 4 2" xfId="42929" xr:uid="{406535C3-AF2B-43B4-9BDF-B7600FA8E7A7}"/>
    <cellStyle name="Output 2 10 3 4 3" xfId="46479" xr:uid="{DC1B6176-AF6B-465A-BEF3-AEA19D62479D}"/>
    <cellStyle name="Output 2 10 3 5" xfId="19974" xr:uid="{B202A33F-D82A-49AD-8C12-C09885A834C8}"/>
    <cellStyle name="Output 2 10 3 5 2" xfId="42461" xr:uid="{8E2AB755-FDBC-4475-9CE4-C4FE2F32F9F3}"/>
    <cellStyle name="Output 2 10 3 6" xfId="52006" xr:uid="{4FF2399F-2B8D-42E2-97DF-C852B6E1389A}"/>
    <cellStyle name="Output 2 10 4" xfId="4330" xr:uid="{00000000-0005-0000-0000-0000C3070000}"/>
    <cellStyle name="Output 2 10 4 2" xfId="11234" xr:uid="{14D4E852-31AB-41AE-AED9-86C235219DE1}"/>
    <cellStyle name="Output 2 10 4 2 2" xfId="33720" xr:uid="{EA6D0056-29DD-47B3-A25F-22E6553214B1}"/>
    <cellStyle name="Output 2 10 4 2 3" xfId="28175" xr:uid="{3866238B-FC44-4E92-BA98-3C57169F88B7}"/>
    <cellStyle name="Output 2 10 4 3" xfId="16274" xr:uid="{8D20DC95-3D9F-4ED7-8561-A796827970DA}"/>
    <cellStyle name="Output 2 10 4 3 2" xfId="38665" xr:uid="{6DBEEF69-2736-4FD0-9CE7-3B2F99215237}"/>
    <cellStyle name="Output 2 10 4 3 3" xfId="28110" xr:uid="{B0412BE7-F6FC-4DAF-956E-586C2AE0E1B9}"/>
    <cellStyle name="Output 2 10 4 4" xfId="19737" xr:uid="{FBD61AE5-6D4C-4DF4-BE88-E81A3D0BB699}"/>
    <cellStyle name="Output 2 10 4 4 2" xfId="42081" xr:uid="{054F3B06-AA69-40C2-A4BD-D1B17FCED3B9}"/>
    <cellStyle name="Output 2 10 4 4 3" xfId="24707" xr:uid="{9D7A80E9-BF64-4950-9089-E398443BDCE2}"/>
    <cellStyle name="Output 2 10 4 5" xfId="19684" xr:uid="{C1DC66CE-4415-4E23-AAC2-1D52DA4863CE}"/>
    <cellStyle name="Output 2 10 4 5 2" xfId="29352" xr:uid="{6D908056-CF42-4B57-AF9B-720414531C53}"/>
    <cellStyle name="Output 2 10 4 6" xfId="25702" xr:uid="{A2C5F699-9E26-438A-A232-CDE20DA4ED66}"/>
    <cellStyle name="Output 2 10 5" xfId="4394" xr:uid="{00000000-0005-0000-0000-0000C3070000}"/>
    <cellStyle name="Output 2 10 5 2" xfId="11296" xr:uid="{70093AB1-8D00-4080-A564-39467DDE26F8}"/>
    <cellStyle name="Output 2 10 5 2 2" xfId="33782" xr:uid="{87D9F591-A00C-40AC-A8BF-6866EF90ADA9}"/>
    <cellStyle name="Output 2 10 5 2 3" xfId="45511" xr:uid="{4CEE3497-3422-45B4-8531-F785C019A0D4}"/>
    <cellStyle name="Output 2 10 5 3" xfId="16331" xr:uid="{6923D3B1-FE7D-4E19-B881-56781A4D6458}"/>
    <cellStyle name="Output 2 10 5 3 2" xfId="38721" xr:uid="{57970D33-07E0-42C1-BCCB-950AB6F4E88D}"/>
    <cellStyle name="Output 2 10 5 3 3" xfId="44797" xr:uid="{715D3293-E496-461D-A177-C75F97FCB268}"/>
    <cellStyle name="Output 2 10 5 4" xfId="19833" xr:uid="{93862FA9-FBFA-430C-B7B6-66E54B14E303}"/>
    <cellStyle name="Output 2 10 5 4 2" xfId="42169" xr:uid="{6B1CD735-2B3C-40A1-B82F-74434FFC7F62}"/>
    <cellStyle name="Output 2 10 5 4 3" xfId="42848" xr:uid="{2D561B89-72E4-4167-98F1-4B34578C4781}"/>
    <cellStyle name="Output 2 10 5 5" xfId="19524" xr:uid="{A637C698-BD5E-4097-A8E5-A01BFBE5AD6F}"/>
    <cellStyle name="Output 2 10 5 5 2" xfId="29875" xr:uid="{99023057-1158-4B6C-B49F-0A89D532E16F}"/>
    <cellStyle name="Output 2 10 5 6" xfId="49242" xr:uid="{C0713B8F-7A92-4471-8AF1-C3A1F3412FC9}"/>
    <cellStyle name="Output 2 10 6" xfId="6184" xr:uid="{00000000-0005-0000-0000-0000C3070000}"/>
    <cellStyle name="Output 2 10 6 2" xfId="13059" xr:uid="{B156205D-4DF5-460B-96F7-FCF19207507B}"/>
    <cellStyle name="Output 2 10 6 2 2" xfId="35543" xr:uid="{BF8F0399-811C-4D65-87F8-0C67657806EC}"/>
    <cellStyle name="Output 2 10 6 2 3" xfId="45550" xr:uid="{D5D43CF6-8344-4E73-A461-FA9AB6C034F1}"/>
    <cellStyle name="Output 2 10 6 3" xfId="18121" xr:uid="{71E47974-49A8-45DF-AC5F-7541CE948B15}"/>
    <cellStyle name="Output 2 10 6 3 2" xfId="40511" xr:uid="{D58FEFF1-3203-43CC-ACB8-FEF444DC102C}"/>
    <cellStyle name="Output 2 10 6 3 3" xfId="26326" xr:uid="{F8CDA42F-4E5C-462B-A2C4-2404CBCD97EF}"/>
    <cellStyle name="Output 2 10 6 4" xfId="16083" xr:uid="{C024CF43-817D-4C9B-8D2A-7651F5E71013}"/>
    <cellStyle name="Output 2 10 6 4 2" xfId="38483" xr:uid="{614449FA-693A-4209-B429-8CB7DE8A6532}"/>
    <cellStyle name="Output 2 10 6 4 3" xfId="42257" xr:uid="{F09D3F00-D83E-442C-B153-9A19B3D04387}"/>
    <cellStyle name="Output 2 10 6 5" xfId="22545" xr:uid="{46CB1134-5C41-4D2D-8557-541A1839E2E3}"/>
    <cellStyle name="Output 2 10 6 5 2" xfId="48177" xr:uid="{A2607095-8671-4538-870B-B425EB2EA73B}"/>
    <cellStyle name="Output 2 10 6 6" xfId="47953" xr:uid="{60C8D290-9AE7-4910-963C-F538ABE79639}"/>
    <cellStyle name="Output 2 10 7" xfId="4449" xr:uid="{00000000-0005-0000-0000-0000C3070000}"/>
    <cellStyle name="Output 2 10 7 2" xfId="11351" xr:uid="{DF54458D-13D2-4B04-AAD8-F9FD38F3A8B7}"/>
    <cellStyle name="Output 2 10 7 2 2" xfId="33837" xr:uid="{BCAE7230-A917-4921-9CC1-38D05C798408}"/>
    <cellStyle name="Output 2 10 7 2 3" xfId="32666" xr:uid="{2BC16D53-2AC7-46EE-AF10-4C80A3FA5E4E}"/>
    <cellStyle name="Output 2 10 7 3" xfId="16386" xr:uid="{0957947F-BC9C-415A-AFB7-442B96511DC6}"/>
    <cellStyle name="Output 2 10 7 3 2" xfId="38776" xr:uid="{59E03BED-7051-44B2-BE00-F18C8CA2F30A}"/>
    <cellStyle name="Output 2 10 7 3 3" xfId="26953" xr:uid="{F4E7910F-E6DA-4159-AADF-130BA394D819}"/>
    <cellStyle name="Output 2 10 7 4" xfId="8825" xr:uid="{0189F37F-0D7C-4FC5-996E-2002933168A8}"/>
    <cellStyle name="Output 2 10 7 4 2" xfId="31406" xr:uid="{F9C25F8B-BBAB-42C5-AE82-8F2EC9D8E302}"/>
    <cellStyle name="Output 2 10 7 4 3" xfId="54046" xr:uid="{1F91D992-FAA2-4CF1-BE15-1DA9BB43F909}"/>
    <cellStyle name="Output 2 10 7 5" xfId="8302" xr:uid="{62181584-5BAE-4103-98AE-1FD635C19C6D}"/>
    <cellStyle name="Output 2 10 7 5 2" xfId="41646" xr:uid="{4EA449DD-36C9-4A25-ADAC-C89AF2408F8C}"/>
    <cellStyle name="Output 2 10 7 6" xfId="43801" xr:uid="{7710B525-852E-447D-8713-F267842F8DF7}"/>
    <cellStyle name="Output 2 10 8" xfId="8292" xr:uid="{A73AB2F0-29CD-4A07-992D-B9B75757827B}"/>
    <cellStyle name="Output 2 10 8 2" xfId="30892" xr:uid="{F5E4DDAC-2516-486F-B1BB-7E5C54194CDE}"/>
    <cellStyle name="Output 2 10 8 3" xfId="50251" xr:uid="{1A30DF64-4CF8-4D7C-80C7-26FABE792390}"/>
    <cellStyle name="Output 2 10 9" xfId="14544" xr:uid="{6F2563DA-F9E8-43FA-BCCC-DB92C9297B1F}"/>
    <cellStyle name="Output 2 10 9 2" xfId="37005" xr:uid="{1562E392-2B5B-439D-A686-E681C063558B}"/>
    <cellStyle name="Output 2 10 9 3" xfId="47450" xr:uid="{C4194B1A-4036-42E9-9D67-F86D3A249DB8}"/>
    <cellStyle name="Output 2 11" xfId="682" xr:uid="{00000000-0005-0000-0000-0000C7070000}"/>
    <cellStyle name="Output 2 11 10" xfId="20923" xr:uid="{1DED0D50-94B6-40F4-BAE5-E4014E54DA17}"/>
    <cellStyle name="Output 2 11 10 2" xfId="51019" xr:uid="{3F0F4CE4-EBDC-46FC-BB85-E38A955F7341}"/>
    <cellStyle name="Output 2 11 11" xfId="52888" xr:uid="{984F27D3-0887-46A6-86BB-F5B61C697FD9}"/>
    <cellStyle name="Output 2 11 2" xfId="1760" xr:uid="{00000000-0005-0000-0000-0000C8070000}"/>
    <cellStyle name="Output 2 11 2 10" xfId="14458" xr:uid="{54E9EAEB-CC16-4EF4-8C4C-071450847FAE}"/>
    <cellStyle name="Output 2 11 2 10 2" xfId="36923" xr:uid="{435C01FA-0553-46EB-B1E9-FE9C99C5AB31}"/>
    <cellStyle name="Output 2 11 2 10 3" xfId="50703" xr:uid="{6FEF0AF3-8A5A-4905-B8A8-32657CF45367}"/>
    <cellStyle name="Output 2 11 2 11" xfId="15481" xr:uid="{9C6363D2-C39C-4AB1-A027-8645E0BD594A}"/>
    <cellStyle name="Output 2 11 2 11 2" xfId="37905" xr:uid="{4012CCFF-2610-48FD-A5D0-5F7E12994B6F}"/>
    <cellStyle name="Output 2 11 2 11 3" xfId="47100" xr:uid="{CB58FC8F-3B69-4BB6-B19B-5DD2770A5AC0}"/>
    <cellStyle name="Output 2 11 2 12" xfId="16231" xr:uid="{ECEDC0CD-7E62-48F6-9CBB-1793C7F6DB83}"/>
    <cellStyle name="Output 2 11 2 12 2" xfId="43914" xr:uid="{1A016AA5-7004-4866-855D-D73A2DAC3F7C}"/>
    <cellStyle name="Output 2 11 2 13" xfId="52259" xr:uid="{D549EB6F-320E-43D1-B22D-620574DFA96A}"/>
    <cellStyle name="Output 2 11 2 2" xfId="3858" xr:uid="{00000000-0005-0000-0000-0000C6070000}"/>
    <cellStyle name="Output 2 11 2 2 2" xfId="10762" xr:uid="{647261D8-673C-43D4-BE10-37726C268C89}"/>
    <cellStyle name="Output 2 11 2 2 2 2" xfId="33248" xr:uid="{2557E2E9-38A4-4C41-8C5D-1561399C079A}"/>
    <cellStyle name="Output 2 11 2 2 2 3" xfId="53136" xr:uid="{8A29FBE7-69B8-493F-A3FB-206FC4FBAAF2}"/>
    <cellStyle name="Output 2 11 2 2 3" xfId="15914" xr:uid="{8BFA3E21-F7D3-4909-891B-FBC3ED603BB1}"/>
    <cellStyle name="Output 2 11 2 2 3 2" xfId="38320" xr:uid="{8A326771-07BC-4B20-A35D-C5C54052DB75}"/>
    <cellStyle name="Output 2 11 2 2 3 3" xfId="30688" xr:uid="{9EB6CC2D-8C9B-49B0-8FD2-F425D4979011}"/>
    <cellStyle name="Output 2 11 2 2 4" xfId="20067" xr:uid="{CE4C9D4B-15AC-45DC-9578-3BC17CCDF44C}"/>
    <cellStyle name="Output 2 11 2 2 4 2" xfId="42388" xr:uid="{958C51E5-5401-4F2F-8586-A84A720FCEBC}"/>
    <cellStyle name="Output 2 11 2 2 4 3" xfId="23767" xr:uid="{C51068CA-627C-40B8-939A-C8021AD531C2}"/>
    <cellStyle name="Output 2 11 2 2 5" xfId="15743" xr:uid="{52F160FB-3D72-4E50-9890-F41F5F4CFE3E}"/>
    <cellStyle name="Output 2 11 2 2 5 2" xfId="52856" xr:uid="{36B3F2E4-CECF-4181-84E1-9022AFA675ED}"/>
    <cellStyle name="Output 2 11 2 2 6" xfId="53138" xr:uid="{62F575D5-57CD-4CF9-B99D-736908FC359B}"/>
    <cellStyle name="Output 2 11 2 3" xfId="5272" xr:uid="{00000000-0005-0000-0000-0000C6070000}"/>
    <cellStyle name="Output 2 11 2 3 2" xfId="12164" xr:uid="{40A7B931-BA01-49B2-A003-AF3C88C4B1BD}"/>
    <cellStyle name="Output 2 11 2 3 2 2" xfId="34649" xr:uid="{F6207F3A-95DF-4F37-AFB1-E9A29E1E9855}"/>
    <cellStyle name="Output 2 11 2 3 2 3" xfId="32256" xr:uid="{259F9149-6830-4CCF-A7FB-84B0BCA4DA2F}"/>
    <cellStyle name="Output 2 11 2 3 3" xfId="17209" xr:uid="{1D70CC52-2330-4BB5-9BD5-371DF04ABEDD}"/>
    <cellStyle name="Output 2 11 2 3 3 2" xfId="39599" xr:uid="{3166846E-36B3-4D93-8F63-78FBBAA1C044}"/>
    <cellStyle name="Output 2 11 2 3 3 3" xfId="44097" xr:uid="{1507EAD3-51C4-4B39-BFCE-8B1BD195A7FF}"/>
    <cellStyle name="Output 2 11 2 3 4" xfId="14552" xr:uid="{0D3B6A75-C5D1-40E1-B1B2-F847D52698D2}"/>
    <cellStyle name="Output 2 11 2 3 4 2" xfId="37013" xr:uid="{F4492724-D20F-4BD5-892F-144057D35A06}"/>
    <cellStyle name="Output 2 11 2 3 4 3" xfId="23968" xr:uid="{6770865C-BA6F-4F72-B7BF-D9F4E1EAE3EC}"/>
    <cellStyle name="Output 2 11 2 3 5" xfId="21633" xr:uid="{89E2DA25-6CD9-4464-A620-FF86212FDDB5}"/>
    <cellStyle name="Output 2 11 2 3 5 2" xfId="24542" xr:uid="{B5C55C7B-6105-4F1D-BA8B-596F91C39C05}"/>
    <cellStyle name="Output 2 11 2 3 6" xfId="29693" xr:uid="{0A14AA86-642A-46B7-8BC5-7ED66AF2CB97}"/>
    <cellStyle name="Output 2 11 2 4" xfId="5682" xr:uid="{00000000-0005-0000-0000-0000C6070000}"/>
    <cellStyle name="Output 2 11 2 4 2" xfId="12566" xr:uid="{71E7D98C-FA97-4B49-A41C-C9C0F20B789D}"/>
    <cellStyle name="Output 2 11 2 4 2 2" xfId="35051" xr:uid="{414ADF6B-DAFE-4D83-80BE-BD595A2D6A55}"/>
    <cellStyle name="Output 2 11 2 4 2 3" xfId="27920" xr:uid="{DC48200B-3646-46B1-ADBD-F88F44F5B2D3}"/>
    <cellStyle name="Output 2 11 2 4 3" xfId="17619" xr:uid="{4E8C16D3-C178-4536-800D-56E3E1630758}"/>
    <cellStyle name="Output 2 11 2 4 3 2" xfId="40009" xr:uid="{D6414826-22DB-41B9-A317-6AC324118C09}"/>
    <cellStyle name="Output 2 11 2 4 3 3" xfId="28823" xr:uid="{66054F8F-BE94-4B74-BA82-5F2594C94642}"/>
    <cellStyle name="Output 2 11 2 4 4" xfId="19842" xr:uid="{2E2FE995-5F91-491E-8515-F25B20D4BD3F}"/>
    <cellStyle name="Output 2 11 2 4 4 2" xfId="42178" xr:uid="{1A5C8EF4-6974-4313-BBA2-68E52C65070E}"/>
    <cellStyle name="Output 2 11 2 4 4 3" xfId="45091" xr:uid="{07AEF59C-7BDA-4717-BA1B-555474470674}"/>
    <cellStyle name="Output 2 11 2 4 5" xfId="22043" xr:uid="{7D83A1CB-3042-474B-B0C3-7D8A1EEC3BF4}"/>
    <cellStyle name="Output 2 11 2 4 5 2" xfId="50911" xr:uid="{B6E97B34-8359-411A-A877-16B9946929EA}"/>
    <cellStyle name="Output 2 11 2 4 6" xfId="47103" xr:uid="{482EA835-D993-4E7E-B5AB-A26B812CE36E}"/>
    <cellStyle name="Output 2 11 2 5" xfId="6043" xr:uid="{00000000-0005-0000-0000-0000C6070000}"/>
    <cellStyle name="Output 2 11 2 5 2" xfId="12922" xr:uid="{8711C664-28B2-42C2-8DDF-8B2A76519B95}"/>
    <cellStyle name="Output 2 11 2 5 2 2" xfId="35406" xr:uid="{42E941B3-A360-416F-AA23-080BE2F37229}"/>
    <cellStyle name="Output 2 11 2 5 2 3" xfId="35709" xr:uid="{715F2068-0604-4600-A5A1-5C8F7BE948C0}"/>
    <cellStyle name="Output 2 11 2 5 3" xfId="17980" xr:uid="{594F0600-13F8-4C44-B659-C7290CE661D4}"/>
    <cellStyle name="Output 2 11 2 5 3 2" xfId="40370" xr:uid="{053EE569-5490-46DB-B1CD-99EDC34EBFC5}"/>
    <cellStyle name="Output 2 11 2 5 3 3" xfId="29448" xr:uid="{66B64549-DC6B-43AE-9B6A-3CFF1DF9AF70}"/>
    <cellStyle name="Output 2 11 2 5 4" xfId="14771" xr:uid="{015C0EAF-894F-428B-9ED0-7CB56DCB93C2}"/>
    <cellStyle name="Output 2 11 2 5 4 2" xfId="37228" xr:uid="{6A4B66F4-EE34-47DE-9DF6-0C8D9EB37081}"/>
    <cellStyle name="Output 2 11 2 5 4 3" xfId="28591" xr:uid="{12478E73-DFDA-46AD-84FD-4363E67EDCC3}"/>
    <cellStyle name="Output 2 11 2 5 5" xfId="22404" xr:uid="{48A62C7E-DE27-41BB-92B0-88F1AA6FD40B}"/>
    <cellStyle name="Output 2 11 2 5 5 2" xfId="50555" xr:uid="{71FA4EE5-FDB0-4FEA-BCD7-0916F63E1D10}"/>
    <cellStyle name="Output 2 11 2 5 6" xfId="28697" xr:uid="{D9EDC13E-D57D-4C45-8C30-558E87D43283}"/>
    <cellStyle name="Output 2 11 2 6" xfId="6421" xr:uid="{00000000-0005-0000-0000-0000C6070000}"/>
    <cellStyle name="Output 2 11 2 6 2" xfId="13293" xr:uid="{E7523FFA-8F3D-4212-8CB2-A07769D75896}"/>
    <cellStyle name="Output 2 11 2 6 2 2" xfId="35777" xr:uid="{46559AD9-198F-4D0A-BB77-7DD7405311A3}"/>
    <cellStyle name="Output 2 11 2 6 2 3" xfId="51409" xr:uid="{BCB6777E-F0DB-4B38-BD50-A85350310627}"/>
    <cellStyle name="Output 2 11 2 6 3" xfId="18358" xr:uid="{AE7A2ED6-7B41-4B8D-9999-506A40A0EE2E}"/>
    <cellStyle name="Output 2 11 2 6 3 2" xfId="40748" xr:uid="{B186DA29-2D2F-43C8-BAC5-A9B2F4170972}"/>
    <cellStyle name="Output 2 11 2 6 3 3" xfId="27362" xr:uid="{81C2EAD8-9E55-4006-8B4C-1714BB1ADA44}"/>
    <cellStyle name="Output 2 11 2 6 4" xfId="20766" xr:uid="{DB01CE57-4732-486C-91F7-4948551CB4C7}"/>
    <cellStyle name="Output 2 11 2 6 4 2" xfId="43034" xr:uid="{EF083E65-5612-4D49-A025-F8E2D0169B33}"/>
    <cellStyle name="Output 2 11 2 6 4 3" xfId="50015" xr:uid="{3A5DC564-A3F1-46E2-9C30-B44BBCEDB876}"/>
    <cellStyle name="Output 2 11 2 6 5" xfId="22782" xr:uid="{A591F30C-6A24-44E9-AB1F-850E159B71FA}"/>
    <cellStyle name="Output 2 11 2 6 5 2" xfId="46341" xr:uid="{6D7EA6A0-4A90-4250-900C-F3EBE44744F5}"/>
    <cellStyle name="Output 2 11 2 6 6" xfId="48240" xr:uid="{40483B6E-06B6-488D-949A-544E565B58B8}"/>
    <cellStyle name="Output 2 11 2 7" xfId="6800" xr:uid="{00000000-0005-0000-0000-0000C6070000}"/>
    <cellStyle name="Output 2 11 2 7 2" xfId="13649" xr:uid="{0842F192-CDF6-430D-A74E-068E72E8A2A6}"/>
    <cellStyle name="Output 2 11 2 7 2 2" xfId="36133" xr:uid="{53194E42-93FB-4007-9768-5A094BAE6C45}"/>
    <cellStyle name="Output 2 11 2 7 2 3" xfId="45697" xr:uid="{3F8734E5-7DFE-47A6-A1EF-7B1B49F40066}"/>
    <cellStyle name="Output 2 11 2 7 3" xfId="18737" xr:uid="{D5161E50-3680-4AE1-8CBD-51D0D8479CDC}"/>
    <cellStyle name="Output 2 11 2 7 3 2" xfId="41127" xr:uid="{D15F7C81-4888-4ECC-A1A8-72D9EC6A678D}"/>
    <cellStyle name="Output 2 11 2 7 3 3" xfId="36870" xr:uid="{B09FBA2F-BA91-49D9-92C1-DDB213B6AF21}"/>
    <cellStyle name="Output 2 11 2 7 4" xfId="8816" xr:uid="{D544B29B-3E48-4755-8D15-F1C84195DE66}"/>
    <cellStyle name="Output 2 11 2 7 4 2" xfId="31397" xr:uid="{7DC76B44-C8C1-45A6-87F4-0215F15B437F}"/>
    <cellStyle name="Output 2 11 2 7 4 3" xfId="46398" xr:uid="{55E6BEB9-2AC8-4742-8127-5D6B98975B42}"/>
    <cellStyle name="Output 2 11 2 7 5" xfId="23161" xr:uid="{2B5B80E2-CD94-4AAD-A9EA-D5E061ABA877}"/>
    <cellStyle name="Output 2 11 2 7 5 2" xfId="49151" xr:uid="{5FD15718-BCED-4CEE-B785-A9B5D75C3C48}"/>
    <cellStyle name="Output 2 11 2 7 6" xfId="43181" xr:uid="{A0153FC4-53A2-406C-B240-1F53FCD09978}"/>
    <cellStyle name="Output 2 11 2 8" xfId="6934" xr:uid="{00000000-0005-0000-0000-0000C6070000}"/>
    <cellStyle name="Output 2 11 2 8 2" xfId="13772" xr:uid="{E50B006A-703F-4325-8D4F-ACFC2425E734}"/>
    <cellStyle name="Output 2 11 2 8 2 2" xfId="36256" xr:uid="{5E1E5CC1-EBC8-42A0-8EE1-3800E16735C1}"/>
    <cellStyle name="Output 2 11 2 8 2 3" xfId="31533" xr:uid="{72DDEE59-201B-447F-905F-606C818C09F1}"/>
    <cellStyle name="Output 2 11 2 8 3" xfId="18871" xr:uid="{76CD15E2-B7E6-43AA-B7FB-B8411776F7E4}"/>
    <cellStyle name="Output 2 11 2 8 3 2" xfId="41261" xr:uid="{FED7336B-4866-4A54-A692-9865BC6E84C8}"/>
    <cellStyle name="Output 2 11 2 8 3 3" xfId="28598" xr:uid="{07786FD6-CBE5-4871-80C2-229C84C9630C}"/>
    <cellStyle name="Output 2 11 2 8 4" xfId="19795" xr:uid="{F987E6D7-EE5D-44B0-A1C3-8002906F051D}"/>
    <cellStyle name="Output 2 11 2 8 4 2" xfId="42133" xr:uid="{56841478-A16B-430F-99A1-F6EF93757231}"/>
    <cellStyle name="Output 2 11 2 8 4 3" xfId="30921" xr:uid="{9BC4BABB-37EC-46C0-A71A-0BF1DF343B4B}"/>
    <cellStyle name="Output 2 11 2 8 5" xfId="23295" xr:uid="{3A609B63-DAD4-4F91-BEE4-62ABE0CD2308}"/>
    <cellStyle name="Output 2 11 2 8 5 2" xfId="50507" xr:uid="{B62B7201-56E2-4D64-9A2B-61AD8FDC57F5}"/>
    <cellStyle name="Output 2 11 2 8 6" xfId="46173" xr:uid="{C5CC60C7-CF8C-401B-AAFA-3684844AFD86}"/>
    <cellStyle name="Output 2 11 2 9" xfId="5973" xr:uid="{00000000-0005-0000-0000-0000C6070000}"/>
    <cellStyle name="Output 2 11 2 9 2" xfId="17910" xr:uid="{F5BE723E-3270-4A1C-B07A-9DD4EEB4F025}"/>
    <cellStyle name="Output 2 11 2 9 2 2" xfId="40300" xr:uid="{3C888E23-6460-4239-899D-57AD804F20CD}"/>
    <cellStyle name="Output 2 11 2 9 2 3" xfId="44776" xr:uid="{A9C7D49A-47C2-470E-B87F-91BA251A6184}"/>
    <cellStyle name="Output 2 11 2 9 3" xfId="15608" xr:uid="{06FDA3FB-B8FA-4238-90E2-FD54D3D1C6E0}"/>
    <cellStyle name="Output 2 11 2 9 3 2" xfId="38024" xr:uid="{82521663-BF56-4ECB-926C-2A6017442956}"/>
    <cellStyle name="Output 2 11 2 9 3 3" xfId="43748" xr:uid="{4F0A4231-7777-464E-A0C7-A8CD1D0BED30}"/>
    <cellStyle name="Output 2 11 2 9 4" xfId="22334" xr:uid="{39A374DB-4254-4EF8-89E7-03739BA75705}"/>
    <cellStyle name="Output 2 11 2 9 4 2" xfId="29280" xr:uid="{B3737330-5241-435D-8AC9-A62801F4475C}"/>
    <cellStyle name="Output 2 11 2 9 5" xfId="51290" xr:uid="{D1965667-F8D6-4432-B033-BC04C3986BC4}"/>
    <cellStyle name="Output 2 11 3" xfId="2824" xr:uid="{00000000-0005-0000-0000-0000C5070000}"/>
    <cellStyle name="Output 2 11 3 2" xfId="9733" xr:uid="{8850AF5B-2BE2-4EB7-B157-33691D129AE0}"/>
    <cellStyle name="Output 2 11 3 2 2" xfId="32271" xr:uid="{5827E8EA-66D9-4F82-BCDC-B0137A18203A}"/>
    <cellStyle name="Output 2 11 3 2 3" xfId="32667" xr:uid="{1E8E79AC-A4EB-4B19-B37A-7911C4A5812D}"/>
    <cellStyle name="Output 2 11 3 3" xfId="15223" xr:uid="{3CED3E66-447C-4851-BC4A-56BCF10576DE}"/>
    <cellStyle name="Output 2 11 3 3 2" xfId="37660" xr:uid="{D28595FE-EC72-4D64-87E8-BD4072ADBBC2}"/>
    <cellStyle name="Output 2 11 3 3 3" xfId="28538" xr:uid="{023469C9-D1AD-4B96-921A-EC9F64E7D8DF}"/>
    <cellStyle name="Output 2 11 3 4" xfId="9232" xr:uid="{84F6DF75-7D21-489C-A193-7B2317F7B930}"/>
    <cellStyle name="Output 2 11 3 4 2" xfId="31807" xr:uid="{43AE1817-860E-47CC-92A9-E71E8E352D8B}"/>
    <cellStyle name="Output 2 11 3 4 3" xfId="46637" xr:uid="{D046B70C-E632-40DA-83A2-929C9A952091}"/>
    <cellStyle name="Output 2 11 3 5" xfId="15137" xr:uid="{32654A01-DE74-4FAE-8788-439CFB861CD5}"/>
    <cellStyle name="Output 2 11 3 5 2" xfId="29440" xr:uid="{EA59DE3F-CEFE-4025-AC13-C24F9347B8FE}"/>
    <cellStyle name="Output 2 11 3 6" xfId="50731" xr:uid="{1A7AA57C-4293-4BA3-B141-DD39BE1D5DC1}"/>
    <cellStyle name="Output 2 11 4" xfId="4589" xr:uid="{00000000-0005-0000-0000-0000C5070000}"/>
    <cellStyle name="Output 2 11 4 2" xfId="11491" xr:uid="{495E6B83-1760-40B1-8F13-6F0A89AAFC68}"/>
    <cellStyle name="Output 2 11 4 2 2" xfId="33977" xr:uid="{28859C04-985E-4DA4-B9A6-C1FD7B630AB3}"/>
    <cellStyle name="Output 2 11 4 2 3" xfId="27934" xr:uid="{ADED4203-A45F-4CF7-8ED1-A40C9CC3C923}"/>
    <cellStyle name="Output 2 11 4 3" xfId="16526" xr:uid="{1AA779B2-645E-4341-A951-EEE7F32E082C}"/>
    <cellStyle name="Output 2 11 4 3 2" xfId="38916" xr:uid="{E8CF59DC-ED5B-46A6-937F-CCCE6AD715DF}"/>
    <cellStyle name="Output 2 11 4 3 3" xfId="45472" xr:uid="{3E56C3FB-D3D1-4820-A5E7-A147E75F5205}"/>
    <cellStyle name="Output 2 11 4 4" xfId="19195" xr:uid="{027E05F1-5D7C-484F-8E60-779667A86D84}"/>
    <cellStyle name="Output 2 11 4 4 2" xfId="41584" xr:uid="{3138CBD5-61F8-405E-A23C-791B3C271680}"/>
    <cellStyle name="Output 2 11 4 4 3" xfId="26067" xr:uid="{8A9FF806-370D-4D8A-AC51-32D880D5C8D6}"/>
    <cellStyle name="Output 2 11 4 5" xfId="14464" xr:uid="{5F2351B3-027A-4F73-AF97-98BC1D7D78C4}"/>
    <cellStyle name="Output 2 11 4 5 2" xfId="27028" xr:uid="{DD08FC3A-9CCF-454B-B743-4232813780A0}"/>
    <cellStyle name="Output 2 11 4 6" xfId="47576" xr:uid="{C7B1C457-0DB3-4C66-80CE-4CBF42DF83F1}"/>
    <cellStyle name="Output 2 11 5" xfId="4849" xr:uid="{00000000-0005-0000-0000-0000C5070000}"/>
    <cellStyle name="Output 2 11 5 2" xfId="11745" xr:uid="{A8AE2120-1040-425D-917E-D574B6858610}"/>
    <cellStyle name="Output 2 11 5 2 2" xfId="34231" xr:uid="{1F1CE904-7C91-44F0-9BBD-792D8B9A2A96}"/>
    <cellStyle name="Output 2 11 5 2 3" xfId="45819" xr:uid="{485335FA-F5FB-476C-819C-EDEC1472D0C2}"/>
    <cellStyle name="Output 2 11 5 3" xfId="16786" xr:uid="{7A1CED32-7174-4593-87A9-B63E85A590DB}"/>
    <cellStyle name="Output 2 11 5 3 2" xfId="39176" xr:uid="{0BCBF830-1212-405A-88F6-CA44038390E0}"/>
    <cellStyle name="Output 2 11 5 3 3" xfId="27957" xr:uid="{51568E44-8059-4F28-9A7D-281741E2C5B2}"/>
    <cellStyle name="Output 2 11 5 4" xfId="14308" xr:uid="{204D16BF-549E-49E7-A9BD-AF80B9A85B1D}"/>
    <cellStyle name="Output 2 11 5 4 2" xfId="36777" xr:uid="{62C07093-A8DC-4CC0-AEE2-255E96DB7AE9}"/>
    <cellStyle name="Output 2 11 5 4 3" xfId="52953" xr:uid="{790CACAC-1396-4872-AB42-8E466103B0D5}"/>
    <cellStyle name="Output 2 11 5 5" xfId="20509" xr:uid="{0010CD4D-DD56-4E02-882D-9E664D480B91}"/>
    <cellStyle name="Output 2 11 5 5 2" xfId="53942" xr:uid="{2358D10A-2483-4C2F-88AC-69692C25EF6B}"/>
    <cellStyle name="Output 2 11 5 6" xfId="51600" xr:uid="{67FBF3C8-064D-456F-927D-699D73CE8E63}"/>
    <cellStyle name="Output 2 11 6" xfId="4378" xr:uid="{00000000-0005-0000-0000-0000C5070000}"/>
    <cellStyle name="Output 2 11 6 2" xfId="11280" xr:uid="{5135EA16-945A-447E-A148-26DAFE16EBA5}"/>
    <cellStyle name="Output 2 11 6 2 2" xfId="33766" xr:uid="{DB9C3819-A371-40B3-B575-07E86B41FCE9}"/>
    <cellStyle name="Output 2 11 6 2 3" xfId="45654" xr:uid="{F4CD251C-46AD-4AB8-88CC-FB83CC04B304}"/>
    <cellStyle name="Output 2 11 6 3" xfId="16315" xr:uid="{7C8D7BB6-394E-49E3-99B5-D5D5C5E54831}"/>
    <cellStyle name="Output 2 11 6 3 2" xfId="38705" xr:uid="{8D6BF440-779E-4F5B-9CCB-BE2B610B0D41}"/>
    <cellStyle name="Output 2 11 6 3 3" xfId="27140" xr:uid="{0F3B5BBA-FC5C-45BC-BF88-BFD75B42ABA2}"/>
    <cellStyle name="Output 2 11 6 4" xfId="19586" xr:uid="{95C3C079-4F90-4EB3-9452-B51809DF6AC2}"/>
    <cellStyle name="Output 2 11 6 4 2" xfId="41941" xr:uid="{393C2733-BF5B-48FE-A72A-43CF172550E5}"/>
    <cellStyle name="Output 2 11 6 4 3" xfId="43672" xr:uid="{C124A682-4BBD-40FA-8BB6-AAFDFCBC652E}"/>
    <cellStyle name="Output 2 11 6 5" xfId="14549" xr:uid="{E755E532-8987-48C6-9B16-A43A1D8296ED}"/>
    <cellStyle name="Output 2 11 6 5 2" xfId="53003" xr:uid="{DA436756-188E-4684-B075-AA5F1E7310FD}"/>
    <cellStyle name="Output 2 11 6 6" xfId="53652" xr:uid="{ACCB3FB6-636D-48B6-A026-E9E0FEDA9C2F}"/>
    <cellStyle name="Output 2 11 7" xfId="6795" xr:uid="{00000000-0005-0000-0000-0000C5070000}"/>
    <cellStyle name="Output 2 11 7 2" xfId="13644" xr:uid="{F47B6B75-733A-4938-A4E0-1B477660191A}"/>
    <cellStyle name="Output 2 11 7 2 2" xfId="36128" xr:uid="{83D6A25B-3F84-4CF9-BA67-D5EC0879D9DE}"/>
    <cellStyle name="Output 2 11 7 2 3" xfId="49998" xr:uid="{A91ADC62-F1B4-4582-8AE9-186B5AB937FA}"/>
    <cellStyle name="Output 2 11 7 3" xfId="18732" xr:uid="{E5936EED-EB05-4BF7-BD89-867686C41CB2}"/>
    <cellStyle name="Output 2 11 7 3 2" xfId="41122" xr:uid="{2159623D-F678-4EF7-82BA-3A1D54757DD8}"/>
    <cellStyle name="Output 2 11 7 3 3" xfId="44903" xr:uid="{15C2683A-F77E-4730-8000-A79542DED22C}"/>
    <cellStyle name="Output 2 11 7 4" xfId="20929" xr:uid="{71DEE25E-3165-4108-89AB-BC05801E7EB4}"/>
    <cellStyle name="Output 2 11 7 4 2" xfId="43188" xr:uid="{83D20C37-C9A0-4EA5-B740-55E109DBBF42}"/>
    <cellStyle name="Output 2 11 7 4 3" xfId="37225" xr:uid="{5BB052FF-8733-475F-9F5F-5D09DACA1A41}"/>
    <cellStyle name="Output 2 11 7 5" xfId="23156" xr:uid="{C4778BD4-49CD-43E9-8804-9DE8D04E6DB2}"/>
    <cellStyle name="Output 2 11 7 5 2" xfId="51468" xr:uid="{11976B5F-C5D7-4E37-AE04-FE10233ED2CE}"/>
    <cellStyle name="Output 2 11 7 6" xfId="45974" xr:uid="{0D57460E-BCF5-4035-BED4-11FD0A171C93}"/>
    <cellStyle name="Output 2 11 8" xfId="7945" xr:uid="{11BC60F7-EAEB-4CEF-B18F-F858D66089A7}"/>
    <cellStyle name="Output 2 11 8 2" xfId="30569" xr:uid="{80526421-1754-4EBE-A342-66378A16157D}"/>
    <cellStyle name="Output 2 11 8 3" xfId="51696" xr:uid="{7EC8D8A2-256E-4126-991D-F77FD393EC70}"/>
    <cellStyle name="Output 2 11 9" xfId="20764" xr:uid="{C7CE190B-7695-4273-AFDE-0942C78B22B5}"/>
    <cellStyle name="Output 2 11 9 2" xfId="43032" xr:uid="{8F988718-ABC7-4C60-92BF-9103A81CC3C7}"/>
    <cellStyle name="Output 2 11 9 3" xfId="29104" xr:uid="{28D84747-A727-4345-B3E1-B9DC26FD5CB2}"/>
    <cellStyle name="Output 2 12" xfId="874" xr:uid="{00000000-0005-0000-0000-0000C9070000}"/>
    <cellStyle name="Output 2 12 10" xfId="19598" xr:uid="{918A281F-CB7C-4CAE-B050-A9AB25B8A925}"/>
    <cellStyle name="Output 2 12 10 2" xfId="38120" xr:uid="{15816733-7DD5-4B50-87D9-C0A3782F1050}"/>
    <cellStyle name="Output 2 12 11" xfId="30411" xr:uid="{512E5D68-111F-43BE-B476-EC4D5BA90868}"/>
    <cellStyle name="Output 2 12 2" xfId="1850" xr:uid="{00000000-0005-0000-0000-0000CA070000}"/>
    <cellStyle name="Output 2 12 2 10" xfId="14534" xr:uid="{FBAE8813-8855-4B9C-8382-CED6D364FFE0}"/>
    <cellStyle name="Output 2 12 2 10 2" xfId="36995" xr:uid="{87742C2E-3B2E-43FD-BCB6-197FBBF32C79}"/>
    <cellStyle name="Output 2 12 2 10 3" xfId="45485" xr:uid="{3DDDE9C0-23A8-4BA9-AC78-B6129CC691F9}"/>
    <cellStyle name="Output 2 12 2 11" xfId="21251" xr:uid="{4EDE8BC0-FC9D-4754-8991-F50F0224CFCB}"/>
    <cellStyle name="Output 2 12 2 11 2" xfId="43486" xr:uid="{432EEF90-53FF-4D47-998B-3C9DD9A59A4E}"/>
    <cellStyle name="Output 2 12 2 11 3" xfId="51931" xr:uid="{64EF5EA8-E2E9-4AD5-B53F-D831D84E3B22}"/>
    <cellStyle name="Output 2 12 2 12" xfId="14239" xr:uid="{267E106F-1C2E-4B58-A38D-ABC75DEFD43E}"/>
    <cellStyle name="Output 2 12 2 12 2" xfId="25408" xr:uid="{AABE281A-60FC-42FD-915F-D03F858346F5}"/>
    <cellStyle name="Output 2 12 2 13" xfId="48482" xr:uid="{305694FF-E75E-45D4-9B45-2331AAC7C641}"/>
    <cellStyle name="Output 2 12 2 2" xfId="3948" xr:uid="{00000000-0005-0000-0000-0000C8070000}"/>
    <cellStyle name="Output 2 12 2 2 2" xfId="10852" xr:uid="{75555F5B-2952-4ED5-836D-5D8619E32D87}"/>
    <cellStyle name="Output 2 12 2 2 2 2" xfId="33338" xr:uid="{78F228FF-553F-46DF-AB01-F30534EBE687}"/>
    <cellStyle name="Output 2 12 2 2 2 3" xfId="53013" xr:uid="{DD53A96F-42D2-4980-AEAF-5F711239D2D5}"/>
    <cellStyle name="Output 2 12 2 2 3" xfId="15990" xr:uid="{2C94B1AF-4BB1-48E2-8393-F153EC6DAD7C}"/>
    <cellStyle name="Output 2 12 2 2 3 2" xfId="38393" xr:uid="{F47B0B72-5AA3-45BF-98FB-A796CF6DF1B4}"/>
    <cellStyle name="Output 2 12 2 2 3 3" xfId="24781" xr:uid="{1CAE1828-CA9F-45DA-8C97-51856C1AC072}"/>
    <cellStyle name="Output 2 12 2 2 4" xfId="19946" xr:uid="{2888DAF1-DA31-401F-BF48-BA6F0739F6B3}"/>
    <cellStyle name="Output 2 12 2 2 4 2" xfId="42276" xr:uid="{A467853B-5516-4FB1-BEE4-E3995389B3A3}"/>
    <cellStyle name="Output 2 12 2 2 4 3" xfId="30404" xr:uid="{774909B6-151A-426E-9DE3-7D77FFDAF63D}"/>
    <cellStyle name="Output 2 12 2 2 5" xfId="19508" xr:uid="{4E95B9EC-6D95-4BBC-9A3F-0830F997DE58}"/>
    <cellStyle name="Output 2 12 2 2 5 2" xfId="29072" xr:uid="{2596DDD2-1997-4CF1-9A91-DFDDB65121B4}"/>
    <cellStyle name="Output 2 12 2 2 6" xfId="42298" xr:uid="{6C489708-6D3E-4FB6-9D78-CEA5673600B1}"/>
    <cellStyle name="Output 2 12 2 3" xfId="5342" xr:uid="{00000000-0005-0000-0000-0000C8070000}"/>
    <cellStyle name="Output 2 12 2 3 2" xfId="12234" xr:uid="{0B134747-D9AD-4747-BCD5-BC44E0A8191A}"/>
    <cellStyle name="Output 2 12 2 3 2 2" xfId="34719" xr:uid="{5AA48DFF-B2DA-4288-805F-9DF346648DBF}"/>
    <cellStyle name="Output 2 12 2 3 2 3" xfId="29068" xr:uid="{2BA04BEC-BD22-43C9-972E-BA51AFE6975D}"/>
    <cellStyle name="Output 2 12 2 3 3" xfId="17279" xr:uid="{20AC82BC-2899-45F1-A2B1-AB7A3E91CAF8}"/>
    <cellStyle name="Output 2 12 2 3 3 2" xfId="39669" xr:uid="{392492EF-1878-4E2F-AE08-3C9AB2FF3797}"/>
    <cellStyle name="Output 2 12 2 3 3 3" xfId="27121" xr:uid="{1B1DC595-ABDC-45BA-914B-4A3757F4A589}"/>
    <cellStyle name="Output 2 12 2 3 4" xfId="13535" xr:uid="{200954C8-8D4F-4D4E-B9C8-2FBC448B22EB}"/>
    <cellStyle name="Output 2 12 2 3 4 2" xfId="36019" xr:uid="{00CBAC3B-9CBC-4400-9E44-48AA1B5656E2}"/>
    <cellStyle name="Output 2 12 2 3 4 3" xfId="48216" xr:uid="{189C8537-F1BA-4621-B138-B736EFF48A19}"/>
    <cellStyle name="Output 2 12 2 3 5" xfId="21703" xr:uid="{D07088E2-D67B-43CD-9E90-302D8012ECAF}"/>
    <cellStyle name="Output 2 12 2 3 5 2" xfId="52698" xr:uid="{84130425-D60C-4DBE-B892-D841F1757F92}"/>
    <cellStyle name="Output 2 12 2 3 6" xfId="29568" xr:uid="{2B42742B-ED95-42E8-B2BD-202CA36147DB}"/>
    <cellStyle name="Output 2 12 2 4" xfId="5753" xr:uid="{00000000-0005-0000-0000-0000C8070000}"/>
    <cellStyle name="Output 2 12 2 4 2" xfId="12637" xr:uid="{DF076E78-C1E2-4962-9B89-071AA26AD57D}"/>
    <cellStyle name="Output 2 12 2 4 2 2" xfId="35122" xr:uid="{514A71FA-A540-4B05-A254-76EBCB2221D7}"/>
    <cellStyle name="Output 2 12 2 4 2 3" xfId="44580" xr:uid="{C735F2CE-2C6D-4F8B-B48B-4B41095ABE0B}"/>
    <cellStyle name="Output 2 12 2 4 3" xfId="17690" xr:uid="{5CD6E1B5-3AC1-425F-BC3F-4B184E4B6CD6}"/>
    <cellStyle name="Output 2 12 2 4 3 2" xfId="40080" xr:uid="{2976519E-5BA9-4704-8F1F-820F8AD61B8C}"/>
    <cellStyle name="Output 2 12 2 4 3 3" xfId="44512" xr:uid="{A98BDB1E-17E8-4E70-9ADD-F061B6591D37}"/>
    <cellStyle name="Output 2 12 2 4 4" xfId="19444" xr:uid="{9FAD802B-550B-4F1D-AD8D-48337250BB89}"/>
    <cellStyle name="Output 2 12 2 4 4 2" xfId="41812" xr:uid="{F8F5922C-7A63-480B-8A9F-5EF59A6FE9D9}"/>
    <cellStyle name="Output 2 12 2 4 4 3" xfId="29537" xr:uid="{337889FF-809E-4E1F-AAB4-AFA132B07F1F}"/>
    <cellStyle name="Output 2 12 2 4 5" xfId="22114" xr:uid="{03631DCE-09B0-44A2-AE3F-6DA8CDA33950}"/>
    <cellStyle name="Output 2 12 2 4 5 2" xfId="53491" xr:uid="{3F30237C-EFF1-41EE-9541-9D0A7FFC67E6}"/>
    <cellStyle name="Output 2 12 2 4 6" xfId="50432" xr:uid="{C2E32F17-4BEE-4A1D-BC81-083C9A6FC9FB}"/>
    <cellStyle name="Output 2 12 2 5" xfId="6107" xr:uid="{00000000-0005-0000-0000-0000C8070000}"/>
    <cellStyle name="Output 2 12 2 5 2" xfId="12985" xr:uid="{42AF6ED3-973E-43B9-B2F3-61194287619A}"/>
    <cellStyle name="Output 2 12 2 5 2 2" xfId="35469" xr:uid="{C58F50BB-6BB6-4802-BE3A-9A77D5795E91}"/>
    <cellStyle name="Output 2 12 2 5 2 3" xfId="45388" xr:uid="{25765FED-27FF-47E8-AAD5-2F378F8F63AE}"/>
    <cellStyle name="Output 2 12 2 5 3" xfId="18044" xr:uid="{8F36DA41-8516-48D4-9A10-CD008B1B0058}"/>
    <cellStyle name="Output 2 12 2 5 3 2" xfId="40434" xr:uid="{020CE432-10AD-4EB4-9128-2E6956E0C9E2}"/>
    <cellStyle name="Output 2 12 2 5 3 3" xfId="38212" xr:uid="{70EA7CFC-BB07-4810-91EB-6A14EB2F3ED0}"/>
    <cellStyle name="Output 2 12 2 5 4" xfId="14555" xr:uid="{1CCEB28B-BC8C-4AFC-A4FB-280DDFC8C9AC}"/>
    <cellStyle name="Output 2 12 2 5 4 2" xfId="37016" xr:uid="{63D32F87-FFC1-4D05-8AB7-C0678C6271DC}"/>
    <cellStyle name="Output 2 12 2 5 4 3" xfId="45934" xr:uid="{88AE04C0-1C54-45F7-A46D-B54FAE2471D7}"/>
    <cellStyle name="Output 2 12 2 5 5" xfId="22468" xr:uid="{1A655E29-37C3-499B-BD9A-3D4E507902A4}"/>
    <cellStyle name="Output 2 12 2 5 5 2" xfId="53487" xr:uid="{47035B41-FA48-414E-9D0E-59D80AC4C0F1}"/>
    <cellStyle name="Output 2 12 2 5 6" xfId="51967" xr:uid="{94477EFF-B0B5-4EFD-8360-26BAC72A3C60}"/>
    <cellStyle name="Output 2 12 2 6" xfId="6482" xr:uid="{00000000-0005-0000-0000-0000C8070000}"/>
    <cellStyle name="Output 2 12 2 6 2" xfId="13352" xr:uid="{1A103E5F-3C6D-4552-8160-404446360268}"/>
    <cellStyle name="Output 2 12 2 6 2 2" xfId="35836" xr:uid="{51BD1C78-717A-4B34-9BD7-4193B50D4407}"/>
    <cellStyle name="Output 2 12 2 6 2 3" xfId="32668" xr:uid="{0FD958EC-2E38-4769-B692-3C275F5F22DE}"/>
    <cellStyle name="Output 2 12 2 6 3" xfId="18419" xr:uid="{00B4FBE4-7AD4-4B1D-B400-A28234D78017}"/>
    <cellStyle name="Output 2 12 2 6 3 2" xfId="40809" xr:uid="{3AFE72F1-445F-4B6F-861A-E407E77090B2}"/>
    <cellStyle name="Output 2 12 2 6 3 3" xfId="25852" xr:uid="{86817DE2-6D5A-477E-9D54-799FED2AB598}"/>
    <cellStyle name="Output 2 12 2 6 4" xfId="20682" xr:uid="{39D3F8FE-6F55-4EF0-8E51-0EDCFBCB0FA4}"/>
    <cellStyle name="Output 2 12 2 6 4 2" xfId="42956" xr:uid="{E411CB90-18E6-42BF-A8C0-D85ED2FD3436}"/>
    <cellStyle name="Output 2 12 2 6 4 3" xfId="29165" xr:uid="{EB234CD1-0EDC-4F3E-B25D-F8561BEAEED3}"/>
    <cellStyle name="Output 2 12 2 6 5" xfId="22843" xr:uid="{1A447990-0FFB-4735-9EDC-ED5340AE1D01}"/>
    <cellStyle name="Output 2 12 2 6 5 2" xfId="46965" xr:uid="{B9C451C0-0C85-4197-B14F-082FCE9E271A}"/>
    <cellStyle name="Output 2 12 2 6 6" xfId="48929" xr:uid="{284D43BA-4316-441D-85B1-79A002A7F700}"/>
    <cellStyle name="Output 2 12 2 7" xfId="6055" xr:uid="{00000000-0005-0000-0000-0000C8070000}"/>
    <cellStyle name="Output 2 12 2 7 2" xfId="12934" xr:uid="{09D07ADD-6982-4491-9BA3-C53C9E74B9BE}"/>
    <cellStyle name="Output 2 12 2 7 2 2" xfId="35418" xr:uid="{805C090D-B8FC-4803-911B-50CC38069AC5}"/>
    <cellStyle name="Output 2 12 2 7 2 3" xfId="27645" xr:uid="{85C9BD73-A382-4FB0-934D-9C02F4B05C37}"/>
    <cellStyle name="Output 2 12 2 7 3" xfId="17992" xr:uid="{F98CF24C-C747-4ADB-A220-5C2422829C85}"/>
    <cellStyle name="Output 2 12 2 7 3 2" xfId="40382" xr:uid="{EB05A2B8-047F-427A-BF6C-BD284E0D7696}"/>
    <cellStyle name="Output 2 12 2 7 3 3" xfId="43986" xr:uid="{12DC6155-C8CE-4AA2-A409-281AF1083659}"/>
    <cellStyle name="Output 2 12 2 7 4" xfId="7722" xr:uid="{32E7E359-ADC8-4940-9D69-D9F4B6967C05}"/>
    <cellStyle name="Output 2 12 2 7 4 2" xfId="30371" xr:uid="{20075F94-B51C-402C-875A-2F761997CC60}"/>
    <cellStyle name="Output 2 12 2 7 4 3" xfId="28492" xr:uid="{12B5F5E2-665E-4102-B5B2-ECF584F34012}"/>
    <cellStyle name="Output 2 12 2 7 5" xfId="22416" xr:uid="{0EDD55A6-FFB0-4E17-A05C-CB81D2DB622C}"/>
    <cellStyle name="Output 2 12 2 7 5 2" xfId="48846" xr:uid="{B1E48130-84BB-44E6-A2A2-A6022608A3D8}"/>
    <cellStyle name="Output 2 12 2 7 6" xfId="52535" xr:uid="{8FEB3231-61DE-49EF-B9BF-4A6756182488}"/>
    <cellStyle name="Output 2 12 2 8" xfId="6981" xr:uid="{00000000-0005-0000-0000-0000C8070000}"/>
    <cellStyle name="Output 2 12 2 8 2" xfId="13818" xr:uid="{C5C10F32-1789-4C8D-AF34-CD951AF10438}"/>
    <cellStyle name="Output 2 12 2 8 2 2" xfId="36302" xr:uid="{A7DFC8B7-5856-49FF-9A5B-4BBA86C42E6F}"/>
    <cellStyle name="Output 2 12 2 8 2 3" xfId="46775" xr:uid="{56C450AC-8DC0-45A3-AB94-EA1FC79D7B50}"/>
    <cellStyle name="Output 2 12 2 8 3" xfId="18918" xr:uid="{35E8A0E9-0027-4F14-A7FF-ED4CABE530DF}"/>
    <cellStyle name="Output 2 12 2 8 3 2" xfId="41308" xr:uid="{6A36B754-892E-422F-AD2B-9B9A387F2DE4}"/>
    <cellStyle name="Output 2 12 2 8 3 3" xfId="24486" xr:uid="{F8DF30B7-75DE-474A-949B-A5EB654DB663}"/>
    <cellStyle name="Output 2 12 2 8 4" xfId="16270" xr:uid="{5C097D7B-659A-45DB-8DA8-36202065B7DB}"/>
    <cellStyle name="Output 2 12 2 8 4 2" xfId="38661" xr:uid="{6AF8BE00-52DC-4332-A0F8-FF30256FEE7A}"/>
    <cellStyle name="Output 2 12 2 8 4 3" xfId="42692" xr:uid="{8FE0F7EC-0BAF-4E8D-8486-E25FCF60C1DC}"/>
    <cellStyle name="Output 2 12 2 8 5" xfId="23342" xr:uid="{EB1E4F72-0A66-41D5-99C1-D20DF85602C8}"/>
    <cellStyle name="Output 2 12 2 8 5 2" xfId="49295" xr:uid="{2529E9C9-A4B7-4282-AA1E-42F8A832355E}"/>
    <cellStyle name="Output 2 12 2 8 6" xfId="51571" xr:uid="{39586B7C-AA4C-4700-AE17-CD265C815E33}"/>
    <cellStyle name="Output 2 12 2 9" xfId="5548" xr:uid="{00000000-0005-0000-0000-0000C8070000}"/>
    <cellStyle name="Output 2 12 2 9 2" xfId="17485" xr:uid="{483208CF-E264-45CB-BE51-262EBB4A720A}"/>
    <cellStyle name="Output 2 12 2 9 2 2" xfId="39875" xr:uid="{6DD73490-476C-43C0-A80F-A732570F89AD}"/>
    <cellStyle name="Output 2 12 2 9 2 3" xfId="28063" xr:uid="{ADBEE67F-43D7-445C-90E0-CE1FA08AC917}"/>
    <cellStyle name="Output 2 12 2 9 3" xfId="19819" xr:uid="{C45E68C9-8C88-4256-A1EB-0E781DA9B7C1}"/>
    <cellStyle name="Output 2 12 2 9 3 2" xfId="42157" xr:uid="{E693B098-61A0-47C0-91DB-8A52C34A7559}"/>
    <cellStyle name="Output 2 12 2 9 3 3" xfId="44878" xr:uid="{C3BAEE18-6EF7-4DAA-893E-CE8177DE1781}"/>
    <cellStyle name="Output 2 12 2 9 4" xfId="21909" xr:uid="{69E8AADB-9A40-46F4-8AE9-7399BF553CBB}"/>
    <cellStyle name="Output 2 12 2 9 4 2" xfId="29565" xr:uid="{736710F3-03FD-4010-8A16-00A20358FA11}"/>
    <cellStyle name="Output 2 12 2 9 5" xfId="46686" xr:uid="{6BB04BE6-3F01-4C26-8B22-941DA803D9F2}"/>
    <cellStyle name="Output 2 12 3" xfId="3004" xr:uid="{00000000-0005-0000-0000-0000C7070000}"/>
    <cellStyle name="Output 2 12 3 2" xfId="9913" xr:uid="{2C9D5B6B-26DD-47F6-ACD3-68ED27EFF098}"/>
    <cellStyle name="Output 2 12 3 2 2" xfId="32434" xr:uid="{276FBDB1-71C9-4895-9822-2A99B83EBBCC}"/>
    <cellStyle name="Output 2 12 3 2 3" xfId="37259" xr:uid="{3B45B4BC-EB76-4265-B261-D51F9DEED401}"/>
    <cellStyle name="Output 2 12 3 3" xfId="15346" xr:uid="{2AC6FDA8-0C4D-4EA0-831B-E2871099E8C4}"/>
    <cellStyle name="Output 2 12 3 3 2" xfId="37778" xr:uid="{096A36C5-D382-40F7-9F85-2A434228811F}"/>
    <cellStyle name="Output 2 12 3 3 3" xfId="54111" xr:uid="{BAC80459-DB5C-4E71-B222-A22C459E7E00}"/>
    <cellStyle name="Output 2 12 3 4" xfId="15119" xr:uid="{0EA1EC84-6327-4690-9EE9-3506F8EEE9CC}"/>
    <cellStyle name="Output 2 12 3 4 2" xfId="37561" xr:uid="{349D0A58-DB31-423D-B648-ED0E2FEED973}"/>
    <cellStyle name="Output 2 12 3 4 3" xfId="49962" xr:uid="{B8E11B7B-3117-4A3A-9425-F78FB070FA4A}"/>
    <cellStyle name="Output 2 12 3 5" xfId="20775" xr:uid="{7B2A34E0-2E1A-4C36-AA07-61A050BAADB9}"/>
    <cellStyle name="Output 2 12 3 5 2" xfId="48196" xr:uid="{96B365A5-414C-4058-A95B-7CA5F6F10BFC}"/>
    <cellStyle name="Output 2 12 3 6" xfId="28587" xr:uid="{BF58B83D-2BED-4497-B127-B41179068353}"/>
    <cellStyle name="Output 2 12 4" xfId="4712" xr:uid="{00000000-0005-0000-0000-0000C7070000}"/>
    <cellStyle name="Output 2 12 4 2" xfId="11610" xr:uid="{596945F2-2141-4B71-B1F8-5A3684299B8E}"/>
    <cellStyle name="Output 2 12 4 2 2" xfId="34096" xr:uid="{020FD0E5-C0B6-40A0-B4A4-3AFE357C29AC}"/>
    <cellStyle name="Output 2 12 4 2 3" xfId="25238" xr:uid="{134356E0-559F-4DA0-9BFD-CDC3637125B8}"/>
    <cellStyle name="Output 2 12 4 3" xfId="16649" xr:uid="{27493204-D934-404F-90F4-914C8FABBCA3}"/>
    <cellStyle name="Output 2 12 4 3 2" xfId="39039" xr:uid="{D4F4B721-CA02-43D2-9934-8C7F68A15248}"/>
    <cellStyle name="Output 2 12 4 3 3" xfId="45577" xr:uid="{B8AB2D67-F739-4141-8178-C337C2BDA436}"/>
    <cellStyle name="Output 2 12 4 4" xfId="14804" xr:uid="{10FD3A8F-F8C1-4249-BDFA-7367EFE4D293}"/>
    <cellStyle name="Output 2 12 4 4 2" xfId="37260" xr:uid="{714A3E75-3C9E-49AF-9C5E-8CA11336F88C}"/>
    <cellStyle name="Output 2 12 4 4 3" xfId="51045" xr:uid="{06B5BD5D-A027-4243-AC87-A58B39E6F4F9}"/>
    <cellStyle name="Output 2 12 4 5" xfId="20075" xr:uid="{A1A0CE28-EC6E-4163-B569-85445E598CB4}"/>
    <cellStyle name="Output 2 12 4 5 2" xfId="30657" xr:uid="{F7F1BAD1-C0EA-4F60-8E4B-F7A9C043C47E}"/>
    <cellStyle name="Output 2 12 4 6" xfId="46821" xr:uid="{692E1DDB-9AF2-4002-ACF2-6E2070E475EA}"/>
    <cellStyle name="Output 2 12 5" xfId="4753" xr:uid="{00000000-0005-0000-0000-0000C7070000}"/>
    <cellStyle name="Output 2 12 5 2" xfId="11651" xr:uid="{A2EC4B61-8F23-4BEF-A3A6-F7948E682961}"/>
    <cellStyle name="Output 2 12 5 2 2" xfId="34137" xr:uid="{E8BA4539-3D3D-409D-BD26-58381717B578}"/>
    <cellStyle name="Output 2 12 5 2 3" xfId="28987" xr:uid="{D94CF743-1423-4F2A-B2C4-02025D6CBC93}"/>
    <cellStyle name="Output 2 12 5 3" xfId="16690" xr:uid="{8C0EC6CF-9D3F-48D1-B695-FCD6D90CB03B}"/>
    <cellStyle name="Output 2 12 5 3 2" xfId="39080" xr:uid="{E9BB65EC-4163-4F05-BD08-580FE61DDA64}"/>
    <cellStyle name="Output 2 12 5 3 3" xfId="29022" xr:uid="{2791D132-73FF-4054-875C-5479134838C4}"/>
    <cellStyle name="Output 2 12 5 4" xfId="14706" xr:uid="{16F22E90-AA99-4477-B761-28DCD8E2DCDE}"/>
    <cellStyle name="Output 2 12 5 4 2" xfId="37164" xr:uid="{98946BE4-49A2-4BB9-8A9A-5253578B1C76}"/>
    <cellStyle name="Output 2 12 5 4 3" xfId="50007" xr:uid="{5AD25D6B-FEFE-4327-A807-61454F190E73}"/>
    <cellStyle name="Output 2 12 5 5" xfId="14972" xr:uid="{92136D5E-D075-47E1-ADCD-5AF4D34B5035}"/>
    <cellStyle name="Output 2 12 5 5 2" xfId="24294" xr:uid="{6E7579A2-9911-4E25-9772-D47B9861D232}"/>
    <cellStyle name="Output 2 12 5 6" xfId="52925" xr:uid="{62093B4F-13BC-4C95-92AC-E1FF52692EDC}"/>
    <cellStyle name="Output 2 12 6" xfId="4603" xr:uid="{00000000-0005-0000-0000-0000C7070000}"/>
    <cellStyle name="Output 2 12 6 2" xfId="11504" xr:uid="{6F0458CC-CA40-46B5-A19B-CFD30EA159CE}"/>
    <cellStyle name="Output 2 12 6 2 2" xfId="33990" xr:uid="{4739F40F-CB6E-493A-B3C7-E80408242D8B}"/>
    <cellStyle name="Output 2 12 6 2 3" xfId="27860" xr:uid="{640468C6-2348-45E2-8F36-CBE1FCDECE09}"/>
    <cellStyle name="Output 2 12 6 3" xfId="16540" xr:uid="{06522253-59D1-4144-AA17-1FCC488C0CD2}"/>
    <cellStyle name="Output 2 12 6 3 2" xfId="38930" xr:uid="{7D8CB26B-F99C-47A9-9EC3-6099BC47D469}"/>
    <cellStyle name="Output 2 12 6 3 3" xfId="43891" xr:uid="{F23FFA1A-57FF-4D51-ABED-A1A1EE284FE5}"/>
    <cellStyle name="Output 2 12 6 4" xfId="8879" xr:uid="{E31F1471-B5A7-4310-A6D6-CE5A41B0D47D}"/>
    <cellStyle name="Output 2 12 6 4 2" xfId="31460" xr:uid="{0C731F9E-AC6B-490F-8D58-47B3CC969333}"/>
    <cellStyle name="Output 2 12 6 4 3" xfId="30973" xr:uid="{91D72D30-38D0-45F7-9962-837540E40F8D}"/>
    <cellStyle name="Output 2 12 6 5" xfId="14014" xr:uid="{946B4FCD-6D65-4006-A29A-D0F4CB601180}"/>
    <cellStyle name="Output 2 12 6 5 2" xfId="49538" xr:uid="{FD24CEE6-3C3C-4967-B469-6E4C8FAC7CEC}"/>
    <cellStyle name="Output 2 12 6 6" xfId="49516" xr:uid="{FA132739-8916-4A1E-BBCE-0A929FA5C3D8}"/>
    <cellStyle name="Output 2 12 7" xfId="6809" xr:uid="{00000000-0005-0000-0000-0000C7070000}"/>
    <cellStyle name="Output 2 12 7 2" xfId="13657" xr:uid="{074B9828-E9FD-4AC4-852F-5138CACC8F3A}"/>
    <cellStyle name="Output 2 12 7 2 2" xfId="36141" xr:uid="{A3EB183E-D88A-42FC-878D-1280C25599B4}"/>
    <cellStyle name="Output 2 12 7 2 3" xfId="51373" xr:uid="{148F7C91-5848-41DE-A96F-E9CBF0F01BCF}"/>
    <cellStyle name="Output 2 12 7 3" xfId="18746" xr:uid="{762073EE-AA49-4B6D-920E-1F54CC6C8400}"/>
    <cellStyle name="Output 2 12 7 3 2" xfId="41136" xr:uid="{F5546006-6C20-4B9E-90B6-8D006C35B099}"/>
    <cellStyle name="Output 2 12 7 3 3" xfId="32432" xr:uid="{8D08E029-8931-4ECF-8312-E73A9317F732}"/>
    <cellStyle name="Output 2 12 7 4" xfId="20854" xr:uid="{C99EA843-529B-4FB2-ABDE-518D9B35823D}"/>
    <cellStyle name="Output 2 12 7 4 2" xfId="43119" xr:uid="{1EE85B09-3AA1-4BCA-A5DE-FB08F63CA7E9}"/>
    <cellStyle name="Output 2 12 7 4 3" xfId="46148" xr:uid="{D90CEB99-BAE4-46D0-A495-A9D92930AA27}"/>
    <cellStyle name="Output 2 12 7 5" xfId="23170" xr:uid="{D3BF5FD0-3A71-44E2-A506-A13563854C22}"/>
    <cellStyle name="Output 2 12 7 5 2" xfId="46395" xr:uid="{1EC8866E-AF94-4B71-84CA-7BCEDF5C9FDD}"/>
    <cellStyle name="Output 2 12 7 6" xfId="48850" xr:uid="{E015E3DB-5F05-491D-8A4C-8650FC32DBB6}"/>
    <cellStyle name="Output 2 12 8" xfId="7352" xr:uid="{DE832A03-DCBD-4C73-8F70-A765624B572E}"/>
    <cellStyle name="Output 2 12 8 2" xfId="30038" xr:uid="{E79FE4F4-B33E-4F7F-8759-39CE8875F7A3}"/>
    <cellStyle name="Output 2 12 8 3" xfId="35845" xr:uid="{0668DF25-5935-4B46-AF42-8FCC3419169F}"/>
    <cellStyle name="Output 2 12 9" xfId="8269" xr:uid="{5BDBF1E2-3DC2-4C45-9079-3722C3813052}"/>
    <cellStyle name="Output 2 12 9 2" xfId="30871" xr:uid="{3E160DDC-7954-4D08-899D-80DB9EF6F81F}"/>
    <cellStyle name="Output 2 12 9 3" xfId="49580" xr:uid="{47E58703-6A6D-4125-A7B6-B09FBF00EF79}"/>
    <cellStyle name="Output 2 13" xfId="1055" xr:uid="{00000000-0005-0000-0000-0000CB070000}"/>
    <cellStyle name="Output 2 13 10" xfId="7793" xr:uid="{24433078-D49F-4B1E-9970-1A4856996C04}"/>
    <cellStyle name="Output 2 13 10 2" xfId="46951" xr:uid="{E9A15E71-E8FF-46EC-9900-B6D8357F08B0}"/>
    <cellStyle name="Output 2 13 11" xfId="45240" xr:uid="{9064EF3C-F805-4755-B5A2-DF74D32368BD}"/>
    <cellStyle name="Output 2 13 2" xfId="1945" xr:uid="{00000000-0005-0000-0000-0000CC070000}"/>
    <cellStyle name="Output 2 13 2 10" xfId="14612" xr:uid="{C54F59A0-7275-407F-8434-ED84F7629517}"/>
    <cellStyle name="Output 2 13 2 10 2" xfId="37073" xr:uid="{EAD527FA-1A4C-474C-BD5C-A88D9F4E15C7}"/>
    <cellStyle name="Output 2 13 2 10 3" xfId="49326" xr:uid="{492943E9-7437-4C6F-967D-971E0228D402}"/>
    <cellStyle name="Output 2 13 2 11" xfId="19317" xr:uid="{7E9E240C-435C-43EF-A1FD-C462B4DA97DE}"/>
    <cellStyle name="Output 2 13 2 11 2" xfId="41697" xr:uid="{A1F0B237-DF08-4DA2-AF13-0DFEA214E9AD}"/>
    <cellStyle name="Output 2 13 2 11 3" xfId="30654" xr:uid="{1F46349B-BE86-44D8-AE51-7EB546C97948}"/>
    <cellStyle name="Output 2 13 2 12" xfId="20577" xr:uid="{1CC6712A-6EFA-461D-93A9-6AEDD4DA871A}"/>
    <cellStyle name="Output 2 13 2 12 2" xfId="50640" xr:uid="{A9AC2466-0B10-469C-9CBC-B4928E29A52C}"/>
    <cellStyle name="Output 2 13 2 13" xfId="48894" xr:uid="{8F74CAFA-0BEC-491D-AEFE-4FD232387B04}"/>
    <cellStyle name="Output 2 13 2 2" xfId="4041" xr:uid="{00000000-0005-0000-0000-0000CA070000}"/>
    <cellStyle name="Output 2 13 2 2 2" xfId="10945" xr:uid="{0CBF8511-F8C1-4A36-A35A-C28BCE9DA703}"/>
    <cellStyle name="Output 2 13 2 2 2 2" xfId="33431" xr:uid="{1C9CF62D-03D4-4089-9037-8BEB43D9BB47}"/>
    <cellStyle name="Output 2 13 2 2 2 3" xfId="26057" xr:uid="{0A002962-3C97-4FA6-A2B3-387953783C28}"/>
    <cellStyle name="Output 2 13 2 2 3" xfId="16062" xr:uid="{61CAF82F-4AF6-4E98-8694-EE340EFB0261}"/>
    <cellStyle name="Output 2 13 2 2 3 2" xfId="38463" xr:uid="{6EB6B676-E793-4527-8C4E-6BF17C38AD74}"/>
    <cellStyle name="Output 2 13 2 2 3 3" xfId="49334" xr:uid="{30ED714D-694E-4F59-8203-3059A28D763C}"/>
    <cellStyle name="Output 2 13 2 2 4" xfId="20964" xr:uid="{0EBEFF31-DFE9-4935-945E-B75719FEFC3E}"/>
    <cellStyle name="Output 2 13 2 2 4 2" xfId="43218" xr:uid="{1E8396D7-535B-429B-B550-E514D6B420C9}"/>
    <cellStyle name="Output 2 13 2 2 4 3" xfId="50594" xr:uid="{F8C433AC-A67A-4AAB-8FB5-1EDEF7FB1349}"/>
    <cellStyle name="Output 2 13 2 2 5" xfId="19903" xr:uid="{DDE3BDAB-3FB2-49B3-8159-AF65C17439FD}"/>
    <cellStyle name="Output 2 13 2 2 5 2" xfId="43127" xr:uid="{7DB63EF7-A816-4596-B871-D6356D9A6355}"/>
    <cellStyle name="Output 2 13 2 2 6" xfId="25851" xr:uid="{12F33065-0258-4CFA-A62F-1F5E1E3132BA}"/>
    <cellStyle name="Output 2 13 2 3" xfId="5414" xr:uid="{00000000-0005-0000-0000-0000CA070000}"/>
    <cellStyle name="Output 2 13 2 3 2" xfId="12305" xr:uid="{25E7D03F-88A1-40BA-9806-8B6D8A8C3BE8}"/>
    <cellStyle name="Output 2 13 2 3 2 2" xfId="34790" xr:uid="{ADCB640B-6BFC-456D-8E42-5EF1B11B4783}"/>
    <cellStyle name="Output 2 13 2 3 2 3" xfId="44576" xr:uid="{4FE6F4C3-2F38-4675-A7C4-8E2C761E4800}"/>
    <cellStyle name="Output 2 13 2 3 3" xfId="17351" xr:uid="{CD5FCD6F-A82B-4E4D-8E42-4A87734FE758}"/>
    <cellStyle name="Output 2 13 2 3 3 2" xfId="39741" xr:uid="{5AD9607F-BA66-4675-B594-A663D629840F}"/>
    <cellStyle name="Output 2 13 2 3 3 3" xfId="32491" xr:uid="{25750EC4-8E73-4623-BD4E-A18F8C9E50C6}"/>
    <cellStyle name="Output 2 13 2 3 4" xfId="14300" xr:uid="{2D35060A-A297-4FFD-B796-35ED4CB2E9AE}"/>
    <cellStyle name="Output 2 13 2 3 4 2" xfId="36769" xr:uid="{209D31A7-C6B3-481B-B0C8-02C80FB0A4BD}"/>
    <cellStyle name="Output 2 13 2 3 4 3" xfId="51827" xr:uid="{E74CE8B3-D2C2-4B07-AEA2-96FAB629A459}"/>
    <cellStyle name="Output 2 13 2 3 5" xfId="21775" xr:uid="{7CFD0EE0-C700-45FA-8AE9-A23524CAEF0B}"/>
    <cellStyle name="Output 2 13 2 3 5 2" xfId="26965" xr:uid="{63198F3A-4561-4389-A0DF-E802964F3447}"/>
    <cellStyle name="Output 2 13 2 3 6" xfId="27525" xr:uid="{9051B574-9F6B-405D-A622-8380DF00D2ED}"/>
    <cellStyle name="Output 2 13 2 4" xfId="5826" xr:uid="{00000000-0005-0000-0000-0000CA070000}"/>
    <cellStyle name="Output 2 13 2 4 2" xfId="12709" xr:uid="{7EDB37B0-DEEA-4BA7-8F44-F91293C6CF00}"/>
    <cellStyle name="Output 2 13 2 4 2 2" xfId="35194" xr:uid="{986CA17B-5E49-4005-A6C6-211B3DD28C4D}"/>
    <cellStyle name="Output 2 13 2 4 2 3" xfId="26109" xr:uid="{F8C9F795-D0DC-437A-A18E-4A7C29623698}"/>
    <cellStyle name="Output 2 13 2 4 3" xfId="17763" xr:uid="{8DAF081A-89C1-464B-8CC0-77E0B7D3BE09}"/>
    <cellStyle name="Output 2 13 2 4 3 2" xfId="40153" xr:uid="{1C599C12-AB73-4933-8842-D8045B427E9E}"/>
    <cellStyle name="Output 2 13 2 4 3 3" xfId="29741" xr:uid="{987F0271-6B07-4BC4-AE85-C1DF84D9C15B}"/>
    <cellStyle name="Output 2 13 2 4 4" xfId="19843" xr:uid="{472E7280-285C-458B-8377-453810D2FA66}"/>
    <cellStyle name="Output 2 13 2 4 4 2" xfId="42179" xr:uid="{5F6677E0-7CE0-44E8-89D3-79FAA77EB289}"/>
    <cellStyle name="Output 2 13 2 4 4 3" xfId="32158" xr:uid="{DB0B4A96-41D0-4450-80D0-6B6FF50C35F1}"/>
    <cellStyle name="Output 2 13 2 4 5" xfId="22187" xr:uid="{24AE8F46-0B31-4CFF-9409-50864E4E7168}"/>
    <cellStyle name="Output 2 13 2 4 5 2" xfId="45699" xr:uid="{ED30DE41-2DB6-4A4F-98FE-A52AB76B8581}"/>
    <cellStyle name="Output 2 13 2 4 6" xfId="46728" xr:uid="{D2AFAC31-8736-42F9-87B2-002F0DB28F4F}"/>
    <cellStyle name="Output 2 13 2 5" xfId="6172" xr:uid="{00000000-0005-0000-0000-0000CA070000}"/>
    <cellStyle name="Output 2 13 2 5 2" xfId="13049" xr:uid="{AF970042-D646-487F-B64C-759C19BD73B1}"/>
    <cellStyle name="Output 2 13 2 5 2 2" xfId="35533" xr:uid="{047ACC7F-7D54-4240-8B96-E21806FD6831}"/>
    <cellStyle name="Output 2 13 2 5 2 3" xfId="53113" xr:uid="{26BA1C70-189E-4234-96FE-12AF617B2722}"/>
    <cellStyle name="Output 2 13 2 5 3" xfId="18109" xr:uid="{0E4D1F14-4761-4857-84EA-541612529AFB}"/>
    <cellStyle name="Output 2 13 2 5 3 2" xfId="40499" xr:uid="{8FEB800B-DDB9-4B31-9E68-6122668C6D0C}"/>
    <cellStyle name="Output 2 13 2 5 3 3" xfId="30774" xr:uid="{09FB7E41-B5DD-4766-9F5E-6818A480CC63}"/>
    <cellStyle name="Output 2 13 2 5 4" xfId="14293" xr:uid="{7449E05D-1CF8-4667-B616-2A558A031048}"/>
    <cellStyle name="Output 2 13 2 5 4 2" xfId="36762" xr:uid="{04FBD328-67DC-46BB-AAB3-0B7256F186BF}"/>
    <cellStyle name="Output 2 13 2 5 4 3" xfId="50056" xr:uid="{BD276A07-1792-47A5-AA73-7C1CE124F64A}"/>
    <cellStyle name="Output 2 13 2 5 5" xfId="22533" xr:uid="{5F759FDC-DF88-4B3F-A062-745F5129A6B4}"/>
    <cellStyle name="Output 2 13 2 5 5 2" xfId="46924" xr:uid="{7E5A7A8B-651E-45FC-A1BF-7BD41DE89F80}"/>
    <cellStyle name="Output 2 13 2 5 6" xfId="30983" xr:uid="{EC79DDC4-2330-44D7-B50F-533D13BC68A6}"/>
    <cellStyle name="Output 2 13 2 6" xfId="6543" xr:uid="{00000000-0005-0000-0000-0000CA070000}"/>
    <cellStyle name="Output 2 13 2 6 2" xfId="13412" xr:uid="{E324908D-FDFD-4C2F-B787-C83C031F68B5}"/>
    <cellStyle name="Output 2 13 2 6 2 2" xfId="35896" xr:uid="{AB4334A9-4E86-42CA-9753-B2B7CC236C29}"/>
    <cellStyle name="Output 2 13 2 6 2 3" xfId="49053" xr:uid="{E2E65F06-458C-4D41-892B-8324919431E8}"/>
    <cellStyle name="Output 2 13 2 6 3" xfId="18480" xr:uid="{89A40B6F-3CBB-4060-96A2-1019498C3C08}"/>
    <cellStyle name="Output 2 13 2 6 3 2" xfId="40870" xr:uid="{0304C22A-4F67-44D8-946B-E6988162EDD7}"/>
    <cellStyle name="Output 2 13 2 6 3 3" xfId="30618" xr:uid="{C185D8DC-92D2-4E42-BF8F-587B1BA910BD}"/>
    <cellStyle name="Output 2 13 2 6 4" xfId="20339" xr:uid="{5EE5F483-EBC6-4435-BBC2-C475F8530840}"/>
    <cellStyle name="Output 2 13 2 6 4 2" xfId="42637" xr:uid="{ED289E0F-F3DC-43D7-945C-4DCE79798EBB}"/>
    <cellStyle name="Output 2 13 2 6 4 3" xfId="29393" xr:uid="{438F6885-BFC8-4394-AB28-EE3CC5ADFC73}"/>
    <cellStyle name="Output 2 13 2 6 5" xfId="22904" xr:uid="{FA66EA88-A456-4725-9756-4B298AF97941}"/>
    <cellStyle name="Output 2 13 2 6 5 2" xfId="52908" xr:uid="{A7915EB3-9265-4D5C-BDFB-D09581C0E938}"/>
    <cellStyle name="Output 2 13 2 6 6" xfId="53410" xr:uid="{562DBD89-0418-4FB0-B27E-C564987F8099}"/>
    <cellStyle name="Output 2 13 2 7" xfId="6191" xr:uid="{00000000-0005-0000-0000-0000CA070000}"/>
    <cellStyle name="Output 2 13 2 7 2" xfId="13066" xr:uid="{1BC858A0-BC49-426D-B809-303172FA5277}"/>
    <cellStyle name="Output 2 13 2 7 2 2" xfId="35550" xr:uid="{89B6568F-E699-4453-8EB7-38CBFDBA0510}"/>
    <cellStyle name="Output 2 13 2 7 2 3" xfId="27211" xr:uid="{839C1AF1-4B3C-462C-B92B-F22D4CC3CA3B}"/>
    <cellStyle name="Output 2 13 2 7 3" xfId="18128" xr:uid="{81E08E32-20ED-4081-B03C-831BC6B07EE8}"/>
    <cellStyle name="Output 2 13 2 7 3 2" xfId="40518" xr:uid="{F3111362-8ED0-4AED-8B16-70AC8BFBB23B}"/>
    <cellStyle name="Output 2 13 2 7 3 3" xfId="43970" xr:uid="{D2ABDC83-2ADA-4A91-A9D0-BC4E9E0EA01E}"/>
    <cellStyle name="Output 2 13 2 7 4" xfId="15000" xr:uid="{FD2CE39B-69F0-42D0-8D8B-073E6F932F93}"/>
    <cellStyle name="Output 2 13 2 7 4 2" xfId="37450" xr:uid="{D27FD8C3-96D1-49E0-B666-156CC9499B63}"/>
    <cellStyle name="Output 2 13 2 7 4 3" xfId="52970" xr:uid="{6DF95631-B402-4184-8430-A9F07448B4AA}"/>
    <cellStyle name="Output 2 13 2 7 5" xfId="22552" xr:uid="{53CAD8AA-A1ED-44AC-83F6-6117D1C9EB70}"/>
    <cellStyle name="Output 2 13 2 7 5 2" xfId="50994" xr:uid="{AA0E5B93-C8D7-4419-940F-30FB0D31AF74}"/>
    <cellStyle name="Output 2 13 2 7 6" xfId="46839" xr:uid="{3FDCB7CA-1532-4913-9593-F08A23BFC562}"/>
    <cellStyle name="Output 2 13 2 8" xfId="7027" xr:uid="{00000000-0005-0000-0000-0000CA070000}"/>
    <cellStyle name="Output 2 13 2 8 2" xfId="13864" xr:uid="{F95590A6-3A60-4297-8F53-0E9894B739B3}"/>
    <cellStyle name="Output 2 13 2 8 2 2" xfId="36348" xr:uid="{DCBE1B4E-7009-480E-9E87-B45E7E054CFE}"/>
    <cellStyle name="Output 2 13 2 8 2 3" xfId="25384" xr:uid="{C142F783-C3A6-4681-91CE-710DB453D3BD}"/>
    <cellStyle name="Output 2 13 2 8 3" xfId="18964" xr:uid="{F5FB55D0-CA85-4368-8CE2-90F15823B81F}"/>
    <cellStyle name="Output 2 13 2 8 3 2" xfId="41354" xr:uid="{5E729132-B130-41DA-B205-2EFE23C2267F}"/>
    <cellStyle name="Output 2 13 2 8 3 3" xfId="45106" xr:uid="{88F75462-1AAB-4741-BD89-2C6EEB131D41}"/>
    <cellStyle name="Output 2 13 2 8 4" xfId="19788" xr:uid="{9D3226D1-F91B-4F3A-B596-274D0F7F3108}"/>
    <cellStyle name="Output 2 13 2 8 4 2" xfId="42126" xr:uid="{625D7909-E372-446D-9530-9B966CD9D033}"/>
    <cellStyle name="Output 2 13 2 8 4 3" xfId="45126" xr:uid="{1CB0A39F-1343-421B-8554-97751FA84E3C}"/>
    <cellStyle name="Output 2 13 2 8 5" xfId="23388" xr:uid="{6B6147F7-1A29-43EB-A94D-FA477ED977B4}"/>
    <cellStyle name="Output 2 13 2 8 5 2" xfId="51542" xr:uid="{CCAE8525-CD92-4923-88A2-40901C2D9680}"/>
    <cellStyle name="Output 2 13 2 8 6" xfId="28142" xr:uid="{59D15041-79FE-4FA3-A203-05C5C01D103E}"/>
    <cellStyle name="Output 2 13 2 9" xfId="7143" xr:uid="{00000000-0005-0000-0000-0000CA070000}"/>
    <cellStyle name="Output 2 13 2 9 2" xfId="19080" xr:uid="{5B2472EA-D27F-4D80-A37F-824CEB07501E}"/>
    <cellStyle name="Output 2 13 2 9 2 2" xfId="41470" xr:uid="{12E7FDB4-1B4F-44B3-B078-094B8FD380E2}"/>
    <cellStyle name="Output 2 13 2 9 2 3" xfId="44203" xr:uid="{46EBB2FA-EF28-48B9-A181-64409487C969}"/>
    <cellStyle name="Output 2 13 2 9 3" xfId="20901" xr:uid="{5C7C5C9A-9590-4E5B-B33F-15489B482D2C}"/>
    <cellStyle name="Output 2 13 2 9 3 2" xfId="43162" xr:uid="{8E3CE791-5AB5-4226-A1F4-5760623C8243}"/>
    <cellStyle name="Output 2 13 2 9 3 3" xfId="47556" xr:uid="{82A46A7D-D773-45FB-9045-59298F8D2B74}"/>
    <cellStyle name="Output 2 13 2 9 4" xfId="23504" xr:uid="{366B9623-4A76-4A66-A5DF-4253ABAEB250}"/>
    <cellStyle name="Output 2 13 2 9 4 2" xfId="48053" xr:uid="{75DD3F8D-0E97-4028-8ED7-C25C7853C436}"/>
    <cellStyle name="Output 2 13 2 9 5" xfId="52304" xr:uid="{6BB1C8D3-DD5A-460F-B27E-78E5B7108A30}"/>
    <cellStyle name="Output 2 13 3" xfId="3175" xr:uid="{00000000-0005-0000-0000-0000C9070000}"/>
    <cellStyle name="Output 2 13 3 2" xfId="10084" xr:uid="{A8A26017-ED3F-4CBA-A699-E14B304EE1F9}"/>
    <cellStyle name="Output 2 13 3 2 2" xfId="32591" xr:uid="{D8B556F4-ABFE-4664-9A06-03BEF85C0BF1}"/>
    <cellStyle name="Output 2 13 3 2 3" xfId="48969" xr:uid="{F142DAA9-F9FA-4471-81EC-FE757F94D5C8}"/>
    <cellStyle name="Output 2 13 3 3" xfId="15461" xr:uid="{CECAF318-F363-452D-9622-BA03937CA5C8}"/>
    <cellStyle name="Output 2 13 3 3 2" xfId="37887" xr:uid="{3DC3381A-E256-4CF0-8746-094E3906E875}"/>
    <cellStyle name="Output 2 13 3 3 3" xfId="48692" xr:uid="{6817AA97-3354-4849-96B3-25B782192B87}"/>
    <cellStyle name="Output 2 13 3 4" xfId="19872" xr:uid="{0A6B673F-5356-447F-ABF5-E9AFD76E9390}"/>
    <cellStyle name="Output 2 13 3 4 2" xfId="42206" xr:uid="{66B54277-102E-4110-8CA5-767D6620444E}"/>
    <cellStyle name="Output 2 13 3 4 3" xfId="41963" xr:uid="{04E0EBD9-8E81-4AC1-9979-CFEFBB9EA7B4}"/>
    <cellStyle name="Output 2 13 3 5" xfId="15803" xr:uid="{34901A33-1314-430E-B3F9-4F2BA85F2569}"/>
    <cellStyle name="Output 2 13 3 5 2" xfId="49986" xr:uid="{4D3A0ED6-11E2-4D43-A92C-29312772CA9A}"/>
    <cellStyle name="Output 2 13 3 6" xfId="27354" xr:uid="{DC20E1E7-3121-4ADC-8FF3-48DC77315BA4}"/>
    <cellStyle name="Output 2 13 4" xfId="4828" xr:uid="{00000000-0005-0000-0000-0000C9070000}"/>
    <cellStyle name="Output 2 13 4 2" xfId="11725" xr:uid="{216E44E3-CF0A-4826-A361-4076499A30E9}"/>
    <cellStyle name="Output 2 13 4 2 2" xfId="34211" xr:uid="{8674741D-CBDE-4E83-A658-B9189BAFDFDE}"/>
    <cellStyle name="Output 2 13 4 2 3" xfId="31001" xr:uid="{11246632-49A8-447E-9071-2C204A84714B}"/>
    <cellStyle name="Output 2 13 4 3" xfId="16765" xr:uid="{D22EC91B-DC01-4FCD-A540-640D4A5A11F7}"/>
    <cellStyle name="Output 2 13 4 3 2" xfId="39155" xr:uid="{74F423C8-4941-45F9-B9A7-734845E55E82}"/>
    <cellStyle name="Output 2 13 4 3 3" xfId="32331" xr:uid="{C32B9E15-0C6C-4BE6-B7A2-60753885C5EB}"/>
    <cellStyle name="Output 2 13 4 4" xfId="14947" xr:uid="{145EF32C-720A-427C-81D6-AE6627B912B3}"/>
    <cellStyle name="Output 2 13 4 4 2" xfId="37401" xr:uid="{565E68E9-CB7B-4523-92D3-1861146C22F8}"/>
    <cellStyle name="Output 2 13 4 4 3" xfId="48638" xr:uid="{346E9FAF-5E32-4DBD-AFA6-A8174B47FF89}"/>
    <cellStyle name="Output 2 13 4 5" xfId="20292" xr:uid="{0609BDB8-61C0-46A0-99FB-3A118320DE6D}"/>
    <cellStyle name="Output 2 13 4 5 2" xfId="49543" xr:uid="{3A354CA2-136B-4F83-A768-B2AEFFCA1C82}"/>
    <cellStyle name="Output 2 13 4 6" xfId="46610" xr:uid="{BCDFFDA4-2EBA-4F57-8DFA-5A42915A6659}"/>
    <cellStyle name="Output 2 13 5" xfId="4670" xr:uid="{00000000-0005-0000-0000-0000C9070000}"/>
    <cellStyle name="Output 2 13 5 2" xfId="11568" xr:uid="{59D7957D-9F11-4F8A-9B54-2747F070786E}"/>
    <cellStyle name="Output 2 13 5 2 2" xfId="34054" xr:uid="{9FA936DF-CF6D-4ACF-B0E4-30656D297B75}"/>
    <cellStyle name="Output 2 13 5 2 3" xfId="26359" xr:uid="{2B731717-CC83-4E90-B58D-B03F7E61E1D9}"/>
    <cellStyle name="Output 2 13 5 3" xfId="16607" xr:uid="{5AD122B2-C7AA-492B-B96A-683F07850453}"/>
    <cellStyle name="Output 2 13 5 3 2" xfId="38997" xr:uid="{2AF72609-9ABB-40B2-832D-2569221DDFC3}"/>
    <cellStyle name="Output 2 13 5 3 3" xfId="29295" xr:uid="{AA83D128-5A66-4B2E-ADE6-107EFE20DC81}"/>
    <cellStyle name="Output 2 13 5 4" xfId="19582" xr:uid="{6C32E3B3-426E-46F1-99D3-B9579217B6B4}"/>
    <cellStyle name="Output 2 13 5 4 2" xfId="41938" xr:uid="{1CCFBE80-8F6C-403C-8A9A-5BD522F874D7}"/>
    <cellStyle name="Output 2 13 5 4 3" xfId="42884" xr:uid="{15D0E61C-8AF9-4657-A0A9-7860E09C12F0}"/>
    <cellStyle name="Output 2 13 5 5" xfId="21234" xr:uid="{BA5701AD-E1EF-4A8A-A305-9428F05387C0}"/>
    <cellStyle name="Output 2 13 5 5 2" xfId="50208" xr:uid="{B4257903-B358-4020-8B0D-D8E79ACC71FA}"/>
    <cellStyle name="Output 2 13 5 6" xfId="44213" xr:uid="{F769CE9A-1D19-46A0-909F-3E89B178C2C2}"/>
    <cellStyle name="Output 2 13 6" xfId="5756" xr:uid="{00000000-0005-0000-0000-0000C9070000}"/>
    <cellStyle name="Output 2 13 6 2" xfId="12640" xr:uid="{4928E057-4701-4825-B995-87D896615AB0}"/>
    <cellStyle name="Output 2 13 6 2 2" xfId="35125" xr:uid="{44AD8B8A-E7BD-4600-82B1-B5AC8F5EC133}"/>
    <cellStyle name="Output 2 13 6 2 3" xfId="29806" xr:uid="{4054DDEA-8EBF-44A3-991E-AA6F8CAADC80}"/>
    <cellStyle name="Output 2 13 6 3" xfId="17693" xr:uid="{FDFBD931-A897-4F35-B22B-8318BD199A69}"/>
    <cellStyle name="Output 2 13 6 3 2" xfId="40083" xr:uid="{AADB2154-03DC-44C0-8E95-314C358D8752}"/>
    <cellStyle name="Output 2 13 6 3 3" xfId="30220" xr:uid="{6F9FC0D5-C2E2-4993-8C8A-3FDAE8FFC7E7}"/>
    <cellStyle name="Output 2 13 6 4" xfId="8732" xr:uid="{80B0AA3D-222B-4DF1-914E-A93F68C33965}"/>
    <cellStyle name="Output 2 13 6 4 2" xfId="31315" xr:uid="{AC0047AF-4FE2-4BC3-AE42-A0460F120D71}"/>
    <cellStyle name="Output 2 13 6 4 3" xfId="50147" xr:uid="{398F7836-348B-48CB-B5CE-D5C5A9BAF333}"/>
    <cellStyle name="Output 2 13 6 5" xfId="22117" xr:uid="{52E424F9-6645-4C3A-9A67-8D8F2BA8C47B}"/>
    <cellStyle name="Output 2 13 6 5 2" xfId="31311" xr:uid="{C169AFF3-48DA-481B-B5B6-7D2D24293DAB}"/>
    <cellStyle name="Output 2 13 6 6" xfId="53112" xr:uid="{1CB744C4-8443-4E39-9E9E-D3948D2F081A}"/>
    <cellStyle name="Output 2 13 7" xfId="6772" xr:uid="{00000000-0005-0000-0000-0000C9070000}"/>
    <cellStyle name="Output 2 13 7 2" xfId="13623" xr:uid="{B86E05A9-609B-438B-8B90-730D594BBCF3}"/>
    <cellStyle name="Output 2 13 7 2 2" xfId="36107" xr:uid="{78FBE212-0073-4E41-B37E-9B79360CD8D0}"/>
    <cellStyle name="Output 2 13 7 2 3" xfId="54008" xr:uid="{C6D1356E-3B2C-421D-A08E-062DD92A9A0D}"/>
    <cellStyle name="Output 2 13 7 3" xfId="18709" xr:uid="{EE84B914-0EC6-4D43-8A99-767A720047EE}"/>
    <cellStyle name="Output 2 13 7 3 2" xfId="41099" xr:uid="{5CEEC58F-C54B-41EB-96A0-1972AE18561E}"/>
    <cellStyle name="Output 2 13 7 3 3" xfId="26419" xr:uid="{32D86720-D9E7-4517-8CB5-C60149C3ED5F}"/>
    <cellStyle name="Output 2 13 7 4" xfId="21124" xr:uid="{84575526-0292-4A73-B0FD-7F2ADA87E43D}"/>
    <cellStyle name="Output 2 13 7 4 2" xfId="43370" xr:uid="{30DF1415-F431-40D5-BF4D-E7589A98EEC3}"/>
    <cellStyle name="Output 2 13 7 4 3" xfId="49149" xr:uid="{D0E6B3B9-EE33-4FC9-962E-1F094D098B24}"/>
    <cellStyle name="Output 2 13 7 5" xfId="23133" xr:uid="{60D5C71D-D251-4A32-B4AC-9000F42150D0}"/>
    <cellStyle name="Output 2 13 7 5 2" xfId="27697" xr:uid="{8431F327-7BC0-4107-8D71-87D1391CB89B}"/>
    <cellStyle name="Output 2 13 7 6" xfId="47792" xr:uid="{99B1207A-0BC7-432C-8B5F-55B7A97D6D0C}"/>
    <cellStyle name="Output 2 13 8" xfId="14011" xr:uid="{7D3066BC-D228-459A-9CB3-8DCF75524AA9}"/>
    <cellStyle name="Output 2 13 8 2" xfId="36494" xr:uid="{0A466415-9221-4907-A392-BEA31505A150}"/>
    <cellStyle name="Output 2 13 8 3" xfId="51737" xr:uid="{7605A74A-FC1C-40F9-9380-E85F1FB8EB04}"/>
    <cellStyle name="Output 2 13 9" xfId="19706" xr:uid="{BCD42AF0-ECAB-40FE-B582-36D5A263A884}"/>
    <cellStyle name="Output 2 13 9 2" xfId="42053" xr:uid="{60B37F46-DEEE-43E2-B044-007DF33D0E2A}"/>
    <cellStyle name="Output 2 13 9 3" xfId="27924" xr:uid="{23DAF4A8-1C77-473A-ABAF-4C65F572E1BD}"/>
    <cellStyle name="Output 2 14" xfId="1235" xr:uid="{00000000-0005-0000-0000-0000CD070000}"/>
    <cellStyle name="Output 2 14 10" xfId="19228" xr:uid="{5B910189-4018-4EF7-8842-EE088177CB4C}"/>
    <cellStyle name="Output 2 14 10 2" xfId="43354" xr:uid="{8E60288C-DAB2-4AEB-BF83-BDDC49C2591F}"/>
    <cellStyle name="Output 2 14 11" xfId="51013" xr:uid="{A29505A1-38BF-4F03-9244-1F249A98C111}"/>
    <cellStyle name="Output 2 14 2" xfId="2035" xr:uid="{00000000-0005-0000-0000-0000CE070000}"/>
    <cellStyle name="Output 2 14 2 10" xfId="14683" xr:uid="{42A1B72A-B45D-4E83-A8FF-3C9DA76CF04B}"/>
    <cellStyle name="Output 2 14 2 10 2" xfId="37143" xr:uid="{70AF38CB-564B-4EB7-A384-A935EF72835E}"/>
    <cellStyle name="Output 2 14 2 10 3" xfId="51184" xr:uid="{075FAE90-92A3-4E99-B37E-2F40CCB1E7E7}"/>
    <cellStyle name="Output 2 14 2 11" xfId="20945" xr:uid="{A291CAE7-CF21-452A-B24E-4897E601A1AA}"/>
    <cellStyle name="Output 2 14 2 11 2" xfId="43203" xr:uid="{1EA0B400-DA20-4B8F-8AEE-84E6B8825C40}"/>
    <cellStyle name="Output 2 14 2 11 3" xfId="24806" xr:uid="{488FB19C-E0D5-4FA3-805A-89BBED29B8A2}"/>
    <cellStyle name="Output 2 14 2 12" xfId="8121" xr:uid="{2A6B4C4E-40E3-4B30-99FB-F544212350E9}"/>
    <cellStyle name="Output 2 14 2 12 2" xfId="46729" xr:uid="{7CCEE5C3-0F8C-41A6-A89A-2F5C03372F3C}"/>
    <cellStyle name="Output 2 14 2 13" xfId="53618" xr:uid="{A656F4F9-7ED4-4635-A7AD-93322FF81D91}"/>
    <cellStyle name="Output 2 14 2 2" xfId="4130" xr:uid="{00000000-0005-0000-0000-0000CC070000}"/>
    <cellStyle name="Output 2 14 2 2 2" xfId="11034" xr:uid="{B3FFD4D7-DFF7-40A7-8979-A3EE619602D1}"/>
    <cellStyle name="Output 2 14 2 2 2 2" xfId="33520" xr:uid="{3A9EFFBF-5604-49CA-8678-ED9F29FD9DF7}"/>
    <cellStyle name="Output 2 14 2 2 2 3" xfId="50678" xr:uid="{1A7DC90D-5BB3-44FA-AF9F-9D79B675E741}"/>
    <cellStyle name="Output 2 14 2 2 3" xfId="16134" xr:uid="{DA3CABFD-F4DE-4D70-8463-4089B348EEE9}"/>
    <cellStyle name="Output 2 14 2 2 3 2" xfId="38534" xr:uid="{4DF70630-60E2-4DF0-9F1F-4930647FFAE8}"/>
    <cellStyle name="Output 2 14 2 2 3 3" xfId="28450" xr:uid="{78CF7B74-3450-430C-A297-4AF64D08DB8B}"/>
    <cellStyle name="Output 2 14 2 2 4" xfId="21225" xr:uid="{89DCEAFF-8642-49DF-825F-F0014BF4DAA3}"/>
    <cellStyle name="Output 2 14 2 2 4 2" xfId="43464" xr:uid="{D5807FAB-72EB-4866-9534-29C405384D69}"/>
    <cellStyle name="Output 2 14 2 2 4 3" xfId="53624" xr:uid="{6F1A55B7-2DE1-4003-B49E-29BEDCB0DF9F}"/>
    <cellStyle name="Output 2 14 2 2 5" xfId="13533" xr:uid="{3E6548D2-9F29-4AA8-90C0-02DE2664CF77}"/>
    <cellStyle name="Output 2 14 2 2 5 2" xfId="28336" xr:uid="{76997A44-8E4D-40DE-8A73-CCED548F6339}"/>
    <cellStyle name="Output 2 14 2 2 6" xfId="42705" xr:uid="{BFC3A89F-D8B0-48A7-B707-D6BFF93C8E8A}"/>
    <cellStyle name="Output 2 14 2 3" xfId="5475" xr:uid="{00000000-0005-0000-0000-0000CC070000}"/>
    <cellStyle name="Output 2 14 2 3 2" xfId="12364" xr:uid="{FD32FEED-B55D-4CBF-B4F5-2CFFE5BA84C8}"/>
    <cellStyle name="Output 2 14 2 3 2 2" xfId="34849" xr:uid="{A2CAF034-88E1-45A7-84FA-1AD04A19A338}"/>
    <cellStyle name="Output 2 14 2 3 2 3" xfId="42740" xr:uid="{51CCDD48-848D-41F7-A97E-3DA97D65BF67}"/>
    <cellStyle name="Output 2 14 2 3 3" xfId="17412" xr:uid="{897F4869-C515-455F-A6F3-F9063580DE97}"/>
    <cellStyle name="Output 2 14 2 3 3 2" xfId="39802" xr:uid="{B08C8CF6-77F8-4498-AD38-76DAF523E8EC}"/>
    <cellStyle name="Output 2 14 2 3 3 3" xfId="27779" xr:uid="{8076C5F1-1667-4808-8A5E-8D69F361E3B3}"/>
    <cellStyle name="Output 2 14 2 3 4" xfId="19422" xr:uid="{1AF9A52C-0C46-40C7-9515-09E2B5E3D714}"/>
    <cellStyle name="Output 2 14 2 3 4 2" xfId="41793" xr:uid="{56C79BF1-65B1-4AE9-962B-0FB664EDC27A}"/>
    <cellStyle name="Output 2 14 2 3 4 3" xfId="32456" xr:uid="{D351B35D-C775-4263-97BF-2A322092194B}"/>
    <cellStyle name="Output 2 14 2 3 5" xfId="21836" xr:uid="{6E352255-4697-49CD-8DE5-C69F782E0394}"/>
    <cellStyle name="Output 2 14 2 3 5 2" xfId="51778" xr:uid="{1F07BF49-747E-487E-B529-5B9F657B51B7}"/>
    <cellStyle name="Output 2 14 2 3 6" xfId="52731" xr:uid="{7AF80E17-6C0E-4D76-B3A0-7396DDF60165}"/>
    <cellStyle name="Output 2 14 2 4" xfId="5899" xr:uid="{00000000-0005-0000-0000-0000CC070000}"/>
    <cellStyle name="Output 2 14 2 4 2" xfId="12781" xr:uid="{03FCB043-AAA9-43CB-9CD9-1C1626FD8EB4}"/>
    <cellStyle name="Output 2 14 2 4 2 2" xfId="35265" xr:uid="{02C2274B-81B9-40C2-9EA4-60689A5C5A12}"/>
    <cellStyle name="Output 2 14 2 4 2 3" xfId="45386" xr:uid="{1B1707A8-A6A3-4D48-BC90-2F2E7EFF71DF}"/>
    <cellStyle name="Output 2 14 2 4 3" xfId="17836" xr:uid="{F2334FE5-6581-4DA5-951F-3E2C746B0937}"/>
    <cellStyle name="Output 2 14 2 4 3 2" xfId="40226" xr:uid="{72EB43FE-FB4E-4AF9-BC62-C24CFD8C9DB4}"/>
    <cellStyle name="Output 2 14 2 4 3 3" xfId="44217" xr:uid="{ECBF4AFD-76A3-4B52-A045-6485B53E0158}"/>
    <cellStyle name="Output 2 14 2 4 4" xfId="7586" xr:uid="{9B0BE971-00DC-420C-9F9C-FAABF55625B8}"/>
    <cellStyle name="Output 2 14 2 4 4 2" xfId="30249" xr:uid="{7FE9DF51-BF35-4016-8B7A-C19E2776B4B5}"/>
    <cellStyle name="Output 2 14 2 4 4 3" xfId="48021" xr:uid="{5ED9BCCB-E724-4931-AB27-06F17FA61480}"/>
    <cellStyle name="Output 2 14 2 4 5" xfId="22260" xr:uid="{ADF774AC-23F6-441A-BB51-37B01359701A}"/>
    <cellStyle name="Output 2 14 2 4 5 2" xfId="53249" xr:uid="{64442DE5-0639-4E32-9D38-12E5BC9D8AC5}"/>
    <cellStyle name="Output 2 14 2 4 6" xfId="48313" xr:uid="{8F7107C8-64C1-4677-868C-3AB2D8AB16A8}"/>
    <cellStyle name="Output 2 14 2 5" xfId="6237" xr:uid="{00000000-0005-0000-0000-0000CC070000}"/>
    <cellStyle name="Output 2 14 2 5 2" xfId="13112" xr:uid="{89C1A95A-4E4B-4EC3-AA8D-A8DAACA84EDA}"/>
    <cellStyle name="Output 2 14 2 5 2 2" xfId="35596" xr:uid="{7DA17930-48DD-44E8-A899-D8199331FD47}"/>
    <cellStyle name="Output 2 14 2 5 2 3" xfId="52779" xr:uid="{71903D8E-9593-4DDC-97FF-1F9DF442A336}"/>
    <cellStyle name="Output 2 14 2 5 3" xfId="18174" xr:uid="{08C3F28D-FF67-48C3-A374-DC7C9ABC8B1F}"/>
    <cellStyle name="Output 2 14 2 5 3 2" xfId="40564" xr:uid="{04C20749-901F-4D38-A1BB-AA811F3A2445}"/>
    <cellStyle name="Output 2 14 2 5 3 3" xfId="26079" xr:uid="{B4F724E8-D3C5-455F-A310-1F48FEF3FEFB}"/>
    <cellStyle name="Output 2 14 2 5 4" xfId="19337" xr:uid="{CE94C08A-3943-42E8-8FD7-740753B1272A}"/>
    <cellStyle name="Output 2 14 2 5 4 2" xfId="41714" xr:uid="{6F47BA5C-05B5-4328-B1B6-ACDBB1DF2C78}"/>
    <cellStyle name="Output 2 14 2 5 4 3" xfId="27290" xr:uid="{09E0E3E7-3901-4980-86BA-7B66ED0D278C}"/>
    <cellStyle name="Output 2 14 2 5 5" xfId="22598" xr:uid="{1BD2A111-82E7-4102-B08C-CCB935942E46}"/>
    <cellStyle name="Output 2 14 2 5 5 2" xfId="51766" xr:uid="{02D58FB8-FDCE-4E25-AD64-C1AE18D61855}"/>
    <cellStyle name="Output 2 14 2 5 6" xfId="48641" xr:uid="{837E1590-47B1-4B15-823B-7EF2745BA147}"/>
    <cellStyle name="Output 2 14 2 6" xfId="6602" xr:uid="{00000000-0005-0000-0000-0000CC070000}"/>
    <cellStyle name="Output 2 14 2 6 2" xfId="13468" xr:uid="{132C4223-B87B-48AE-90A6-80E012BD6198}"/>
    <cellStyle name="Output 2 14 2 6 2 2" xfId="35952" xr:uid="{A9589F2A-3869-4733-A03B-DF733BD0DB34}"/>
    <cellStyle name="Output 2 14 2 6 2 3" xfId="46522" xr:uid="{DC34FAC0-A9F3-4140-94CD-BD01E90ECFA7}"/>
    <cellStyle name="Output 2 14 2 6 3" xfId="18539" xr:uid="{0E01A866-7543-4FC4-9BCD-94FC60DF2ADC}"/>
    <cellStyle name="Output 2 14 2 6 3 2" xfId="40929" xr:uid="{CC656FB2-E253-4E41-911B-5A591824BD0A}"/>
    <cellStyle name="Output 2 14 2 6 3 3" xfId="45185" xr:uid="{F4322A2D-9C3C-46D1-A801-18B1E67E124D}"/>
    <cellStyle name="Output 2 14 2 6 4" xfId="20609" xr:uid="{D51F342A-5DAC-4278-8D53-190CA30D5B8F}"/>
    <cellStyle name="Output 2 14 2 6 4 2" xfId="42890" xr:uid="{C9DC9433-B29A-4539-8C28-C9558D2A06E7}"/>
    <cellStyle name="Output 2 14 2 6 4 3" xfId="30124" xr:uid="{707E9AEC-3D04-44AF-9450-F41BEEC27C22}"/>
    <cellStyle name="Output 2 14 2 6 5" xfId="22963" xr:uid="{F4A78862-9F19-43A3-B284-8FB5423797C7}"/>
    <cellStyle name="Output 2 14 2 6 5 2" xfId="52869" xr:uid="{A45FC483-CD74-48C2-80A1-1DC0B2BD603D}"/>
    <cellStyle name="Output 2 14 2 6 6" xfId="51051" xr:uid="{F5EC6553-362B-463D-BA4C-B1F90E55A79C}"/>
    <cellStyle name="Output 2 14 2 7" xfId="4574" xr:uid="{00000000-0005-0000-0000-0000CC070000}"/>
    <cellStyle name="Output 2 14 2 7 2" xfId="11476" xr:uid="{251882C6-C5C9-4642-82E3-3BB46AD0C703}"/>
    <cellStyle name="Output 2 14 2 7 2 2" xfId="33962" xr:uid="{DD5F0F64-0F12-44AE-AD0E-130B4E5D1954}"/>
    <cellStyle name="Output 2 14 2 7 2 3" xfId="26268" xr:uid="{73187B7F-FA01-4A44-A8D5-424BC6908173}"/>
    <cellStyle name="Output 2 14 2 7 3" xfId="16511" xr:uid="{23E663C3-E5BA-4E2C-A50D-C854BF74B36B}"/>
    <cellStyle name="Output 2 14 2 7 3 2" xfId="38901" xr:uid="{CC49BBC0-8EE7-4506-947B-8E88D3AB7F3E}"/>
    <cellStyle name="Output 2 14 2 7 3 3" xfId="29721" xr:uid="{DA3A8661-C3F3-46FE-9E1B-FA5AA8D59CC9}"/>
    <cellStyle name="Output 2 14 2 7 4" xfId="19865" xr:uid="{D69D22BD-D969-4949-96B8-A6885D4BE4A7}"/>
    <cellStyle name="Output 2 14 2 7 4 2" xfId="42200" xr:uid="{BD567451-209C-4ED4-9258-FDD947DDBAE7}"/>
    <cellStyle name="Output 2 14 2 7 4 3" xfId="44711" xr:uid="{E8F50B58-5F52-4235-9283-D68B81C38103}"/>
    <cellStyle name="Output 2 14 2 7 5" xfId="19272" xr:uid="{D7B3F6E0-9495-4B32-9A71-E257C4BB72A9}"/>
    <cellStyle name="Output 2 14 2 7 5 2" xfId="43280" xr:uid="{AF1DE001-072B-41D5-BA56-E40591FF1315}"/>
    <cellStyle name="Output 2 14 2 7 6" xfId="49301" xr:uid="{74EB746A-504F-44C0-BF4F-A11569BFB766}"/>
    <cellStyle name="Output 2 14 2 8" xfId="7072" xr:uid="{00000000-0005-0000-0000-0000CC070000}"/>
    <cellStyle name="Output 2 14 2 8 2" xfId="13908" xr:uid="{D3E644F4-3FDB-42AB-B353-7E1B26157475}"/>
    <cellStyle name="Output 2 14 2 8 2 2" xfId="36392" xr:uid="{2A4AF558-CBA7-472E-A640-296094C82A0D}"/>
    <cellStyle name="Output 2 14 2 8 2 3" xfId="49719" xr:uid="{AB018060-B9D4-4E1F-8620-014921C3EE15}"/>
    <cellStyle name="Output 2 14 2 8 3" xfId="19009" xr:uid="{83421052-65ED-4915-AABE-A8801748F48E}"/>
    <cellStyle name="Output 2 14 2 8 3 2" xfId="41399" xr:uid="{1E9BB93D-88CB-4E5D-9E59-4C54F4A6B22B}"/>
    <cellStyle name="Output 2 14 2 8 3 3" xfId="43419" xr:uid="{1EB4BE01-9BDD-4D21-B15D-9745D93EEAFF}"/>
    <cellStyle name="Output 2 14 2 8 4" xfId="19659" xr:uid="{65BFFAEA-CD17-4DD6-BEB1-5ED905C6D38A}"/>
    <cellStyle name="Output 2 14 2 8 4 2" xfId="42007" xr:uid="{69A40154-608C-4BAA-BE06-A9EC03CF7AF3}"/>
    <cellStyle name="Output 2 14 2 8 4 3" xfId="25879" xr:uid="{E863CF4B-B86F-44E4-9730-69E9D73009F7}"/>
    <cellStyle name="Output 2 14 2 8 5" xfId="23433" xr:uid="{96BDBA5A-64BC-4D6F-B03C-793B111AB4DA}"/>
    <cellStyle name="Output 2 14 2 8 5 2" xfId="46846" xr:uid="{6888E514-6B93-47A6-BFA2-2F84E0B83400}"/>
    <cellStyle name="Output 2 14 2 8 6" xfId="28298" xr:uid="{392AE812-3E9A-4FBB-BCCD-3C0DB7A8D722}"/>
    <cellStyle name="Output 2 14 2 9" xfId="7187" xr:uid="{00000000-0005-0000-0000-0000CC070000}"/>
    <cellStyle name="Output 2 14 2 9 2" xfId="19124" xr:uid="{5000FCEB-B789-4693-AE8D-0A24A524DE4E}"/>
    <cellStyle name="Output 2 14 2 9 2 2" xfId="41514" xr:uid="{3985E0D6-DC34-48FC-B513-BA3169B0AEF8}"/>
    <cellStyle name="Output 2 14 2 9 2 3" xfId="27832" xr:uid="{CDDFC286-2883-4C28-B18F-D4985AF69584}"/>
    <cellStyle name="Output 2 14 2 9 3" xfId="20312" xr:uid="{A3A16B38-3A5D-4AB7-95B5-9A501FE3380E}"/>
    <cellStyle name="Output 2 14 2 9 3 2" xfId="42611" xr:uid="{33D53015-64B8-4E33-B36C-EBBEF0C91AF7}"/>
    <cellStyle name="Output 2 14 2 9 3 3" xfId="28053" xr:uid="{15954859-A6DF-4E4B-A50B-6CD634B0B1BF}"/>
    <cellStyle name="Output 2 14 2 9 4" xfId="23548" xr:uid="{78F83DB4-F87C-48E7-9007-B694DFE92978}"/>
    <cellStyle name="Output 2 14 2 9 4 2" xfId="43723" xr:uid="{5281EB49-450B-4BE2-ABD2-8529D1BFE2BA}"/>
    <cellStyle name="Output 2 14 2 9 5" xfId="53767" xr:uid="{173995B8-86E5-4B24-96EA-84616270B1A5}"/>
    <cellStyle name="Output 2 14 3" xfId="3345" xr:uid="{00000000-0005-0000-0000-0000CB070000}"/>
    <cellStyle name="Output 2 14 3 2" xfId="10253" xr:uid="{ECD676FD-2AF2-4C96-B6CE-16255111D3A4}"/>
    <cellStyle name="Output 2 14 3 2 2" xfId="32747" xr:uid="{7706A910-110A-482F-920D-6A46E0752DA5}"/>
    <cellStyle name="Output 2 14 3 2 3" xfId="50757" xr:uid="{02CBAE95-5A96-409D-9B26-799055791964}"/>
    <cellStyle name="Output 2 14 3 3" xfId="15571" xr:uid="{B35F7F63-6CF6-41DF-8510-7D0D2D72A0A2}"/>
    <cellStyle name="Output 2 14 3 3 2" xfId="37990" xr:uid="{D65937B5-1EC5-43DC-8A33-20B5E33D02F0}"/>
    <cellStyle name="Output 2 14 3 3 3" xfId="50216" xr:uid="{8850303F-3A9A-408C-86BE-701841A9A3E3}"/>
    <cellStyle name="Output 2 14 3 4" xfId="19769" xr:uid="{30BE31AE-A7B3-4ED9-BFC2-52374E3FA640}"/>
    <cellStyle name="Output 2 14 3 4 2" xfId="42111" xr:uid="{78CC4003-0BD4-48C4-A6C6-12BBE6FDE1BD}"/>
    <cellStyle name="Output 2 14 3 4 3" xfId="43560" xr:uid="{116EAB9B-A50B-4510-8CBE-A1F397706808}"/>
    <cellStyle name="Output 2 14 3 5" xfId="15587" xr:uid="{11DD6406-A341-4DAB-8D4D-F7DE3F0F2CB9}"/>
    <cellStyle name="Output 2 14 3 5 2" xfId="47582" xr:uid="{7B1C2684-3D75-4BDB-890B-85D896720310}"/>
    <cellStyle name="Output 2 14 3 6" xfId="51745" xr:uid="{447942CA-4A30-4359-9826-5FB938B9EFBC}"/>
    <cellStyle name="Output 2 14 4" xfId="4935" xr:uid="{00000000-0005-0000-0000-0000CB070000}"/>
    <cellStyle name="Output 2 14 4 2" xfId="11830" xr:uid="{EB475C3F-B1A2-47F5-A59F-ACA943E0FAEB}"/>
    <cellStyle name="Output 2 14 4 2 2" xfId="34316" xr:uid="{1EA208EA-AAE4-4137-8BEF-A0099301365C}"/>
    <cellStyle name="Output 2 14 4 2 3" xfId="43680" xr:uid="{F36157F0-2FC7-47B1-A790-7C80AB7B50D4}"/>
    <cellStyle name="Output 2 14 4 3" xfId="16872" xr:uid="{7BE29585-52FC-490B-AD79-9CC02893F4B7}"/>
    <cellStyle name="Output 2 14 4 3 2" xfId="39262" xr:uid="{4AF7CBEC-1080-48E4-BA72-36F6D1549DF7}"/>
    <cellStyle name="Output 2 14 4 3 3" xfId="30091" xr:uid="{1B634F55-D45C-415C-9A8A-443AD9C1D84F}"/>
    <cellStyle name="Output 2 14 4 4" xfId="15601" xr:uid="{A9C1CCB3-649E-4EF8-A446-88499064BA95}"/>
    <cellStyle name="Output 2 14 4 4 2" xfId="38018" xr:uid="{0D0E9A0D-4069-4561-BF3C-B08B181DD9B0}"/>
    <cellStyle name="Output 2 14 4 4 3" xfId="53054" xr:uid="{E1A138BA-7E2C-4A4E-A5B7-424495DF796C}"/>
    <cellStyle name="Output 2 14 4 5" xfId="21296" xr:uid="{3D398B24-3892-4BC2-91C5-2D15A598050E}"/>
    <cellStyle name="Output 2 14 4 5 2" xfId="52801" xr:uid="{63D11129-4A70-453F-82FE-22C8F559452E}"/>
    <cellStyle name="Output 2 14 4 6" xfId="52331" xr:uid="{B7FC9600-C477-4696-95FE-AB1CF81F0402}"/>
    <cellStyle name="Output 2 14 5" xfId="6010" xr:uid="{00000000-0005-0000-0000-0000CB070000}"/>
    <cellStyle name="Output 2 14 5 2" xfId="12891" xr:uid="{F19A35FE-DDA4-433B-AF13-58464759670B}"/>
    <cellStyle name="Output 2 14 5 2 2" xfId="35375" xr:uid="{7BD2A68A-113F-4B38-9EB0-2E5C2B424004}"/>
    <cellStyle name="Output 2 14 5 2 3" xfId="47812" xr:uid="{A5C1C8E4-AB1A-40E0-A0FA-32CA50CFD910}"/>
    <cellStyle name="Output 2 14 5 3" xfId="17947" xr:uid="{09BCF4F4-A47C-4E74-8A36-5D953ECF1092}"/>
    <cellStyle name="Output 2 14 5 3 2" xfId="40337" xr:uid="{CFA635B9-F6E7-42DD-9067-97BB1C0E0ADE}"/>
    <cellStyle name="Output 2 14 5 3 3" xfId="41609" xr:uid="{888C8318-B2F9-479A-A7F7-B26602236E6E}"/>
    <cellStyle name="Output 2 14 5 4" xfId="15148" xr:uid="{783893E5-B248-4EA5-98F6-35FEB15C9C4D}"/>
    <cellStyle name="Output 2 14 5 4 2" xfId="37588" xr:uid="{72915A84-B063-469C-81C7-81047CF2EB61}"/>
    <cellStyle name="Output 2 14 5 4 3" xfId="46135" xr:uid="{D9BB55FE-8D5C-4843-920B-2BDAE275E9A1}"/>
    <cellStyle name="Output 2 14 5 5" xfId="22371" xr:uid="{8A42D54E-85B1-4881-99E9-BA23B9E932DA}"/>
    <cellStyle name="Output 2 14 5 5 2" xfId="36495" xr:uid="{1431B9D7-57F9-4175-A8E9-C54986C7B978}"/>
    <cellStyle name="Output 2 14 5 6" xfId="51563" xr:uid="{4500C96A-49C7-45B3-BBE2-82C42953DEFE}"/>
    <cellStyle name="Output 2 14 6" xfId="4940" xr:uid="{00000000-0005-0000-0000-0000CB070000}"/>
    <cellStyle name="Output 2 14 6 2" xfId="11835" xr:uid="{C3B6F6F8-46F3-4C6D-B070-FD258F93B7F2}"/>
    <cellStyle name="Output 2 14 6 2 2" xfId="34321" xr:uid="{BF7E8247-DFDE-4A1A-99B2-9FC3AA1F7CDE}"/>
    <cellStyle name="Output 2 14 6 2 3" xfId="29365" xr:uid="{44B5DC15-B774-47B3-A339-6704B1951B5D}"/>
    <cellStyle name="Output 2 14 6 3" xfId="16877" xr:uid="{0E93F1C9-80B5-4CCE-8DFD-B8066DED1DD7}"/>
    <cellStyle name="Output 2 14 6 3 2" xfId="39267" xr:uid="{BCB88E9D-C8A9-48E4-B325-ECCBB5DF3B01}"/>
    <cellStyle name="Output 2 14 6 3 3" xfId="30117" xr:uid="{F453F5CC-BE25-4BAF-B863-9864407A00ED}"/>
    <cellStyle name="Output 2 14 6 4" xfId="15217" xr:uid="{BB518619-2254-45B0-9119-CB6CA2F0576D}"/>
    <cellStyle name="Output 2 14 6 4 2" xfId="37654" xr:uid="{AC11AC0F-4B03-43C2-B4A4-DD5858420EC2}"/>
    <cellStyle name="Output 2 14 6 4 3" xfId="51004" xr:uid="{7762FE26-4DFD-4675-B4F6-B8409D70AC19}"/>
    <cellStyle name="Output 2 14 6 5" xfId="21301" xr:uid="{B05A0BEC-EEF7-4BE5-B80B-8137A858DA88}"/>
    <cellStyle name="Output 2 14 6 5 2" xfId="49010" xr:uid="{DD9E589D-B62B-40B7-A082-734619D227A5}"/>
    <cellStyle name="Output 2 14 6 6" xfId="53850" xr:uid="{D8183946-BE10-46C8-842E-08F1FD3B5C0C}"/>
    <cellStyle name="Output 2 14 7" xfId="6797" xr:uid="{00000000-0005-0000-0000-0000CB070000}"/>
    <cellStyle name="Output 2 14 7 2" xfId="13646" xr:uid="{18326393-2032-4488-8190-B351E78A4B9B}"/>
    <cellStyle name="Output 2 14 7 2 2" xfId="36130" xr:uid="{CBE79C68-7EBA-465B-8E31-A1948B636C71}"/>
    <cellStyle name="Output 2 14 7 2 3" xfId="27826" xr:uid="{C8FC7757-C500-4866-8957-9CD5079A02A3}"/>
    <cellStyle name="Output 2 14 7 3" xfId="18734" xr:uid="{96723534-695A-428D-8A6A-39E36F4BD5A3}"/>
    <cellStyle name="Output 2 14 7 3 2" xfId="41124" xr:uid="{C659FB0E-9BE1-48FB-AA33-EFC3CA2E4D28}"/>
    <cellStyle name="Output 2 14 7 3 3" xfId="45809" xr:uid="{18D90380-CFD1-45BC-8516-B481174657F7}"/>
    <cellStyle name="Output 2 14 7 4" xfId="20570" xr:uid="{D7900D2F-CC93-4A56-9742-5F101D88B806}"/>
    <cellStyle name="Output 2 14 7 4 2" xfId="42853" xr:uid="{2DA2915B-9CA0-4F09-8A60-F05936C44B98}"/>
    <cellStyle name="Output 2 14 7 4 3" xfId="47583" xr:uid="{B7C050DF-ABC0-4E1A-BF4D-F23055A21BA1}"/>
    <cellStyle name="Output 2 14 7 5" xfId="23158" xr:uid="{6A946669-B11B-45C9-BB27-907AE8C76A85}"/>
    <cellStyle name="Output 2 14 7 5 2" xfId="44166" xr:uid="{2DE37D0A-6C73-4D7D-8720-026F72CD71A1}"/>
    <cellStyle name="Output 2 14 7 6" xfId="51391" xr:uid="{836809E4-E915-4386-9161-4AA635B73AD8}"/>
    <cellStyle name="Output 2 14 8" xfId="14110" xr:uid="{68EE14FB-D870-4585-A577-C37FAF2B3DD6}"/>
    <cellStyle name="Output 2 14 8 2" xfId="36588" xr:uid="{9D673BAB-C07A-4F1F-A230-068BE7B40F19}"/>
    <cellStyle name="Output 2 14 8 3" xfId="44790" xr:uid="{F8635E7D-7EBA-4EA6-BB78-1DCD43C4729A}"/>
    <cellStyle name="Output 2 14 9" xfId="19700" xr:uid="{9870A405-9FC3-4EA3-B611-84FEEA9599EC}"/>
    <cellStyle name="Output 2 14 9 2" xfId="42047" xr:uid="{DEE54844-EBE9-4639-852A-CAFD4A77C170}"/>
    <cellStyle name="Output 2 14 9 3" xfId="43082" xr:uid="{67FDACDC-2BB0-4A1E-8FAE-EC281C6E4D75}"/>
    <cellStyle name="Output 2 15" xfId="1406" xr:uid="{00000000-0005-0000-0000-0000CF070000}"/>
    <cellStyle name="Output 2 15 10" xfId="7453" xr:uid="{DC67AA5B-FFCE-4660-B061-79AD127B08DD}"/>
    <cellStyle name="Output 2 15 10 2" xfId="53520" xr:uid="{0A9D7D0F-A998-4CCB-B0D0-FCE2AA13B028}"/>
    <cellStyle name="Output 2 15 11" xfId="27659" xr:uid="{BB2EBE7D-8F90-4B8E-BFC7-BE38BC61EDC8}"/>
    <cellStyle name="Output 2 15 2" xfId="2135" xr:uid="{00000000-0005-0000-0000-0000D0070000}"/>
    <cellStyle name="Output 2 15 2 10" xfId="14756" xr:uid="{8910497F-CA12-4968-9762-E7F800DF30A2}"/>
    <cellStyle name="Output 2 15 2 10 2" xfId="37214" xr:uid="{59A6EBA4-9920-4C60-AD3B-B8292608A619}"/>
    <cellStyle name="Output 2 15 2 10 3" xfId="53403" xr:uid="{12F18F8A-9190-4D58-9F8F-3F56DCB60017}"/>
    <cellStyle name="Output 2 15 2 11" xfId="20567" xr:uid="{D7148233-EA27-47E1-82D9-5B36ABA6333D}"/>
    <cellStyle name="Output 2 15 2 11 2" xfId="42850" xr:uid="{1B57F9F1-27DB-4D7F-A91E-7AA932A885E5}"/>
    <cellStyle name="Output 2 15 2 11 3" xfId="31998" xr:uid="{1A612E8D-8069-445E-B569-A9D0B2C3F4BD}"/>
    <cellStyle name="Output 2 15 2 12" xfId="20524" xr:uid="{2FA6534F-4F0D-48C8-B6C4-2661ECBDDC59}"/>
    <cellStyle name="Output 2 15 2 12 2" xfId="45115" xr:uid="{ADF74FA0-F22E-4C2E-AF24-FF9B86D5EFC8}"/>
    <cellStyle name="Output 2 15 2 13" xfId="44437" xr:uid="{0F530445-201A-48E8-93D4-A9A431430DFB}"/>
    <cellStyle name="Output 2 15 2 2" xfId="4228" xr:uid="{00000000-0005-0000-0000-0000CE070000}"/>
    <cellStyle name="Output 2 15 2 2 2" xfId="11132" xr:uid="{8E23C035-B2BB-44FA-B0D6-A5EE3DFE2BCC}"/>
    <cellStyle name="Output 2 15 2 2 2 2" xfId="33618" xr:uid="{E1341165-889F-430B-8470-719A783D5181}"/>
    <cellStyle name="Output 2 15 2 2 2 3" xfId="49467" xr:uid="{855DB9DD-0AC4-4332-8CDF-49AFCDC3AF00}"/>
    <cellStyle name="Output 2 15 2 2 3" xfId="16214" xr:uid="{84518C4C-5370-48D3-B576-87F2F205C65F}"/>
    <cellStyle name="Output 2 15 2 2 3 2" xfId="38613" xr:uid="{252E6C52-A8D9-4094-8890-506BF30EB65E}"/>
    <cellStyle name="Output 2 15 2 2 3 3" xfId="38184" xr:uid="{37FB451A-A6F4-42D8-8E95-8093A10818E0}"/>
    <cellStyle name="Output 2 15 2 2 4" xfId="15382" xr:uid="{BFF863A4-5F12-49EC-A049-D6F005EC5450}"/>
    <cellStyle name="Output 2 15 2 2 4 2" xfId="37812" xr:uid="{A52DB796-83F8-46E5-A996-75EF7DCD7D2D}"/>
    <cellStyle name="Output 2 15 2 2 4 3" xfId="43387" xr:uid="{35C7078A-C2BA-48A4-8AA1-0973BBDD9F93}"/>
    <cellStyle name="Output 2 15 2 2 5" xfId="14386" xr:uid="{586F9F49-9627-4624-AA47-4590A6C03064}"/>
    <cellStyle name="Output 2 15 2 2 5 2" xfId="28562" xr:uid="{947F7E33-CDE2-409E-8131-DD1E68375765}"/>
    <cellStyle name="Output 2 15 2 2 6" xfId="30471" xr:uid="{9E1F23DA-CB2C-4E21-869F-C9C941669573}"/>
    <cellStyle name="Output 2 15 2 3" xfId="5549" xr:uid="{00000000-0005-0000-0000-0000CE070000}"/>
    <cellStyle name="Output 2 15 2 3 2" xfId="12437" xr:uid="{E0B86D0C-B8B4-4302-B606-1EB08C97E94C}"/>
    <cellStyle name="Output 2 15 2 3 2 2" xfId="34922" xr:uid="{8DA61491-885C-4E7A-A931-7FC11581B963}"/>
    <cellStyle name="Output 2 15 2 3 2 3" xfId="27130" xr:uid="{B3EB313D-6BFA-4C8C-A830-35D58E4D76F2}"/>
    <cellStyle name="Output 2 15 2 3 3" xfId="17486" xr:uid="{4B7C89D2-1887-4D48-81D7-96D5DC303765}"/>
    <cellStyle name="Output 2 15 2 3 3 2" xfId="39876" xr:uid="{B925F64A-35E1-445C-A900-53F630EDC1A9}"/>
    <cellStyle name="Output 2 15 2 3 3 3" xfId="28456" xr:uid="{492A14D9-E4B9-4482-8C19-D3A9C5EA4470}"/>
    <cellStyle name="Output 2 15 2 3 4" xfId="16279" xr:uid="{6A870E4D-72B4-4A0A-A133-84E189DACECF}"/>
    <cellStyle name="Output 2 15 2 3 4 2" xfId="38670" xr:uid="{B4AF6A94-5074-4579-8F4F-F069AF3C8218}"/>
    <cellStyle name="Output 2 15 2 3 4 3" xfId="27139" xr:uid="{BBFC9769-8DB5-4A6A-8184-829308FAB57F}"/>
    <cellStyle name="Output 2 15 2 3 5" xfId="21910" xr:uid="{E577D38A-E911-44E5-9656-564136C7ADEE}"/>
    <cellStyle name="Output 2 15 2 3 5 2" xfId="52712" xr:uid="{BADE4C5C-7534-47C5-AF9C-4613A0BC8EDF}"/>
    <cellStyle name="Output 2 15 2 3 6" xfId="44280" xr:uid="{C49C7B5E-E93C-41DA-9B7B-061CC54FB6B7}"/>
    <cellStyle name="Output 2 15 2 4" xfId="5972" xr:uid="{00000000-0005-0000-0000-0000CE070000}"/>
    <cellStyle name="Output 2 15 2 4 2" xfId="12853" xr:uid="{F64F1A2A-AAE9-487A-8F0B-5DE810442B73}"/>
    <cellStyle name="Output 2 15 2 4 2 2" xfId="35337" xr:uid="{B630B353-A7F8-4626-B3DE-7B63C6A276AD}"/>
    <cellStyle name="Output 2 15 2 4 2 3" xfId="54115" xr:uid="{85E5C658-50FD-48C5-B5BD-4EE414D18E2B}"/>
    <cellStyle name="Output 2 15 2 4 3" xfId="17909" xr:uid="{E4FE9E5D-FBFD-4217-9CD6-D411212931C7}"/>
    <cellStyle name="Output 2 15 2 4 3 2" xfId="40299" xr:uid="{6147F19F-007E-4BF5-AE96-930FB33C82B7}"/>
    <cellStyle name="Output 2 15 2 4 3 3" xfId="26332" xr:uid="{136E113C-D150-4D2C-8102-9E01D5E7E052}"/>
    <cellStyle name="Output 2 15 2 4 4" xfId="15239" xr:uid="{6DBC6D02-013D-4D71-B3A0-C69851D20278}"/>
    <cellStyle name="Output 2 15 2 4 4 2" xfId="37675" xr:uid="{767499DE-9E80-4DF9-B987-0D80C2DBC787}"/>
    <cellStyle name="Output 2 15 2 4 4 3" xfId="28752" xr:uid="{B442FE5E-786F-4EFB-B66F-4230E13B51BB}"/>
    <cellStyle name="Output 2 15 2 4 5" xfId="22333" xr:uid="{C5C54893-FBEB-40AB-827C-D5BBD7CD2383}"/>
    <cellStyle name="Output 2 15 2 4 5 2" xfId="27277" xr:uid="{543C53D4-A82D-4328-A3D8-40A8C5315C24}"/>
    <cellStyle name="Output 2 15 2 4 6" xfId="53274" xr:uid="{11AC2502-8B52-4D07-A59A-A3CF0A035B6C}"/>
    <cellStyle name="Output 2 15 2 5" xfId="6312" xr:uid="{00000000-0005-0000-0000-0000CE070000}"/>
    <cellStyle name="Output 2 15 2 5 2" xfId="13184" xr:uid="{B7E15516-9A10-4EAD-BF2C-455EBB49053D}"/>
    <cellStyle name="Output 2 15 2 5 2 2" xfId="35668" xr:uid="{C8411358-6F1F-4AD7-839F-6D8547D1CE28}"/>
    <cellStyle name="Output 2 15 2 5 2 3" xfId="25675" xr:uid="{17C4ABEA-B102-43EF-9792-04BFA7A2E1D9}"/>
    <cellStyle name="Output 2 15 2 5 3" xfId="18249" xr:uid="{483D4091-AE8F-4ABF-BC43-BB58AEA486AF}"/>
    <cellStyle name="Output 2 15 2 5 3 2" xfId="40639" xr:uid="{62B0E72E-20BF-435E-BE17-66E5370A3161}"/>
    <cellStyle name="Output 2 15 2 5 3 3" xfId="30168" xr:uid="{B5F6E251-6129-432F-A778-D61465B81F34}"/>
    <cellStyle name="Output 2 15 2 5 4" xfId="14627" xr:uid="{F398947A-270C-4171-AF8A-C0C398A23771}"/>
    <cellStyle name="Output 2 15 2 5 4 2" xfId="37088" xr:uid="{1758F8B5-82E9-4697-B345-2501198337A0}"/>
    <cellStyle name="Output 2 15 2 5 4 3" xfId="51135" xr:uid="{B0D6C0E0-86EA-436F-A884-BDDB25B4ECA9}"/>
    <cellStyle name="Output 2 15 2 5 5" xfId="22673" xr:uid="{5CBCFE52-7ED4-48D9-818D-8078393B34FA}"/>
    <cellStyle name="Output 2 15 2 5 5 2" xfId="53041" xr:uid="{2BA62AEF-25CE-4716-B751-3F3F7D02D6E7}"/>
    <cellStyle name="Output 2 15 2 5 6" xfId="50979" xr:uid="{0488F322-316A-4A24-A98D-C24AF29F0126}"/>
    <cellStyle name="Output 2 15 2 6" xfId="6661" xr:uid="{00000000-0005-0000-0000-0000CE070000}"/>
    <cellStyle name="Output 2 15 2 6 2" xfId="13527" xr:uid="{6DF3C915-D0F2-4EC6-8EB7-30904C9D3CF4}"/>
    <cellStyle name="Output 2 15 2 6 2 2" xfId="36011" xr:uid="{95BFFC3C-7A8E-48F7-B4FC-32EBC27CFE08}"/>
    <cellStyle name="Output 2 15 2 6 2 3" xfId="52735" xr:uid="{636F4E6D-2C32-4363-B84F-148A35DF7F92}"/>
    <cellStyle name="Output 2 15 2 6 3" xfId="18598" xr:uid="{11D267BD-6139-48E9-9D79-02FD539B14C9}"/>
    <cellStyle name="Output 2 15 2 6 3 2" xfId="40988" xr:uid="{103F1C43-CACA-4BB7-A62C-8BAAB456F86E}"/>
    <cellStyle name="Output 2 15 2 6 3 3" xfId="27677" xr:uid="{56291E2A-31C8-4C31-A525-3B64890C3D11}"/>
    <cellStyle name="Output 2 15 2 6 4" xfId="20833" xr:uid="{F5DE32B4-B17C-42A3-8053-DEF3A3E7BFBE}"/>
    <cellStyle name="Output 2 15 2 6 4 2" xfId="43098" xr:uid="{F138D12C-BC9B-4928-8822-A2EB06E247C6}"/>
    <cellStyle name="Output 2 15 2 6 4 3" xfId="52550" xr:uid="{28FD0A4F-EB78-4DAC-A79B-F07C6154C0CC}"/>
    <cellStyle name="Output 2 15 2 6 5" xfId="23022" xr:uid="{10A4477B-81ED-4FA7-B4D0-1F1AC997E7B4}"/>
    <cellStyle name="Output 2 15 2 6 5 2" xfId="52828" xr:uid="{4315842B-8D69-40FF-81E4-1B2F2F9DEC8C}"/>
    <cellStyle name="Output 2 15 2 6 6" xfId="46042" xr:uid="{0DC51FF2-A8FB-4FCE-8C78-AB7CEC418C3F}"/>
    <cellStyle name="Output 2 15 2 7" xfId="6810" xr:uid="{00000000-0005-0000-0000-0000CE070000}"/>
    <cellStyle name="Output 2 15 2 7 2" xfId="13658" xr:uid="{C0274EA7-AE31-40EC-977A-503A88ECBBB9}"/>
    <cellStyle name="Output 2 15 2 7 2 2" xfId="36142" xr:uid="{2AD426CD-E865-42A5-8468-46E32CD4EC95}"/>
    <cellStyle name="Output 2 15 2 7 2 3" xfId="47513" xr:uid="{039DBD2A-C9B5-4920-AEC0-58ACF14237BD}"/>
    <cellStyle name="Output 2 15 2 7 3" xfId="18747" xr:uid="{6BC27065-5CF4-42E2-A463-FDC4DEFB16FA}"/>
    <cellStyle name="Output 2 15 2 7 3 2" xfId="41137" xr:uid="{FB716D53-B672-405D-B216-9B3E7447B24C}"/>
    <cellStyle name="Output 2 15 2 7 3 3" xfId="29039" xr:uid="{3273717B-FE66-4DB8-96A4-6C60F31959E6}"/>
    <cellStyle name="Output 2 15 2 7 4" xfId="20898" xr:uid="{C7225C0C-B2A5-483D-B50B-2D245DFE5759}"/>
    <cellStyle name="Output 2 15 2 7 4 2" xfId="43159" xr:uid="{C2E329C5-842F-466B-B4AA-0D957DAD277D}"/>
    <cellStyle name="Output 2 15 2 7 4 3" xfId="30692" xr:uid="{277EB5BD-A5F3-413D-8890-8B31517B69C5}"/>
    <cellStyle name="Output 2 15 2 7 5" xfId="23171" xr:uid="{571C17DC-616C-4C9B-B206-0055C0C11035}"/>
    <cellStyle name="Output 2 15 2 7 5 2" xfId="44960" xr:uid="{30003FA2-6903-4EC1-9A74-B5598DE564E0}"/>
    <cellStyle name="Output 2 15 2 7 6" xfId="41735" xr:uid="{F3AA98DF-C41C-4BD7-9729-93DC00808384}"/>
    <cellStyle name="Output 2 15 2 8" xfId="7118" xr:uid="{00000000-0005-0000-0000-0000CE070000}"/>
    <cellStyle name="Output 2 15 2 8 2" xfId="13954" xr:uid="{CB2662D9-A3F9-4A77-8718-16D962BE63CF}"/>
    <cellStyle name="Output 2 15 2 8 2 2" xfId="36438" xr:uid="{91881FBD-BD75-431E-81DB-A6B8FA2F7C6A}"/>
    <cellStyle name="Output 2 15 2 8 2 3" xfId="53888" xr:uid="{CEC4BED4-01AB-412C-B290-B794ED045D44}"/>
    <cellStyle name="Output 2 15 2 8 3" xfId="19055" xr:uid="{CAA8EADA-6E0C-492E-A219-2DAE2C0F2C02}"/>
    <cellStyle name="Output 2 15 2 8 3 2" xfId="41445" xr:uid="{CF40C045-5746-404D-8F8F-446743914A83}"/>
    <cellStyle name="Output 2 15 2 8 3 3" xfId="45057" xr:uid="{35768364-F97B-41F5-A119-41BC82A6462D}"/>
    <cellStyle name="Output 2 15 2 8 4" xfId="14336" xr:uid="{6F3BC5FC-5327-4E38-921B-E8902190AC87}"/>
    <cellStyle name="Output 2 15 2 8 4 2" xfId="36804" xr:uid="{BA632935-D6FF-4A2D-9C5A-4C043E32DF8F}"/>
    <cellStyle name="Output 2 15 2 8 4 3" xfId="50330" xr:uid="{9797E961-9556-4C11-A458-28F7752135A6}"/>
    <cellStyle name="Output 2 15 2 8 5" xfId="23479" xr:uid="{A7EA0CED-6E57-4A5A-8ED3-D6437A04EB5F}"/>
    <cellStyle name="Output 2 15 2 8 5 2" xfId="49840" xr:uid="{47589C76-9392-4825-A75D-74BABAA5862C}"/>
    <cellStyle name="Output 2 15 2 8 6" xfId="45265" xr:uid="{32E420D9-7509-47A3-AC84-B5CC63F702DC}"/>
    <cellStyle name="Output 2 15 2 9" xfId="7229" xr:uid="{00000000-0005-0000-0000-0000CE070000}"/>
    <cellStyle name="Output 2 15 2 9 2" xfId="19166" xr:uid="{E7D3EB58-D091-4B70-9DCF-B6950BEFED57}"/>
    <cellStyle name="Output 2 15 2 9 2 2" xfId="41556" xr:uid="{8ACC5C7F-1C6E-45FC-9E89-86DF95BA251F}"/>
    <cellStyle name="Output 2 15 2 9 2 3" xfId="32363" xr:uid="{F6FB277F-DAD9-4E9F-915C-A4A6F74EBE8C}"/>
    <cellStyle name="Output 2 15 2 9 3" xfId="14255" xr:uid="{93AC3A6C-D41B-42F0-BA68-500723720CA2}"/>
    <cellStyle name="Output 2 15 2 9 3 2" xfId="36728" xr:uid="{85C83F1D-C019-4A27-9075-0256012CD282}"/>
    <cellStyle name="Output 2 15 2 9 3 3" xfId="27574" xr:uid="{97B842D3-A760-4058-B661-5431A58B6F16}"/>
    <cellStyle name="Output 2 15 2 9 4" xfId="23590" xr:uid="{FD104CEE-D02A-4248-8D9D-20F5A6E41A59}"/>
    <cellStyle name="Output 2 15 2 9 4 2" xfId="25489" xr:uid="{1BD9E61C-BAB7-429C-9B5A-B98A193612B1}"/>
    <cellStyle name="Output 2 15 2 9 5" xfId="27715" xr:uid="{E473F1C2-7EA7-40B0-83E6-9BF355D6BA66}"/>
    <cellStyle name="Output 2 15 3" xfId="3508" xr:uid="{00000000-0005-0000-0000-0000CD070000}"/>
    <cellStyle name="Output 2 15 3 2" xfId="10415" xr:uid="{C5C11DBC-7C6E-4542-B29C-4943FB0A5D5A}"/>
    <cellStyle name="Output 2 15 3 2 2" xfId="32902" xr:uid="{B77AC854-B498-4E99-ABF5-003FF586F82A}"/>
    <cellStyle name="Output 2 15 3 2 3" xfId="47480" xr:uid="{7AE5CB00-8C68-4E1E-B5A8-D1C55AD36FDA}"/>
    <cellStyle name="Output 2 15 3 3" xfId="15682" xr:uid="{BFAAC10F-98D6-4A98-BC51-E1B9ECFDF1D6}"/>
    <cellStyle name="Output 2 15 3 3 2" xfId="38098" xr:uid="{ABB766A6-BED5-4D47-93BB-885855B18C33}"/>
    <cellStyle name="Output 2 15 3 3 3" xfId="46252" xr:uid="{86B8BDAF-3222-4792-98AD-BE1F565E788E}"/>
    <cellStyle name="Output 2 15 3 4" xfId="20174" xr:uid="{BB0676B3-DF0F-4DF5-9B7A-20D24A628CFE}"/>
    <cellStyle name="Output 2 15 3 4 2" xfId="42485" xr:uid="{BEE1376C-B0FC-4908-83DC-D1854F5861C9}"/>
    <cellStyle name="Output 2 15 3 4 3" xfId="24403" xr:uid="{3FA7D3C1-5A1D-4FEB-81C7-598410185647}"/>
    <cellStyle name="Output 2 15 3 5" xfId="19826" xr:uid="{0AD4231A-26BD-48A2-9820-7389F7D39808}"/>
    <cellStyle name="Output 2 15 3 5 2" xfId="28882" xr:uid="{959FE0DE-1CBF-4030-A58F-FAB6258EC0E1}"/>
    <cellStyle name="Output 2 15 3 6" xfId="46425" xr:uid="{CAAA0EF4-D38C-4CA5-8125-062CC6B2D5FC}"/>
    <cellStyle name="Output 2 15 4" xfId="5034" xr:uid="{00000000-0005-0000-0000-0000CD070000}"/>
    <cellStyle name="Output 2 15 4 2" xfId="11928" xr:uid="{4F372C09-8DF8-4EA9-875F-AE36E46FC99E}"/>
    <cellStyle name="Output 2 15 4 2 2" xfId="34414" xr:uid="{E99AE81F-C915-417C-8A8E-16433F999638}"/>
    <cellStyle name="Output 2 15 4 2 3" xfId="26070" xr:uid="{812A2730-C909-4E36-BC88-9747E65CF1E4}"/>
    <cellStyle name="Output 2 15 4 3" xfId="16971" xr:uid="{1166654C-7CEF-4731-AB53-F9C8844882FD}"/>
    <cellStyle name="Output 2 15 4 3 2" xfId="39361" xr:uid="{68FBF09C-3577-48A2-B402-57E61C09E1F4}"/>
    <cellStyle name="Output 2 15 4 3 3" xfId="29708" xr:uid="{3A509F8E-9C07-42F2-91E0-95E89294BFE2}"/>
    <cellStyle name="Output 2 15 4 4" xfId="8890" xr:uid="{6D54C56D-85EA-4086-ADDD-DC8B786B7230}"/>
    <cellStyle name="Output 2 15 4 4 2" xfId="31470" xr:uid="{8AAE854B-B369-4413-8184-CC8A2D4E9B21}"/>
    <cellStyle name="Output 2 15 4 4 3" xfId="47389" xr:uid="{9BA11EB5-6EE4-4115-97B2-51EB8BEF208C}"/>
    <cellStyle name="Output 2 15 4 5" xfId="21395" xr:uid="{409B6F44-07D6-4AB6-8013-7D2844D7869F}"/>
    <cellStyle name="Output 2 15 4 5 2" xfId="51127" xr:uid="{DFA9096A-606B-4BF9-877E-2A8B1761ED51}"/>
    <cellStyle name="Output 2 15 4 6" xfId="48765" xr:uid="{824DAF85-F247-4A76-BFBF-59266338969A}"/>
    <cellStyle name="Output 2 15 5" xfId="3460" xr:uid="{00000000-0005-0000-0000-0000CD070000}"/>
    <cellStyle name="Output 2 15 5 2" xfId="10368" xr:uid="{C25FB0F3-72D9-41C9-856A-61FD26DEB5FE}"/>
    <cellStyle name="Output 2 15 5 2 2" xfId="32855" xr:uid="{B9D73B1B-BDF2-45E6-99B0-E0BBE64C5263}"/>
    <cellStyle name="Output 2 15 5 2 3" xfId="30460" xr:uid="{07339DB8-5DAF-42A6-B163-6A4811AA75B4}"/>
    <cellStyle name="Output 2 15 5 3" xfId="15638" xr:uid="{D663EA0E-D88A-46BF-97B1-D5CCE12AA9E7}"/>
    <cellStyle name="Output 2 15 5 3 2" xfId="38054" xr:uid="{8DA72383-22A4-4AAF-90E5-58FDFAD4B022}"/>
    <cellStyle name="Output 2 15 5 3 3" xfId="26962" xr:uid="{4FE481F8-0AFF-4528-B947-63D1E670D6BA}"/>
    <cellStyle name="Output 2 15 5 4" xfId="15760" xr:uid="{70E1553A-FC6D-42F6-B4F5-CDB4EAD1EB6E}"/>
    <cellStyle name="Output 2 15 5 4 2" xfId="38172" xr:uid="{8A43F59A-9321-4DF0-982D-C4660ADB857C}"/>
    <cellStyle name="Output 2 15 5 4 3" xfId="51228" xr:uid="{85B9BF4B-5737-42D8-9BD0-7643066CCEF2}"/>
    <cellStyle name="Output 2 15 5 5" xfId="15103" xr:uid="{67D6DC9D-5724-4AE7-8409-B21FBEC58CFB}"/>
    <cellStyle name="Output 2 15 5 5 2" xfId="49368" xr:uid="{63FDB0AC-226D-4B7B-B316-FF4D6B506DA7}"/>
    <cellStyle name="Output 2 15 5 6" xfId="53043" xr:uid="{E161A308-BCBD-45B8-B25C-923CA287D410}"/>
    <cellStyle name="Output 2 15 6" xfId="5351" xr:uid="{00000000-0005-0000-0000-0000CD070000}"/>
    <cellStyle name="Output 2 15 6 2" xfId="12243" xr:uid="{9D1EF8B4-22A9-45FD-A14F-7BEC176CF7B0}"/>
    <cellStyle name="Output 2 15 6 2 2" xfId="34728" xr:uid="{40AB3F98-31AD-4940-B89A-CA722D57254A}"/>
    <cellStyle name="Output 2 15 6 2 3" xfId="36801" xr:uid="{0AC9CDAC-9A34-4C9B-A06A-ECE78EB5D798}"/>
    <cellStyle name="Output 2 15 6 3" xfId="17288" xr:uid="{D9981E54-968B-4A4B-9E76-68D864098E9F}"/>
    <cellStyle name="Output 2 15 6 3 2" xfId="39678" xr:uid="{6B14287C-7076-4292-A1E3-38088197AF4A}"/>
    <cellStyle name="Output 2 15 6 3 3" xfId="29002" xr:uid="{75C7E847-3BAD-431A-9F39-AC0032479CD3}"/>
    <cellStyle name="Output 2 15 6 4" xfId="14708" xr:uid="{8E613928-FC08-4BCB-9AA6-8CF672EA2B6D}"/>
    <cellStyle name="Output 2 15 6 4 2" xfId="37166" xr:uid="{194C0549-C2B0-48AA-89A6-6480491B240B}"/>
    <cellStyle name="Output 2 15 6 4 3" xfId="29759" xr:uid="{4747F1EA-C4FC-4F0F-BAA2-B8F54F40A7C7}"/>
    <cellStyle name="Output 2 15 6 5" xfId="21712" xr:uid="{4FA123F0-8852-4A01-ABB8-878C49408B15}"/>
    <cellStyle name="Output 2 15 6 5 2" xfId="49831" xr:uid="{4CED0C2B-622E-493D-B558-183065B2AC5A}"/>
    <cellStyle name="Output 2 15 6 6" xfId="28839" xr:uid="{F3162EAA-02BE-43DD-9FBA-09AC2F634689}"/>
    <cellStyle name="Output 2 15 7" xfId="5114" xr:uid="{00000000-0005-0000-0000-0000CD070000}"/>
    <cellStyle name="Output 2 15 7 2" xfId="12007" xr:uid="{C1F135B7-874A-477F-88ED-4C2691720292}"/>
    <cellStyle name="Output 2 15 7 2 2" xfId="34493" xr:uid="{1A05168E-84C6-4096-8517-886306EFB2AE}"/>
    <cellStyle name="Output 2 15 7 2 3" xfId="24161" xr:uid="{58A4FF36-5311-4010-B7E1-3D29CF7DDD8C}"/>
    <cellStyle name="Output 2 15 7 3" xfId="17051" xr:uid="{79A15C31-FCE4-48AC-8E9A-D62AEA64FB6A}"/>
    <cellStyle name="Output 2 15 7 3 2" xfId="39441" xr:uid="{61BC83EE-6667-4ED9-8509-D7BA53144D35}"/>
    <cellStyle name="Output 2 15 7 3 3" xfId="45343" xr:uid="{987BC527-C3B7-436F-8CBC-7B3AEEA6EBBF}"/>
    <cellStyle name="Output 2 15 7 4" xfId="15272" xr:uid="{7B5E0D68-8BB3-4797-B8B0-A2E26F0BD766}"/>
    <cellStyle name="Output 2 15 7 4 2" xfId="37705" xr:uid="{FEDEAC16-E78D-459D-836C-03E68874CD2A}"/>
    <cellStyle name="Output 2 15 7 4 3" xfId="29431" xr:uid="{2EF705EE-CF0A-4F82-A5BB-5AB471E50EDC}"/>
    <cellStyle name="Output 2 15 7 5" xfId="21475" xr:uid="{F37CF1FB-C883-45EC-80B7-40FA8D054866}"/>
    <cellStyle name="Output 2 15 7 5 2" xfId="46641" xr:uid="{60E4213B-85EC-4D73-A273-C24B6B5992B5}"/>
    <cellStyle name="Output 2 15 7 6" xfId="51581" xr:uid="{8858A449-01C8-4506-BBAC-463698EB722A}"/>
    <cellStyle name="Output 2 15 8" xfId="14218" xr:uid="{5B5E6DF7-E484-4ACC-8B49-C78CA003E597}"/>
    <cellStyle name="Output 2 15 8 2" xfId="36693" xr:uid="{2294D0D0-5CD8-4FFB-8AFB-5C78ABC259AD}"/>
    <cellStyle name="Output 2 15 8 3" xfId="23859" xr:uid="{70A1F0AF-2F7D-459D-8E74-EEF4C1E8077D}"/>
    <cellStyle name="Output 2 15 9" xfId="20096" xr:uid="{02ABC256-C4EC-43F2-B5F0-92920B391D36}"/>
    <cellStyle name="Output 2 15 9 2" xfId="42413" xr:uid="{42330E97-04BB-4BFA-A2BE-0AD2032772E6}"/>
    <cellStyle name="Output 2 15 9 3" xfId="45401" xr:uid="{81BADC17-C474-4A4C-9D7C-4D25287459CA}"/>
    <cellStyle name="Output 2 16" xfId="1523" xr:uid="{00000000-0005-0000-0000-0000D1070000}"/>
    <cellStyle name="Output 2 16 10" xfId="14287" xr:uid="{197869F0-8872-4052-BC73-8A3A20339C73}"/>
    <cellStyle name="Output 2 16 10 2" xfId="36756" xr:uid="{8C08F2BD-44A0-412E-AD0D-1549ED4A02C5}"/>
    <cellStyle name="Output 2 16 10 3" xfId="27560" xr:uid="{8ED4A68E-C858-4DC4-AC89-B2A46C8727A7}"/>
    <cellStyle name="Output 2 16 11" xfId="21120" xr:uid="{3535A024-215E-4018-97ED-196D3FD6150B}"/>
    <cellStyle name="Output 2 16 11 2" xfId="43366" xr:uid="{49BE7B4C-C54A-4521-8CA9-D3A51EAF8E05}"/>
    <cellStyle name="Output 2 16 11 3" xfId="50017" xr:uid="{6627A3E2-38DD-4ABA-BDB9-9BDE91452034}"/>
    <cellStyle name="Output 2 16 12" xfId="13360" xr:uid="{231289BC-2CAB-4755-94B1-2BD33DD4E8E8}"/>
    <cellStyle name="Output 2 16 12 2" xfId="52268" xr:uid="{880B52F4-4A62-4032-AAAF-5AD8C594E2C0}"/>
    <cellStyle name="Output 2 16 13" xfId="51083" xr:uid="{7D0BEA1E-1E83-46F1-9F05-AAC80ECD2F8A}"/>
    <cellStyle name="Output 2 16 2" xfId="3624" xr:uid="{00000000-0005-0000-0000-0000CF070000}"/>
    <cellStyle name="Output 2 16 2 2" xfId="10528" xr:uid="{1F702BA2-433F-4770-9F97-DF2C338EA999}"/>
    <cellStyle name="Output 2 16 2 2 2" xfId="33014" xr:uid="{5CBC3C50-5561-4E61-AFB0-45FD31AB55CD}"/>
    <cellStyle name="Output 2 16 2 2 3" xfId="47254" xr:uid="{584FCD6E-C2C1-4CAA-9365-234DC23984EF}"/>
    <cellStyle name="Output 2 16 2 3" xfId="15747" xr:uid="{CEB75487-5AEA-40C7-B408-14427767BFE2}"/>
    <cellStyle name="Output 2 16 2 3 2" xfId="38159" xr:uid="{FA30D9B9-E03F-43C0-B51A-39FB5E608477}"/>
    <cellStyle name="Output 2 16 2 3 3" xfId="52607" xr:uid="{E3600B23-7707-418C-A436-EAF24CED4620}"/>
    <cellStyle name="Output 2 16 2 4" xfId="8304" xr:uid="{60DAF783-E9AC-462F-AA62-EA29CE481092}"/>
    <cellStyle name="Output 2 16 2 4 2" xfId="30903" xr:uid="{E017CE95-406B-488F-939B-8AB4528FF0FC}"/>
    <cellStyle name="Output 2 16 2 4 3" xfId="52209" xr:uid="{CB02BCCF-AF3F-4F23-AB8B-0AA74118C045}"/>
    <cellStyle name="Output 2 16 2 5" xfId="15599" xr:uid="{EFFA99CD-7D57-427E-A2F5-82EF2C48BA90}"/>
    <cellStyle name="Output 2 16 2 5 2" xfId="46485" xr:uid="{2D330EB1-8AE0-4735-B7C3-DE996EE60091}"/>
    <cellStyle name="Output 2 16 2 6" xfId="51154" xr:uid="{51BD1DB4-6587-402F-9EDF-1C990D6EF7FC}"/>
    <cellStyle name="Output 2 16 3" xfId="5106" xr:uid="{00000000-0005-0000-0000-0000CF070000}"/>
    <cellStyle name="Output 2 16 3 2" xfId="11999" xr:uid="{9D1A55C0-01EA-4B7B-828E-F99CAD80F1E3}"/>
    <cellStyle name="Output 2 16 3 2 2" xfId="34485" xr:uid="{56025149-A823-4465-AC39-F624489B88E8}"/>
    <cellStyle name="Output 2 16 3 2 3" xfId="43434" xr:uid="{BD05BA19-5A1B-4CA9-A59B-BA6CD1D3DB93}"/>
    <cellStyle name="Output 2 16 3 3" xfId="17043" xr:uid="{AD6F1CB9-7CC6-4DC5-9E67-4D5ABDEF7D3D}"/>
    <cellStyle name="Output 2 16 3 3 2" xfId="39433" xr:uid="{F1D0BDEA-6200-4288-9FB5-08BC7F4274AB}"/>
    <cellStyle name="Output 2 16 3 3 3" xfId="30030" xr:uid="{D57A2736-534B-48E9-86CC-A15AE3F07945}"/>
    <cellStyle name="Output 2 16 3 4" xfId="19365" xr:uid="{6F0826EF-6F73-40AF-8441-0AB1862D20C7}"/>
    <cellStyle name="Output 2 16 3 4 2" xfId="41739" xr:uid="{EF86316F-7F81-4C92-B9DE-EB90C3CF0C89}"/>
    <cellStyle name="Output 2 16 3 4 3" xfId="25718" xr:uid="{9309D8FE-89A1-4893-9A76-630F62222A56}"/>
    <cellStyle name="Output 2 16 3 5" xfId="21467" xr:uid="{59FB7FEA-8F3A-4E52-9FD1-BA6DAB2F07E7}"/>
    <cellStyle name="Output 2 16 3 5 2" xfId="47144" xr:uid="{050F0E83-2892-46B6-9532-92DCA87D6806}"/>
    <cellStyle name="Output 2 16 3 6" xfId="47199" xr:uid="{89734FEE-3282-4D71-8D22-2E4EB22FDF10}"/>
    <cellStyle name="Output 2 16 4" xfId="4964" xr:uid="{00000000-0005-0000-0000-0000CF070000}"/>
    <cellStyle name="Output 2 16 4 2" xfId="11859" xr:uid="{47E738E8-FB9B-4A15-8C33-1815DFEDC967}"/>
    <cellStyle name="Output 2 16 4 2 2" xfId="34345" xr:uid="{DEE5173A-15D0-49BC-8100-B250A8BFE11F}"/>
    <cellStyle name="Output 2 16 4 2 3" xfId="23854" xr:uid="{68487474-EABB-430F-AC57-7CB1EC226397}"/>
    <cellStyle name="Output 2 16 4 3" xfId="16901" xr:uid="{BD8D40BB-64AB-4A1B-B30D-88C8C1D965AC}"/>
    <cellStyle name="Output 2 16 4 3 2" xfId="39291" xr:uid="{0E4B3F28-39D0-4214-92FF-7EBEBBAD4061}"/>
    <cellStyle name="Output 2 16 4 3 3" xfId="24312" xr:uid="{3B9A3211-BDCE-47F7-A88E-033C345CA1AF}"/>
    <cellStyle name="Output 2 16 4 4" xfId="15731" xr:uid="{3442553F-C0B0-43BB-BB29-AE5F55BE86F3}"/>
    <cellStyle name="Output 2 16 4 4 2" xfId="38144" xr:uid="{3221C88B-0578-4210-99A4-5B4F41880FE4}"/>
    <cellStyle name="Output 2 16 4 4 3" xfId="48740" xr:uid="{AAC318E7-ED8C-4CC6-9486-F6505BD291CE}"/>
    <cellStyle name="Output 2 16 4 5" xfId="21325" xr:uid="{A8BF9B32-7686-4C0D-95E9-E4608801A9B0}"/>
    <cellStyle name="Output 2 16 4 5 2" xfId="44872" xr:uid="{326AB360-195F-4E1D-9BC5-3A864D1FC831}"/>
    <cellStyle name="Output 2 16 4 6" xfId="53067" xr:uid="{4380CB46-82F5-4D41-9826-361631AE6F6A}"/>
    <cellStyle name="Output 2 16 5" xfId="5077" xr:uid="{00000000-0005-0000-0000-0000CF070000}"/>
    <cellStyle name="Output 2 16 5 2" xfId="11970" xr:uid="{E6BFFAD2-6241-43CC-AA74-1E93B5EE9B77}"/>
    <cellStyle name="Output 2 16 5 2 2" xfId="34456" xr:uid="{6CBE0166-CF92-4E47-9612-BF63BB6E28C4}"/>
    <cellStyle name="Output 2 16 5 2 3" xfId="27725" xr:uid="{FEA8DEB3-1ABF-4EF8-B34F-95CAD0B22582}"/>
    <cellStyle name="Output 2 16 5 3" xfId="17014" xr:uid="{14A78D82-132D-4371-9990-57A66018148A}"/>
    <cellStyle name="Output 2 16 5 3 2" xfId="39404" xr:uid="{2F20FA96-51FF-4755-A8B3-490F6EEB89E7}"/>
    <cellStyle name="Output 2 16 5 3 3" xfId="44666" xr:uid="{9EB6158D-7A8A-4087-992F-A214DD5EA657}"/>
    <cellStyle name="Output 2 16 5 4" xfId="19203" xr:uid="{C9BF53B4-7E88-4956-9152-F7B9D4E18490}"/>
    <cellStyle name="Output 2 16 5 4 2" xfId="41592" xr:uid="{1FB40417-61D0-4F90-92F7-466C8B0F57FC}"/>
    <cellStyle name="Output 2 16 5 4 3" xfId="32148" xr:uid="{366A53A3-FDF2-4939-8A17-002208904499}"/>
    <cellStyle name="Output 2 16 5 5" xfId="21438" xr:uid="{7D3812B5-BB97-436F-8735-31C4D4DB792C}"/>
    <cellStyle name="Output 2 16 5 5 2" xfId="53322" xr:uid="{4DB5EEFC-0426-43BE-8FFC-71D1234A4EAC}"/>
    <cellStyle name="Output 2 16 5 6" xfId="46360" xr:uid="{6758BB38-7E8E-4B2F-B750-1C0AB52973F6}"/>
    <cellStyle name="Output 2 16 6" xfId="5675" xr:uid="{00000000-0005-0000-0000-0000CF070000}"/>
    <cellStyle name="Output 2 16 6 2" xfId="12559" xr:uid="{D71A89D7-D7D5-41EB-9C5F-98D1B8C8A245}"/>
    <cellStyle name="Output 2 16 6 2 2" xfId="35044" xr:uid="{A433D06F-6CF6-4BE7-808D-9CE093C61FEE}"/>
    <cellStyle name="Output 2 16 6 2 3" xfId="28644" xr:uid="{CB49CAE3-1215-4B60-9C28-C02000BA806B}"/>
    <cellStyle name="Output 2 16 6 3" xfId="17612" xr:uid="{6A229490-F116-431B-A532-936D8D36308E}"/>
    <cellStyle name="Output 2 16 6 3 2" xfId="40002" xr:uid="{A65A62CC-6005-4229-9939-D38BE019D15E}"/>
    <cellStyle name="Output 2 16 6 3 3" xfId="24411" xr:uid="{37AB904A-7082-4593-93E1-BA90607DF801}"/>
    <cellStyle name="Output 2 16 6 4" xfId="8903" xr:uid="{1D9897FA-31C2-4777-8A89-6690A99A760E}"/>
    <cellStyle name="Output 2 16 6 4 2" xfId="31482" xr:uid="{FA4FAB52-9A00-4090-88A0-B6408E66AB62}"/>
    <cellStyle name="Output 2 16 6 4 3" xfId="37821" xr:uid="{B4C8B8AB-99BA-487C-8B45-7055B2410AF3}"/>
    <cellStyle name="Output 2 16 6 5" xfId="22036" xr:uid="{46A2B6C2-4F49-4776-8910-8D2F0313415D}"/>
    <cellStyle name="Output 2 16 6 5 2" xfId="45952" xr:uid="{6D31CBD3-9359-4744-9E3A-3887CCB74207}"/>
    <cellStyle name="Output 2 16 6 6" xfId="52540" xr:uid="{56C49CF9-6E63-4A52-8DAE-10AC1F9D3203}"/>
    <cellStyle name="Output 2 16 7" xfId="5601" xr:uid="{00000000-0005-0000-0000-0000CF070000}"/>
    <cellStyle name="Output 2 16 7 2" xfId="12486" xr:uid="{1A639862-1C33-43FD-B8F3-58F0DD687ACF}"/>
    <cellStyle name="Output 2 16 7 2 2" xfId="34971" xr:uid="{C7138B0A-A884-45D5-AC9F-0EDFEC896381}"/>
    <cellStyle name="Output 2 16 7 2 3" xfId="23720" xr:uid="{5CD9756D-B7A7-4175-94E5-E07BD5DF9648}"/>
    <cellStyle name="Output 2 16 7 3" xfId="17538" xr:uid="{DBB43BE6-6F6E-403F-81E7-0DE795BD8C61}"/>
    <cellStyle name="Output 2 16 7 3 2" xfId="39928" xr:uid="{0CD138D8-A42C-48B9-8EC9-F87416B854C8}"/>
    <cellStyle name="Output 2 16 7 3 3" xfId="27625" xr:uid="{3FB9D2C6-0517-4871-B81B-9C4D9CF09CBA}"/>
    <cellStyle name="Output 2 16 7 4" xfId="19655" xr:uid="{13662FCB-936C-45CC-9F0A-836B6FEA3D8E}"/>
    <cellStyle name="Output 2 16 7 4 2" xfId="42003" xr:uid="{B14840CD-0E58-4883-9693-F3BB46781ED9}"/>
    <cellStyle name="Output 2 16 7 4 3" xfId="23847" xr:uid="{C56BB753-AF13-408E-93E5-2EB60B225D3B}"/>
    <cellStyle name="Output 2 16 7 5" xfId="21962" xr:uid="{050A5969-6C86-4F21-ACD7-5EDFC97A3198}"/>
    <cellStyle name="Output 2 16 7 5 2" xfId="48648" xr:uid="{C1A7F511-8F04-4832-A654-AD5F3DBDFA2B}"/>
    <cellStyle name="Output 2 16 7 6" xfId="43867" xr:uid="{FD80431A-4CE6-439F-8F1D-EE9FBBC6C633}"/>
    <cellStyle name="Output 2 16 8" xfId="6556" xr:uid="{00000000-0005-0000-0000-0000CF070000}"/>
    <cellStyle name="Output 2 16 8 2" xfId="13423" xr:uid="{D02A3237-97CA-4580-93CF-0773D45F6EF5}"/>
    <cellStyle name="Output 2 16 8 2 2" xfId="35907" xr:uid="{FA17CAEF-86F7-4D70-90C3-7924BCDE37E1}"/>
    <cellStyle name="Output 2 16 8 2 3" xfId="53744" xr:uid="{43BD20CF-0EE6-49F5-9500-DF9C997B854E}"/>
    <cellStyle name="Output 2 16 8 3" xfId="18493" xr:uid="{0FBDC1B9-6737-4037-92B6-E574D55F7686}"/>
    <cellStyle name="Output 2 16 8 3 2" xfId="40883" xr:uid="{DC8C65E1-0A13-46F0-87F4-7B360AC74290}"/>
    <cellStyle name="Output 2 16 8 3 3" xfId="29580" xr:uid="{8C1BFD85-0693-40C9-971D-D988B7CDEB95}"/>
    <cellStyle name="Output 2 16 8 4" xfId="20540" xr:uid="{320AE3D8-0645-4224-9BBB-796AB6A94724}"/>
    <cellStyle name="Output 2 16 8 4 2" xfId="42826" xr:uid="{48E298A0-1D01-41E4-AE3D-C9F567713383}"/>
    <cellStyle name="Output 2 16 8 4 3" xfId="44552" xr:uid="{43CA122C-8546-42C2-B5C3-4FEB720D9465}"/>
    <cellStyle name="Output 2 16 8 5" xfId="22917" xr:uid="{1AF49C68-A917-43B4-B187-8B2C2EF5ADA9}"/>
    <cellStyle name="Output 2 16 8 5 2" xfId="27200" xr:uid="{D9F2BBA8-066A-498F-B2B6-AA0D030C00D3}"/>
    <cellStyle name="Output 2 16 8 6" xfId="46618" xr:uid="{676E0870-BFB1-4B83-9407-C2582A132154}"/>
    <cellStyle name="Output 2 16 9" xfId="4985" xr:uid="{00000000-0005-0000-0000-0000CF070000}"/>
    <cellStyle name="Output 2 16 9 2" xfId="16922" xr:uid="{3C089E15-CC8D-47B2-BD6C-64F9157DBE01}"/>
    <cellStyle name="Output 2 16 9 2 2" xfId="39312" xr:uid="{DD359A78-5326-478F-8D62-40AB338D90A6}"/>
    <cellStyle name="Output 2 16 9 2 3" xfId="42490" xr:uid="{D41F5723-41CE-4B48-8F74-A0FA20534CD0}"/>
    <cellStyle name="Output 2 16 9 3" xfId="15030" xr:uid="{5E0EC8D4-68CC-406B-92A9-98C320DAD0CD}"/>
    <cellStyle name="Output 2 16 9 3 2" xfId="37479" xr:uid="{6F326A4E-8C48-4C3B-8EB1-B7D47406B228}"/>
    <cellStyle name="Output 2 16 9 3 3" xfId="46288" xr:uid="{39F43CFA-CBB1-4501-91C7-E03B78D15071}"/>
    <cellStyle name="Output 2 16 9 4" xfId="21346" xr:uid="{48063BCB-59E1-4302-9B6C-E416FE36D1DD}"/>
    <cellStyle name="Output 2 16 9 4 2" xfId="49530" xr:uid="{985D964A-A7CF-4330-B7DA-06014E51F473}"/>
    <cellStyle name="Output 2 16 9 5" xfId="52504" xr:uid="{CEA42ECB-5567-44A5-AC12-94A48B0E953A}"/>
    <cellStyle name="Output 2 17" xfId="2299" xr:uid="{00000000-0005-0000-0000-0000C2070000}"/>
    <cellStyle name="Output 2 17 2" xfId="9209" xr:uid="{A9DAD2C2-8248-41D3-80DB-E5DC7ED14FFB}"/>
    <cellStyle name="Output 2 17 2 2" xfId="31784" xr:uid="{566F0A36-7CB6-44AE-85B3-ED4AC8FC8110}"/>
    <cellStyle name="Output 2 17 2 3" xfId="26369" xr:uid="{C0574B56-F7D0-4133-A9E9-9FA8C4C5D0AF}"/>
    <cellStyle name="Output 2 17 3" xfId="14866" xr:uid="{A135C730-43F0-4838-AB1B-12F6D2881D88}"/>
    <cellStyle name="Output 2 17 3 2" xfId="37320" xr:uid="{A1684D47-3C69-478A-879B-2833DCAE3A48}"/>
    <cellStyle name="Output 2 17 3 3" xfId="53844" xr:uid="{0C9AFBDE-B45E-42EF-BE12-F5F051D61AB6}"/>
    <cellStyle name="Output 2 17 4" xfId="20243" xr:uid="{C9EDF5F5-2F51-4241-A42D-A5F8EDDF661F}"/>
    <cellStyle name="Output 2 17 4 2" xfId="42546" xr:uid="{5CD1E22E-3028-4B90-BDB7-C5FC36CE55E1}"/>
    <cellStyle name="Output 2 17 4 3" xfId="27959" xr:uid="{BC471223-5394-4377-AF8A-180E12D0D717}"/>
    <cellStyle name="Output 2 17 5" xfId="20425" xr:uid="{057E66E7-5149-44EA-8DE1-C92751A30436}"/>
    <cellStyle name="Output 2 17 5 2" xfId="51474" xr:uid="{67D70BED-9DA2-4848-BC9A-2D2142845249}"/>
    <cellStyle name="Output 2 17 6" xfId="51720" xr:uid="{0FC9CEA1-D607-413A-BB44-83E866729CB4}"/>
    <cellStyle name="Output 2 18" xfId="3193" xr:uid="{00000000-0005-0000-0000-0000C2070000}"/>
    <cellStyle name="Output 2 18 2" xfId="10101" xr:uid="{FA6AE438-F2B5-4C67-99D3-43E53C87D045}"/>
    <cellStyle name="Output 2 18 2 2" xfId="32608" xr:uid="{FFB1B65A-DA8A-4EB9-80B1-890D6731FC1C}"/>
    <cellStyle name="Output 2 18 2 3" xfId="46387" xr:uid="{1CF87821-FE1D-441A-B7F4-11D97A3689F7}"/>
    <cellStyle name="Output 2 18 3" xfId="15472" xr:uid="{7A74BBEC-D487-4989-9126-891610722A97}"/>
    <cellStyle name="Output 2 18 3 2" xfId="37898" xr:uid="{507915E6-8E4D-41ED-BF99-94F6DA6F962F}"/>
    <cellStyle name="Output 2 18 3 3" xfId="48766" xr:uid="{56958610-E562-4395-8AA8-F6ACD27AD01F}"/>
    <cellStyle name="Output 2 18 4" xfId="16255" xr:uid="{7BD173D9-D2AC-4C37-9AD4-ED24F8A6ED9D}"/>
    <cellStyle name="Output 2 18 4 2" xfId="38647" xr:uid="{9F8C6D9C-D2A2-480A-91EC-2FA1B7E76634}"/>
    <cellStyle name="Output 2 18 4 3" xfId="43325" xr:uid="{D32A8DA8-2391-4C61-B7B6-9F951F7541FC}"/>
    <cellStyle name="Output 2 18 5" xfId="21189" xr:uid="{CECC6A1C-3368-4E44-8AED-2BDF4F7D58CE}"/>
    <cellStyle name="Output 2 18 5 2" xfId="28491" xr:uid="{37F29896-E70E-4770-8439-D97CA17C2C93}"/>
    <cellStyle name="Output 2 18 6" xfId="47679" xr:uid="{C2D10C4B-9E99-4CBC-AFAA-07DE45C82E7C}"/>
    <cellStyle name="Output 2 19" xfId="2575" xr:uid="{00000000-0005-0000-0000-0000C2070000}"/>
    <cellStyle name="Output 2 19 2" xfId="9484" xr:uid="{A5A78A18-071D-462A-93CF-367EBA0CFE44}"/>
    <cellStyle name="Output 2 19 2 2" xfId="32036" xr:uid="{B3F834FB-D0D0-41E8-B360-153C4728303D}"/>
    <cellStyle name="Output 2 19 2 3" xfId="26469" xr:uid="{A42CF686-D58D-4428-B8AD-4B3CA777DFCA}"/>
    <cellStyle name="Output 2 19 3" xfId="15053" xr:uid="{A0C43748-CAD6-43EB-88E1-860F73F5FE1A}"/>
    <cellStyle name="Output 2 19 3 2" xfId="37498" xr:uid="{E95E9BAF-6EBE-4F32-B37D-7557B4F5F561}"/>
    <cellStyle name="Output 2 19 3 3" xfId="47148" xr:uid="{C77AC9BC-60AF-44C2-9111-5CA7CCCAD53E}"/>
    <cellStyle name="Output 2 19 4" xfId="15231" xr:uid="{830AE9D1-D0DD-48E2-8E25-3B801C94EC75}"/>
    <cellStyle name="Output 2 19 4 2" xfId="37667" xr:uid="{1DF8E4D4-7BFC-4995-87D9-4F140E0FE0AE}"/>
    <cellStyle name="Output 2 19 4 3" xfId="42654" xr:uid="{D1727707-B556-4CD7-A54A-611B31962072}"/>
    <cellStyle name="Output 2 19 5" xfId="15144" xr:uid="{0B825783-DF6A-4194-B07C-32DC089614AE}"/>
    <cellStyle name="Output 2 19 5 2" xfId="46465" xr:uid="{3D2D4A89-188C-4EF2-8608-94B46E032526}"/>
    <cellStyle name="Output 2 19 6" xfId="49453" xr:uid="{4371485D-5A30-465F-BADF-5D475B081165}"/>
    <cellStyle name="Output 2 2" xfId="421" xr:uid="{00000000-0005-0000-0000-0000D2070000}"/>
    <cellStyle name="Output 2 2 10" xfId="2317" xr:uid="{00000000-0005-0000-0000-0000D0070000}"/>
    <cellStyle name="Output 2 2 10 2" xfId="9227" xr:uid="{286E1FBF-B777-428A-A2FE-C4680BA2A209}"/>
    <cellStyle name="Output 2 2 10 2 2" xfId="31802" xr:uid="{6735210A-69BB-4016-B8D3-2F19781756B9}"/>
    <cellStyle name="Output 2 2 10 2 3" xfId="50287" xr:uid="{A3DDB833-B5BC-4A59-9513-8679115B946A}"/>
    <cellStyle name="Output 2 2 10 3" xfId="14880" xr:uid="{A1350680-6BCD-4134-9CE4-6DAF7E5131EE}"/>
    <cellStyle name="Output 2 2 10 3 2" xfId="37334" xr:uid="{F41C6424-2F33-4733-A755-C1372C433A07}"/>
    <cellStyle name="Output 2 2 10 3 3" xfId="46783" xr:uid="{560AA511-51E4-4B75-8B5F-361502D768C8}"/>
    <cellStyle name="Output 2 2 10 4" xfId="20327" xr:uid="{C5C17364-35F0-477C-BE17-9E7CA33B8567}"/>
    <cellStyle name="Output 2 2 10 4 2" xfId="42626" xr:uid="{BFCB3678-6509-4617-B397-1CF0D69BEE0F}"/>
    <cellStyle name="Output 2 2 10 4 3" xfId="27270" xr:uid="{154A62F7-21F3-411B-8F58-621F48E03B9E}"/>
    <cellStyle name="Output 2 2 10 5" xfId="20421" xr:uid="{F297E347-6478-4E80-A1A6-B370F323B207}"/>
    <cellStyle name="Output 2 2 10 5 2" xfId="48173" xr:uid="{AD9EC974-824E-434E-B9C8-17030176C592}"/>
    <cellStyle name="Output 2 2 10 6" xfId="44876" xr:uid="{C81A4C5F-488D-4A8E-A1C0-4BE104DBEBEE}"/>
    <cellStyle name="Output 2 2 11" xfId="5444" xr:uid="{00000000-0005-0000-0000-0000D0070000}"/>
    <cellStyle name="Output 2 2 11 2" xfId="12333" xr:uid="{25839910-30EC-4840-973E-D90227E2A88B}"/>
    <cellStyle name="Output 2 2 11 2 2" xfId="34818" xr:uid="{EC31A715-FE0F-4A45-9C77-29BB33345716}"/>
    <cellStyle name="Output 2 2 11 2 3" xfId="41961" xr:uid="{6B92E0C5-08D6-43D0-B008-04583337A481}"/>
    <cellStyle name="Output 2 2 11 3" xfId="17381" xr:uid="{0433A440-2B6D-4159-9EB2-A278136ACA61}"/>
    <cellStyle name="Output 2 2 11 3 2" xfId="39771" xr:uid="{21E6C05F-C08A-4635-8ACB-80E77769DE4C}"/>
    <cellStyle name="Output 2 2 11 3 3" xfId="29279" xr:uid="{A359755A-EABB-4359-822D-AA687E92E14D}"/>
    <cellStyle name="Output 2 2 11 4" xfId="7605" xr:uid="{E320861E-B8DA-4F3E-AB09-33F5E0C3AAB3}"/>
    <cellStyle name="Output 2 2 11 4 2" xfId="30266" xr:uid="{F5B4C4DA-9FFC-4676-B89A-D56AC2AD89B9}"/>
    <cellStyle name="Output 2 2 11 4 3" xfId="48326" xr:uid="{10318952-B1A7-4571-9E84-F565A5AE04BB}"/>
    <cellStyle name="Output 2 2 11 5" xfId="21805" xr:uid="{85B7E947-C012-4B67-98C1-F6AC226CD680}"/>
    <cellStyle name="Output 2 2 11 5 2" xfId="51196" xr:uid="{A4418078-E17F-474B-9875-D462A19847D4}"/>
    <cellStyle name="Output 2 2 11 6" xfId="43928" xr:uid="{A19CCB2F-34B4-4F08-9DAD-895C28CD1470}"/>
    <cellStyle name="Output 2 2 12" xfId="4182" xr:uid="{00000000-0005-0000-0000-0000D0070000}"/>
    <cellStyle name="Output 2 2 12 2" xfId="11086" xr:uid="{17E927BA-3055-4745-AFE8-6AAA8FDEC5C7}"/>
    <cellStyle name="Output 2 2 12 2 2" xfId="33572" xr:uid="{2A109017-2E97-4BAA-A0BF-BFA0D3436F62}"/>
    <cellStyle name="Output 2 2 12 2 3" xfId="46075" xr:uid="{EC37CB6D-CE51-4466-B8BD-A2ADA037FEE0}"/>
    <cellStyle name="Output 2 2 12 3" xfId="16175" xr:uid="{528F158A-1EF9-445B-B7C4-2B29FE9687C4}"/>
    <cellStyle name="Output 2 2 12 3 2" xfId="38574" xr:uid="{E630C7FE-D8F6-47F0-9944-B3CAD784EDAD}"/>
    <cellStyle name="Output 2 2 12 3 3" xfId="26081" xr:uid="{38AFA031-152F-4419-98DE-22B34FDC4714}"/>
    <cellStyle name="Output 2 2 12 4" xfId="14054" xr:uid="{0698AC57-F1A5-4502-A46B-D7AF9008AC5D}"/>
    <cellStyle name="Output 2 2 12 4 2" xfId="36533" xr:uid="{79EA740F-5845-4330-95AC-729591C60398}"/>
    <cellStyle name="Output 2 2 12 4 3" xfId="46890" xr:uid="{A34FB8AA-A586-4473-B142-20BCFD9F36CF}"/>
    <cellStyle name="Output 2 2 12 5" xfId="15943" xr:uid="{EFB7F64F-DE2D-400D-8A46-446DD6974918}"/>
    <cellStyle name="Output 2 2 12 5 2" xfId="53291" xr:uid="{35AE5C28-99C9-476F-9580-4C205E24AEE7}"/>
    <cellStyle name="Output 2 2 12 6" xfId="46473" xr:uid="{6C1E147A-487D-41D0-BCE2-C911228C6E54}"/>
    <cellStyle name="Output 2 2 13" xfId="13980" xr:uid="{74CEB23E-05DE-4B9B-A54C-7B82C59CB5E7}"/>
    <cellStyle name="Output 2 2 13 2" xfId="36464" xr:uid="{741CDBEF-2006-4179-8E4E-958F67A5368C}"/>
    <cellStyle name="Output 2 2 13 3" xfId="32770" xr:uid="{B0D049A5-2CA8-42CB-9986-47377407E44A}"/>
    <cellStyle name="Output 2 2 14" xfId="21158" xr:uid="{7793ABD5-88E0-49ED-B1E1-D0583A4D2EDD}"/>
    <cellStyle name="Output 2 2 14 2" xfId="43401" xr:uid="{40F4CF84-2CF5-43BB-A478-60A02F9E4787}"/>
    <cellStyle name="Output 2 2 14 3" xfId="53994" xr:uid="{EF6C9CC5-D406-4ED1-8A0D-617462C1BF66}"/>
    <cellStyle name="Output 2 2 15" xfId="19441" xr:uid="{F6E7BD28-04F6-4950-B327-CA09638BA5E8}"/>
    <cellStyle name="Output 2 2 15 2" xfId="29152" xr:uid="{88519ABF-419A-49A4-A814-2DAA4F7D28BF}"/>
    <cellStyle name="Output 2 2 16" xfId="46089" xr:uid="{BFEAB0FD-6FE8-4C0F-B296-0711602E8BA2}"/>
    <cellStyle name="Output 2 2 2" xfId="577" xr:uid="{00000000-0005-0000-0000-0000D3070000}"/>
    <cellStyle name="Output 2 2 2 10" xfId="19667" xr:uid="{49B36730-66E7-422F-AA2D-90B2D9145529}"/>
    <cellStyle name="Output 2 2 2 10 2" xfId="30966" xr:uid="{C623D865-D39D-444D-807E-3C5DC205C123}"/>
    <cellStyle name="Output 2 2 2 11" xfId="49019" xr:uid="{D8D6AC41-4E94-4FCE-B8BB-65340B9CA9D0}"/>
    <cellStyle name="Output 2 2 2 2" xfId="1711" xr:uid="{00000000-0005-0000-0000-0000D4070000}"/>
    <cellStyle name="Output 2 2 2 2 10" xfId="14412" xr:uid="{72A1492C-4C91-4492-8B93-D8EA78F09257}"/>
    <cellStyle name="Output 2 2 2 2 10 2" xfId="36878" xr:uid="{9FC99B68-DBB4-4AF9-8E3C-F59C0EB4AA6E}"/>
    <cellStyle name="Output 2 2 2 2 10 3" xfId="46619" xr:uid="{E418D7F2-24AE-4BBF-8B58-D38BF04FC4C9}"/>
    <cellStyle name="Output 2 2 2 2 11" xfId="20690" xr:uid="{DB703B6D-0C70-466E-8B24-AB71D576EE8D}"/>
    <cellStyle name="Output 2 2 2 2 11 2" xfId="42963" xr:uid="{9D13F667-5C29-4FAC-8A40-1BCB4D59820F}"/>
    <cellStyle name="Output 2 2 2 2 11 3" xfId="53709" xr:uid="{EB773AA9-19A9-4C02-B36A-4A8D63CB5F1E}"/>
    <cellStyle name="Output 2 2 2 2 12" xfId="19639" xr:uid="{7D5DAC2A-4390-4450-A798-9A266ED619EE}"/>
    <cellStyle name="Output 2 2 2 2 12 2" xfId="44107" xr:uid="{08EF719F-42F1-419A-970F-F023F7E79F18}"/>
    <cellStyle name="Output 2 2 2 2 13" xfId="50080" xr:uid="{2026C436-3228-43F6-92BE-60EC19696066}"/>
    <cellStyle name="Output 2 2 2 2 2" xfId="3809" xr:uid="{00000000-0005-0000-0000-0000D2070000}"/>
    <cellStyle name="Output 2 2 2 2 2 2" xfId="10713" xr:uid="{7D025702-A3FF-4F4D-8689-ADDD472209F4}"/>
    <cellStyle name="Output 2 2 2 2 2 2 2" xfId="33199" xr:uid="{C39CCAA1-261A-4D2D-809D-E2481B3709A6}"/>
    <cellStyle name="Output 2 2 2 2 2 2 3" xfId="44016" xr:uid="{30C6F927-9706-4C4D-9CCF-D1F873A4901C}"/>
    <cellStyle name="Output 2 2 2 2 2 3" xfId="15869" xr:uid="{B5B77C7E-8F02-4305-8703-3F9DD038A195}"/>
    <cellStyle name="Output 2 2 2 2 2 3 2" xfId="38275" xr:uid="{F20F76A0-1C36-45CB-9317-40F7F262C07B}"/>
    <cellStyle name="Output 2 2 2 2 2 3 3" xfId="49223" xr:uid="{EB5D9206-3EE1-4C0B-BFEF-938037748CDE}"/>
    <cellStyle name="Output 2 2 2 2 2 4" xfId="19987" xr:uid="{32DAA4D0-E651-478E-9907-A9CB4422C744}"/>
    <cellStyle name="Output 2 2 2 2 2 4 2" xfId="42313" xr:uid="{18C9478F-7908-4C6D-8F12-838291959D0B}"/>
    <cellStyle name="Output 2 2 2 2 2 4 3" xfId="44456" xr:uid="{3408E3DB-08DA-4B04-82A1-ED3441602C46}"/>
    <cellStyle name="Output 2 2 2 2 2 5" xfId="14803" xr:uid="{C56C7539-41A4-49E0-87E5-14776F4EBFE2}"/>
    <cellStyle name="Output 2 2 2 2 2 5 2" xfId="53953" xr:uid="{0E9D7AB9-02B3-4DE6-98C9-9076246E8807}"/>
    <cellStyle name="Output 2 2 2 2 2 6" xfId="53550" xr:uid="{0D3DE55B-F98A-45A7-9FFA-DB3A2DDF0141}"/>
    <cellStyle name="Output 2 2 2 2 3" xfId="5225" xr:uid="{00000000-0005-0000-0000-0000D2070000}"/>
    <cellStyle name="Output 2 2 2 2 3 2" xfId="12117" xr:uid="{D290A42F-BF01-4792-8481-E270B2A4F713}"/>
    <cellStyle name="Output 2 2 2 2 3 2 2" xfId="34602" xr:uid="{D1F09207-F096-46CB-8EE4-91FFED35CCF2}"/>
    <cellStyle name="Output 2 2 2 2 3 2 3" xfId="43524" xr:uid="{ADE46FA3-DBFB-4D1B-894E-E82B31F803CC}"/>
    <cellStyle name="Output 2 2 2 2 3 3" xfId="17162" xr:uid="{18A78C52-2DEF-46EB-94BA-4C92C6EFEC80}"/>
    <cellStyle name="Output 2 2 2 2 3 3 2" xfId="39552" xr:uid="{17229942-F0FA-4397-8930-B87FA66F33E2}"/>
    <cellStyle name="Output 2 2 2 2 3 3 3" xfId="44378" xr:uid="{9DA037C4-32C5-44E7-9A2F-D1EF84E52A8C}"/>
    <cellStyle name="Output 2 2 2 2 3 4" xfId="15798" xr:uid="{F777395C-B464-4D5A-B865-D4054280BB00}"/>
    <cellStyle name="Output 2 2 2 2 3 4 2" xfId="38206" xr:uid="{3132379A-BA72-4CDD-8195-6AE8398E6983}"/>
    <cellStyle name="Output 2 2 2 2 3 4 3" xfId="53848" xr:uid="{AD45D328-E5F2-4834-9167-512F3614A34A}"/>
    <cellStyle name="Output 2 2 2 2 3 5" xfId="21586" xr:uid="{4A247BA8-BF03-4D74-8D88-C7516380720D}"/>
    <cellStyle name="Output 2 2 2 2 3 5 2" xfId="27915" xr:uid="{C17DCF16-487E-4222-9B16-177B572C3DB0}"/>
    <cellStyle name="Output 2 2 2 2 3 6" xfId="48704" xr:uid="{6267DA51-3B45-4E03-8072-893D89FB50AF}"/>
    <cellStyle name="Output 2 2 2 2 4" xfId="5637" xr:uid="{00000000-0005-0000-0000-0000D2070000}"/>
    <cellStyle name="Output 2 2 2 2 4 2" xfId="12521" xr:uid="{50789E52-2CEC-4A08-A2CB-B318B136130F}"/>
    <cellStyle name="Output 2 2 2 2 4 2 2" xfId="35006" xr:uid="{AB0D1561-FE65-4127-B8F3-026292E3B27D}"/>
    <cellStyle name="Output 2 2 2 2 4 2 3" xfId="29944" xr:uid="{CE5D87C0-81FC-4BAD-9263-0832495BF62F}"/>
    <cellStyle name="Output 2 2 2 2 4 3" xfId="17574" xr:uid="{792E09E0-5658-480F-99D6-96547EA72670}"/>
    <cellStyle name="Output 2 2 2 2 4 3 2" xfId="39964" xr:uid="{50817FBE-5414-4B97-9FBE-1E485ED70912}"/>
    <cellStyle name="Output 2 2 2 2 4 3 3" xfId="23697" xr:uid="{6D90AF23-D6FD-41CD-8836-BAD9C4FC71B3}"/>
    <cellStyle name="Output 2 2 2 2 4 4" xfId="19634" xr:uid="{B808C2DB-0F36-4512-9452-79BE3CB65A76}"/>
    <cellStyle name="Output 2 2 2 2 4 4 2" xfId="41985" xr:uid="{49148339-8345-4486-93E8-AE81EC7FDA50}"/>
    <cellStyle name="Output 2 2 2 2 4 4 3" xfId="24429" xr:uid="{A71AE609-D96B-41D6-9CAD-3180C56AF2EE}"/>
    <cellStyle name="Output 2 2 2 2 4 5" xfId="21998" xr:uid="{BFDDE582-1041-4A57-A583-2EA9F6402EAD}"/>
    <cellStyle name="Output 2 2 2 2 4 5 2" xfId="46758" xr:uid="{04FE0296-F178-41A0-86B2-9F064C974F3E}"/>
    <cellStyle name="Output 2 2 2 2 4 6" xfId="50713" xr:uid="{E0B6D38C-DE20-4998-95B8-73A1D371CB17}"/>
    <cellStyle name="Output 2 2 2 2 5" xfId="5422" xr:uid="{00000000-0005-0000-0000-0000D2070000}"/>
    <cellStyle name="Output 2 2 2 2 5 2" xfId="12312" xr:uid="{BE1449C0-5493-4BDB-8CAB-C4F39B3A5246}"/>
    <cellStyle name="Output 2 2 2 2 5 2 2" xfId="34797" xr:uid="{220818DD-F971-4D4F-9FBE-6C24C28CCC2A}"/>
    <cellStyle name="Output 2 2 2 2 5 2 3" xfId="45584" xr:uid="{A06BA1E2-A157-431D-8498-132A5631FF77}"/>
    <cellStyle name="Output 2 2 2 2 5 3" xfId="17359" xr:uid="{92C7DF1C-D9EC-4269-8CD8-18B7E413FD60}"/>
    <cellStyle name="Output 2 2 2 2 5 3 2" xfId="39749" xr:uid="{62A57A7C-B5BE-4476-8C13-8D063235B0FA}"/>
    <cellStyle name="Output 2 2 2 2 5 3 3" xfId="30298" xr:uid="{76644B04-0330-45B3-A4CB-1CB60667670D}"/>
    <cellStyle name="Output 2 2 2 2 5 4" xfId="15498" xr:uid="{F751B7BD-3CE4-466D-BEBE-32753E72864D}"/>
    <cellStyle name="Output 2 2 2 2 5 4 2" xfId="37920" xr:uid="{00E84256-D21A-440C-A34C-0E32A896DF10}"/>
    <cellStyle name="Output 2 2 2 2 5 4 3" xfId="29442" xr:uid="{BA3F1984-307F-4062-9DF8-52E7A6A06A85}"/>
    <cellStyle name="Output 2 2 2 2 5 5" xfId="21783" xr:uid="{34A915E7-3F04-4F9D-B63D-8BF3D862A558}"/>
    <cellStyle name="Output 2 2 2 2 5 5 2" xfId="47832" xr:uid="{28ABE102-90EC-4628-80C8-505C65F5D1E8}"/>
    <cellStyle name="Output 2 2 2 2 5 6" xfId="50547" xr:uid="{1FA30065-400C-468A-B641-8D156FBA13A3}"/>
    <cellStyle name="Output 2 2 2 2 6" xfId="6376" xr:uid="{00000000-0005-0000-0000-0000D2070000}"/>
    <cellStyle name="Output 2 2 2 2 6 2" xfId="13248" xr:uid="{2739EFAE-CA8A-4606-BD2A-826F134A342D}"/>
    <cellStyle name="Output 2 2 2 2 6 2 2" xfId="35732" xr:uid="{451A710F-6A26-44FA-BE96-A305D25D1D8C}"/>
    <cellStyle name="Output 2 2 2 2 6 2 3" xfId="47505" xr:uid="{54BF80EF-CFA9-44A1-BCD1-D70399037841}"/>
    <cellStyle name="Output 2 2 2 2 6 3" xfId="18313" xr:uid="{6D82FD50-53C9-470E-BCB8-C418FB4EBB2C}"/>
    <cellStyle name="Output 2 2 2 2 6 3 2" xfId="40703" xr:uid="{65480669-0DDA-41CD-8809-E3C86155A1A6}"/>
    <cellStyle name="Output 2 2 2 2 6 3 3" xfId="42917" xr:uid="{923BDB44-263A-45EC-A71D-59B08348ADD2}"/>
    <cellStyle name="Output 2 2 2 2 6 4" xfId="11625" xr:uid="{E231049C-9702-48E9-B476-ADD21E671B82}"/>
    <cellStyle name="Output 2 2 2 2 6 4 2" xfId="34111" xr:uid="{1E2C9756-0904-473D-9F95-B1EA510BD4BA}"/>
    <cellStyle name="Output 2 2 2 2 6 4 3" xfId="45602" xr:uid="{5834561B-111F-487B-9577-AA42558B6B16}"/>
    <cellStyle name="Output 2 2 2 2 6 5" xfId="22737" xr:uid="{966DA23D-FCD1-4ECA-9B2A-E9B068DF1AD0}"/>
    <cellStyle name="Output 2 2 2 2 6 5 2" xfId="53252" xr:uid="{F061F3D4-D155-46AC-B17C-353CCAD9DE6E}"/>
    <cellStyle name="Output 2 2 2 2 6 6" xfId="51615" xr:uid="{6A59DDDE-316A-4CA7-838F-E19F46422655}"/>
    <cellStyle name="Output 2 2 2 2 7" xfId="6802" xr:uid="{00000000-0005-0000-0000-0000D2070000}"/>
    <cellStyle name="Output 2 2 2 2 7 2" xfId="13651" xr:uid="{C2DE19DD-01F0-479E-9BD0-02706AB5AF64}"/>
    <cellStyle name="Output 2 2 2 2 7 2 2" xfId="36135" xr:uid="{6592DB29-7167-4DAF-A283-6B1712553C0A}"/>
    <cellStyle name="Output 2 2 2 2 7 2 3" xfId="52395" xr:uid="{F2E018B4-6EC8-4730-B63F-145268C44CB0}"/>
    <cellStyle name="Output 2 2 2 2 7 3" xfId="18739" xr:uid="{A747BC07-5FAB-4A37-A1EB-B7BEECF88A5D}"/>
    <cellStyle name="Output 2 2 2 2 7 3 2" xfId="41129" xr:uid="{37ED2F61-AE23-400C-8ED9-88E04C39C6F6}"/>
    <cellStyle name="Output 2 2 2 2 7 3 3" xfId="29850" xr:uid="{FD759D65-185B-41BE-8F56-B010C820F713}"/>
    <cellStyle name="Output 2 2 2 2 7 4" xfId="8293" xr:uid="{C5BA87F8-987E-4A23-BE88-EB63AB6FFA74}"/>
    <cellStyle name="Output 2 2 2 2 7 4 2" xfId="30893" xr:uid="{085F16C9-A647-48B2-AC67-C603FA2A8A03}"/>
    <cellStyle name="Output 2 2 2 2 7 4 3" xfId="46884" xr:uid="{47ECFF2A-D4A5-4347-9CF7-6D918C048D12}"/>
    <cellStyle name="Output 2 2 2 2 7 5" xfId="23163" xr:uid="{D3049333-90B1-4999-BBDF-B286A0B13BDB}"/>
    <cellStyle name="Output 2 2 2 2 7 5 2" xfId="43922" xr:uid="{96F5A520-571A-4D01-90EF-FAC7B67D1E48}"/>
    <cellStyle name="Output 2 2 2 2 7 6" xfId="52629" xr:uid="{E9DC2938-A7E1-4269-AE56-AC2B90F31BB1}"/>
    <cellStyle name="Output 2 2 2 2 8" xfId="6893" xr:uid="{00000000-0005-0000-0000-0000D2070000}"/>
    <cellStyle name="Output 2 2 2 2 8 2" xfId="13731" xr:uid="{4EC9EF0A-7029-4B78-AC7B-56158DD59A85}"/>
    <cellStyle name="Output 2 2 2 2 8 2 2" xfId="36215" xr:uid="{93237083-A6EC-4F6C-850C-37E09393F51C}"/>
    <cellStyle name="Output 2 2 2 2 8 2 3" xfId="49484" xr:uid="{105E568F-C4E1-43FC-8486-DD0B0489CB65}"/>
    <cellStyle name="Output 2 2 2 2 8 3" xfId="18830" xr:uid="{93E59F33-BA42-496C-B69B-FB8818F0C0EB}"/>
    <cellStyle name="Output 2 2 2 2 8 3 2" xfId="41220" xr:uid="{CE46153F-4216-4FB1-AF81-A3B33F561820}"/>
    <cellStyle name="Output 2 2 2 2 8 3 3" xfId="45580" xr:uid="{ED4AE17C-3FD7-45A0-8CCF-0CE4216EF6A9}"/>
    <cellStyle name="Output 2 2 2 2 8 4" xfId="19952" xr:uid="{E6EB46D4-EE28-4411-9EB0-3F6BE1211CDE}"/>
    <cellStyle name="Output 2 2 2 2 8 4 2" xfId="42281" xr:uid="{1B74C957-6B15-4516-AA21-6430D83F4A1D}"/>
    <cellStyle name="Output 2 2 2 2 8 4 3" xfId="28445" xr:uid="{B0111BCA-EF57-4EB3-BCB2-2E0D288368A1}"/>
    <cellStyle name="Output 2 2 2 2 8 5" xfId="23254" xr:uid="{059C96E2-554D-4BDD-9377-449C28DC6E92}"/>
    <cellStyle name="Output 2 2 2 2 8 5 2" xfId="53303" xr:uid="{8459034B-C638-420D-9D06-A4B038EE4343}"/>
    <cellStyle name="Output 2 2 2 2 8 6" xfId="53331" xr:uid="{2EFFED47-79E2-419B-BB82-15A6CDE59406}"/>
    <cellStyle name="Output 2 2 2 2 9" xfId="6743" xr:uid="{00000000-0005-0000-0000-0000D2070000}"/>
    <cellStyle name="Output 2 2 2 2 9 2" xfId="18680" xr:uid="{FF7E34CE-8E6A-4591-8169-76FE2FD85EB2}"/>
    <cellStyle name="Output 2 2 2 2 9 2 2" xfId="41070" xr:uid="{93B4D69F-E8F8-409E-929A-33FF853B5220}"/>
    <cellStyle name="Output 2 2 2 2 9 2 3" xfId="42553" xr:uid="{13D7A679-3D9E-40F4-9AD1-68AEB50E233B}"/>
    <cellStyle name="Output 2 2 2 2 9 3" xfId="19954" xr:uid="{0F182373-F4BC-4E80-AA10-54278DB5F378}"/>
    <cellStyle name="Output 2 2 2 2 9 3 2" xfId="42283" xr:uid="{C9B6847A-DA60-47A8-8AB9-AA8C7B142C17}"/>
    <cellStyle name="Output 2 2 2 2 9 3 3" xfId="26181" xr:uid="{5425C17C-B07F-4E02-BC68-DF2C8E34EF4A}"/>
    <cellStyle name="Output 2 2 2 2 9 4" xfId="23104" xr:uid="{4A65CBEF-11B0-40D0-9BC7-5FF7880994E8}"/>
    <cellStyle name="Output 2 2 2 2 9 4 2" xfId="45995" xr:uid="{333B7B1D-CD1F-4012-B07D-9163AD3718DB}"/>
    <cellStyle name="Output 2 2 2 2 9 5" xfId="48556" xr:uid="{0EE9DF38-07C9-40AF-B8D0-CBC693095749}"/>
    <cellStyle name="Output 2 2 2 3" xfId="2725" xr:uid="{00000000-0005-0000-0000-0000D1070000}"/>
    <cellStyle name="Output 2 2 2 3 2" xfId="9634" xr:uid="{A9E10BEB-56FC-4873-8D62-CE1F48138301}"/>
    <cellStyle name="Output 2 2 2 3 2 2" xfId="32182" xr:uid="{F5B573FA-F9C9-49CC-B2E4-0A95540499C2}"/>
    <cellStyle name="Output 2 2 2 3 2 3" xfId="27940" xr:uid="{1F67D94E-E97A-4780-9803-4D1091DD9C60}"/>
    <cellStyle name="Output 2 2 2 3 3" xfId="15152" xr:uid="{099E954C-2F7B-4595-BA9E-103AE6B65F6D}"/>
    <cellStyle name="Output 2 2 2 3 3 2" xfId="37592" xr:uid="{6B8BBAD6-B5B8-4A19-8D61-31B01027BAF9}"/>
    <cellStyle name="Output 2 2 2 3 3 3" xfId="29288" xr:uid="{A2E42FB0-8A05-4716-98F3-E59362B44EEB}"/>
    <cellStyle name="Output 2 2 2 3 4" xfId="19196" xr:uid="{5DD3645E-FBF8-47C8-A99D-6F3B5ED11DCD}"/>
    <cellStyle name="Output 2 2 2 3 4 2" xfId="41585" xr:uid="{43470159-E341-4D10-8B69-702E04531B5C}"/>
    <cellStyle name="Output 2 2 2 3 4 3" xfId="29143" xr:uid="{DF285B8C-E792-4C98-BD3B-C2BB03C578A6}"/>
    <cellStyle name="Output 2 2 2 3 5" xfId="20725" xr:uid="{D01AEDB9-87D5-493B-873C-C3405382EDA2}"/>
    <cellStyle name="Output 2 2 2 3 5 2" xfId="42379" xr:uid="{1A87182A-5A64-495F-A356-9F9AE650B7F8}"/>
    <cellStyle name="Output 2 2 2 3 6" xfId="27376" xr:uid="{E7823F3F-79E3-4ACB-86C4-CCE38976D21B}"/>
    <cellStyle name="Output 2 2 2 4" xfId="4516" xr:uid="{00000000-0005-0000-0000-0000D1070000}"/>
    <cellStyle name="Output 2 2 2 4 2" xfId="11418" xr:uid="{78D1C021-5BE3-482B-B89C-69366527CBA7}"/>
    <cellStyle name="Output 2 2 2 4 2 2" xfId="33904" xr:uid="{32AC19DC-8A32-46ED-B6F0-3436726D25D0}"/>
    <cellStyle name="Output 2 2 2 4 2 3" xfId="29607" xr:uid="{7D96FF00-154E-43AA-A82F-B4966ADC896C}"/>
    <cellStyle name="Output 2 2 2 4 3" xfId="16453" xr:uid="{D6F768B6-ECF5-44FC-8AD3-137BF833CF90}"/>
    <cellStyle name="Output 2 2 2 4 3 2" xfId="38843" xr:uid="{C9BF15DE-18AF-4F0C-A440-96D4E23652A0}"/>
    <cellStyle name="Output 2 2 2 4 3 3" xfId="30502" xr:uid="{A24C5F94-50E2-41B0-A119-2424E46560C6}"/>
    <cellStyle name="Output 2 2 2 4 4" xfId="14620" xr:uid="{B8E76467-C641-4723-BACA-580516C786C0}"/>
    <cellStyle name="Output 2 2 2 4 4 2" xfId="37081" xr:uid="{60C62373-156E-4161-9B08-ABA0B26ADDE3}"/>
    <cellStyle name="Output 2 2 2 4 4 3" xfId="48853" xr:uid="{6872ADDA-B973-43FA-9E06-E36E14EFAB14}"/>
    <cellStyle name="Output 2 2 2 4 5" xfId="8276" xr:uid="{D281A049-629A-4DDC-914F-06E0024F393C}"/>
    <cellStyle name="Output 2 2 2 4 5 2" xfId="51077" xr:uid="{51392781-0369-4553-9A97-B134352BE20E}"/>
    <cellStyle name="Output 2 2 2 4 6" xfId="24013" xr:uid="{529B6507-265D-4A9B-AD67-ED8588CE649B}"/>
    <cellStyle name="Output 2 2 2 5" xfId="5688" xr:uid="{00000000-0005-0000-0000-0000D1070000}"/>
    <cellStyle name="Output 2 2 2 5 2" xfId="12572" xr:uid="{E2CBA2CE-33E4-429D-83E9-23D9DB09051A}"/>
    <cellStyle name="Output 2 2 2 5 2 2" xfId="35057" xr:uid="{F6715D6A-6292-4F33-8F9D-E1301F2D47F6}"/>
    <cellStyle name="Output 2 2 2 5 2 3" xfId="41777" xr:uid="{1893487F-879C-43A3-B260-248099E7BB8E}"/>
    <cellStyle name="Output 2 2 2 5 3" xfId="17625" xr:uid="{0192F5FF-0058-4C4D-BC4F-6BAAE2585CE2}"/>
    <cellStyle name="Output 2 2 2 5 3 2" xfId="40015" xr:uid="{19975D92-274E-46C6-8DE0-097731E0B632}"/>
    <cellStyle name="Output 2 2 2 5 3 3" xfId="37110" xr:uid="{1AA03A08-DE5B-44E8-87AE-20DF56222069}"/>
    <cellStyle name="Output 2 2 2 5 4" xfId="16262" xr:uid="{874354F5-3370-472D-8AEB-22374D5C063F}"/>
    <cellStyle name="Output 2 2 2 5 4 2" xfId="38654" xr:uid="{EDC4E1D2-D649-4543-BA2D-21A4780F1BB2}"/>
    <cellStyle name="Output 2 2 2 5 4 3" xfId="27102" xr:uid="{760EDF59-D690-4436-AF3C-E7D95243BD34}"/>
    <cellStyle name="Output 2 2 2 5 5" xfId="22049" xr:uid="{63FDDA53-321F-4440-8128-81AA9FFFABE0}"/>
    <cellStyle name="Output 2 2 2 5 5 2" xfId="53899" xr:uid="{244A16B7-2574-4923-9541-1905D81FD537}"/>
    <cellStyle name="Output 2 2 2 5 6" xfId="44388" xr:uid="{8D12A978-FC57-4B83-AAB1-00904D81E9F4}"/>
    <cellStyle name="Output 2 2 2 6" xfId="5760" xr:uid="{00000000-0005-0000-0000-0000D1070000}"/>
    <cellStyle name="Output 2 2 2 6 2" xfId="12644" xr:uid="{EEB3B75A-F71D-4808-BB7A-33313E6ABE3F}"/>
    <cellStyle name="Output 2 2 2 6 2 2" xfId="35129" xr:uid="{1D0DEDF2-3665-4A5D-9D75-8C8C403B5BD9}"/>
    <cellStyle name="Output 2 2 2 6 2 3" xfId="28136" xr:uid="{E8D8D66A-CC4C-49A8-9FED-67CE60650188}"/>
    <cellStyle name="Output 2 2 2 6 3" xfId="17697" xr:uid="{269D54DF-BD59-463F-ADC2-5C7D1330C121}"/>
    <cellStyle name="Output 2 2 2 6 3 2" xfId="40087" xr:uid="{890DE9C8-9998-4E27-ABEF-476BB5BF9A29}"/>
    <cellStyle name="Output 2 2 2 6 3 3" xfId="24038" xr:uid="{7B41B26D-7B51-4A30-8DD1-C47CFEDF60C9}"/>
    <cellStyle name="Output 2 2 2 6 4" xfId="14268" xr:uid="{7C54B54D-345B-4E9A-A9D9-F8F91685230B}"/>
    <cellStyle name="Output 2 2 2 6 4 2" xfId="36739" xr:uid="{A4BF2F9C-1DE8-4FE8-9DA7-9BDB6591A485}"/>
    <cellStyle name="Output 2 2 2 6 4 3" xfId="24335" xr:uid="{957594EC-FC00-479C-A8E3-4749898258E2}"/>
    <cellStyle name="Output 2 2 2 6 5" xfId="22121" xr:uid="{F158082B-FA47-4891-A88F-61CEC5C081B2}"/>
    <cellStyle name="Output 2 2 2 6 5 2" xfId="37076" xr:uid="{700CBE65-AA2C-4872-9C5A-B7E8C656BE42}"/>
    <cellStyle name="Output 2 2 2 6 6" xfId="27682" xr:uid="{F0408E43-D8F7-4C8E-B575-5ADB6F93AA02}"/>
    <cellStyle name="Output 2 2 2 7" xfId="6794" xr:uid="{00000000-0005-0000-0000-0000D1070000}"/>
    <cellStyle name="Output 2 2 2 7 2" xfId="13643" xr:uid="{6880842C-5671-4848-9597-72E9870236E1}"/>
    <cellStyle name="Output 2 2 2 7 2 2" xfId="36127" xr:uid="{09B7BA2E-2462-4CCB-9053-596A562A954F}"/>
    <cellStyle name="Output 2 2 2 7 2 3" xfId="52918" xr:uid="{B22DA340-C322-4173-A6E5-E2ACFE031AC2}"/>
    <cellStyle name="Output 2 2 2 7 3" xfId="18731" xr:uid="{5B9AF539-7167-4238-B713-EFF0B28D48B8}"/>
    <cellStyle name="Output 2 2 2 7 3 2" xfId="41121" xr:uid="{0E76E583-51AE-4A71-900A-DA5BA49DD2E7}"/>
    <cellStyle name="Output 2 2 2 7 3 3" xfId="44179" xr:uid="{DD4A9D0E-732B-41F0-A61D-99A5F53D3E53}"/>
    <cellStyle name="Output 2 2 2 7 4" xfId="21118" xr:uid="{6F995599-9A16-4E6B-AB2F-5B671055B932}"/>
    <cellStyle name="Output 2 2 2 7 4 2" xfId="43364" xr:uid="{465CAF5E-7171-4184-9B51-F8AB7067F930}"/>
    <cellStyle name="Output 2 2 2 7 4 3" xfId="28145" xr:uid="{1B569F78-7E4F-481E-BBDF-F78DD6CE0683}"/>
    <cellStyle name="Output 2 2 2 7 5" xfId="23155" xr:uid="{DC7DAC4B-227C-4EE8-B648-03919A3E67B9}"/>
    <cellStyle name="Output 2 2 2 7 5 2" xfId="47929" xr:uid="{D20A14D8-BDDA-4E5A-868D-66B2E5D29786}"/>
    <cellStyle name="Output 2 2 2 7 6" xfId="49319" xr:uid="{55ACCCD7-BDCE-414B-ADF5-7624D1528CEA}"/>
    <cellStyle name="Output 2 2 2 8" xfId="8243" xr:uid="{806BD6FE-BF82-4D0C-B6DC-6BBAB0C0671C}"/>
    <cellStyle name="Output 2 2 2 8 2" xfId="30848" xr:uid="{EE583C4C-E56B-4B21-B2C0-415FECE371D2}"/>
    <cellStyle name="Output 2 2 2 8 3" xfId="44600" xr:uid="{0CE6F8E9-18DF-4F36-8868-91A23798B30D}"/>
    <cellStyle name="Output 2 2 2 9" xfId="19750" xr:uid="{F617912F-4DD9-40F1-BD79-78C0E9F62A3E}"/>
    <cellStyle name="Output 2 2 2 9 2" xfId="42093" xr:uid="{E3A8EEC5-0CAF-44A4-BB0E-E8CA61DAADD2}"/>
    <cellStyle name="Output 2 2 2 9 3" xfId="36593" xr:uid="{485AF0F4-0323-41FB-A3E9-70BBEC9ABC33}"/>
    <cellStyle name="Output 2 2 3" xfId="822" xr:uid="{00000000-0005-0000-0000-0000D5070000}"/>
    <cellStyle name="Output 2 2 3 10" xfId="20639" xr:uid="{E8C37912-9061-4B2C-9443-EF45AEA3526F}"/>
    <cellStyle name="Output 2 2 3 10 2" xfId="46086" xr:uid="{342870DB-4126-4F66-81B9-8B2E828B5C7E}"/>
    <cellStyle name="Output 2 2 3 11" xfId="48477" xr:uid="{AADB9833-1C2D-4382-9E54-6A3A98BE9CAD}"/>
    <cellStyle name="Output 2 2 3 2" xfId="1808" xr:uid="{00000000-0005-0000-0000-0000D6070000}"/>
    <cellStyle name="Output 2 2 3 2 10" xfId="14492" xr:uid="{C9D7CE3D-F578-4EAB-8F7C-AB14C2F7C090}"/>
    <cellStyle name="Output 2 2 3 2 10 2" xfId="36953" xr:uid="{72F9F2A9-5086-4ECB-94BB-CF889FA581AC}"/>
    <cellStyle name="Output 2 2 3 2 10 3" xfId="36787" xr:uid="{8A719823-9035-4A0E-A462-E7A00F846768}"/>
    <cellStyle name="Output 2 2 3 2 11" xfId="20023" xr:uid="{619F1001-6C1C-40F7-970F-84E070D3679C}"/>
    <cellStyle name="Output 2 2 3 2 11 2" xfId="42347" xr:uid="{47072553-0C6D-4CFF-9550-719FA51F2EDF}"/>
    <cellStyle name="Output 2 2 3 2 11 3" xfId="28706" xr:uid="{87935CCD-2FE2-43EC-9675-39602B7B8D54}"/>
    <cellStyle name="Output 2 2 3 2 12" xfId="14717" xr:uid="{C9A22DB2-93E3-4AD6-8918-F385761B71D3}"/>
    <cellStyle name="Output 2 2 3 2 12 2" xfId="51881" xr:uid="{B6928065-A2B3-400E-87FB-E3159FB50B06}"/>
    <cellStyle name="Output 2 2 3 2 13" xfId="24717" xr:uid="{5F65FCF1-E0D9-43CF-9E96-7D5F8DCC8C05}"/>
    <cellStyle name="Output 2 2 3 2 2" xfId="3906" xr:uid="{00000000-0005-0000-0000-0000D4070000}"/>
    <cellStyle name="Output 2 2 3 2 2 2" xfId="10810" xr:uid="{ADBC4E16-775B-45C8-B5FF-B618F103DCB7}"/>
    <cellStyle name="Output 2 2 3 2 2 2 2" xfId="33296" xr:uid="{E08B158E-1F7A-47CF-80A3-82425E7893EB}"/>
    <cellStyle name="Output 2 2 3 2 2 2 3" xfId="49745" xr:uid="{9D9EAD8E-3597-4A1A-A93D-8648C6A55F41}"/>
    <cellStyle name="Output 2 2 3 2 2 3" xfId="15948" xr:uid="{B881E230-6359-4EC3-8F9C-07E0AD3C5AD6}"/>
    <cellStyle name="Output 2 2 3 2 2 3 2" xfId="38351" xr:uid="{BB48C232-F256-4650-8819-4BFD3925F6CA}"/>
    <cellStyle name="Output 2 2 3 2 2 3 3" xfId="50710" xr:uid="{544B6E0E-8899-4CCC-8F49-D7D4A57E61EF}"/>
    <cellStyle name="Output 2 2 3 2 2 4" xfId="20523" xr:uid="{65389797-8102-414B-A093-A6C9264F21A2}"/>
    <cellStyle name="Output 2 2 3 2 2 4 2" xfId="42809" xr:uid="{9C16028C-C4E1-4CAE-B56C-43676086235B}"/>
    <cellStyle name="Output 2 2 3 2 2 4 3" xfId="47061" xr:uid="{3A6D931C-FCAE-4935-873E-7BA23F8CF638}"/>
    <cellStyle name="Output 2 2 3 2 2 5" xfId="19856" xr:uid="{9627E912-5F26-49AE-B400-3A8994735F93}"/>
    <cellStyle name="Output 2 2 3 2 2 5 2" xfId="27305" xr:uid="{008F25F2-0AC9-4A0B-AE21-5A7A2DABBC58}"/>
    <cellStyle name="Output 2 2 3 2 2 6" xfId="52989" xr:uid="{961E9E10-4201-4651-8E0A-472EF2CC025D}"/>
    <cellStyle name="Output 2 2 3 2 3" xfId="5301" xr:uid="{00000000-0005-0000-0000-0000D4070000}"/>
    <cellStyle name="Output 2 2 3 2 3 2" xfId="12193" xr:uid="{DC95BF0C-A61D-466E-B71B-9D0F3211EECB}"/>
    <cellStyle name="Output 2 2 3 2 3 2 2" xfId="34678" xr:uid="{B678B718-5837-4F39-BB00-0F1764F34AD2}"/>
    <cellStyle name="Output 2 2 3 2 3 2 3" xfId="30587" xr:uid="{6500EB60-ED2A-4540-B66F-A59DBE2A64A7}"/>
    <cellStyle name="Output 2 2 3 2 3 3" xfId="17238" xr:uid="{3F502F23-31FA-44FB-B4B0-ED9F7BC7D2BD}"/>
    <cellStyle name="Output 2 2 3 2 3 3 2" xfId="39628" xr:uid="{A178987C-4C53-4612-99F5-63A802A53036}"/>
    <cellStyle name="Output 2 2 3 2 3 3 3" xfId="27692" xr:uid="{1F9418A2-86ED-4DB0-B408-9DC2D7BAD5C0}"/>
    <cellStyle name="Output 2 2 3 2 3 4" xfId="13990" xr:uid="{40C5FBE0-D1CD-4ED9-A760-741354D97133}"/>
    <cellStyle name="Output 2 2 3 2 3 4 2" xfId="36473" xr:uid="{C687DA51-F77E-4E92-8D48-9AE4FA0DFA34}"/>
    <cellStyle name="Output 2 2 3 2 3 4 3" xfId="50544" xr:uid="{38ED424A-FE05-4770-9B3A-68C1E181C21F}"/>
    <cellStyle name="Output 2 2 3 2 3 5" xfId="21662" xr:uid="{5F72DDC1-F960-4938-A9BB-D1CC761AB45E}"/>
    <cellStyle name="Output 2 2 3 2 3 5 2" xfId="52202" xr:uid="{AFFCB9F6-4CA4-4895-9F72-D20B0097C695}"/>
    <cellStyle name="Output 2 2 3 2 3 6" xfId="32333" xr:uid="{C01B0E91-F6D3-461C-8DC0-752F7AF37151}"/>
    <cellStyle name="Output 2 2 3 2 4" xfId="5712" xr:uid="{00000000-0005-0000-0000-0000D4070000}"/>
    <cellStyle name="Output 2 2 3 2 4 2" xfId="12596" xr:uid="{5294CD9D-9E04-451A-A1A4-82A457768946}"/>
    <cellStyle name="Output 2 2 3 2 4 2 2" xfId="35081" xr:uid="{F8007193-52AE-46C3-B42F-FD7BD5FA3E23}"/>
    <cellStyle name="Output 2 2 3 2 4 2 3" xfId="32330" xr:uid="{57067C39-4C32-4A88-9FBA-A9359CE27A3B}"/>
    <cellStyle name="Output 2 2 3 2 4 3" xfId="17649" xr:uid="{DCF2888A-E3B0-4FE1-A485-C3A8F9101193}"/>
    <cellStyle name="Output 2 2 3 2 4 3 2" xfId="40039" xr:uid="{DCCB7EA9-BBDD-47D0-9955-6864283D447B}"/>
    <cellStyle name="Output 2 2 3 2 4 3 3" xfId="23911" xr:uid="{5D51AF31-6C46-4A77-8B7A-9A4691D9A886}"/>
    <cellStyle name="Output 2 2 3 2 4 4" xfId="16136" xr:uid="{F2B5A2FA-63D0-4741-9CF5-D5E6C8C85F80}"/>
    <cellStyle name="Output 2 2 3 2 4 4 2" xfId="38536" xr:uid="{D859C291-E505-498B-B8A1-2CFADC3D13A7}"/>
    <cellStyle name="Output 2 2 3 2 4 4 3" xfId="28802" xr:uid="{A9712B6C-73F5-4086-98EE-8B9BA0484415}"/>
    <cellStyle name="Output 2 2 3 2 4 5" xfId="22073" xr:uid="{AB2484AE-4A1F-4B92-A747-98ADB5048F90}"/>
    <cellStyle name="Output 2 2 3 2 4 5 2" xfId="31987" xr:uid="{848EBA7D-2B5B-4BE1-A575-BE97B0DEC2CE}"/>
    <cellStyle name="Output 2 2 3 2 4 6" xfId="51968" xr:uid="{D0DC2878-5782-4010-9B9C-EBCE5AADA65A}"/>
    <cellStyle name="Output 2 2 3 2 5" xfId="6066" xr:uid="{00000000-0005-0000-0000-0000D4070000}"/>
    <cellStyle name="Output 2 2 3 2 5 2" xfId="12944" xr:uid="{325528B7-E46C-4603-9D9C-D27BC3F901E3}"/>
    <cellStyle name="Output 2 2 3 2 5 2 2" xfId="35428" xr:uid="{0106DCC9-2757-457B-A2F7-7C0BB1A0B257}"/>
    <cellStyle name="Output 2 2 3 2 5 2 3" xfId="51470" xr:uid="{C0CE211B-0207-4E0A-A6C4-F164717A3853}"/>
    <cellStyle name="Output 2 2 3 2 5 3" xfId="18003" xr:uid="{3E8831CB-B713-45CE-A478-97A0577C300F}"/>
    <cellStyle name="Output 2 2 3 2 5 3 2" xfId="40393" xr:uid="{B81095B5-3506-4CEF-92AD-B59D34C69ACB}"/>
    <cellStyle name="Output 2 2 3 2 5 3 3" xfId="43389" xr:uid="{21DEE0A8-2D2A-412A-B53E-C4647B4A9DC7}"/>
    <cellStyle name="Output 2 2 3 2 5 4" xfId="14483" xr:uid="{4F0EFD2A-BB8E-4FD8-B0C6-7054D04C5CB2}"/>
    <cellStyle name="Output 2 2 3 2 5 4 2" xfId="36945" xr:uid="{781ADB97-3C92-4940-AB7C-8C0F9EDEE97F}"/>
    <cellStyle name="Output 2 2 3 2 5 4 3" xfId="52094" xr:uid="{B31DD2C5-3076-436A-B44B-4FD6E7D29712}"/>
    <cellStyle name="Output 2 2 3 2 5 5" xfId="22427" xr:uid="{861FF2AA-9CCF-45C6-8B7D-08AF76C22268}"/>
    <cellStyle name="Output 2 2 3 2 5 5 2" xfId="49218" xr:uid="{6EDBBD73-8BF8-4168-B596-0688331AC1CE}"/>
    <cellStyle name="Output 2 2 3 2 5 6" xfId="23603" xr:uid="{72498115-15D5-4B8E-8127-177757DBF0EF}"/>
    <cellStyle name="Output 2 2 3 2 6" xfId="6441" xr:uid="{00000000-0005-0000-0000-0000D4070000}"/>
    <cellStyle name="Output 2 2 3 2 6 2" xfId="13311" xr:uid="{24481735-99F5-4869-8110-C5CBA6C9B5D3}"/>
    <cellStyle name="Output 2 2 3 2 6 2 2" xfId="35795" xr:uid="{84A14D5B-0DFD-4CF4-95DB-22BFE15346FB}"/>
    <cellStyle name="Output 2 2 3 2 6 2 3" xfId="46912" xr:uid="{686300D7-A2B9-456A-BFCF-6494D5A27E46}"/>
    <cellStyle name="Output 2 2 3 2 6 3" xfId="18378" xr:uid="{A36D5471-0E41-410F-B5A3-999AF932C877}"/>
    <cellStyle name="Output 2 2 3 2 6 3 2" xfId="40768" xr:uid="{EA127488-738B-476D-BA7E-3AB812D99FA0}"/>
    <cellStyle name="Output 2 2 3 2 6 3 3" xfId="24061" xr:uid="{64B576A6-81F9-4B0B-AAA0-CF1EE7F0F245}"/>
    <cellStyle name="Output 2 2 3 2 6 4" xfId="14934" xr:uid="{D2311864-C00F-4332-B0B5-F30A785A2C23}"/>
    <cellStyle name="Output 2 2 3 2 6 4 2" xfId="37388" xr:uid="{471AE6DC-6468-4F2E-B720-7B5E532EC801}"/>
    <cellStyle name="Output 2 2 3 2 6 4 3" xfId="37354" xr:uid="{A54671BD-B36D-44DC-96D9-E2C54E8625F6}"/>
    <cellStyle name="Output 2 2 3 2 6 5" xfId="22802" xr:uid="{20EF102E-612E-4D71-8518-D63E58B1F5F5}"/>
    <cellStyle name="Output 2 2 3 2 6 5 2" xfId="53147" xr:uid="{810750CE-DD4A-4144-A8F2-31838E4CD39B}"/>
    <cellStyle name="Output 2 2 3 2 6 6" xfId="26395" xr:uid="{5D476B61-2B87-4BAB-AAEC-BF7F049F2F9A}"/>
    <cellStyle name="Output 2 2 3 2 7" xfId="6872" xr:uid="{00000000-0005-0000-0000-0000D4070000}"/>
    <cellStyle name="Output 2 2 3 2 7 2" xfId="13713" xr:uid="{CA07671C-C8A0-4D01-8B1C-E439FB7B8724}"/>
    <cellStyle name="Output 2 2 3 2 7 2 2" xfId="36197" xr:uid="{B1AB3677-F73F-4C29-A859-CE682E24876D}"/>
    <cellStyle name="Output 2 2 3 2 7 2 3" xfId="43738" xr:uid="{D5D0CE79-5406-41CB-96D2-2F8F031BFF80}"/>
    <cellStyle name="Output 2 2 3 2 7 3" xfId="18809" xr:uid="{9925484C-A616-4C73-845C-80EB78BDC6A5}"/>
    <cellStyle name="Output 2 2 3 2 7 3 2" xfId="41199" xr:uid="{8380C88E-2EB3-40EB-A82F-9E66A8AD73AB}"/>
    <cellStyle name="Output 2 2 3 2 7 3 3" xfId="38469" xr:uid="{1F89AB22-4470-4C8F-A2F9-2808E5444B5A}"/>
    <cellStyle name="Output 2 2 3 2 7 4" xfId="20599" xr:uid="{51CF179F-E388-440C-BB1A-5D0A558F433D}"/>
    <cellStyle name="Output 2 2 3 2 7 4 2" xfId="42880" xr:uid="{E26F908E-4838-4506-A55B-46C7F5F0E4EF}"/>
    <cellStyle name="Output 2 2 3 2 7 4 3" xfId="25920" xr:uid="{960C92C5-B445-4609-8A86-117DA473F688}"/>
    <cellStyle name="Output 2 2 3 2 7 5" xfId="23233" xr:uid="{75DFC477-7333-47A8-97DE-84AE1DEA099C}"/>
    <cellStyle name="Output 2 2 3 2 7 5 2" xfId="42548" xr:uid="{19DD887F-9168-4EA2-B86E-A587A5868E32}"/>
    <cellStyle name="Output 2 2 3 2 7 6" xfId="46865" xr:uid="{BFBF5D77-EE7B-4BCE-B33D-3734803A95E4}"/>
    <cellStyle name="Output 2 2 3 2 8" xfId="6941" xr:uid="{00000000-0005-0000-0000-0000D4070000}"/>
    <cellStyle name="Output 2 2 3 2 8 2" xfId="13778" xr:uid="{3CA59130-3088-4A87-84FF-C0965DFC7F47}"/>
    <cellStyle name="Output 2 2 3 2 8 2 2" xfId="36262" xr:uid="{9B7584E5-65B6-4CD0-9D80-0CA1F5047D94}"/>
    <cellStyle name="Output 2 2 3 2 8 2 3" xfId="50409" xr:uid="{0A140ABA-1B4C-428E-81B6-66BB8AA4539E}"/>
    <cellStyle name="Output 2 2 3 2 8 3" xfId="18878" xr:uid="{3728190F-86FE-49DD-9193-BB9114300AE2}"/>
    <cellStyle name="Output 2 2 3 2 8 3 2" xfId="41268" xr:uid="{9CD14C31-24B8-4330-90D6-745320ABD76A}"/>
    <cellStyle name="Output 2 2 3 2 8 3 3" xfId="26611" xr:uid="{0467DE21-B3E3-4D13-995C-961787D9460F}"/>
    <cellStyle name="Output 2 2 3 2 8 4" xfId="19313" xr:uid="{C768DF80-A3F4-40DF-BA14-C0B751107218}"/>
    <cellStyle name="Output 2 2 3 2 8 4 2" xfId="41693" xr:uid="{CC5EB09E-3A62-4E95-8027-05D681637638}"/>
    <cellStyle name="Output 2 2 3 2 8 4 3" xfId="45253" xr:uid="{5A8D0C13-8A26-4022-8B94-3EFE75C3120E}"/>
    <cellStyle name="Output 2 2 3 2 8 5" xfId="23302" xr:uid="{113E7E70-F4EB-4BFE-8798-174BDA728432}"/>
    <cellStyle name="Output 2 2 3 2 8 5 2" xfId="50465" xr:uid="{36376CAE-1B13-46DD-A140-F2D28DF5CF59}"/>
    <cellStyle name="Output 2 2 3 2 8 6" xfId="52493" xr:uid="{D8EE7B5D-F7FB-4931-9467-A1E4B51FB576}"/>
    <cellStyle name="Output 2 2 3 2 9" xfId="5565" xr:uid="{00000000-0005-0000-0000-0000D4070000}"/>
    <cellStyle name="Output 2 2 3 2 9 2" xfId="17502" xr:uid="{4307F25D-CB9F-42F7-9434-338BA0DEC986}"/>
    <cellStyle name="Output 2 2 3 2 9 2 2" xfId="39892" xr:uid="{6FE69621-7F5E-483A-89AB-ABA11DF714E6}"/>
    <cellStyle name="Output 2 2 3 2 9 2 3" xfId="44750" xr:uid="{06272645-8F8E-4BEA-A9B6-5E38B210343A}"/>
    <cellStyle name="Output 2 2 3 2 9 3" xfId="15051" xr:uid="{29112F46-5695-4CC1-BB05-1AE0A92FB6CB}"/>
    <cellStyle name="Output 2 2 3 2 9 3 2" xfId="37496" xr:uid="{A20B25F6-FA73-44BC-9FFE-D4A050A4130B}"/>
    <cellStyle name="Output 2 2 3 2 9 3 3" xfId="53440" xr:uid="{2AEAE9DB-C927-4F35-9665-FECC8B53DB28}"/>
    <cellStyle name="Output 2 2 3 2 9 4" xfId="21926" xr:uid="{89B69A99-66DA-4C42-9EBD-FF1C6E36F257}"/>
    <cellStyle name="Output 2 2 3 2 9 4 2" xfId="51057" xr:uid="{525061F6-D7DC-494D-BDAF-8C18602F9F0E}"/>
    <cellStyle name="Output 2 2 3 2 9 5" xfId="50944" xr:uid="{16F32B83-EAE2-4588-87A0-65353296A088}"/>
    <cellStyle name="Output 2 2 3 3" xfId="2957" xr:uid="{00000000-0005-0000-0000-0000D3070000}"/>
    <cellStyle name="Output 2 2 3 3 2" xfId="9866" xr:uid="{75A2ED36-3F33-4BE6-A34E-9C7BA3957797}"/>
    <cellStyle name="Output 2 2 3 3 2 2" xfId="32389" xr:uid="{89CA6538-9E4B-4934-ADDD-39121B29B62B}"/>
    <cellStyle name="Output 2 2 3 3 2 3" xfId="23782" xr:uid="{FF3809B3-AFF7-4743-BBBE-778E9A22437B}"/>
    <cellStyle name="Output 2 2 3 3 3" xfId="15305" xr:uid="{21BB8018-A672-401B-BCB4-7301F570DCA9}"/>
    <cellStyle name="Output 2 2 3 3 3 2" xfId="37737" xr:uid="{2D4CDD08-B789-4EB6-ADDF-E53C65D3257C}"/>
    <cellStyle name="Output 2 2 3 3 3 3" xfId="49528" xr:uid="{AD9AE5EB-86CE-46E8-9B1A-9D387F0A6138}"/>
    <cellStyle name="Output 2 2 3 3 4" xfId="19783" xr:uid="{EC9E9A0C-AAE6-4CF1-B2EE-64F1F79CB302}"/>
    <cellStyle name="Output 2 2 3 3 4 2" xfId="42121" xr:uid="{4C6A421B-B07E-418E-A35F-15886F483195}"/>
    <cellStyle name="Output 2 2 3 3 4 3" xfId="30965" xr:uid="{B7A19DA1-B8A7-40A5-B9EC-1B5E08A85343}"/>
    <cellStyle name="Output 2 2 3 3 5" xfId="20360" xr:uid="{0F7E5F2D-50DA-48AA-AD5F-86E0B1A391C1}"/>
    <cellStyle name="Output 2 2 3 3 5 2" xfId="52514" xr:uid="{AF7835D4-C794-4E21-A1E0-84105DD750EE}"/>
    <cellStyle name="Output 2 2 3 3 6" xfId="48277" xr:uid="{034E0378-8911-4BFB-869D-AB2F798B529A}"/>
    <cellStyle name="Output 2 2 3 4" xfId="4666" xr:uid="{00000000-0005-0000-0000-0000D3070000}"/>
    <cellStyle name="Output 2 2 3 4 2" xfId="11564" xr:uid="{9BC2B377-55C8-4B40-A1B9-B702921394BF}"/>
    <cellStyle name="Output 2 2 3 4 2 2" xfId="34050" xr:uid="{6BD602F8-EE2A-4201-9B34-0453C8423744}"/>
    <cellStyle name="Output 2 2 3 4 2 3" xfId="25402" xr:uid="{B78A1818-0776-425C-983F-40382E7D1741}"/>
    <cellStyle name="Output 2 2 3 4 3" xfId="16603" xr:uid="{E0DB4EFE-3713-44CF-BF78-2DDC4162B034}"/>
    <cellStyle name="Output 2 2 3 4 3 2" xfId="38993" xr:uid="{54FD618B-61E1-4EDF-8BCC-A5137444058B}"/>
    <cellStyle name="Output 2 2 3 4 3 3" xfId="28109" xr:uid="{3074F4D2-FF8C-4637-9A69-A491C0C3D2CF}"/>
    <cellStyle name="Output 2 2 3 4 4" xfId="19645" xr:uid="{85985C50-732B-4D0D-BEE2-44BEA3E6B723}"/>
    <cellStyle name="Output 2 2 3 4 4 2" xfId="41993" xr:uid="{1B25826B-48EB-48D8-BDAC-C72576864309}"/>
    <cellStyle name="Output 2 2 3 4 4 3" xfId="44071" xr:uid="{F28E2F0B-5D2E-430E-8A5B-2CF87535C2A0}"/>
    <cellStyle name="Output 2 2 3 4 5" xfId="8669" xr:uid="{0C7189F7-AFA8-4E53-97DF-8E132C019BD3}"/>
    <cellStyle name="Output 2 2 3 4 5 2" xfId="50699" xr:uid="{6571A143-B7BA-4838-8180-A9CFD3FEDE35}"/>
    <cellStyle name="Output 2 2 3 4 6" xfId="53728" xr:uid="{E6535672-A93A-4957-9C19-59C0B3C2D14A}"/>
    <cellStyle name="Output 2 2 3 5" xfId="4623" xr:uid="{00000000-0005-0000-0000-0000D3070000}"/>
    <cellStyle name="Output 2 2 3 5 2" xfId="11524" xr:uid="{6113BE50-533E-4364-8AF7-3CF7F15A0A0E}"/>
    <cellStyle name="Output 2 2 3 5 2 2" xfId="34010" xr:uid="{12AFB72C-7E17-4982-904A-87A4AF9A5271}"/>
    <cellStyle name="Output 2 2 3 5 2 3" xfId="43931" xr:uid="{A8880A63-6FAD-458B-B843-CE50596DAFC5}"/>
    <cellStyle name="Output 2 2 3 5 3" xfId="16560" xr:uid="{137A1011-C995-491E-B4B3-88E9C5709C3F}"/>
    <cellStyle name="Output 2 2 3 5 3 2" xfId="38950" xr:uid="{3470EDD3-4C76-4089-A58D-65EB479EEEF2}"/>
    <cellStyle name="Output 2 2 3 5 3 3" xfId="30466" xr:uid="{13E30ED9-5817-4A72-9493-899D034E82AE}"/>
    <cellStyle name="Output 2 2 3 5 4" xfId="13632" xr:uid="{A1DBE956-D13F-4B88-BEE8-CEE2738BD843}"/>
    <cellStyle name="Output 2 2 3 5 4 2" xfId="36116" xr:uid="{CA6AD27E-2CA5-435C-AD77-0D810B61FEDE}"/>
    <cellStyle name="Output 2 2 3 5 4 3" xfId="50770" xr:uid="{D6294752-8645-48B3-B9BD-62FBFDBB699A}"/>
    <cellStyle name="Output 2 2 3 5 5" xfId="19780" xr:uid="{E29033D2-A863-463F-887C-E4354DC8FE06}"/>
    <cellStyle name="Output 2 2 3 5 5 2" xfId="37916" xr:uid="{F01B9E80-E8D3-446D-9C09-C3E27312313B}"/>
    <cellStyle name="Output 2 2 3 5 6" xfId="47986" xr:uid="{3365587A-3920-48E2-9A4E-FCE51A9ED2E7}"/>
    <cellStyle name="Output 2 2 3 6" xfId="6322" xr:uid="{00000000-0005-0000-0000-0000D3070000}"/>
    <cellStyle name="Output 2 2 3 6 2" xfId="13194" xr:uid="{DE73F53D-708E-4738-AC2E-F7796549DA7C}"/>
    <cellStyle name="Output 2 2 3 6 2 2" xfId="35678" xr:uid="{2628988F-FB83-493C-B2D2-C4B5AFCB5434}"/>
    <cellStyle name="Output 2 2 3 6 2 3" xfId="41976" xr:uid="{A4C258E0-9D16-43E4-B096-5EF825CB4935}"/>
    <cellStyle name="Output 2 2 3 6 3" xfId="18259" xr:uid="{9B4EAF49-873B-44ED-A78D-AF5D18CA8096}"/>
    <cellStyle name="Output 2 2 3 6 3 2" xfId="40649" xr:uid="{974102DE-B535-44FB-9672-0439F86FF41F}"/>
    <cellStyle name="Output 2 2 3 6 3 3" xfId="29153" xr:uid="{D8022FC7-B95F-4870-8107-572584B1ACAA}"/>
    <cellStyle name="Output 2 2 3 6 4" xfId="9156" xr:uid="{306E7166-654A-4F0C-A4FC-92113BF36ADC}"/>
    <cellStyle name="Output 2 2 3 6 4 2" xfId="31732" xr:uid="{E5CEF79E-D000-4D56-930B-44C4BB0D26BE}"/>
    <cellStyle name="Output 2 2 3 6 4 3" xfId="51123" xr:uid="{1AE3C131-D838-446C-86A1-6683BA115C85}"/>
    <cellStyle name="Output 2 2 3 6 5" xfId="22683" xr:uid="{F9A6FC9E-1533-4D11-BFB7-497CFDCEE1DA}"/>
    <cellStyle name="Output 2 2 3 6 5 2" xfId="46028" xr:uid="{7A8B84F3-478F-45E2-8827-D3297C4AA70C}"/>
    <cellStyle name="Output 2 2 3 6 6" xfId="47524" xr:uid="{A9857CE9-5684-451D-A092-6ECCC99F1F96}"/>
    <cellStyle name="Output 2 2 3 7" xfId="6842" xr:uid="{00000000-0005-0000-0000-0000D3070000}"/>
    <cellStyle name="Output 2 2 3 7 2" xfId="13686" xr:uid="{10EB3B39-F23B-4D0D-817D-6107BF6DD8BD}"/>
    <cellStyle name="Output 2 2 3 7 2 2" xfId="36170" xr:uid="{C680193B-0D05-4184-A7E3-39B3CCEE3868}"/>
    <cellStyle name="Output 2 2 3 7 2 3" xfId="53000" xr:uid="{F7A05003-B650-4C1F-A946-731BE9353978}"/>
    <cellStyle name="Output 2 2 3 7 3" xfId="18779" xr:uid="{4CC4AFAC-D8BE-4659-BED0-AB4DFA443E94}"/>
    <cellStyle name="Output 2 2 3 7 3 2" xfId="41169" xr:uid="{E6127851-D173-4CD2-9910-FA2D61AB2647}"/>
    <cellStyle name="Output 2 2 3 7 3 3" xfId="27910" xr:uid="{A0A2CA99-DE52-4AAB-9A92-1F42FA801C21}"/>
    <cellStyle name="Output 2 2 3 7 4" xfId="20669" xr:uid="{CFE9E50B-EE42-48A2-9332-EF848F3E3DB4}"/>
    <cellStyle name="Output 2 2 3 7 4 2" xfId="42943" xr:uid="{0E48B17B-381D-47E2-94DC-82FDB8B64F01}"/>
    <cellStyle name="Output 2 2 3 7 4 3" xfId="47051" xr:uid="{8045FDF3-3185-4E78-9BE8-F1DBC2442765}"/>
    <cellStyle name="Output 2 2 3 7 5" xfId="23203" xr:uid="{CCF6BF55-4D16-41C5-8DCD-C84CBE8EF8FE}"/>
    <cellStyle name="Output 2 2 3 7 5 2" xfId="51269" xr:uid="{88CB6C49-135B-4A1E-9069-ED3163EE53F6}"/>
    <cellStyle name="Output 2 2 3 7 6" xfId="26212" xr:uid="{054635A6-0D60-435E-B4F4-33A38A441430}"/>
    <cellStyle name="Output 2 2 3 8" xfId="8883" xr:uid="{2B7D3E40-03F5-4279-8B36-77CE35B921EF}"/>
    <cellStyle name="Output 2 2 3 8 2" xfId="31464" xr:uid="{F75D223F-C877-4027-AC7C-EB5F2B1645EA}"/>
    <cellStyle name="Output 2 2 3 8 3" xfId="32476" xr:uid="{8D48491C-46E3-44FC-8B76-150C3DD6DFA0}"/>
    <cellStyle name="Output 2 2 3 9" xfId="8284" xr:uid="{70CD3C28-DA69-48C1-88ED-59A302AFF8CC}"/>
    <cellStyle name="Output 2 2 3 9 2" xfId="30884" xr:uid="{FB6D29E6-C989-40E1-81E6-ED7518555881}"/>
    <cellStyle name="Output 2 2 3 9 3" xfId="50736" xr:uid="{37C252E2-E812-4A6D-8D87-B5775AC2A8B2}"/>
    <cellStyle name="Output 2 2 4" xfId="1008" xr:uid="{00000000-0005-0000-0000-0000D7070000}"/>
    <cellStyle name="Output 2 2 4 10" xfId="19796" xr:uid="{8252F25A-EE81-4C2E-93C2-4AD2281C1C18}"/>
    <cellStyle name="Output 2 2 4 10 2" xfId="28516" xr:uid="{4DBFC7AF-3C08-471B-8A59-965BB8DCF13D}"/>
    <cellStyle name="Output 2 2 4 11" xfId="51501" xr:uid="{1F04A905-3B25-4025-BECB-C850B340D2C8}"/>
    <cellStyle name="Output 2 2 4 2" xfId="1898" xr:uid="{00000000-0005-0000-0000-0000D8070000}"/>
    <cellStyle name="Output 2 2 4 2 10" xfId="14569" xr:uid="{8CABF89A-0353-4568-9DBE-B9DC5F65447B}"/>
    <cellStyle name="Output 2 2 4 2 10 2" xfId="37030" xr:uid="{EB18E204-8C51-48B1-9611-E50AD70AA9E4}"/>
    <cellStyle name="Output 2 2 4 2 10 3" xfId="53873" xr:uid="{A734CE8B-4715-414A-B0B3-FF0BE4615167}"/>
    <cellStyle name="Output 2 2 4 2 11" xfId="20333" xr:uid="{AFDF8AB3-86E1-4E73-9566-972DE4720B2C}"/>
    <cellStyle name="Output 2 2 4 2 11 2" xfId="42631" xr:uid="{48A83AD3-5C01-4AB0-8E4F-1135C3426AC2}"/>
    <cellStyle name="Output 2 2 4 2 11 3" xfId="51124" xr:uid="{C23F2BC6-4728-4C9A-B432-9F32C99620BD}"/>
    <cellStyle name="Output 2 2 4 2 12" xfId="16265" xr:uid="{BD7DF2F9-412D-45A1-9AF2-16A97A8D2C2E}"/>
    <cellStyle name="Output 2 2 4 2 12 2" xfId="45814" xr:uid="{098A85D9-A0BC-48E2-A607-F415E1F7FEC3}"/>
    <cellStyle name="Output 2 2 4 2 13" xfId="50538" xr:uid="{486ED741-D36F-48CE-86EA-9F001C235934}"/>
    <cellStyle name="Output 2 2 4 2 2" xfId="3996" xr:uid="{00000000-0005-0000-0000-0000D6070000}"/>
    <cellStyle name="Output 2 2 4 2 2 2" xfId="10900" xr:uid="{31012AFF-4BB6-4074-B50F-F016FC71539E}"/>
    <cellStyle name="Output 2 2 4 2 2 2 2" xfId="33386" xr:uid="{558FB32F-6572-45FF-B54C-6F25A79187D2}"/>
    <cellStyle name="Output 2 2 4 2 2 2 3" xfId="51871" xr:uid="{4EDE6AAE-0089-4FBB-893E-E07C1FD5039E}"/>
    <cellStyle name="Output 2 2 4 2 2 3" xfId="16020" xr:uid="{C284AD68-FE06-4A90-BDD0-2EEC4FC219F5}"/>
    <cellStyle name="Output 2 2 4 2 2 3 2" xfId="38421" xr:uid="{8E794039-0437-4820-8605-550F65CD1361}"/>
    <cellStyle name="Output 2 2 4 2 2 3 3" xfId="46535" xr:uid="{617C4324-89CE-4BEB-AC71-424B2AE87170}"/>
    <cellStyle name="Output 2 2 4 2 2 4" xfId="20517" xr:uid="{08DC6B7F-59A6-47BD-AD28-D9688020B3DE}"/>
    <cellStyle name="Output 2 2 4 2 2 4 2" xfId="42804" xr:uid="{D9E5B208-2F22-4794-B318-0AE9683546C2}"/>
    <cellStyle name="Output 2 2 4 2 2 4 3" xfId="53602" xr:uid="{9392BEBA-8330-4296-8C0B-30F249ED0593}"/>
    <cellStyle name="Output 2 2 4 2 2 5" xfId="19530" xr:uid="{D7724902-DDEB-4BF6-AFFF-ACCCFC667A44}"/>
    <cellStyle name="Output 2 2 4 2 2 5 2" xfId="44335" xr:uid="{F01BBB63-645D-47CD-B6AA-CF97F528917B}"/>
    <cellStyle name="Output 2 2 4 2 2 6" xfId="45206" xr:uid="{0C39464B-8C51-4ABE-87B3-F9598E3C6EA1}"/>
    <cellStyle name="Output 2 2 4 2 3" xfId="5370" xr:uid="{00000000-0005-0000-0000-0000D6070000}"/>
    <cellStyle name="Output 2 2 4 2 3 2" xfId="12262" xr:uid="{46CCEB38-E8F0-48CC-A7D2-38F975758D7D}"/>
    <cellStyle name="Output 2 2 4 2 3 2 2" xfId="34747" xr:uid="{DFB7AA00-6A28-4BE7-B775-D59A810ED445}"/>
    <cellStyle name="Output 2 2 4 2 3 2 3" xfId="44326" xr:uid="{6BB276BF-6C17-4B45-8403-94AF505FDA89}"/>
    <cellStyle name="Output 2 2 4 2 3 3" xfId="17307" xr:uid="{D5D026A5-AD70-43B2-BB45-AAB31A6A8EAE}"/>
    <cellStyle name="Output 2 2 4 2 3 3 2" xfId="39697" xr:uid="{B7AF732C-78A7-4EE0-A756-F66858875E27}"/>
    <cellStyle name="Output 2 2 4 2 3 3 3" xfId="24807" xr:uid="{AB4FFAF0-FFDA-4940-87C7-5935A3DD6C05}"/>
    <cellStyle name="Output 2 2 4 2 3 4" xfId="15099" xr:uid="{56AFB049-6B84-402C-BB08-A9DA64059A73}"/>
    <cellStyle name="Output 2 2 4 2 3 4 2" xfId="37543" xr:uid="{34341CAC-ADAE-4DD8-B9D4-3E75FCD99583}"/>
    <cellStyle name="Output 2 2 4 2 3 4 3" xfId="51070" xr:uid="{62D8F1A1-85F5-4E6C-9530-D543E6949CAF}"/>
    <cellStyle name="Output 2 2 4 2 3 5" xfId="21731" xr:uid="{7DAB8381-FFA5-4B7C-BA37-53EF1F2D2AFE}"/>
    <cellStyle name="Output 2 2 4 2 3 5 2" xfId="45996" xr:uid="{E24E6778-DCC4-4A2A-BECA-0C91609307AA}"/>
    <cellStyle name="Output 2 2 4 2 3 6" xfId="24647" xr:uid="{BF69A888-0B72-4880-83A3-4CB17D191C45}"/>
    <cellStyle name="Output 2 2 4 2 4" xfId="5785" xr:uid="{00000000-0005-0000-0000-0000D6070000}"/>
    <cellStyle name="Output 2 2 4 2 4 2" xfId="12668" xr:uid="{1A195672-C67B-43E6-AC5A-CFDD0F0B8C01}"/>
    <cellStyle name="Output 2 2 4 2 4 2 2" xfId="35153" xr:uid="{5688CDA2-C9FD-4FB6-8671-969881DCAB69}"/>
    <cellStyle name="Output 2 2 4 2 4 2 3" xfId="30503" xr:uid="{BEBE85EE-5DDD-4C18-9D57-7F66904AD4EE}"/>
    <cellStyle name="Output 2 2 4 2 4 3" xfId="17722" xr:uid="{76FF38B4-63FB-418B-9E0B-005A68C3E78D}"/>
    <cellStyle name="Output 2 2 4 2 4 3 2" xfId="40112" xr:uid="{5606A45E-BF61-44FE-BD58-61A35831BAF5}"/>
    <cellStyle name="Output 2 2 4 2 4 3 3" xfId="29185" xr:uid="{B204A08A-E45D-43E0-A396-8F81906610D8}"/>
    <cellStyle name="Output 2 2 4 2 4 4" xfId="19466" xr:uid="{EEE6F7E7-3BE5-403F-8888-5F627BE0BD18}"/>
    <cellStyle name="Output 2 2 4 2 4 4 2" xfId="41833" xr:uid="{63D12492-7CBB-4504-9D69-420A2BFB2730}"/>
    <cellStyle name="Output 2 2 4 2 4 4 3" xfId="26681" xr:uid="{4FBB6494-45C7-4FDF-8141-879ACC9AB3EB}"/>
    <cellStyle name="Output 2 2 4 2 4 5" xfId="22146" xr:uid="{A1D67D73-79C7-4CD1-9739-AFFC5D6BA668}"/>
    <cellStyle name="Output 2 2 4 2 4 5 2" xfId="53206" xr:uid="{6A8B9BBA-491E-4233-8D84-DC7D9BA3827C}"/>
    <cellStyle name="Output 2 2 4 2 4 6" xfId="48281" xr:uid="{3E18095F-3546-4D8C-98FC-E93FE7F3708E}"/>
    <cellStyle name="Output 2 2 4 2 5" xfId="6130" xr:uid="{00000000-0005-0000-0000-0000D6070000}"/>
    <cellStyle name="Output 2 2 4 2 5 2" xfId="13007" xr:uid="{454DD283-772F-4A59-A946-C5B8E48881B8}"/>
    <cellStyle name="Output 2 2 4 2 5 2 2" xfId="35491" xr:uid="{CA7BCE4C-AFF2-4580-AAB2-ABDE15DD8056}"/>
    <cellStyle name="Output 2 2 4 2 5 2 3" xfId="29527" xr:uid="{9CA1E1B4-1D0C-48FD-9597-4F3D3F563770}"/>
    <cellStyle name="Output 2 2 4 2 5 3" xfId="18067" xr:uid="{5858C54F-865D-4E96-A586-C2143C3341B3}"/>
    <cellStyle name="Output 2 2 4 2 5 3 2" xfId="40457" xr:uid="{2AE5F23F-1F07-4DA2-8AA1-7BABCF19D06A}"/>
    <cellStyle name="Output 2 2 4 2 5 3 3" xfId="43758" xr:uid="{3A1CB89B-A490-449B-8551-2B787281EC4B}"/>
    <cellStyle name="Output 2 2 4 2 5 4" xfId="16077" xr:uid="{90FA1A56-E062-459B-B823-F7FB307351FD}"/>
    <cellStyle name="Output 2 2 4 2 5 4 2" xfId="38477" xr:uid="{3E35F71B-3820-460A-9A2C-A0C3E26552E0}"/>
    <cellStyle name="Output 2 2 4 2 5 4 3" xfId="52709" xr:uid="{44429211-B022-4A5E-B941-D3C76C85D92B}"/>
    <cellStyle name="Output 2 2 4 2 5 5" xfId="22491" xr:uid="{E24A4204-2140-4E6C-BFE0-F1E271C3FD1D}"/>
    <cellStyle name="Output 2 2 4 2 5 5 2" xfId="47814" xr:uid="{C9C7CB17-16D6-44CD-B44C-0BA1B37878D7}"/>
    <cellStyle name="Output 2 2 4 2 5 6" xfId="44291" xr:uid="{9A228CC3-BA9A-487C-B14B-58B24A29B2C8}"/>
    <cellStyle name="Output 2 2 4 2 6" xfId="6503" xr:uid="{00000000-0005-0000-0000-0000D6070000}"/>
    <cellStyle name="Output 2 2 4 2 6 2" xfId="13372" xr:uid="{7E1A3675-9D0B-449D-8300-0117448A424C}"/>
    <cellStyle name="Output 2 2 4 2 6 2 2" xfId="35856" xr:uid="{C9496AA3-1911-42AE-A730-7B39E9B24CF4}"/>
    <cellStyle name="Output 2 2 4 2 6 2 3" xfId="52763" xr:uid="{C25EAFA0-C7AC-4A36-A37F-909C58EDC5CB}"/>
    <cellStyle name="Output 2 2 4 2 6 3" xfId="18440" xr:uid="{C747561F-DD78-4115-B5CC-C3A504BB38D8}"/>
    <cellStyle name="Output 2 2 4 2 6 3 2" xfId="40830" xr:uid="{25545588-9423-49C3-B811-701B498159B6}"/>
    <cellStyle name="Output 2 2 4 2 6 3 3" xfId="27721" xr:uid="{0780B085-300B-4091-A3DE-F2F762931D9B}"/>
    <cellStyle name="Output 2 2 4 2 6 4" xfId="20579" xr:uid="{867F6D57-D70A-4046-803F-245E2CED61DB}"/>
    <cellStyle name="Output 2 2 4 2 6 4 2" xfId="42862" xr:uid="{9E99F7BB-1382-47AF-92D1-63BFFE4F9404}"/>
    <cellStyle name="Output 2 2 4 2 6 4 3" xfId="28095" xr:uid="{6E67824F-2E05-4C0F-8C1C-E5BA3953A53C}"/>
    <cellStyle name="Output 2 2 4 2 6 5" xfId="22864" xr:uid="{B0104059-B8F3-45A6-93BE-E2C1E4080148}"/>
    <cellStyle name="Output 2 2 4 2 6 5 2" xfId="37017" xr:uid="{11E221AC-6207-4E33-8B1C-1DC04B85C58F}"/>
    <cellStyle name="Output 2 2 4 2 6 6" xfId="28996" xr:uid="{23B7FEE4-8D63-435B-89E7-81BD395981D6}"/>
    <cellStyle name="Output 2 2 4 2 7" xfId="2324" xr:uid="{00000000-0005-0000-0000-0000D6070000}"/>
    <cellStyle name="Output 2 2 4 2 7 2" xfId="9234" xr:uid="{A20A8905-8F81-4A21-9C10-CBB93AC80A12}"/>
    <cellStyle name="Output 2 2 4 2 7 2 2" xfId="31809" xr:uid="{120B4920-65C3-46AE-A8A2-ED605E95306E}"/>
    <cellStyle name="Output 2 2 4 2 7 2 3" xfId="52254" xr:uid="{3DF9FEBE-EECB-4947-ACBF-D1D04B599FC9}"/>
    <cellStyle name="Output 2 2 4 2 7 3" xfId="14886" xr:uid="{46C8A825-7AF4-4933-9CCC-95D9F63BB4A3}"/>
    <cellStyle name="Output 2 2 4 2 7 3 2" xfId="37340" xr:uid="{C9AF201C-189D-4085-9B55-50A5AD993D4D}"/>
    <cellStyle name="Output 2 2 4 2 7 3 3" xfId="47921" xr:uid="{6370FA81-893C-4EDF-9F8D-F63627F980F6}"/>
    <cellStyle name="Output 2 2 4 2 7 4" xfId="21062" xr:uid="{C409E64A-B11B-4BBA-BAA8-F3BFA4B551C5}"/>
    <cellStyle name="Output 2 2 4 2 7 4 2" xfId="43310" xr:uid="{CAEE55CD-0572-4DE9-AC9E-22D345FA8096}"/>
    <cellStyle name="Output 2 2 4 2 7 4 3" xfId="46706" xr:uid="{2EADD53F-F13B-4147-B0AF-DB2772AB9E7C}"/>
    <cellStyle name="Output 2 2 4 2 7 5" xfId="13992" xr:uid="{4903AFEF-A9DB-41E1-A7BE-55E4AEFFC9F3}"/>
    <cellStyle name="Output 2 2 4 2 7 5 2" xfId="45235" xr:uid="{8452F0CC-07F7-4642-81E9-1AE8B78EBF63}"/>
    <cellStyle name="Output 2 2 4 2 7 6" xfId="23845" xr:uid="{50016899-05FC-4378-BDC3-413027A10E47}"/>
    <cellStyle name="Output 2 2 4 2 8" xfId="6987" xr:uid="{00000000-0005-0000-0000-0000D6070000}"/>
    <cellStyle name="Output 2 2 4 2 8 2" xfId="13824" xr:uid="{6654754A-750F-47E1-8E2A-17E281961015}"/>
    <cellStyle name="Output 2 2 4 2 8 2 2" xfId="36308" xr:uid="{BC470958-D7AA-4F5D-B984-4A766CD115A7}"/>
    <cellStyle name="Output 2 2 4 2 8 2 3" xfId="48581" xr:uid="{E6095766-4613-46F5-8F78-9C2B5A8BB485}"/>
    <cellStyle name="Output 2 2 4 2 8 3" xfId="18924" xr:uid="{89F63873-FF9B-42DE-85BF-E4400E92B857}"/>
    <cellStyle name="Output 2 2 4 2 8 3 2" xfId="41314" xr:uid="{8AB28FA0-85C6-45B0-B59F-330584E2ABC0}"/>
    <cellStyle name="Output 2 2 4 2 8 3 3" xfId="43775" xr:uid="{4BA35137-B6CE-4FFA-BF6C-0D6AA8B1B8B1}"/>
    <cellStyle name="Output 2 2 4 2 8 4" xfId="20389" xr:uid="{CB78A0AD-0DF8-4EF6-B6EE-FF97130C416D}"/>
    <cellStyle name="Output 2 2 4 2 8 4 2" xfId="42684" xr:uid="{FE68D068-7085-4240-98BD-BE0ABABA9243}"/>
    <cellStyle name="Output 2 2 4 2 8 4 3" xfId="51172" xr:uid="{399B2D29-E4B9-40D8-B490-094F34ED8E6F}"/>
    <cellStyle name="Output 2 2 4 2 8 5" xfId="23348" xr:uid="{ADAB7926-0D69-4564-8BA4-B6B556FB8E46}"/>
    <cellStyle name="Output 2 2 4 2 8 5 2" xfId="45301" xr:uid="{FB3806AF-BF6D-4ED9-8439-E2460D5919F0}"/>
    <cellStyle name="Output 2 2 4 2 8 6" xfId="49964" xr:uid="{15BBC329-5397-46A5-A55D-23BE22BFED2E}"/>
    <cellStyle name="Output 2 2 4 2 9" xfId="3993" xr:uid="{00000000-0005-0000-0000-0000D6070000}"/>
    <cellStyle name="Output 2 2 4 2 9 2" xfId="16017" xr:uid="{E18817E4-85C2-4E4C-BCC6-0150B2F0D48E}"/>
    <cellStyle name="Output 2 2 4 2 9 2 2" xfId="38418" xr:uid="{45EA23B1-445B-45D4-974D-129F88F7276B}"/>
    <cellStyle name="Output 2 2 4 2 9 2 3" xfId="25946" xr:uid="{1AB5786E-D5AB-490D-9A23-E1D4EBDBFF52}"/>
    <cellStyle name="Output 2 2 4 2 9 3" xfId="19904" xr:uid="{866C16BE-5AB0-4E9D-A8DF-56A57A2A1682}"/>
    <cellStyle name="Output 2 2 4 2 9 3 2" xfId="42236" xr:uid="{D766CE68-5FF6-417A-A7FD-E3F7C306A6DE}"/>
    <cellStyle name="Output 2 2 4 2 9 3 3" xfId="29018" xr:uid="{EAD5DF0F-5879-4AD5-9E3F-041058D1EF38}"/>
    <cellStyle name="Output 2 2 4 2 9 4" xfId="20041" xr:uid="{1D8FFD07-7D9A-40F3-9832-20127BFA8C4A}"/>
    <cellStyle name="Output 2 2 4 2 9 4 2" xfId="43430" xr:uid="{D523A3E2-629D-4CD8-9734-897A9F962290}"/>
    <cellStyle name="Output 2 2 4 2 9 5" xfId="30333" xr:uid="{513A5E6C-824D-4A79-9529-B29A4379F0BB}"/>
    <cellStyle name="Output 2 2 4 3" xfId="3135" xr:uid="{00000000-0005-0000-0000-0000D5070000}"/>
    <cellStyle name="Output 2 2 4 3 2" xfId="10044" xr:uid="{FCEEC088-179C-4496-AF1C-2D5CDC43E3C9}"/>
    <cellStyle name="Output 2 2 4 3 2 2" xfId="32551" xr:uid="{2208353D-BA91-4E3E-A8D1-2526A1D49A3B}"/>
    <cellStyle name="Output 2 2 4 3 2 3" xfId="50662" xr:uid="{E846836B-89BD-45E1-9E85-7CF71D942106}"/>
    <cellStyle name="Output 2 2 4 3 3" xfId="15422" xr:uid="{BF422FA3-23CA-4A6E-8665-E9D8E1D07523}"/>
    <cellStyle name="Output 2 2 4 3 3 2" xfId="37848" xr:uid="{4B9F330C-C391-4BDA-971A-79566938B5C6}"/>
    <cellStyle name="Output 2 2 4 3 3 3" xfId="47139" xr:uid="{5D3F9E27-689F-452F-86E4-03B9A10DAB6A}"/>
    <cellStyle name="Output 2 2 4 3 4" xfId="19447" xr:uid="{636458C3-3E18-488D-8836-4166D342D00A}"/>
    <cellStyle name="Output 2 2 4 3 4 2" xfId="41815" xr:uid="{311F7A3C-A0EE-48AA-AA8D-12CD121C6079}"/>
    <cellStyle name="Output 2 2 4 3 4 3" xfId="26159" xr:uid="{A7880172-DEFE-46F4-A174-BFEB659E1C7F}"/>
    <cellStyle name="Output 2 2 4 3 5" xfId="13305" xr:uid="{0B43AB5E-C52D-4E86-8370-C6591C8186EC}"/>
    <cellStyle name="Output 2 2 4 3 5 2" xfId="53151" xr:uid="{6676682E-4F97-416E-BD26-9130763C04B2}"/>
    <cellStyle name="Output 2 2 4 3 6" xfId="50566" xr:uid="{8DBE3DD6-799D-433A-9918-5A8A3F2FDC21}"/>
    <cellStyle name="Output 2 2 4 4" xfId="4783" xr:uid="{00000000-0005-0000-0000-0000D5070000}"/>
    <cellStyle name="Output 2 2 4 4 2" xfId="11680" xr:uid="{484CAC38-E5B6-4616-995E-BBF4334544E7}"/>
    <cellStyle name="Output 2 2 4 4 2 2" xfId="34166" xr:uid="{C6B16B91-042B-42C4-92B1-B1200CF1660C}"/>
    <cellStyle name="Output 2 2 4 4 2 3" xfId="31952" xr:uid="{8FD693E1-9A1A-4E66-B952-61F37EFDD7EC}"/>
    <cellStyle name="Output 2 2 4 4 3" xfId="16720" xr:uid="{B6297E07-450C-4FAC-B692-06C5C99E373E}"/>
    <cellStyle name="Output 2 2 4 4 3 2" xfId="39110" xr:uid="{065F5741-7315-4F78-80E8-761FE35B7B43}"/>
    <cellStyle name="Output 2 2 4 4 3 3" xfId="45497" xr:uid="{49C6EB3A-C8A4-4C8B-82DB-9003FE83472D}"/>
    <cellStyle name="Output 2 2 4 4 4" xfId="19374" xr:uid="{49508D53-35F7-4074-AABA-3CF802E78BA1}"/>
    <cellStyle name="Output 2 2 4 4 4 2" xfId="41748" xr:uid="{17C2E18A-EBFB-4170-8E4F-1BF135AAB40F}"/>
    <cellStyle name="Output 2 2 4 4 4 3" xfId="25629" xr:uid="{5C7BFFEF-76D3-4923-A1C5-A34D0027D9B2}"/>
    <cellStyle name="Output 2 2 4 4 5" xfId="15795" xr:uid="{F64C42E0-0FC9-4B64-88C1-B3B5ACAAB840}"/>
    <cellStyle name="Output 2 2 4 4 5 2" xfId="24316" xr:uid="{F7A7F72A-AEC7-4E18-96B8-7A75760B4B34}"/>
    <cellStyle name="Output 2 2 4 4 6" xfId="49430" xr:uid="{11D669FF-0E5E-4375-A616-44493BA6589D}"/>
    <cellStyle name="Output 2 2 4 5" xfId="5140" xr:uid="{00000000-0005-0000-0000-0000D5070000}"/>
    <cellStyle name="Output 2 2 4 5 2" xfId="12033" xr:uid="{38661183-9CDD-4EBC-BA97-4CB99D03DF2B}"/>
    <cellStyle name="Output 2 2 4 5 2 2" xfId="34519" xr:uid="{A383BD44-1D4E-43E2-9C3D-F0E291F7C479}"/>
    <cellStyle name="Output 2 2 4 5 2 3" xfId="45449" xr:uid="{A52CC0C4-9272-495D-8434-8C92C10D3561}"/>
    <cellStyle name="Output 2 2 4 5 3" xfId="17077" xr:uid="{FE02C1A8-5A4F-4709-8423-6AD202468555}"/>
    <cellStyle name="Output 2 2 4 5 3 2" xfId="39467" xr:uid="{65C80425-EA50-46BB-B1DE-54674698FF5C}"/>
    <cellStyle name="Output 2 2 4 5 3 3" xfId="24060" xr:uid="{EFE7EF47-3853-4182-9EDE-96DEA97EC03E}"/>
    <cellStyle name="Output 2 2 4 5 4" xfId="8289" xr:uid="{2E113093-C3D7-4DF2-A6EE-248F6EF8C09B}"/>
    <cellStyle name="Output 2 2 4 5 4 2" xfId="30889" xr:uid="{8F4076F0-0C36-4D50-95A0-30DD90FCC56E}"/>
    <cellStyle name="Output 2 2 4 5 4 3" xfId="47117" xr:uid="{15B5BFB1-18B4-4B3B-BFDF-280EA7DC5A62}"/>
    <cellStyle name="Output 2 2 4 5 5" xfId="21501" xr:uid="{6520DE79-816E-4537-93F3-D6E27FC25A53}"/>
    <cellStyle name="Output 2 2 4 5 5 2" xfId="52140" xr:uid="{9471AADB-96AE-4A85-B153-A78D60DBEB7C}"/>
    <cellStyle name="Output 2 2 4 5 6" xfId="29602" xr:uid="{6068ABF7-23C6-4949-A427-D594D9F014B3}"/>
    <cellStyle name="Output 2 2 4 6" xfId="5847" xr:uid="{00000000-0005-0000-0000-0000D5070000}"/>
    <cellStyle name="Output 2 2 4 6 2" xfId="12729" xr:uid="{48D34B10-F05E-4D1E-9B9E-380307AE818E}"/>
    <cellStyle name="Output 2 2 4 6 2 2" xfId="35213" xr:uid="{9771A7FD-6AC7-4BC7-A159-8443BA59B7F3}"/>
    <cellStyle name="Output 2 2 4 6 2 3" xfId="24450" xr:uid="{712D03E8-65D8-48D1-BB0B-00DA4C8000F4}"/>
    <cellStyle name="Output 2 2 4 6 3" xfId="17784" xr:uid="{D4BF7C3C-5181-471F-8CF3-ADAECE633FCE}"/>
    <cellStyle name="Output 2 2 4 6 3 2" xfId="40174" xr:uid="{8CA77025-92F6-4899-B33F-6ECF8C54F8D6}"/>
    <cellStyle name="Output 2 2 4 6 3 3" xfId="32452" xr:uid="{61D13156-BBBC-47A2-85B6-57D1652CAA1E}"/>
    <cellStyle name="Output 2 2 4 6 4" xfId="7357" xr:uid="{1BA62840-A0AC-43DB-A9BF-92115AB22BED}"/>
    <cellStyle name="Output 2 2 4 6 4 2" xfId="30042" xr:uid="{A1D01292-2C89-4830-A73F-94FC10E804FE}"/>
    <cellStyle name="Output 2 2 4 6 4 3" xfId="43048" xr:uid="{A2C119A1-878F-4876-B0AD-48E568A40B96}"/>
    <cellStyle name="Output 2 2 4 6 5" xfId="22208" xr:uid="{D9993CA7-20B2-48FD-AEB0-8D468EB0F7D5}"/>
    <cellStyle name="Output 2 2 4 6 5 2" xfId="29644" xr:uid="{70930706-111F-4B16-9EC1-EDF19203EF88}"/>
    <cellStyle name="Output 2 2 4 6 6" xfId="51594" xr:uid="{16FB220B-A81D-465F-9B04-D1F8DE1CEF10}"/>
    <cellStyle name="Output 2 2 4 7" xfId="6777" xr:uid="{00000000-0005-0000-0000-0000D5070000}"/>
    <cellStyle name="Output 2 2 4 7 2" xfId="13628" xr:uid="{6B8DA879-7204-4FD2-B848-F891FE25A593}"/>
    <cellStyle name="Output 2 2 4 7 2 2" xfId="36112" xr:uid="{FCB03F17-4856-4D93-A1E9-16B7CAA0D836}"/>
    <cellStyle name="Output 2 2 4 7 2 3" xfId="49630" xr:uid="{DCC58E58-9A3F-4F40-8BD8-CEF9D98518C1}"/>
    <cellStyle name="Output 2 2 4 7 3" xfId="18714" xr:uid="{AF32B566-C1B3-46D8-B70A-C4F3200255D3}"/>
    <cellStyle name="Output 2 2 4 7 3 2" xfId="41104" xr:uid="{A644B6C5-352F-4025-B52A-F36B28BFDF9C}"/>
    <cellStyle name="Output 2 2 4 7 3 3" xfId="28228" xr:uid="{488C0612-278A-4C55-A813-215E14284D90}"/>
    <cellStyle name="Output 2 2 4 7 4" xfId="21233" xr:uid="{18EB7A63-DAD8-4B2D-8924-0381798BCF11}"/>
    <cellStyle name="Output 2 2 4 7 4 2" xfId="43471" xr:uid="{C681665D-A59C-43E4-A74B-3BEBAF1BADFA}"/>
    <cellStyle name="Output 2 2 4 7 4 3" xfId="53133" xr:uid="{8CFCE76A-7DBE-4271-AA75-C14F7DA523EE}"/>
    <cellStyle name="Output 2 2 4 7 5" xfId="23138" xr:uid="{36D13C7C-0980-4E54-9143-7C667A4EF146}"/>
    <cellStyle name="Output 2 2 4 7 5 2" xfId="51944" xr:uid="{EE834A10-712C-4D95-A7A9-3B174D17EA96}"/>
    <cellStyle name="Output 2 2 4 7 6" xfId="26387" xr:uid="{98730D73-72CB-4112-8D16-B9D8817E6A3F}"/>
    <cellStyle name="Output 2 2 4 8" xfId="8881" xr:uid="{35A5940F-3219-4F6F-9CE6-160CE9BCD916}"/>
    <cellStyle name="Output 2 2 4 8 2" xfId="31462" xr:uid="{8BBBDF14-81EF-420C-8895-17020921EE9C}"/>
    <cellStyle name="Output 2 2 4 8 3" xfId="51106" xr:uid="{64802A62-89D8-4939-B488-D4BD782A98C4}"/>
    <cellStyle name="Output 2 2 4 9" xfId="20054" xr:uid="{753A8D55-E456-4056-983E-CA6BC76D649F}"/>
    <cellStyle name="Output 2 2 4 9 2" xfId="42375" xr:uid="{4EE1FF5B-27F0-4B78-9391-ED458BB2F6BF}"/>
    <cellStyle name="Output 2 2 4 9 3" xfId="45325" xr:uid="{67801B29-972C-4E25-8A9C-29BB43AF636B}"/>
    <cellStyle name="Output 2 2 5" xfId="1192" xr:uid="{00000000-0005-0000-0000-0000D9070000}"/>
    <cellStyle name="Output 2 2 5 10" xfId="15851" xr:uid="{9FF25EA6-9EBA-4B4C-84C9-ABBD7BA6D2B3}"/>
    <cellStyle name="Output 2 2 5 10 2" xfId="48200" xr:uid="{E51BFAE6-F4B7-45D0-A927-EA0C1B32D41B}"/>
    <cellStyle name="Output 2 2 5 11" xfId="52273" xr:uid="{D5D61791-BB3E-4C61-9B3E-25B561F526E7}"/>
    <cellStyle name="Output 2 2 5 2" xfId="1993" xr:uid="{00000000-0005-0000-0000-0000DA070000}"/>
    <cellStyle name="Output 2 2 5 2 10" xfId="14641" xr:uid="{ECD007FF-097F-4DA9-9FFB-FDA01927BA6D}"/>
    <cellStyle name="Output 2 2 5 2 10 2" xfId="37101" xr:uid="{F03B2CCE-6218-465D-9563-0435A3ABECE0}"/>
    <cellStyle name="Output 2 2 5 2 10 3" xfId="29107" xr:uid="{980A3DDF-2122-4461-9121-1AF4B60F5AC3}"/>
    <cellStyle name="Output 2 2 5 2 11" xfId="21036" xr:uid="{D94F0DD5-69DF-48ED-A225-59E496D16835}"/>
    <cellStyle name="Output 2 2 5 2 11 2" xfId="43285" xr:uid="{CF642438-81C9-4A98-AFF6-6265CF73A202}"/>
    <cellStyle name="Output 2 2 5 2 11 3" xfId="28756" xr:uid="{774897D5-05B4-4A45-8A32-6AF32F4CEE98}"/>
    <cellStyle name="Output 2 2 5 2 12" xfId="15376" xr:uid="{CCD9BCE8-2086-4FE1-B014-DE637D524290}"/>
    <cellStyle name="Output 2 2 5 2 12 2" xfId="29245" xr:uid="{7AEA38CB-2B64-42C7-B272-A8F9F1726A72}"/>
    <cellStyle name="Output 2 2 5 2 13" xfId="42800" xr:uid="{B7A5BE74-AB8C-4A7A-984D-40C8CEA2246A}"/>
    <cellStyle name="Output 2 2 5 2 2" xfId="4089" xr:uid="{00000000-0005-0000-0000-0000D8070000}"/>
    <cellStyle name="Output 2 2 5 2 2 2" xfId="10993" xr:uid="{F337280A-C6BC-46BD-8385-03555353DAFC}"/>
    <cellStyle name="Output 2 2 5 2 2 2 2" xfId="33479" xr:uid="{B32DFD61-E3F2-4F52-A73A-DA4560A92A96}"/>
    <cellStyle name="Output 2 2 5 2 2 2 3" xfId="53419" xr:uid="{81A5989D-6AB3-4BC8-A74F-5E8EEF2CB553}"/>
    <cellStyle name="Output 2 2 5 2 2 3" xfId="16093" xr:uid="{26C1E2BF-6D50-4329-8DC0-7C7997797918}"/>
    <cellStyle name="Output 2 2 5 2 2 3 2" xfId="38493" xr:uid="{34F7BC28-4760-4918-BFEC-8390F0A4C321}"/>
    <cellStyle name="Output 2 2 5 2 2 3 3" xfId="27301" xr:uid="{5DC8C0B8-1312-41BD-B029-59B75E91C34F}"/>
    <cellStyle name="Output 2 2 5 2 2 4" xfId="20511" xr:uid="{B39BA722-8C91-4D0F-9BB8-A17CBCAB235E}"/>
    <cellStyle name="Output 2 2 5 2 2 4 2" xfId="42798" xr:uid="{21DF598C-D04B-48B1-ADCA-5EEB4AC43430}"/>
    <cellStyle name="Output 2 2 5 2 2 4 3" xfId="47618" xr:uid="{5F18EA3F-F338-4263-BCE7-862F0DE9680B}"/>
    <cellStyle name="Output 2 2 5 2 2 5" xfId="19758" xr:uid="{24E5181B-76B3-4971-A2D4-C05189334226}"/>
    <cellStyle name="Output 2 2 5 2 2 5 2" xfId="32141" xr:uid="{584DBF9A-26CB-440D-9D9D-B90A6483F6A3}"/>
    <cellStyle name="Output 2 2 5 2 2 6" xfId="32223" xr:uid="{6AA3D3EA-BCA7-4736-AD1D-241AFD64B5F6}"/>
    <cellStyle name="Output 2 2 5 2 3" xfId="5434" xr:uid="{00000000-0005-0000-0000-0000D8070000}"/>
    <cellStyle name="Output 2 2 5 2 3 2" xfId="12324" xr:uid="{CED6151A-E8F6-4C2A-B148-17710DE4BA7E}"/>
    <cellStyle name="Output 2 2 5 2 3 2 2" xfId="34809" xr:uid="{CE76D262-F1A0-4F03-AF8B-6468EB260BFB}"/>
    <cellStyle name="Output 2 2 5 2 3 2 3" xfId="32132" xr:uid="{B62B87CB-9DBC-4D4D-A4A3-0ED87C9372B2}"/>
    <cellStyle name="Output 2 2 5 2 3 3" xfId="17371" xr:uid="{CE012A4F-5BA3-47E8-BCCF-E2D408891E8F}"/>
    <cellStyle name="Output 2 2 5 2 3 3 2" xfId="39761" xr:uid="{5C639108-0596-4A4C-BBB7-E075D70810AF}"/>
    <cellStyle name="Output 2 2 5 2 3 3 3" xfId="26663" xr:uid="{D98078B6-A6C3-4A54-B464-EBF68B4A3914}"/>
    <cellStyle name="Output 2 2 5 2 3 4" xfId="7714" xr:uid="{812C5A2A-2C79-4FB9-8B14-F1DE7D99814B}"/>
    <cellStyle name="Output 2 2 5 2 3 4 2" xfId="30363" xr:uid="{F2FF8AC2-D7C2-48C8-8942-EC55C283722E}"/>
    <cellStyle name="Output 2 2 5 2 3 4 3" xfId="48162" xr:uid="{B33A0CB3-D4F5-4B84-AC07-67140774B19C}"/>
    <cellStyle name="Output 2 2 5 2 3 5" xfId="21795" xr:uid="{528D9D76-DCCD-400E-8A4B-D69B4926D957}"/>
    <cellStyle name="Output 2 2 5 2 3 5 2" xfId="25051" xr:uid="{78BC7096-D150-4002-8CA1-97A43ED1078F}"/>
    <cellStyle name="Output 2 2 5 2 3 6" xfId="41608" xr:uid="{A3139ACF-9762-48E6-A71A-77C06A6DB759}"/>
    <cellStyle name="Output 2 2 5 2 4" xfId="5857" xr:uid="{00000000-0005-0000-0000-0000D8070000}"/>
    <cellStyle name="Output 2 2 5 2 4 2" xfId="12739" xr:uid="{384C6618-28B8-4F5A-A812-65D5E9CC7C95}"/>
    <cellStyle name="Output 2 2 5 2 4 2 2" xfId="35223" xr:uid="{CA26F205-63E9-44C1-9637-37D5198A426E}"/>
    <cellStyle name="Output 2 2 5 2 4 2 3" xfId="45114" xr:uid="{95BCBCD2-55E3-48DF-A32F-1D71E5BF9454}"/>
    <cellStyle name="Output 2 2 5 2 4 3" xfId="17794" xr:uid="{33935060-55F3-4153-B671-19880E7C2F2D}"/>
    <cellStyle name="Output 2 2 5 2 4 3 2" xfId="40184" xr:uid="{E682E12A-D781-40C4-B071-A1FBF74F1413}"/>
    <cellStyle name="Output 2 2 5 2 4 3 3" xfId="25223" xr:uid="{85BA95EB-DC52-4254-A145-C1A3D64B722F}"/>
    <cellStyle name="Output 2 2 5 2 4 4" xfId="16165" xr:uid="{5F49CABD-2232-400D-9FDF-8C6B19093D1B}"/>
    <cellStyle name="Output 2 2 5 2 4 4 2" xfId="38564" xr:uid="{FCCCFC56-9B27-42CC-92E8-4CBAEFFD95FE}"/>
    <cellStyle name="Output 2 2 5 2 4 4 3" xfId="27022" xr:uid="{97139471-23D5-4FF5-9ED9-4F3E685AF891}"/>
    <cellStyle name="Output 2 2 5 2 4 5" xfId="22218" xr:uid="{C99746B3-B48E-446A-9C64-C8F474DF3BD3}"/>
    <cellStyle name="Output 2 2 5 2 4 5 2" xfId="50667" xr:uid="{703D5FFF-6443-40A4-B8B1-8EC8B1A20623}"/>
    <cellStyle name="Output 2 2 5 2 4 6" xfId="53243" xr:uid="{E8CE2B61-90AE-47F4-889E-B5EB461B3001}"/>
    <cellStyle name="Output 2 2 5 2 5" xfId="6195" xr:uid="{00000000-0005-0000-0000-0000D8070000}"/>
    <cellStyle name="Output 2 2 5 2 5 2" xfId="13070" xr:uid="{F5EECA8B-BA4B-4D9D-A6FD-B8BC3C2688C5}"/>
    <cellStyle name="Output 2 2 5 2 5 2 2" xfId="35554" xr:uid="{D2D81F1B-830B-4775-B434-741E15FF2627}"/>
    <cellStyle name="Output 2 2 5 2 5 2 3" xfId="50668" xr:uid="{78DB3E15-31F0-45A7-BFB8-E8BB1492762F}"/>
    <cellStyle name="Output 2 2 5 2 5 3" xfId="18132" xr:uid="{EB9C9BA5-3A57-4968-B3CA-5E3CCE1E9401}"/>
    <cellStyle name="Output 2 2 5 2 5 3 2" xfId="40522" xr:uid="{E238AC40-3DC0-4FC0-B374-39E3BB9AFEC4}"/>
    <cellStyle name="Output 2 2 5 2 5 3 3" xfId="27971" xr:uid="{9F4EA799-5EC4-43A7-B7F4-7868441459A9}"/>
    <cellStyle name="Output 2 2 5 2 5 4" xfId="16233" xr:uid="{F02669A1-CB4C-4226-94B6-2EB3F0F004B6}"/>
    <cellStyle name="Output 2 2 5 2 5 4 2" xfId="38630" xr:uid="{9D909642-73E9-4A1A-BBA8-20CC3CB5EA8A}"/>
    <cellStyle name="Output 2 2 5 2 5 4 3" xfId="37936" xr:uid="{1D481FB2-C2F7-4A04-BBB8-41F710BBD298}"/>
    <cellStyle name="Output 2 2 5 2 5 5" xfId="22556" xr:uid="{8D656B6E-682E-4FB7-B563-E04BAF1467D0}"/>
    <cellStyle name="Output 2 2 5 2 5 5 2" xfId="49342" xr:uid="{3428F9B1-2B3A-4627-B379-F83765B3BBBD}"/>
    <cellStyle name="Output 2 2 5 2 5 6" xfId="49926" xr:uid="{B16A6AAA-12C1-4646-BFF4-BD3ADE635CAC}"/>
    <cellStyle name="Output 2 2 5 2 6" xfId="6563" xr:uid="{00000000-0005-0000-0000-0000D8070000}"/>
    <cellStyle name="Output 2 2 5 2 6 2" xfId="13429" xr:uid="{FBB7FCC6-402A-4DD0-880D-3DA78F028702}"/>
    <cellStyle name="Output 2 2 5 2 6 2 2" xfId="35913" xr:uid="{9C6A8DF2-9C6B-4E3B-A3C4-AAB5A43EBFD9}"/>
    <cellStyle name="Output 2 2 5 2 6 2 3" xfId="47243" xr:uid="{F70AFD94-0C3C-4328-A29F-4E16919AEF31}"/>
    <cellStyle name="Output 2 2 5 2 6 3" xfId="18500" xr:uid="{FE4AC095-3471-45FF-B3F0-818B347FC77E}"/>
    <cellStyle name="Output 2 2 5 2 6 3 2" xfId="40890" xr:uid="{CB82E3EE-663E-4D97-A4CD-E8940A2F8A80}"/>
    <cellStyle name="Output 2 2 5 2 6 3 3" xfId="30348" xr:uid="{F1C32236-0072-4C26-B5CF-A9EB820B2C6C}"/>
    <cellStyle name="Output 2 2 5 2 6 4" xfId="16221" xr:uid="{FE8FCD8C-B98A-43E3-B3E9-990C0A8B3A03}"/>
    <cellStyle name="Output 2 2 5 2 6 4 2" xfId="38619" xr:uid="{D2AD02CE-CD04-4B3E-8230-66C3E1BD7E87}"/>
    <cellStyle name="Output 2 2 5 2 6 4 3" xfId="44990" xr:uid="{63E15EB8-6DAE-4038-ADE1-75F878918D92}"/>
    <cellStyle name="Output 2 2 5 2 6 5" xfId="22924" xr:uid="{716C333F-D3DD-46E3-980D-28DB0F7D0D73}"/>
    <cellStyle name="Output 2 2 5 2 6 5 2" xfId="53148" xr:uid="{CCC0A791-FDFA-44AE-81D0-738C4BB989BD}"/>
    <cellStyle name="Output 2 2 5 2 6 6" xfId="48878" xr:uid="{FF225B9A-38EE-4910-A5A5-BB5A01D2F025}"/>
    <cellStyle name="Output 2 2 5 2 7" xfId="6027" xr:uid="{00000000-0005-0000-0000-0000D8070000}"/>
    <cellStyle name="Output 2 2 5 2 7 2" xfId="12907" xr:uid="{831017DF-32B5-4F7E-922F-C17F7A43F6B1}"/>
    <cellStyle name="Output 2 2 5 2 7 2 2" xfId="35391" xr:uid="{C936275B-C3E1-4FA3-BC0C-925DA39E46A7}"/>
    <cellStyle name="Output 2 2 5 2 7 2 3" xfId="27770" xr:uid="{1DA6B3F8-B116-42D4-A20F-174B913444AD}"/>
    <cellStyle name="Output 2 2 5 2 7 3" xfId="17964" xr:uid="{DAE3D6AA-070D-4268-B30E-38715B45AC82}"/>
    <cellStyle name="Output 2 2 5 2 7 3 2" xfId="40354" xr:uid="{B4E5DAAD-54D9-499C-A49B-189786E98120}"/>
    <cellStyle name="Output 2 2 5 2 7 3 3" xfId="25213" xr:uid="{C2574D03-BA02-4BE8-A271-3FF661E06ED4}"/>
    <cellStyle name="Output 2 2 5 2 7 4" xfId="15124" xr:uid="{8F4AACE9-789E-4F28-8C4F-3CB4998C0104}"/>
    <cellStyle name="Output 2 2 5 2 7 4 2" xfId="37566" xr:uid="{D013A617-F3D3-42D6-9BFE-F58BACD73B72}"/>
    <cellStyle name="Output 2 2 5 2 7 4 3" xfId="45625" xr:uid="{EC7620A5-53CF-46A8-BE76-AF51068A45A7}"/>
    <cellStyle name="Output 2 2 5 2 7 5" xfId="22388" xr:uid="{6D56C4C2-DAAB-4406-AB94-2C1CA5612AD6}"/>
    <cellStyle name="Output 2 2 5 2 7 5 2" xfId="26365" xr:uid="{90E2DD85-15A9-43EE-9930-CA692A9F436A}"/>
    <cellStyle name="Output 2 2 5 2 7 6" xfId="47698" xr:uid="{107B5FE3-D257-4F81-9CAC-FB07C493B2B4}"/>
    <cellStyle name="Output 2 2 5 2 8" xfId="7033" xr:uid="{00000000-0005-0000-0000-0000D8070000}"/>
    <cellStyle name="Output 2 2 5 2 8 2" xfId="13869" xr:uid="{4D4D6654-3B2B-4292-8AB1-A8B3959B754B}"/>
    <cellStyle name="Output 2 2 5 2 8 2 2" xfId="36353" xr:uid="{F9A910A9-9B79-410D-AD88-7C61D32D984C}"/>
    <cellStyle name="Output 2 2 5 2 8 2 3" xfId="53512" xr:uid="{DE9D52F0-CA59-470A-AED4-4D2457799EDA}"/>
    <cellStyle name="Output 2 2 5 2 8 3" xfId="18970" xr:uid="{F08CD99D-6C61-4020-9343-204F23529E67}"/>
    <cellStyle name="Output 2 2 5 2 8 3 2" xfId="41360" xr:uid="{6B79C00D-58E0-47B5-BC3E-2F23EC61533B}"/>
    <cellStyle name="Output 2 2 5 2 8 3 3" xfId="42006" xr:uid="{F09CA88C-D20E-459F-BBD2-BF565F13A2E0}"/>
    <cellStyle name="Output 2 2 5 2 8 4" xfId="20140" xr:uid="{2CCADF6D-C33F-4819-ADE4-27DA4BB070DE}"/>
    <cellStyle name="Output 2 2 5 2 8 4 2" xfId="42454" xr:uid="{A95B6B9C-0B53-4412-A2ED-8ABCEAA4ED31}"/>
    <cellStyle name="Output 2 2 5 2 8 4 3" xfId="44020" xr:uid="{45C44792-E29F-486C-989B-76EBBDF131F9}"/>
    <cellStyle name="Output 2 2 5 2 8 5" xfId="23394" xr:uid="{C816FF5F-AFE8-4176-AD4E-BFC5B14E629E}"/>
    <cellStyle name="Output 2 2 5 2 8 5 2" xfId="47526" xr:uid="{3B9FD292-702D-4F77-9F6D-3BB3B19D6312}"/>
    <cellStyle name="Output 2 2 5 2 8 6" xfId="51701" xr:uid="{21134888-5FF8-4E50-9914-E83E134688D0}"/>
    <cellStyle name="Output 2 2 5 2 9" xfId="7148" xr:uid="{00000000-0005-0000-0000-0000D8070000}"/>
    <cellStyle name="Output 2 2 5 2 9 2" xfId="19085" xr:uid="{8B522DF2-A9B3-4A41-8FE9-C076FA65371B}"/>
    <cellStyle name="Output 2 2 5 2 9 2 2" xfId="41475" xr:uid="{6B180882-43A1-4F6B-9B80-0808C4236B97}"/>
    <cellStyle name="Output 2 2 5 2 9 2 3" xfId="29746" xr:uid="{98096387-F97A-4A6F-96A4-57A1F026FC15}"/>
    <cellStyle name="Output 2 2 5 2 9 3" xfId="7580" xr:uid="{BAB8CED8-A8BC-427C-9B74-D63E7E33760B}"/>
    <cellStyle name="Output 2 2 5 2 9 3 2" xfId="30243" xr:uid="{E8774C0D-1C4D-4DE9-8248-6CA1A5472C1D}"/>
    <cellStyle name="Output 2 2 5 2 9 3 3" xfId="51725" xr:uid="{A65D41DB-A048-4B54-B83A-6A13A2911071}"/>
    <cellStyle name="Output 2 2 5 2 9 4" xfId="23509" xr:uid="{B305D9E9-C5FB-41FB-BDD7-95F165CABDE6}"/>
    <cellStyle name="Output 2 2 5 2 9 4 2" xfId="30981" xr:uid="{747E1DD5-491E-4EE5-9D31-F062C3662594}"/>
    <cellStyle name="Output 2 2 5 2 9 5" xfId="52726" xr:uid="{E51859A2-E9EB-4B2A-8927-853003B2575E}"/>
    <cellStyle name="Output 2 2 5 3" xfId="3308" xr:uid="{00000000-0005-0000-0000-0000D7070000}"/>
    <cellStyle name="Output 2 2 5 3 2" xfId="10216" xr:uid="{9BF9250A-C986-46F8-8C11-4AA12AEE41E3}"/>
    <cellStyle name="Output 2 2 5 3 2 2" xfId="32710" xr:uid="{7AB2916C-0F8F-43CD-9071-44DDD3B28832}"/>
    <cellStyle name="Output 2 2 5 3 2 3" xfId="53220" xr:uid="{1537D41A-8F0A-49A4-B24F-4B575DE566B2}"/>
    <cellStyle name="Output 2 2 5 3 3" xfId="15534" xr:uid="{1A96C505-D213-4C95-91EE-F6144B38EC08}"/>
    <cellStyle name="Output 2 2 5 3 3 2" xfId="37953" xr:uid="{1ACDAFEF-9B2E-4D77-BC0F-C97E1402479A}"/>
    <cellStyle name="Output 2 2 5 3 3 3" xfId="53599" xr:uid="{04F1FAD6-3D69-48AF-AE22-A9F0FAA7C533}"/>
    <cellStyle name="Output 2 2 5 3 4" xfId="19384" xr:uid="{2329A6E4-429C-4357-8E73-1D34BC2BEB5A}"/>
    <cellStyle name="Output 2 2 5 3 4 2" xfId="41758" xr:uid="{6A35BA70-F9F9-4D0B-8670-E1313A975C89}"/>
    <cellStyle name="Output 2 2 5 3 4 3" xfId="42789" xr:uid="{72422BF2-203D-4F11-A21B-BDF537297C08}"/>
    <cellStyle name="Output 2 2 5 3 5" xfId="20664" xr:uid="{0AC3CF24-31D6-43DE-95E8-4B1FC3B0139A}"/>
    <cellStyle name="Output 2 2 5 3 5 2" xfId="50173" xr:uid="{B223A003-D859-4AB0-A20B-9B90B59E109A}"/>
    <cellStyle name="Output 2 2 5 3 6" xfId="46003" xr:uid="{79A66F52-F3AB-4CDF-AF8B-73939BFBAFCA}"/>
    <cellStyle name="Output 2 2 5 4" xfId="4894" xr:uid="{00000000-0005-0000-0000-0000D7070000}"/>
    <cellStyle name="Output 2 2 5 4 2" xfId="11789" xr:uid="{94F05F52-415B-4F7D-8330-326D533FEF5F}"/>
    <cellStyle name="Output 2 2 5 4 2 2" xfId="34275" xr:uid="{4526F9E5-7934-4451-954C-115ACB914C7C}"/>
    <cellStyle name="Output 2 2 5 4 2 3" xfId="32688" xr:uid="{63F75F96-F61C-4779-BEB7-D6AB6AF3314B}"/>
    <cellStyle name="Output 2 2 5 4 3" xfId="16831" xr:uid="{83783A8C-119E-453C-B2D2-8F32A26A6A20}"/>
    <cellStyle name="Output 2 2 5 4 3 2" xfId="39221" xr:uid="{C0057EF5-31A5-4E04-8825-C540A36B8EC2}"/>
    <cellStyle name="Output 2 2 5 4 3 3" xfId="28657" xr:uid="{52833D81-A374-40C8-94BF-6A6B87C74E8A}"/>
    <cellStyle name="Output 2 2 5 4 4" xfId="7385" xr:uid="{A2ACDFC4-5A36-4835-B558-FCB094C18FCA}"/>
    <cellStyle name="Output 2 2 5 4 4 2" xfId="30069" xr:uid="{66AB1758-55D0-41CE-91F8-E8D6E4877068}"/>
    <cellStyle name="Output 2 2 5 4 4 3" xfId="44561" xr:uid="{DC307D95-DC02-41AA-9BB0-2D52869EAA5C}"/>
    <cellStyle name="Output 2 2 5 4 5" xfId="14800" xr:uid="{3DA4F821-F443-4F78-B5CF-39342CD7FAC2}"/>
    <cellStyle name="Output 2 2 5 4 5 2" xfId="53829" xr:uid="{FDA14F73-0735-4A0E-92B8-66815E33677A}"/>
    <cellStyle name="Output 2 2 5 4 6" xfId="50196" xr:uid="{2263B3B9-27C4-4116-AE33-5413EF76CC1B}"/>
    <cellStyle name="Output 2 2 5 5" xfId="5581" xr:uid="{00000000-0005-0000-0000-0000D7070000}"/>
    <cellStyle name="Output 2 2 5 5 2" xfId="12466" xr:uid="{9753E32C-3760-4105-AE54-08A1D9DEB865}"/>
    <cellStyle name="Output 2 2 5 5 2 2" xfId="34951" xr:uid="{B86B2067-93A1-4B5A-AC86-C091809F6DB9}"/>
    <cellStyle name="Output 2 2 5 5 2 3" xfId="29506" xr:uid="{8C5F93E0-2587-482B-8CB6-D61DAFAB4EF4}"/>
    <cellStyle name="Output 2 2 5 5 3" xfId="17518" xr:uid="{DFA891D1-B848-48FD-B4D8-AFA4BFF453F1}"/>
    <cellStyle name="Output 2 2 5 5 3 2" xfId="39908" xr:uid="{3DB46EC2-C555-43D7-B085-6041D2FE9B60}"/>
    <cellStyle name="Output 2 2 5 5 3 3" xfId="43530" xr:uid="{9234F06B-E16B-4B55-8833-8D17139F7884}"/>
    <cellStyle name="Output 2 2 5 5 4" xfId="19868" xr:uid="{29723E6F-CA74-4480-B39C-8EE9280DA652}"/>
    <cellStyle name="Output 2 2 5 5 4 2" xfId="42203" xr:uid="{43420E98-79AD-446A-8852-8589DE9C7ECB}"/>
    <cellStyle name="Output 2 2 5 5 4 3" xfId="37373" xr:uid="{094323E8-CF7E-4D9E-A429-8F2EF69B1D75}"/>
    <cellStyle name="Output 2 2 5 5 5" xfId="21942" xr:uid="{520D3A09-950A-440B-9748-AEECCF45CCC3}"/>
    <cellStyle name="Output 2 2 5 5 5 2" xfId="50209" xr:uid="{032DBC46-5539-4144-99D3-CB1C29A7D809}"/>
    <cellStyle name="Output 2 2 5 5 6" xfId="46282" xr:uid="{2F715541-4AF0-428B-9167-8743AED2C85D}"/>
    <cellStyle name="Output 2 2 5 6" xfId="6369" xr:uid="{00000000-0005-0000-0000-0000D7070000}"/>
    <cellStyle name="Output 2 2 5 6 2" xfId="13241" xr:uid="{58C18965-7939-4DEA-8ED5-B5A09BAC2732}"/>
    <cellStyle name="Output 2 2 5 6 2 2" xfId="35725" xr:uid="{5F9B3D51-2B27-4D2E-899A-4EE742EA568F}"/>
    <cellStyle name="Output 2 2 5 6 2 3" xfId="29416" xr:uid="{046BB892-AFE8-447B-B91D-D5D6BA2CF0BD}"/>
    <cellStyle name="Output 2 2 5 6 3" xfId="18306" xr:uid="{2C5C4B72-5174-4201-A699-35BC8DD5DDBA}"/>
    <cellStyle name="Output 2 2 5 6 3 2" xfId="40696" xr:uid="{4968BC86-2893-4A49-B487-B4C1D99403A7}"/>
    <cellStyle name="Output 2 2 5 6 3 3" xfId="29752" xr:uid="{9B26591E-098B-43FD-A790-8A29210A320E}"/>
    <cellStyle name="Output 2 2 5 6 4" xfId="14637" xr:uid="{5DB849B8-1553-4BF8-85CB-01FD382F34C3}"/>
    <cellStyle name="Output 2 2 5 6 4 2" xfId="37097" xr:uid="{5EADA1B6-F74B-4241-B876-E5B548F3CA10}"/>
    <cellStyle name="Output 2 2 5 6 4 3" xfId="43871" xr:uid="{D898A981-D390-4B78-A918-52FE112E0728}"/>
    <cellStyle name="Output 2 2 5 6 5" xfId="22730" xr:uid="{5A843287-421D-42D0-B75A-F18A5A1B6043}"/>
    <cellStyle name="Output 2 2 5 6 5 2" xfId="49256" xr:uid="{9026A983-1E77-4C45-A737-F903254C7022}"/>
    <cellStyle name="Output 2 2 5 6 6" xfId="45207" xr:uid="{EEE02A4C-FBE1-44E2-AA57-F3121143EE83}"/>
    <cellStyle name="Output 2 2 5 7" xfId="4474" xr:uid="{00000000-0005-0000-0000-0000D7070000}"/>
    <cellStyle name="Output 2 2 5 7 2" xfId="11376" xr:uid="{20404CCD-127F-4B50-8EC0-F3A29194171D}"/>
    <cellStyle name="Output 2 2 5 7 2 2" xfId="33862" xr:uid="{F048752C-8F72-40D1-BE80-D817F8AA998C}"/>
    <cellStyle name="Output 2 2 5 7 2 3" xfId="27055" xr:uid="{EFC8175C-CE98-4202-99EC-11A6C3BBD6F2}"/>
    <cellStyle name="Output 2 2 5 7 3" xfId="16411" xr:uid="{D045C899-F8C4-445B-B043-8B9054554C50}"/>
    <cellStyle name="Output 2 2 5 7 3 2" xfId="38801" xr:uid="{B8C9AA50-5B0B-4F8A-BCC0-0AAA03B6B551}"/>
    <cellStyle name="Output 2 2 5 7 3 3" xfId="27892" xr:uid="{A34C19FB-3370-45C4-9968-5C1BA038A41A}"/>
    <cellStyle name="Output 2 2 5 7 4" xfId="19723" xr:uid="{2E63C9B5-895D-42B2-A3C3-0EF60F95B73C}"/>
    <cellStyle name="Output 2 2 5 7 4 2" xfId="42069" xr:uid="{4811B844-6055-4C60-A51F-67C187E3ADBB}"/>
    <cellStyle name="Output 2 2 5 7 4 3" xfId="24808" xr:uid="{30E10288-FCA8-42E7-8A74-FDBC1F12E668}"/>
    <cellStyle name="Output 2 2 5 7 5" xfId="14153" xr:uid="{C62372CD-EB2D-4B2A-BF9F-E7321293A40D}"/>
    <cellStyle name="Output 2 2 5 7 5 2" xfId="24790" xr:uid="{64173452-250F-487A-85B5-A05DA8C360EF}"/>
    <cellStyle name="Output 2 2 5 7 6" xfId="44910" xr:uid="{924569C4-AD6F-4A07-8003-4CE438AAFFFC}"/>
    <cellStyle name="Output 2 2 5 8" xfId="14068" xr:uid="{87244A56-E11A-4A81-AF6C-6BE7A6FF13FB}"/>
    <cellStyle name="Output 2 2 5 8 2" xfId="36546" xr:uid="{C817EAA5-6FDD-4AE6-BD5E-59DBE49E179F}"/>
    <cellStyle name="Output 2 2 5 8 3" xfId="52127" xr:uid="{B0B4EACD-E67D-48D7-A55A-1F52C4ACD50E}"/>
    <cellStyle name="Output 2 2 5 9" xfId="15222" xr:uid="{ABD81CF4-DA7E-4B15-9C36-ADF7E73CC8B0}"/>
    <cellStyle name="Output 2 2 5 9 2" xfId="37659" xr:uid="{4A62EC97-730F-4692-8320-2A2B2DE1F0B4}"/>
    <cellStyle name="Output 2 2 5 9 3" xfId="45925" xr:uid="{72AC2C20-5479-4623-8F06-547F595DFD8C}"/>
    <cellStyle name="Output 2 2 6" xfId="1354" xr:uid="{00000000-0005-0000-0000-0000DB070000}"/>
    <cellStyle name="Output 2 2 6 10" xfId="14770" xr:uid="{408CFBC7-2F58-46BA-9BAE-FB1B705959B2}"/>
    <cellStyle name="Output 2 2 6 10 2" xfId="45630" xr:uid="{B167B67A-3F31-427C-8E96-C09EA549C813}"/>
    <cellStyle name="Output 2 2 6 11" xfId="47030" xr:uid="{1CAE25EE-93E2-4F57-B980-0E561B0A5AA1}"/>
    <cellStyle name="Output 2 2 6 2" xfId="2083" xr:uid="{00000000-0005-0000-0000-0000DC070000}"/>
    <cellStyle name="Output 2 2 6 2 10" xfId="14713" xr:uid="{0BC6AC55-671C-4CA8-A097-24D220B31829}"/>
    <cellStyle name="Output 2 2 6 2 10 2" xfId="37171" xr:uid="{C0F6FFC8-3F90-4C42-9EBD-58A4A6CEF1EE}"/>
    <cellStyle name="Output 2 2 6 2 10 3" xfId="48415" xr:uid="{F3F4961E-17E5-4AFA-BE86-493D8BC5B8AE}"/>
    <cellStyle name="Output 2 2 6 2 11" xfId="15292" xr:uid="{30214C16-CD54-4202-9237-1C0C2537646D}"/>
    <cellStyle name="Output 2 2 6 2 11 2" xfId="37724" xr:uid="{F1C47A32-EB7F-4EC9-870B-D1785567EBAF}"/>
    <cellStyle name="Output 2 2 6 2 11 3" xfId="30412" xr:uid="{596559B8-C60B-4CCB-9A48-AAC15670CF28}"/>
    <cellStyle name="Output 2 2 6 2 12" xfId="19519" xr:uid="{6DA48200-B420-4AF8-AD4F-81F2222DB109}"/>
    <cellStyle name="Output 2 2 6 2 12 2" xfId="44487" xr:uid="{FF90E9A6-D063-42C9-AF90-232C5AE4A3B4}"/>
    <cellStyle name="Output 2 2 6 2 13" xfId="52512" xr:uid="{5F05206B-C778-4E96-8ACD-BB897BDC5955}"/>
    <cellStyle name="Output 2 2 6 2 2" xfId="4178" xr:uid="{00000000-0005-0000-0000-0000DA070000}"/>
    <cellStyle name="Output 2 2 6 2 2 2" xfId="11082" xr:uid="{DB37FE9D-1B87-4579-A269-0B8A3ECAB538}"/>
    <cellStyle name="Output 2 2 6 2 2 2 2" xfId="33568" xr:uid="{B71C440B-69E8-46B2-BAC3-CE11E2185CD9}"/>
    <cellStyle name="Output 2 2 6 2 2 2 3" xfId="46594" xr:uid="{002AE82F-E845-4238-A9E0-95D7F91B26C2}"/>
    <cellStyle name="Output 2 2 6 2 2 3" xfId="16171" xr:uid="{7D634303-666B-4E19-87E4-A0F4B06A2FF6}"/>
    <cellStyle name="Output 2 2 6 2 2 3 2" xfId="38570" xr:uid="{E92FBA90-3A89-40E4-BAC5-87117ADA81AD}"/>
    <cellStyle name="Output 2 2 6 2 2 3 3" xfId="43796" xr:uid="{A3E3C1D9-E7A3-4D08-97F8-FB9B7B84DFA7}"/>
    <cellStyle name="Output 2 2 6 2 2 4" xfId="20753" xr:uid="{7F3DC063-7985-4B66-88D3-1DDF244A4262}"/>
    <cellStyle name="Output 2 2 6 2 2 4 2" xfId="43022" xr:uid="{A6225F0D-B4C1-40FB-BACB-741E5190E8EF}"/>
    <cellStyle name="Output 2 2 6 2 2 4 3" xfId="53702" xr:uid="{1C1D27F0-BF1A-41B3-BFDD-F05E8BB61F9A}"/>
    <cellStyle name="Output 2 2 6 2 2 5" xfId="7314" xr:uid="{57D930E0-076D-4334-A2C2-8832B3BEB80B}"/>
    <cellStyle name="Output 2 2 6 2 2 5 2" xfId="53015" xr:uid="{37562571-3060-4D00-BC88-46353AB4230F}"/>
    <cellStyle name="Output 2 2 6 2 2 6" xfId="24126" xr:uid="{D8E857BB-11C4-42BA-A832-D29E6C7D63E1}"/>
    <cellStyle name="Output 2 2 6 2 3" xfId="5504" xr:uid="{00000000-0005-0000-0000-0000DA070000}"/>
    <cellStyle name="Output 2 2 6 2 3 2" xfId="12393" xr:uid="{1FFD8B0E-49E5-4FFE-AE15-CDD32BAC024B}"/>
    <cellStyle name="Output 2 2 6 2 3 2 2" xfId="34878" xr:uid="{4F1AD7D5-2788-4F01-9BB3-47026756CAAF}"/>
    <cellStyle name="Output 2 2 6 2 3 2 3" xfId="29430" xr:uid="{B9C13C48-D61E-4ED6-B498-AF6144B03827}"/>
    <cellStyle name="Output 2 2 6 2 3 3" xfId="17441" xr:uid="{9294DD3D-7858-46EC-B666-D0676671E013}"/>
    <cellStyle name="Output 2 2 6 2 3 3 2" xfId="39831" xr:uid="{64E90AAB-403B-410A-AAEE-72770DBDB737}"/>
    <cellStyle name="Output 2 2 6 2 3 3 3" xfId="25060" xr:uid="{A6954EBD-D652-4D31-BBF3-32C274F89B33}"/>
    <cellStyle name="Output 2 2 6 2 3 4" xfId="19518" xr:uid="{04F351C3-7331-4379-AB2F-D13C23928694}"/>
    <cellStyle name="Output 2 2 6 2 3 4 2" xfId="41879" xr:uid="{C0B079FF-A3E5-4FDF-95A2-4C03C2BD6DFE}"/>
    <cellStyle name="Output 2 2 6 2 3 4 3" xfId="25725" xr:uid="{429ED0CF-730E-4F4B-8208-85F0990E3B54}"/>
    <cellStyle name="Output 2 2 6 2 3 5" xfId="21865" xr:uid="{8EE5E0E1-CA6B-493C-973C-B15CE40A9935}"/>
    <cellStyle name="Output 2 2 6 2 3 5 2" xfId="23825" xr:uid="{0A0F9E19-DD40-4B1C-9E82-1505F7E96181}"/>
    <cellStyle name="Output 2 2 6 2 3 6" xfId="47007" xr:uid="{93E138E1-6457-41DF-8495-C3645405A108}"/>
    <cellStyle name="Output 2 2 6 2 4" xfId="5925" xr:uid="{00000000-0005-0000-0000-0000DA070000}"/>
    <cellStyle name="Output 2 2 6 2 4 2" xfId="12806" xr:uid="{E2B31983-5C17-46A7-A799-EE897E5CBFA2}"/>
    <cellStyle name="Output 2 2 6 2 4 2 2" xfId="35290" xr:uid="{5509A3EE-520C-4AC4-BC9C-8003A04DC12D}"/>
    <cellStyle name="Output 2 2 6 2 4 2 3" xfId="23851" xr:uid="{9292023D-5887-41F6-8A1E-2308198D3ECB}"/>
    <cellStyle name="Output 2 2 6 2 4 3" xfId="17862" xr:uid="{3F7D8AF9-27BA-4232-B98D-1BE25EAD2386}"/>
    <cellStyle name="Output 2 2 6 2 4 3 2" xfId="40252" xr:uid="{50631CF6-ED23-4971-B5CB-E8837CA69E27}"/>
    <cellStyle name="Output 2 2 6 2 4 3 3" xfId="43004" xr:uid="{45DE8980-2B41-45DB-89EB-764AAAD2A6FE}"/>
    <cellStyle name="Output 2 2 6 2 4 4" xfId="12730" xr:uid="{1724CDD3-CB81-40E9-A440-1D7F2CB198A1}"/>
    <cellStyle name="Output 2 2 6 2 4 4 2" xfId="35214" xr:uid="{3823236E-9CDF-4D4F-A743-4E711C0132DA}"/>
    <cellStyle name="Output 2 2 6 2 4 4 3" xfId="44751" xr:uid="{96E5CC7E-774F-43D3-8387-6DC783D7B63F}"/>
    <cellStyle name="Output 2 2 6 2 4 5" xfId="22286" xr:uid="{12B8AEFB-73E3-488C-B07B-AB8B7D4D61FB}"/>
    <cellStyle name="Output 2 2 6 2 4 5 2" xfId="29857" xr:uid="{BD3A9583-76A5-4893-8806-59D0746CF5ED}"/>
    <cellStyle name="Output 2 2 6 2 4 6" xfId="50070" xr:uid="{9F954C24-7F8C-49C9-B025-CE94C1AF0E08}"/>
    <cellStyle name="Output 2 2 6 2 5" xfId="6265" xr:uid="{00000000-0005-0000-0000-0000DA070000}"/>
    <cellStyle name="Output 2 2 6 2 5 2" xfId="13137" xr:uid="{E521F724-9176-4CCF-ACE9-CC17F4E76F85}"/>
    <cellStyle name="Output 2 2 6 2 5 2 2" xfId="35621" xr:uid="{265BCD14-BBEC-41F5-8615-B405D2C6663F}"/>
    <cellStyle name="Output 2 2 6 2 5 2 3" xfId="53290" xr:uid="{6CD55A0C-66E5-42E0-862E-AC4ED8F89B3B}"/>
    <cellStyle name="Output 2 2 6 2 5 3" xfId="18202" xr:uid="{D9937FB6-14C0-4425-A884-86AAB4999264}"/>
    <cellStyle name="Output 2 2 6 2 5 3 2" xfId="40592" xr:uid="{1DB7B295-19BE-4DAF-9F2D-51EE1C385A2B}"/>
    <cellStyle name="Output 2 2 6 2 5 3 3" xfId="43902" xr:uid="{2EB733AA-31A1-4DA0-9DB2-41FF22BEAA23}"/>
    <cellStyle name="Output 2 2 6 2 5 4" xfId="14548" xr:uid="{26441696-3663-4391-AC56-070318AFF2F5}"/>
    <cellStyle name="Output 2 2 6 2 5 4 2" xfId="37009" xr:uid="{1933C5DB-B6CA-430E-8278-B81B85A951AE}"/>
    <cellStyle name="Output 2 2 6 2 5 4 3" xfId="27932" xr:uid="{3DA7069E-96EC-444B-9366-3F74215B5D2D}"/>
    <cellStyle name="Output 2 2 6 2 5 5" xfId="22626" xr:uid="{95FF06B2-F357-4BD2-B948-B461026E1BD1}"/>
    <cellStyle name="Output 2 2 6 2 5 5 2" xfId="48333" xr:uid="{FEAA4ADE-EF22-4DE5-830C-F027D146454B}"/>
    <cellStyle name="Output 2 2 6 2 5 6" xfId="52794" xr:uid="{ECD96731-471A-4777-BD5D-AE6DC9A038E5}"/>
    <cellStyle name="Output 2 2 6 2 6" xfId="6622" xr:uid="{00000000-0005-0000-0000-0000DA070000}"/>
    <cellStyle name="Output 2 2 6 2 6 2" xfId="13488" xr:uid="{6DBE9B35-6BEA-4192-A860-DEE94D8A5685}"/>
    <cellStyle name="Output 2 2 6 2 6 2 2" xfId="35972" xr:uid="{157F1E10-9A3D-47A0-9ED3-0A8A781DF004}"/>
    <cellStyle name="Output 2 2 6 2 6 2 3" xfId="50631" xr:uid="{9B1D41FE-7705-4624-AB56-2F6904A06DBD}"/>
    <cellStyle name="Output 2 2 6 2 6 3" xfId="18559" xr:uid="{C3CB1E47-F1D4-4C25-941F-88317A75F103}"/>
    <cellStyle name="Output 2 2 6 2 6 3 2" xfId="40949" xr:uid="{8704E5A6-E069-40D6-88E2-D0050C50F2AD}"/>
    <cellStyle name="Output 2 2 6 2 6 3 3" xfId="23700" xr:uid="{3FE51BF7-ECC5-446B-B7B3-3CD3BBCDCCC0}"/>
    <cellStyle name="Output 2 2 6 2 6 4" xfId="20410" xr:uid="{5B3C85CD-CE24-448C-84D2-8AA8C3BDDCE4}"/>
    <cellStyle name="Output 2 2 6 2 6 4 2" xfId="42704" xr:uid="{E44D5655-CD4B-44F5-BD65-585FB6061596}"/>
    <cellStyle name="Output 2 2 6 2 6 4 3" xfId="28534" xr:uid="{09AA8114-3D33-4A42-9B97-00387B47AF02}"/>
    <cellStyle name="Output 2 2 6 2 6 5" xfId="22983" xr:uid="{EF2B57E7-C3AA-4BBE-8823-30301DDABA11}"/>
    <cellStyle name="Output 2 2 6 2 6 5 2" xfId="53298" xr:uid="{270D522A-D15E-485E-BFDD-CC30340D2DC6}"/>
    <cellStyle name="Output 2 2 6 2 6 6" xfId="50203" xr:uid="{874A4F4E-1421-4EC1-BFA3-FC339D1A385D}"/>
    <cellStyle name="Output 2 2 6 2 7" xfId="2289" xr:uid="{00000000-0005-0000-0000-0000DA070000}"/>
    <cellStyle name="Output 2 2 6 2 7 2" xfId="9200" xr:uid="{AC4FC8A8-0AEE-47A9-A481-A0773C74BF28}"/>
    <cellStyle name="Output 2 2 6 2 7 2 2" xfId="31775" xr:uid="{44A36804-99FA-47D9-939A-52C5031F97B0}"/>
    <cellStyle name="Output 2 2 6 2 7 2 3" xfId="48350" xr:uid="{8D67C7B8-8D74-48A5-920A-D57BC8931401}"/>
    <cellStyle name="Output 2 2 6 2 7 3" xfId="14856" xr:uid="{02044671-26F7-4C5B-91C5-81FEE308F8D0}"/>
    <cellStyle name="Output 2 2 6 2 7 3 2" xfId="37310" xr:uid="{A1D63BCB-0D1A-4F81-99CF-48AE2E6D4AD9}"/>
    <cellStyle name="Output 2 2 6 2 7 3 3" xfId="48513" xr:uid="{4B0B8178-82B0-47E0-8277-0B543174830B}"/>
    <cellStyle name="Output 2 2 6 2 7 4" xfId="20393" xr:uid="{D4D44277-D37E-4289-90AF-E591E8115F02}"/>
    <cellStyle name="Output 2 2 6 2 7 4 2" xfId="42688" xr:uid="{8ECBD7F5-BBF9-4645-9784-0104ED737317}"/>
    <cellStyle name="Output 2 2 6 2 7 4 3" xfId="47680" xr:uid="{DCB801DB-6460-4798-BC35-4D1A38A1444B}"/>
    <cellStyle name="Output 2 2 6 2 7 5" xfId="20252" xr:uid="{AA6BFC82-7E90-4C6B-95FC-D03A4B4BC2B2}"/>
    <cellStyle name="Output 2 2 6 2 7 5 2" xfId="27670" xr:uid="{751D43EE-CDE4-47B4-9720-24D9E4D99901}"/>
    <cellStyle name="Output 2 2 6 2 7 6" xfId="53320" xr:uid="{0900EDD6-1CE6-49CC-8180-209C3D0D5E5B}"/>
    <cellStyle name="Output 2 2 6 2 8" xfId="7077" xr:uid="{00000000-0005-0000-0000-0000DA070000}"/>
    <cellStyle name="Output 2 2 6 2 8 2" xfId="13913" xr:uid="{41DE42D4-5411-43EF-870C-D5511E0C4BF2}"/>
    <cellStyle name="Output 2 2 6 2 8 2 2" xfId="36397" xr:uid="{129EF4FE-5653-48D9-82B9-4910C23154CD}"/>
    <cellStyle name="Output 2 2 6 2 8 2 3" xfId="41716" xr:uid="{B1B3F94C-473B-4408-B891-89E532120985}"/>
    <cellStyle name="Output 2 2 6 2 8 3" xfId="19014" xr:uid="{752A5FE2-75EB-486C-8A6C-556212CDF84E}"/>
    <cellStyle name="Output 2 2 6 2 8 3 2" xfId="41404" xr:uid="{F455612A-B5DB-4189-BFBE-457AEEBBC2BE}"/>
    <cellStyle name="Output 2 2 6 2 8 3 3" xfId="24729" xr:uid="{DFB1474B-F007-4CA6-A10B-B43B8D43499C}"/>
    <cellStyle name="Output 2 2 6 2 8 4" xfId="20072" xr:uid="{2E8FEEAA-9D17-4C46-8FDE-83B11A600130}"/>
    <cellStyle name="Output 2 2 6 2 8 4 2" xfId="42392" xr:uid="{1BC533E6-1EB7-4D85-B6E9-83FDD5FCFC10}"/>
    <cellStyle name="Output 2 2 6 2 8 4 3" xfId="43842" xr:uid="{EB8BEEC3-8F2D-4A8C-890B-ADDFCE9EBA50}"/>
    <cellStyle name="Output 2 2 6 2 8 5" xfId="23438" xr:uid="{8EA97942-D914-4ABA-AD9F-5BA3B2DC8B7D}"/>
    <cellStyle name="Output 2 2 6 2 8 5 2" xfId="44199" xr:uid="{5FA482F6-B9F7-473F-9020-41610CDF73C9}"/>
    <cellStyle name="Output 2 2 6 2 8 6" xfId="50974" xr:uid="{550BD6DF-1391-4472-A857-3499E74278D4}"/>
    <cellStyle name="Output 2 2 6 2 9" xfId="7192" xr:uid="{00000000-0005-0000-0000-0000DA070000}"/>
    <cellStyle name="Output 2 2 6 2 9 2" xfId="19129" xr:uid="{D646EE49-E0B2-4F69-9843-FA395420EAF8}"/>
    <cellStyle name="Output 2 2 6 2 9 2 2" xfId="41519" xr:uid="{F4336D4C-A53D-4BD3-97A0-AB55727C828D}"/>
    <cellStyle name="Output 2 2 6 2 9 2 3" xfId="44938" xr:uid="{787E1866-B0AC-4AFE-97EA-87738AD7DDDE}"/>
    <cellStyle name="Output 2 2 6 2 9 3" xfId="19626" xr:uid="{9DEC06F5-9D58-49C1-AEE1-D051364D8119}"/>
    <cellStyle name="Output 2 2 6 2 9 3 2" xfId="41977" xr:uid="{5CC738F9-5A44-4277-9CB5-801110A56EE7}"/>
    <cellStyle name="Output 2 2 6 2 9 3 3" xfId="29109" xr:uid="{6F4654E1-FFD3-4074-BDD7-98E47B6D3095}"/>
    <cellStyle name="Output 2 2 6 2 9 4" xfId="23553" xr:uid="{2C21F559-FA78-488F-9728-E32F808AFA5D}"/>
    <cellStyle name="Output 2 2 6 2 9 4 2" xfId="52708" xr:uid="{23F46C2B-349C-4E6F-9471-267A65D779E2}"/>
    <cellStyle name="Output 2 2 6 2 9 5" xfId="52017" xr:uid="{7AC4C425-E61E-4E1D-9228-634DF22C1DB8}"/>
    <cellStyle name="Output 2 2 6 3" xfId="3461" xr:uid="{00000000-0005-0000-0000-0000D9070000}"/>
    <cellStyle name="Output 2 2 6 3 2" xfId="10369" xr:uid="{7C5B46C2-49FD-4C41-BDC4-2F0731871D24}"/>
    <cellStyle name="Output 2 2 6 3 2 2" xfId="32856" xr:uid="{7706B3C6-54EA-4848-9075-D2E65CD581F8}"/>
    <cellStyle name="Output 2 2 6 3 2 3" xfId="53141" xr:uid="{33F1C5E2-7230-4E16-B323-277974ECED16}"/>
    <cellStyle name="Output 2 2 6 3 3" xfId="15639" xr:uid="{9C4CFFF6-D1F8-4542-BDD2-CFDF79E9BD06}"/>
    <cellStyle name="Output 2 2 6 3 3 2" xfId="38055" xr:uid="{CF84D2DD-B67F-4D7E-BF39-FD70B3779679}"/>
    <cellStyle name="Output 2 2 6 3 3 3" xfId="48898" xr:uid="{60D2C2FB-98F5-473E-A2D7-B8B1FD824EFD}"/>
    <cellStyle name="Output 2 2 6 3 4" xfId="20226" xr:uid="{B8AE55F7-8293-4A17-9E33-D71B67DD61BE}"/>
    <cellStyle name="Output 2 2 6 3 4 2" xfId="42532" xr:uid="{49270723-FB92-4087-9656-DCDEA5A8268F}"/>
    <cellStyle name="Output 2 2 6 3 4 3" xfId="32501" xr:uid="{4D1AAC4C-B159-4C38-9D12-6E49015A69DE}"/>
    <cellStyle name="Output 2 2 6 3 5" xfId="19726" xr:uid="{1DAE0FFB-9386-4197-B167-EA0BAB344420}"/>
    <cellStyle name="Output 2 2 6 3 5 2" xfId="29158" xr:uid="{C28F5E7C-FF19-4A94-8009-EA75EB1C4841}"/>
    <cellStyle name="Output 2 2 6 3 6" xfId="48285" xr:uid="{42205EE6-D80F-4B5F-BC76-1A67D5F5F430}"/>
    <cellStyle name="Output 2 2 6 4" xfId="4992" xr:uid="{00000000-0005-0000-0000-0000D9070000}"/>
    <cellStyle name="Output 2 2 6 4 2" xfId="11886" xr:uid="{936C70ED-AD32-4355-AEF8-2BD15BCB6AC4}"/>
    <cellStyle name="Output 2 2 6 4 2 2" xfId="34372" xr:uid="{2765DE5C-D5C7-479C-AC03-D1F3E232C073}"/>
    <cellStyle name="Output 2 2 6 4 2 3" xfId="41817" xr:uid="{1E835D29-CE1D-467C-A656-901242FC1780}"/>
    <cellStyle name="Output 2 2 6 4 3" xfId="16929" xr:uid="{07AC68CE-773B-4AAF-AF2A-4A58C889F46B}"/>
    <cellStyle name="Output 2 2 6 4 3 2" xfId="39319" xr:uid="{A2DCBDA8-E052-4636-966D-6CB6538B78E7}"/>
    <cellStyle name="Output 2 2 6 4 3 3" xfId="45740" xr:uid="{C419508E-4020-4AAF-8558-E3CF62AE7D23}"/>
    <cellStyle name="Output 2 2 6 4 4" xfId="7280" xr:uid="{CC0AA13E-DE4C-43EE-81F2-6279DECCB7CB}"/>
    <cellStyle name="Output 2 2 6 4 4 2" xfId="29968" xr:uid="{B457BCCF-38DE-4354-B8EE-E637825FAF68}"/>
    <cellStyle name="Output 2 2 6 4 4 3" xfId="44753" xr:uid="{C5277135-C800-4779-95E0-D5BAA4AFEA4E}"/>
    <cellStyle name="Output 2 2 6 4 5" xfId="21353" xr:uid="{C0BF6457-927D-48E9-824B-6A57006019C3}"/>
    <cellStyle name="Output 2 2 6 4 5 2" xfId="47840" xr:uid="{F27EA202-257E-4319-AB5F-95AE76BD6CDE}"/>
    <cellStyle name="Output 2 2 6 4 6" xfId="27594" xr:uid="{8F70A205-3990-47B3-A8BC-7C31B88F2B3B}"/>
    <cellStyle name="Output 2 2 6 5" xfId="5419" xr:uid="{00000000-0005-0000-0000-0000D9070000}"/>
    <cellStyle name="Output 2 2 6 5 2" xfId="12310" xr:uid="{F516CB82-A6EF-4293-BCB7-D5093AAAED43}"/>
    <cellStyle name="Output 2 2 6 5 2 2" xfId="34795" xr:uid="{556F1438-20EB-4ECB-A838-8ABD08DE03D1}"/>
    <cellStyle name="Output 2 2 6 5 2 3" xfId="37256" xr:uid="{844FAAA9-C8C9-4322-9B6F-B59C8CE8F49E}"/>
    <cellStyle name="Output 2 2 6 5 3" xfId="17356" xr:uid="{B33A182D-E7E1-490F-A568-3C9C1D4AF5E6}"/>
    <cellStyle name="Output 2 2 6 5 3 2" xfId="39746" xr:uid="{A135D4EF-9E43-493F-AC70-000377667548}"/>
    <cellStyle name="Output 2 2 6 5 3 3" xfId="28951" xr:uid="{63841E3D-55F3-4918-8B7B-4A4F3464074F}"/>
    <cellStyle name="Output 2 2 6 5 4" xfId="14150" xr:uid="{FE008661-C0DD-4778-AFF9-F05DC318086E}"/>
    <cellStyle name="Output 2 2 6 5 4 2" xfId="36626" xr:uid="{AA7ACE44-ED27-40A6-B4B6-AD3F2533C239}"/>
    <cellStyle name="Output 2 2 6 5 4 3" xfId="36598" xr:uid="{51CE0D76-B295-4AA1-B541-A18618958755}"/>
    <cellStyle name="Output 2 2 6 5 5" xfId="21780" xr:uid="{58CCC283-04E0-4DD8-BDA1-B09BF46102C2}"/>
    <cellStyle name="Output 2 2 6 5 5 2" xfId="30534" xr:uid="{8232D057-9A10-4A7E-85D1-A994AF231BE3}"/>
    <cellStyle name="Output 2 2 6 5 6" xfId="47763" xr:uid="{15609EF2-7987-4B8E-9601-06F2213D07ED}"/>
    <cellStyle name="Output 2 2 6 6" xfId="6056" xr:uid="{00000000-0005-0000-0000-0000D9070000}"/>
    <cellStyle name="Output 2 2 6 6 2" xfId="12935" xr:uid="{077EFE96-2C89-419E-9533-27D41BB6185B}"/>
    <cellStyle name="Output 2 2 6 6 2 2" xfId="35419" xr:uid="{3B1E1847-00E6-4AAD-BD5B-34919C7CA5B1}"/>
    <cellStyle name="Output 2 2 6 6 2 3" xfId="52915" xr:uid="{7013CD3D-D231-4352-8FAF-B63CAFE5C6B7}"/>
    <cellStyle name="Output 2 2 6 6 3" xfId="17993" xr:uid="{187263EE-5CC2-4362-A636-58237E0808E0}"/>
    <cellStyle name="Output 2 2 6 6 3 2" xfId="40383" xr:uid="{5F8C9780-F639-4A9A-BC99-53DBC758A86C}"/>
    <cellStyle name="Output 2 2 6 6 3 3" xfId="44941" xr:uid="{2302D16F-395B-4559-ACD7-D6293381686D}"/>
    <cellStyle name="Output 2 2 6 6 4" xfId="16143" xr:uid="{C920ECE0-F377-4AC1-871E-6B0D34A041F9}"/>
    <cellStyle name="Output 2 2 6 6 4 2" xfId="38543" xr:uid="{F5A5B4D5-4FC4-4A58-AE33-520F268107F4}"/>
    <cellStyle name="Output 2 2 6 6 4 3" xfId="44290" xr:uid="{E20EB844-8C2C-48FC-BCF5-452F4BC76604}"/>
    <cellStyle name="Output 2 2 6 6 5" xfId="22417" xr:uid="{51F2A68F-85F6-4C76-A50F-9A4332A53B71}"/>
    <cellStyle name="Output 2 2 6 6 5 2" xfId="29578" xr:uid="{CD37E56F-F231-43E9-82C8-FFB116B875C5}"/>
    <cellStyle name="Output 2 2 6 6 6" xfId="49142" xr:uid="{A670357B-866E-4965-A6ED-92046D5A9D3A}"/>
    <cellStyle name="Output 2 2 6 7" xfId="4400" xr:uid="{00000000-0005-0000-0000-0000D9070000}"/>
    <cellStyle name="Output 2 2 6 7 2" xfId="11302" xr:uid="{C8BC1951-B1DF-4A01-AF57-A32550ED0A5B}"/>
    <cellStyle name="Output 2 2 6 7 2 2" xfId="33788" xr:uid="{55E30681-789E-4F42-BF81-17F825355401}"/>
    <cellStyle name="Output 2 2 6 7 2 3" xfId="27701" xr:uid="{2461E3D8-B829-4061-887C-49A0A6F7B14F}"/>
    <cellStyle name="Output 2 2 6 7 3" xfId="16337" xr:uid="{D2C141E9-1A27-43F7-B22E-3AFE25A6C996}"/>
    <cellStyle name="Output 2 2 6 7 3 2" xfId="38727" xr:uid="{AE034D96-2634-490C-9691-52B5E9D1E937}"/>
    <cellStyle name="Output 2 2 6 7 3 3" xfId="45805" xr:uid="{3337B1EC-B3A1-46EF-B60E-0E32905E89B8}"/>
    <cellStyle name="Output 2 2 6 7 4" xfId="14781" xr:uid="{13FE66DA-CB9B-4F3C-8637-1F1F5963689B}"/>
    <cellStyle name="Output 2 2 6 7 4 2" xfId="37237" xr:uid="{2D924097-1D24-4C2F-8BEC-960FD62A4E3A}"/>
    <cellStyle name="Output 2 2 6 7 4 3" xfId="50971" xr:uid="{E67AE029-96B4-46FE-90B9-D1EC61A82712}"/>
    <cellStyle name="Output 2 2 6 7 5" xfId="16138" xr:uid="{E93AB531-8832-452F-A2E4-8B37D549BC63}"/>
    <cellStyle name="Output 2 2 6 7 5 2" xfId="44333" xr:uid="{737E1A46-C6B5-4C37-A4F0-F8B70654A198}"/>
    <cellStyle name="Output 2 2 6 7 6" xfId="49097" xr:uid="{0B77AD52-1FDA-49A3-BCFF-C23F7F6D72B1}"/>
    <cellStyle name="Output 2 2 6 8" xfId="14173" xr:uid="{54DE77E0-2F1C-42DC-8CCB-FAE9BA52F101}"/>
    <cellStyle name="Output 2 2 6 8 2" xfId="36649" xr:uid="{60646AA0-FD57-4860-8245-5DDADD7B6CB9}"/>
    <cellStyle name="Output 2 2 6 8 3" xfId="43927" xr:uid="{3C907FE2-2E6A-4935-9A5C-A9DCE23577F7}"/>
    <cellStyle name="Output 2 2 6 9" xfId="20334" xr:uid="{6C4BF884-5388-4E0B-9A48-E58C49596F4A}"/>
    <cellStyle name="Output 2 2 6 9 2" xfId="42632" xr:uid="{C28D146D-2811-4B6F-A6F4-B8D563F39EAB}"/>
    <cellStyle name="Output 2 2 6 9 3" xfId="47712" xr:uid="{5BAE8517-0DEF-449D-B371-A06AAF7715CA}"/>
    <cellStyle name="Output 2 2 7" xfId="1627" xr:uid="{00000000-0005-0000-0000-0000DD070000}"/>
    <cellStyle name="Output 2 2 7 10" xfId="14341" xr:uid="{CBE51179-603B-4FCA-889B-7E1BC582DA23}"/>
    <cellStyle name="Output 2 2 7 10 2" xfId="36809" xr:uid="{B96EE7FB-985B-4480-ACAE-BF41B24E520D}"/>
    <cellStyle name="Output 2 2 7 10 3" xfId="47398" xr:uid="{1247532B-4C48-47A7-9E6B-BA09354CFC11}"/>
    <cellStyle name="Output 2 2 7 11" xfId="19597" xr:uid="{30400812-5A9F-461D-916C-E2EC8AFD2047}"/>
    <cellStyle name="Output 2 2 7 11 2" xfId="41952" xr:uid="{829DE6AD-63AF-46CC-989B-16322CDA1720}"/>
    <cellStyle name="Output 2 2 7 11 3" xfId="43562" xr:uid="{FBA009FC-B052-4FBC-AF95-69D41D94C25A}"/>
    <cellStyle name="Output 2 2 7 12" xfId="15138" xr:uid="{B44A8D99-F60E-4AEB-AF97-67E000BE5CC4}"/>
    <cellStyle name="Output 2 2 7 12 2" xfId="53150" xr:uid="{0652DAA9-0DE1-4836-A7F8-EC16234F55E6}"/>
    <cellStyle name="Output 2 2 7 13" xfId="43047" xr:uid="{86D64279-9D38-45EF-9F8B-088984BD23E5}"/>
    <cellStyle name="Output 2 2 7 2" xfId="3727" xr:uid="{00000000-0005-0000-0000-0000DB070000}"/>
    <cellStyle name="Output 2 2 7 2 2" xfId="10631" xr:uid="{20441884-2F17-4942-AC7B-1BD8BF326671}"/>
    <cellStyle name="Output 2 2 7 2 2 2" xfId="33117" xr:uid="{9F5A2765-A55E-4D8B-893A-7EB087A92677}"/>
    <cellStyle name="Output 2 2 7 2 2 3" xfId="24144" xr:uid="{F79E9A4E-A6B2-406C-BFA3-392D5B560DD5}"/>
    <cellStyle name="Output 2 2 7 2 3" xfId="15808" xr:uid="{A7DC1689-8090-4C6F-A69B-B0150406A99A}"/>
    <cellStyle name="Output 2 2 7 2 3 2" xfId="38216" xr:uid="{1379742E-0FC5-463F-8DC1-130F4CA57BCE}"/>
    <cellStyle name="Output 2 2 7 2 3 3" xfId="28961" xr:uid="{2BB3AE1D-DAD7-4E3D-9B94-796F6E1EFCA4}"/>
    <cellStyle name="Output 2 2 7 2 4" xfId="20340" xr:uid="{B3FC9EFD-7EE9-4C87-8352-9F23F8CE7C3E}"/>
    <cellStyle name="Output 2 2 7 2 4 2" xfId="42638" xr:uid="{3E328F82-E739-4902-8159-621CC108FBD1}"/>
    <cellStyle name="Output 2 2 7 2 4 3" xfId="53719" xr:uid="{A0951E02-26FE-4EA1-975F-5DFF507B9179}"/>
    <cellStyle name="Output 2 2 7 2 5" xfId="20338" xr:uid="{41C5E23A-15FD-435A-A50A-F2D3E6F43048}"/>
    <cellStyle name="Output 2 2 7 2 5 2" xfId="47461" xr:uid="{0888DB50-D624-4FA5-8D70-BCE382CE4C59}"/>
    <cellStyle name="Output 2 2 7 2 6" xfId="45718" xr:uid="{FC36BFD5-6CEE-42B2-AAFD-9FEBF7425942}"/>
    <cellStyle name="Output 2 2 7 3" xfId="5160" xr:uid="{00000000-0005-0000-0000-0000DB070000}"/>
    <cellStyle name="Output 2 2 7 3 2" xfId="12053" xr:uid="{E328FE8C-65A6-4FF6-96D9-96DD4733F0C6}"/>
    <cellStyle name="Output 2 2 7 3 2 2" xfId="34539" xr:uid="{A441E132-4D5F-41DC-8CDB-A0F44F11CED3}"/>
    <cellStyle name="Output 2 2 7 3 2 3" xfId="28803" xr:uid="{3C317F73-61AA-4722-9A79-E430B3F29097}"/>
    <cellStyle name="Output 2 2 7 3 3" xfId="17097" xr:uid="{12A30DF2-A1F3-48B4-A52F-048C7FF736A8}"/>
    <cellStyle name="Output 2 2 7 3 3 2" xfId="39487" xr:uid="{DE686A20-0501-49BF-8CF6-9D439393FF37}"/>
    <cellStyle name="Output 2 2 7 3 3 3" xfId="45516" xr:uid="{828F71B7-DE37-468B-B6A1-83EC7675497A}"/>
    <cellStyle name="Output 2 2 7 3 4" xfId="8116" xr:uid="{A644FA0E-FAB6-4948-BCB7-DEB3DBF29150}"/>
    <cellStyle name="Output 2 2 7 3 4 2" xfId="30729" xr:uid="{0E25B3D5-6B6F-4B28-A7B5-DFF5065F2978}"/>
    <cellStyle name="Output 2 2 7 3 4 3" xfId="50989" xr:uid="{8804447D-0E46-4F5A-9709-13A075B98743}"/>
    <cellStyle name="Output 2 2 7 3 5" xfId="21521" xr:uid="{105F5E5C-3802-491F-A391-3F3B0A9F737C}"/>
    <cellStyle name="Output 2 2 7 3 5 2" xfId="50725" xr:uid="{A3352C19-71D9-43DA-97F0-4314B89450D8}"/>
    <cellStyle name="Output 2 2 7 3 6" xfId="54014" xr:uid="{25DA0ABE-E5C9-4EE5-8FE7-45434F4299CD}"/>
    <cellStyle name="Output 2 2 7 4" xfId="2305" xr:uid="{00000000-0005-0000-0000-0000DB070000}"/>
    <cellStyle name="Output 2 2 7 4 2" xfId="9215" xr:uid="{0B8350CF-68F8-4D7C-8F6C-8DEB9BB1F737}"/>
    <cellStyle name="Output 2 2 7 4 2 2" xfId="31790" xr:uid="{5464B8E8-6177-40DF-B89A-84394DAB9FFC}"/>
    <cellStyle name="Output 2 2 7 4 2 3" xfId="50867" xr:uid="{F1BB289F-6A08-4351-B185-3014674C6026}"/>
    <cellStyle name="Output 2 2 7 4 3" xfId="14871" xr:uid="{D2B8A41A-8A0F-484C-B668-3EA861872CCD}"/>
    <cellStyle name="Output 2 2 7 4 3 2" xfId="37325" xr:uid="{4533391B-CDCA-4396-9188-859477A4AE0D}"/>
    <cellStyle name="Output 2 2 7 4 3 3" xfId="50653" xr:uid="{7019DA55-E051-491E-AAF6-CB8D6E18FB9B}"/>
    <cellStyle name="Output 2 2 7 4 4" xfId="8975" xr:uid="{491B8C20-94BB-4701-A75F-81DE4590CEFD}"/>
    <cellStyle name="Output 2 2 7 4 4 2" xfId="31553" xr:uid="{49ED01A2-B352-4E81-AD12-8231B206C83A}"/>
    <cellStyle name="Output 2 2 7 4 4 3" xfId="52473" xr:uid="{AA2A62FF-4075-4320-9235-AC4AD95B181F}"/>
    <cellStyle name="Output 2 2 7 4 5" xfId="15386" xr:uid="{36EFB37D-2540-4A57-B5C9-E82A089FB4C5}"/>
    <cellStyle name="Output 2 2 7 4 5 2" xfId="49733" xr:uid="{3E10C428-B979-4F02-88F0-47FF2C00B205}"/>
    <cellStyle name="Output 2 2 7 4 6" xfId="52306" xr:uid="{BF75CA60-604B-4DCD-8131-FE131D0AE865}"/>
    <cellStyle name="Output 2 2 7 5" xfId="4787" xr:uid="{00000000-0005-0000-0000-0000DB070000}"/>
    <cellStyle name="Output 2 2 7 5 2" xfId="11684" xr:uid="{AE4ADD59-6737-41C5-8D5A-05F92BC47A6E}"/>
    <cellStyle name="Output 2 2 7 5 2 2" xfId="34170" xr:uid="{6EC859AB-CC1D-4BBF-A25E-3AA32FEBC467}"/>
    <cellStyle name="Output 2 2 7 5 2 3" xfId="29791" xr:uid="{220AABC4-A157-4FAD-B301-99CDC35542A2}"/>
    <cellStyle name="Output 2 2 7 5 3" xfId="16724" xr:uid="{DDEABBB0-9161-4692-BFF9-4EDF113EC02B}"/>
    <cellStyle name="Output 2 2 7 5 3 2" xfId="39114" xr:uid="{09150390-1BD1-46BC-9DD3-94EE061334E4}"/>
    <cellStyle name="Output 2 2 7 5 3 3" xfId="32492" xr:uid="{80FF630D-971D-4077-9A74-57B25FDF9C27}"/>
    <cellStyle name="Output 2 2 7 5 4" xfId="19186" xr:uid="{557C7D93-2155-470E-AE1E-FF3810961976}"/>
    <cellStyle name="Output 2 2 7 5 4 2" xfId="41575" xr:uid="{2744A04F-FA27-49CB-B5B4-951D02FF84C7}"/>
    <cellStyle name="Output 2 2 7 5 4 3" xfId="27849" xr:uid="{BA21B8D6-786B-4D69-BFBB-A2D87C0E06D0}"/>
    <cellStyle name="Output 2 2 7 5 5" xfId="19498" xr:uid="{3964D2A6-B89A-49AD-90E8-D1C576402F27}"/>
    <cellStyle name="Output 2 2 7 5 5 2" xfId="38623" xr:uid="{C29FB45E-915F-4713-B396-451F1D6F4C9B}"/>
    <cellStyle name="Output 2 2 7 5 6" xfId="47175" xr:uid="{FDF5EB09-B15D-48C9-BA70-811188B2ECEC}"/>
    <cellStyle name="Output 2 2 7 6" xfId="5829" xr:uid="{00000000-0005-0000-0000-0000DB070000}"/>
    <cellStyle name="Output 2 2 7 6 2" xfId="12712" xr:uid="{DD794A08-1712-4539-A2BD-22B7CB5C530D}"/>
    <cellStyle name="Output 2 2 7 6 2 2" xfId="35197" xr:uid="{736DF0E7-5895-4A4C-804E-4FD7F18AE3F1}"/>
    <cellStyle name="Output 2 2 7 6 2 3" xfId="45362" xr:uid="{872B709F-21ED-496E-9141-E294974F18EE}"/>
    <cellStyle name="Output 2 2 7 6 3" xfId="17766" xr:uid="{02897925-A007-4580-8379-C6B3114952B7}"/>
    <cellStyle name="Output 2 2 7 6 3 2" xfId="40156" xr:uid="{59ADFD66-8E1A-4DA1-A675-B607A9228B9C}"/>
    <cellStyle name="Output 2 2 7 6 3 3" xfId="44026" xr:uid="{229EAD02-89E4-46B6-A63E-A90FF0F6E96C}"/>
    <cellStyle name="Output 2 2 7 6 4" xfId="19343" xr:uid="{8C03E478-14FF-4ED7-8328-C71489BEAC55}"/>
    <cellStyle name="Output 2 2 7 6 4 2" xfId="41720" xr:uid="{3105FDE5-B50F-43D4-BED7-CC5861477649}"/>
    <cellStyle name="Output 2 2 7 6 4 3" xfId="30869" xr:uid="{3C4A16B1-CB0C-4E4C-8883-33D8C74EF58E}"/>
    <cellStyle name="Output 2 2 7 6 5" xfId="22190" xr:uid="{D7ED6B0F-CCE4-40E0-9295-52C00273CAB3}"/>
    <cellStyle name="Output 2 2 7 6 5 2" xfId="52522" xr:uid="{4BB116F1-63BC-43DA-B59B-027ED395004C}"/>
    <cellStyle name="Output 2 2 7 6 6" xfId="51481" xr:uid="{FD6B0690-FFD6-47ED-9144-B823EB2176D4}"/>
    <cellStyle name="Output 2 2 7 7" xfId="4709" xr:uid="{00000000-0005-0000-0000-0000DB070000}"/>
    <cellStyle name="Output 2 2 7 7 2" xfId="11607" xr:uid="{1B6F0C26-A5B5-4DDC-A2D1-47FC133D024B}"/>
    <cellStyle name="Output 2 2 7 7 2 2" xfId="34093" xr:uid="{46F53992-D68D-4028-B0EF-0D6D9D081086}"/>
    <cellStyle name="Output 2 2 7 7 2 3" xfId="28440" xr:uid="{39187DF4-B7A6-4CA1-A1FE-0EF9E57ABD90}"/>
    <cellStyle name="Output 2 2 7 7 3" xfId="16646" xr:uid="{DB36591E-51B9-4E03-812A-F2F75D74CC9B}"/>
    <cellStyle name="Output 2 2 7 7 3 2" xfId="39036" xr:uid="{99528B17-019D-47CE-88A6-8EF39BB32C8C}"/>
    <cellStyle name="Output 2 2 7 7 3 3" xfId="24130" xr:uid="{5BA5FCB4-C9BC-4668-B015-944F4721E0A6}"/>
    <cellStyle name="Output 2 2 7 7 4" xfId="8561" xr:uid="{457BF926-8506-4F96-ABEE-DD39A3CD1FDB}"/>
    <cellStyle name="Output 2 2 7 7 4 2" xfId="31148" xr:uid="{EE1E44C5-09BB-402D-9BEC-E84EADE4BF6A}"/>
    <cellStyle name="Output 2 2 7 7 4 3" xfId="45107" xr:uid="{8CD81A1E-F57F-477A-84F5-26D3EC7E6169}"/>
    <cellStyle name="Output 2 2 7 7 5" xfId="7588" xr:uid="{6330BD77-D4DD-46A3-9FC5-4A2F27C4C5B7}"/>
    <cellStyle name="Output 2 2 7 7 5 2" xfId="51535" xr:uid="{973E0CCB-97D0-4CEF-8B4A-FD09135D7F26}"/>
    <cellStyle name="Output 2 2 7 7 6" xfId="53107" xr:uid="{F15648C5-AAE7-40BE-895B-DEF093F4EB82}"/>
    <cellStyle name="Output 2 2 7 8" xfId="2367" xr:uid="{00000000-0005-0000-0000-0000DB070000}"/>
    <cellStyle name="Output 2 2 7 8 2" xfId="9276" xr:uid="{6B7E9768-FB77-4E66-A6E0-DCE774D92229}"/>
    <cellStyle name="Output 2 2 7 8 2 2" xfId="31851" xr:uid="{6EC00EB7-DFBA-4B5F-B614-3A6B9F4B1825}"/>
    <cellStyle name="Output 2 2 7 8 2 3" xfId="26778" xr:uid="{1794340C-8C45-4A0F-BB30-B3447A2E155E}"/>
    <cellStyle name="Output 2 2 7 8 3" xfId="14920" xr:uid="{0B6AFC04-F1A5-46BE-A734-2EE843D6CF33}"/>
    <cellStyle name="Output 2 2 7 8 3 2" xfId="37374" xr:uid="{18E7F9B9-C099-4EC6-8DA7-591CD1F0100B}"/>
    <cellStyle name="Output 2 2 7 8 3 3" xfId="53469" xr:uid="{09A8DD38-9830-489E-B3A0-DAF04D6DCAED}"/>
    <cellStyle name="Output 2 2 7 8 4" xfId="20446" xr:uid="{3C642D46-C802-42C7-861B-926C49AC257B}"/>
    <cellStyle name="Output 2 2 7 8 4 2" xfId="42737" xr:uid="{D3839AE7-8224-4007-BE90-15FB39150B9D}"/>
    <cellStyle name="Output 2 2 7 8 4 3" xfId="27015" xr:uid="{077B1B0D-FA35-41CB-8C0B-4B4183564900}"/>
    <cellStyle name="Output 2 2 7 8 5" xfId="15934" xr:uid="{3108B3C2-1C7E-46A1-A952-AE9FE0C1EFF1}"/>
    <cellStyle name="Output 2 2 7 8 5 2" xfId="28622" xr:uid="{B3D56295-A97D-4D12-B6DD-B860A05B3F9C}"/>
    <cellStyle name="Output 2 2 7 8 6" xfId="30832" xr:uid="{61F9D783-C09D-45D5-B326-033BF72A3D9A}"/>
    <cellStyle name="Output 2 2 7 9" xfId="6697" xr:uid="{00000000-0005-0000-0000-0000DB070000}"/>
    <cellStyle name="Output 2 2 7 9 2" xfId="18634" xr:uid="{45A3B86A-D846-4817-9F6F-F700BC18B0D5}"/>
    <cellStyle name="Output 2 2 7 9 2 2" xfId="41024" xr:uid="{3269E643-03A1-4487-A58C-74D297D301CF}"/>
    <cellStyle name="Output 2 2 7 9 2 3" xfId="42841" xr:uid="{4A7C21DF-C29C-40BC-925F-61955993B0B1}"/>
    <cellStyle name="Output 2 2 7 9 3" xfId="20187" xr:uid="{FAF90E29-0BAB-4176-B1AA-B57D497CABB4}"/>
    <cellStyle name="Output 2 2 7 9 3 2" xfId="42497" xr:uid="{F7C53349-09FA-4E34-8C6A-E77F8ADF76A0}"/>
    <cellStyle name="Output 2 2 7 9 3 3" xfId="32338" xr:uid="{B601BB7E-BB5F-41DF-8622-5F08765667D1}"/>
    <cellStyle name="Output 2 2 7 9 4" xfId="23058" xr:uid="{93B0220E-E77B-4B9B-9498-D99B00B8A613}"/>
    <cellStyle name="Output 2 2 7 9 4 2" xfId="53872" xr:uid="{628FF4B4-8641-4DC5-A88D-FA0D7BC9A726}"/>
    <cellStyle name="Output 2 2 7 9 5" xfId="52796" xr:uid="{3C8F1F2E-4CBC-4CC5-890A-5BC6632A2FFD}"/>
    <cellStyle name="Output 2 2 8" xfId="2578" xr:uid="{00000000-0005-0000-0000-0000D0070000}"/>
    <cellStyle name="Output 2 2 8 2" xfId="9487" xr:uid="{FA13683F-0F30-4ACB-8D7D-1F4344CDC6BB}"/>
    <cellStyle name="Output 2 2 8 2 2" xfId="32039" xr:uid="{586432FB-F818-4E9C-82F8-92E020F43015}"/>
    <cellStyle name="Output 2 2 8 2 3" xfId="47729" xr:uid="{1F229084-CAF3-4842-A946-81E4E4FC80CC}"/>
    <cellStyle name="Output 2 2 8 3" xfId="15056" xr:uid="{4C92B80B-6234-416D-8DFD-EB4B05DCE3C5}"/>
    <cellStyle name="Output 2 2 8 3 2" xfId="37501" xr:uid="{7EEAA832-044D-4BF3-85D9-DA322C12C792}"/>
    <cellStyle name="Output 2 2 8 3 3" xfId="50295" xr:uid="{C7F068B1-1EE8-4197-BE41-2567EECA7AE0}"/>
    <cellStyle name="Output 2 2 8 4" xfId="7584" xr:uid="{3D1A853E-54D0-4924-AC6A-6DA85655244C}"/>
    <cellStyle name="Output 2 2 8 4 2" xfId="30247" xr:uid="{FD04D74E-F02A-4087-8B9B-F647D33E40D6}"/>
    <cellStyle name="Output 2 2 8 4 3" xfId="51518" xr:uid="{BAA0AA0C-C653-4A83-9B49-8708D1E04C34}"/>
    <cellStyle name="Output 2 2 8 5" xfId="20520" xr:uid="{62EDE456-BC14-4E1F-8DD3-08A56A72B50E}"/>
    <cellStyle name="Output 2 2 8 5 2" xfId="42056" xr:uid="{03D4591C-2206-471F-8D64-94CCFECC462D}"/>
    <cellStyle name="Output 2 2 8 6" xfId="51248" xr:uid="{D38B3D28-B1B0-4309-A8F0-596FA6D07F91}"/>
    <cellStyle name="Output 2 2 9" xfId="4405" xr:uid="{00000000-0005-0000-0000-0000D0070000}"/>
    <cellStyle name="Output 2 2 9 2" xfId="11307" xr:uid="{D4B56674-79CF-4BA5-A720-90A47299F4D6}"/>
    <cellStyle name="Output 2 2 9 2 2" xfId="33793" xr:uid="{5CC19918-DDAA-42C6-86D2-479960898D5C}"/>
    <cellStyle name="Output 2 2 9 2 3" xfId="36600" xr:uid="{EFA4A773-5A65-4F0E-84B2-F8AA17EED967}"/>
    <cellStyle name="Output 2 2 9 3" xfId="16342" xr:uid="{9C8EB0C7-342D-45FB-B96F-DC85BB964A5F}"/>
    <cellStyle name="Output 2 2 9 3 2" xfId="38732" xr:uid="{8B39D9CE-B3C4-4C3E-BB5D-4C1FEC1B32B1}"/>
    <cellStyle name="Output 2 2 9 3 3" xfId="28832" xr:uid="{C88588B8-15D2-40C0-BC79-7DFBB1DCC5BD}"/>
    <cellStyle name="Output 2 2 9 4" xfId="8740" xr:uid="{50DE4D03-841B-4423-8C62-92C49EC8D712}"/>
    <cellStyle name="Output 2 2 9 4 2" xfId="31323" xr:uid="{BB08F14C-7C08-43B0-B780-FE2A9BCCC161}"/>
    <cellStyle name="Output 2 2 9 4 3" xfId="49001" xr:uid="{E47BA5FE-8131-44AF-8781-DE36F8FB01DA}"/>
    <cellStyle name="Output 2 2 9 5" xfId="14149" xr:uid="{4D9C8B6E-B11D-47ED-9A47-3CF4F60F7D73}"/>
    <cellStyle name="Output 2 2 9 5 2" xfId="44861" xr:uid="{E209547C-81BF-4392-98E2-BCE1802B7428}"/>
    <cellStyle name="Output 2 2 9 6" xfId="48139" xr:uid="{047F6DF2-BBD2-4B0B-A203-35A9D4C4802E}"/>
    <cellStyle name="Output 2 20" xfId="5095" xr:uid="{00000000-0005-0000-0000-0000C2070000}"/>
    <cellStyle name="Output 2 20 2" xfId="11988" xr:uid="{C9C0BB8F-FC87-4271-9B93-0F2E09115147}"/>
    <cellStyle name="Output 2 20 2 2" xfId="34474" xr:uid="{0E01A238-A622-4B45-9869-4A7B827440D3}"/>
    <cellStyle name="Output 2 20 2 3" xfId="24420" xr:uid="{771F72C8-3DC1-4A36-AA90-733B7613DA44}"/>
    <cellStyle name="Output 2 20 3" xfId="17032" xr:uid="{698405E9-2FB5-4AF4-BCA6-10149E270DAE}"/>
    <cellStyle name="Output 2 20 3 2" xfId="39422" xr:uid="{14C606AE-D207-4563-9F49-EC857D568E4F}"/>
    <cellStyle name="Output 2 20 3 3" xfId="25790" xr:uid="{48FD977A-6969-434F-AA1B-653C83105A50}"/>
    <cellStyle name="Output 2 20 4" xfId="19290" xr:uid="{529FE150-1D5B-4449-9D4A-C05CF01241AB}"/>
    <cellStyle name="Output 2 20 4 2" xfId="41671" xr:uid="{DD5BA771-CD43-4BE6-86A2-55DF7F28CA9C}"/>
    <cellStyle name="Output 2 20 4 3" xfId="30129" xr:uid="{BD2B79E3-A829-4AD1-A0CE-5AFB2A2373AB}"/>
    <cellStyle name="Output 2 20 5" xfId="21456" xr:uid="{D3FB6C4A-A1EE-4F27-AA98-4156F40FA584}"/>
    <cellStyle name="Output 2 20 5 2" xfId="23909" xr:uid="{CD29D488-E4E5-4748-A2A2-FCC935B26270}"/>
    <cellStyle name="Output 2 20 6" xfId="49345" xr:uid="{0CC23BDF-700F-4458-A1E8-D39F7879F60E}"/>
    <cellStyle name="Output 2 21" xfId="4831" xr:uid="{00000000-0005-0000-0000-0000C2070000}"/>
    <cellStyle name="Output 2 21 2" xfId="11728" xr:uid="{E6D20BC0-EF88-49A2-A1CE-FE26A9497FF3}"/>
    <cellStyle name="Output 2 21 2 2" xfId="34214" xr:uid="{1564D832-A33B-4D14-B4A0-D5ABFA579C0D}"/>
    <cellStyle name="Output 2 21 2 3" xfId="24548" xr:uid="{430BA3BA-AF35-4F15-BF05-5D971058B93A}"/>
    <cellStyle name="Output 2 21 3" xfId="16768" xr:uid="{570623BA-FC2C-4AEE-A2E8-68D4F6981525}"/>
    <cellStyle name="Output 2 21 3 2" xfId="39158" xr:uid="{EAA98C8A-B479-4880-8FF8-B2F7DBABE1A4}"/>
    <cellStyle name="Output 2 21 3 3" xfId="44663" xr:uid="{B71E57D8-8093-45D2-87F3-A5967A5F6046}"/>
    <cellStyle name="Output 2 21 4" xfId="15940" xr:uid="{A1F2C8D4-53DC-46B0-A910-74A55BEB8EC8}"/>
    <cellStyle name="Output 2 21 4 2" xfId="38344" xr:uid="{DA6EAD28-D46A-4516-9C4E-3C3772424107}"/>
    <cellStyle name="Output 2 21 4 3" xfId="51059" xr:uid="{68D5A985-6CE0-47BA-B50E-41FEC20D62DA}"/>
    <cellStyle name="Output 2 21 5" xfId="20515" xr:uid="{2049BCD4-7947-4A7B-A3A2-9B0B49678394}"/>
    <cellStyle name="Output 2 21 5 2" xfId="46897" xr:uid="{EEDA03F0-C78D-43CD-9537-995DFB629DB1}"/>
    <cellStyle name="Output 2 21 6" xfId="51932" xr:uid="{660A81B9-3D39-4C50-AA83-563FD07D036F}"/>
    <cellStyle name="Output 2 22" xfId="8826" xr:uid="{D08E3A48-A035-49AE-AAF1-0FE06A1CDB4E}"/>
    <cellStyle name="Output 2 22 2" xfId="31407" xr:uid="{C2C77C30-7BBE-4450-A90E-2BF14B25ABBA}"/>
    <cellStyle name="Output 2 22 3" xfId="51136" xr:uid="{F60E3B48-EB5F-4917-A90F-49D3363F6884}"/>
    <cellStyle name="Output 2 23" xfId="8731" xr:uid="{7B362107-F825-4A0B-A3D3-7F7A5374CF21}"/>
    <cellStyle name="Output 2 23 2" xfId="31314" xr:uid="{C9E0E344-4990-4DD7-9DE7-E15279082106}"/>
    <cellStyle name="Output 2 23 3" xfId="53072" xr:uid="{AAEB1737-01DB-43F8-87ED-A4A4B9C88E7B}"/>
    <cellStyle name="Output 2 24" xfId="15133" xr:uid="{94936AE2-CC5D-4E60-A4BD-E20AB2026820}"/>
    <cellStyle name="Output 2 24 2" xfId="30126" xr:uid="{D9E8B5AE-D758-4A7F-BECD-8A6466E7D7A3}"/>
    <cellStyle name="Output 2 25" xfId="51145" xr:uid="{8B52FBB0-1642-4F25-A0D6-E0BB8CE4C09D}"/>
    <cellStyle name="Output 2 3" xfId="436" xr:uid="{00000000-0005-0000-0000-0000DE070000}"/>
    <cellStyle name="Output 2 3 10" xfId="4949" xr:uid="{00000000-0005-0000-0000-0000DC070000}"/>
    <cellStyle name="Output 2 3 10 2" xfId="11844" xr:uid="{9064245C-6098-4DB9-B257-0CB4FE0BD19E}"/>
    <cellStyle name="Output 2 3 10 2 2" xfId="34330" xr:uid="{33667BFE-B765-45EB-8E18-EE38C1B01C45}"/>
    <cellStyle name="Output 2 3 10 2 3" xfId="42166" xr:uid="{2D5CF2E0-1D04-4987-912D-0F54A33498BC}"/>
    <cellStyle name="Output 2 3 10 3" xfId="16886" xr:uid="{86D549AF-1041-416A-B3E7-21FB4FF90682}"/>
    <cellStyle name="Output 2 3 10 3 2" xfId="39276" xr:uid="{724F3DB4-4BFB-43FF-B01D-5704F425AC65}"/>
    <cellStyle name="Output 2 3 10 3 3" xfId="44724" xr:uid="{EB1CA5F5-F0C1-4B9C-B2C3-2051E78A89BA}"/>
    <cellStyle name="Output 2 3 10 4" xfId="7598" xr:uid="{0A9C0E9A-F054-4DFA-82AA-4EA79FA61C73}"/>
    <cellStyle name="Output 2 3 10 4 2" xfId="30259" xr:uid="{0101DCCB-CC93-4289-8455-18C936737C45}"/>
    <cellStyle name="Output 2 3 10 4 3" xfId="52920" xr:uid="{8C7657DB-A365-4074-84B0-B81C40BF7A04}"/>
    <cellStyle name="Output 2 3 10 5" xfId="21310" xr:uid="{11B7B63A-816D-40A2-B2EF-A9A3F72401A3}"/>
    <cellStyle name="Output 2 3 10 5 2" xfId="52483" xr:uid="{0D5A150B-DBCB-455D-92DA-D584E6A1733C}"/>
    <cellStyle name="Output 2 3 10 6" xfId="53874" xr:uid="{F22AD610-B3D4-48B8-ABAA-E5BEA9D518CF}"/>
    <cellStyle name="Output 2 3 11" xfId="5297" xr:uid="{00000000-0005-0000-0000-0000DC070000}"/>
    <cellStyle name="Output 2 3 11 2" xfId="12189" xr:uid="{6B9CC945-275B-434A-AEAB-5AEE4377AADD}"/>
    <cellStyle name="Output 2 3 11 2 2" xfId="34674" xr:uid="{DA0DD85B-E88D-4C2D-AFE2-FE7E121A40DD}"/>
    <cellStyle name="Output 2 3 11 2 3" xfId="29432" xr:uid="{984B3D96-BFCF-415F-8261-E091062D6656}"/>
    <cellStyle name="Output 2 3 11 3" xfId="17234" xr:uid="{BEACEF6F-41B2-41E8-8DA8-5DECBB32CE92}"/>
    <cellStyle name="Output 2 3 11 3 2" xfId="39624" xr:uid="{C71FD600-A27B-4024-BE0A-5BD13EDF3912}"/>
    <cellStyle name="Output 2 3 11 3 3" xfId="24128" xr:uid="{FCBE2A24-F321-40F5-956E-C841227F76A6}"/>
    <cellStyle name="Output 2 3 11 4" xfId="14388" xr:uid="{9D23222B-9AA0-45EA-96AB-0B5DE41FA8A9}"/>
    <cellStyle name="Output 2 3 11 4 2" xfId="36855" xr:uid="{74657AE1-A9B4-44DF-BBB4-6CFF7C3D64C1}"/>
    <cellStyle name="Output 2 3 11 4 3" xfId="51161" xr:uid="{20705614-BE4B-4FEA-94E3-C7162B27F532}"/>
    <cellStyle name="Output 2 3 11 5" xfId="21658" xr:uid="{B3309670-11FB-4B3D-8FF5-D2BF588FF9ED}"/>
    <cellStyle name="Output 2 3 11 5 2" xfId="30271" xr:uid="{0C8E8294-2184-47A3-AFA3-C3E3AF4A2BA1}"/>
    <cellStyle name="Output 2 3 11 6" xfId="48621" xr:uid="{6578A2A7-6B2C-441B-82CB-51146A932D07}"/>
    <cellStyle name="Output 2 3 12" xfId="5156" xr:uid="{00000000-0005-0000-0000-0000DC070000}"/>
    <cellStyle name="Output 2 3 12 2" xfId="12049" xr:uid="{72CDAC00-C663-41C8-945A-EBB96EF44BFB}"/>
    <cellStyle name="Output 2 3 12 2 2" xfId="34535" xr:uid="{0ACEDE8D-9730-4F81-AE45-C6B7656A1067}"/>
    <cellStyle name="Output 2 3 12 2 3" xfId="30368" xr:uid="{E16DBD97-036E-439E-9A83-3254FB98966F}"/>
    <cellStyle name="Output 2 3 12 3" xfId="17093" xr:uid="{F18D2C6E-00CE-4632-B05D-916E8E0B92E5}"/>
    <cellStyle name="Output 2 3 12 3 2" xfId="39483" xr:uid="{DB8FBA56-78E1-48DC-8890-5DD972DF0CA1}"/>
    <cellStyle name="Output 2 3 12 3 3" xfId="26445" xr:uid="{9C32A1DA-6464-484E-B0B4-952F8732BA95}"/>
    <cellStyle name="Output 2 3 12 4" xfId="14235" xr:uid="{ADA9D04E-683D-4C9D-A2AC-205C9D77091C}"/>
    <cellStyle name="Output 2 3 12 4 2" xfId="36708" xr:uid="{9FF3466A-611A-41BA-B646-6AE4CB54B6D0}"/>
    <cellStyle name="Output 2 3 12 4 3" xfId="52749" xr:uid="{510E1E5E-C186-4ACF-8764-DA4F72A6A1AD}"/>
    <cellStyle name="Output 2 3 12 5" xfId="21517" xr:uid="{FBF8A08B-E125-48CC-8AFC-59269A127366}"/>
    <cellStyle name="Output 2 3 12 5 2" xfId="50020" xr:uid="{B047B845-7CC2-4C60-85EB-8247D69756E3}"/>
    <cellStyle name="Output 2 3 12 6" xfId="54092" xr:uid="{F1436D7E-D7FD-413A-9DD4-9B8D4A502C2F}"/>
    <cellStyle name="Output 2 3 13" xfId="14024" xr:uid="{02898C69-B417-4E6E-8501-9A5C705EFB8B}"/>
    <cellStyle name="Output 2 3 13 2" xfId="36507" xr:uid="{C10755E5-5246-4750-A4BC-0D0E7C210824}"/>
    <cellStyle name="Output 2 3 13 3" xfId="28130" xr:uid="{E69F2DA0-3070-4783-B309-DD6DFFC251A1}"/>
    <cellStyle name="Output 2 3 14" xfId="21141" xr:uid="{CF6B1834-191B-4FDB-856A-8FE2A86F16AF}"/>
    <cellStyle name="Output 2 3 14 2" xfId="43385" xr:uid="{27E3C548-6217-4BA7-8BAF-4296AF1061CF}"/>
    <cellStyle name="Output 2 3 14 3" xfId="45984" xr:uid="{536AC647-5FCC-4DC9-9D7E-1807DAC16CAA}"/>
    <cellStyle name="Output 2 3 15" xfId="20835" xr:uid="{AF265FA4-7664-46FC-ACCF-D59F1FEDD07C}"/>
    <cellStyle name="Output 2 3 15 2" xfId="28846" xr:uid="{9AC976A0-6332-455B-9CC3-5A2F853CD0C4}"/>
    <cellStyle name="Output 2 3 16" xfId="48456" xr:uid="{8A3BCDD1-37DB-4E63-B3C2-D6D44CDCBE7F}"/>
    <cellStyle name="Output 2 3 2" xfId="589" xr:uid="{00000000-0005-0000-0000-0000DF070000}"/>
    <cellStyle name="Output 2 3 2 10" xfId="20871" xr:uid="{6BA8D56E-7E28-4EC5-A18C-F57ED43D702E}"/>
    <cellStyle name="Output 2 3 2 10 2" xfId="53622" xr:uid="{D0A666D1-88C4-44A2-B09D-DEC2BC48981F}"/>
    <cellStyle name="Output 2 3 2 11" xfId="24400" xr:uid="{B6CF181F-16AC-4C47-BC77-94E594DA5FE0}"/>
    <cellStyle name="Output 2 3 2 2" xfId="1723" xr:uid="{00000000-0005-0000-0000-0000E0070000}"/>
    <cellStyle name="Output 2 3 2 2 10" xfId="14424" xr:uid="{A70FFCE3-D2E8-48F1-A66B-AF59C7829513}"/>
    <cellStyle name="Output 2 3 2 2 10 2" xfId="36890" xr:uid="{603088A0-9BF3-4859-B593-EFF5F7EB35DA}"/>
    <cellStyle name="Output 2 3 2 2 10 3" xfId="47933" xr:uid="{41D9491D-69B6-4746-9DD6-6202F7E4F519}"/>
    <cellStyle name="Output 2 3 2 2 11" xfId="19912" xr:uid="{C22B5F48-F519-4CF8-8BE5-D3172ED739F5}"/>
    <cellStyle name="Output 2 3 2 2 11 2" xfId="42244" xr:uid="{8E05AD5A-2F5F-4E3E-BC09-9751D7EDD526}"/>
    <cellStyle name="Output 2 3 2 2 11 3" xfId="29196" xr:uid="{FCC04E39-63B6-4E03-A191-ECE3F4DE2709}"/>
    <cellStyle name="Output 2 3 2 2 12" xfId="20079" xr:uid="{3AC3C36B-9921-44A8-9FF6-016AD151ECB2}"/>
    <cellStyle name="Output 2 3 2 2 12 2" xfId="30328" xr:uid="{1245F288-F92F-439D-997A-60B7E014AA8B}"/>
    <cellStyle name="Output 2 3 2 2 13" xfId="24816" xr:uid="{5FBB6B4E-100E-417A-9385-B0780A87E728}"/>
    <cellStyle name="Output 2 3 2 2 2" xfId="3821" xr:uid="{00000000-0005-0000-0000-0000DE070000}"/>
    <cellStyle name="Output 2 3 2 2 2 2" xfId="10725" xr:uid="{1AC38659-90F6-48E5-A56C-66105B393F99}"/>
    <cellStyle name="Output 2 3 2 2 2 2 2" xfId="33211" xr:uid="{F58242B1-BB53-49D5-9C93-BFD66AACD28A}"/>
    <cellStyle name="Output 2 3 2 2 2 2 3" xfId="29382" xr:uid="{93A46879-8772-408D-B2E3-23C5A80E80EE}"/>
    <cellStyle name="Output 2 3 2 2 2 3" xfId="15881" xr:uid="{771F4241-38D2-45FE-AD69-CDB1B0B96A03}"/>
    <cellStyle name="Output 2 3 2 2 2 3 2" xfId="38287" xr:uid="{32416064-DBC5-47FF-892A-E27A37FCEBED}"/>
    <cellStyle name="Output 2 3 2 2 2 3 3" xfId="51089" xr:uid="{B2F598EA-C7E9-453E-BC0B-C306F9929B50}"/>
    <cellStyle name="Output 2 3 2 2 2 4" xfId="20939" xr:uid="{41CC6CC2-8B9B-4960-AB46-D16C2B87050A}"/>
    <cellStyle name="Output 2 3 2 2 2 4 2" xfId="43198" xr:uid="{13E4F722-B0CF-4802-B7AC-7238E29F38CD}"/>
    <cellStyle name="Output 2 3 2 2 2 4 3" xfId="50155" xr:uid="{4989428F-0CDA-4015-8D63-1BDC93CFF810}"/>
    <cellStyle name="Output 2 3 2 2 2 5" xfId="14124" xr:uid="{75BB3CC5-C26B-41EA-ACD7-76CA14D71B5E}"/>
    <cellStyle name="Output 2 3 2 2 2 5 2" xfId="51614" xr:uid="{39E2D159-FBFE-4E6E-97E5-F9D82D81254D}"/>
    <cellStyle name="Output 2 3 2 2 2 6" xfId="49736" xr:uid="{7FF6648F-6272-490A-A930-5792B1841E3F}"/>
    <cellStyle name="Output 2 3 2 2 3" xfId="5237" xr:uid="{00000000-0005-0000-0000-0000DE070000}"/>
    <cellStyle name="Output 2 3 2 2 3 2" xfId="12129" xr:uid="{C4250394-F5F7-4978-9611-B0E270E2D7E6}"/>
    <cellStyle name="Output 2 3 2 2 3 2 2" xfId="34614" xr:uid="{9229F56C-3BBF-4BF1-B756-7983F0547F8F}"/>
    <cellStyle name="Output 2 3 2 2 3 2 3" xfId="43857" xr:uid="{B482EAC6-F89F-48FF-9E9B-10FA4367AF40}"/>
    <cellStyle name="Output 2 3 2 2 3 3" xfId="17174" xr:uid="{EBD75521-6746-4D3B-B642-C40A87AA0A43}"/>
    <cellStyle name="Output 2 3 2 2 3 3 2" xfId="39564" xr:uid="{25175FF4-C46A-4707-B312-F7899EE05806}"/>
    <cellStyle name="Output 2 3 2 2 3 3 3" xfId="27960" xr:uid="{0A06C1B6-BBEB-478D-8FB9-8EA54A1FDD74}"/>
    <cellStyle name="Output 2 3 2 2 3 4" xfId="19245" xr:uid="{7E3CBA9D-D422-437D-9909-C216DEBD53F2}"/>
    <cellStyle name="Output 2 3 2 2 3 4 2" xfId="41629" xr:uid="{E945FBB7-D6B4-40B8-B39F-0758105EBA17}"/>
    <cellStyle name="Output 2 3 2 2 3 4 3" xfId="44314" xr:uid="{CE5A8B1C-1D5C-45C6-BFBF-4547CF9EA6B4}"/>
    <cellStyle name="Output 2 3 2 2 3 5" xfId="21598" xr:uid="{8B442E58-B0BE-49FF-B649-3A7DF9C81139}"/>
    <cellStyle name="Output 2 3 2 2 3 5 2" xfId="44742" xr:uid="{BE5B21BB-BE81-40F7-926B-080BCCF05568}"/>
    <cellStyle name="Output 2 3 2 2 3 6" xfId="52271" xr:uid="{0519A5E9-77F3-4F2F-BCCA-8632D114BE6F}"/>
    <cellStyle name="Output 2 3 2 2 4" xfId="5649" xr:uid="{00000000-0005-0000-0000-0000DE070000}"/>
    <cellStyle name="Output 2 3 2 2 4 2" xfId="12533" xr:uid="{38F745C3-04C9-4118-A5AF-A77E74078697}"/>
    <cellStyle name="Output 2 3 2 2 4 2 2" xfId="35018" xr:uid="{D613F1FB-ED80-4515-ADFA-573D3E51D81D}"/>
    <cellStyle name="Output 2 3 2 2 4 2 3" xfId="30733" xr:uid="{645B5A08-3102-467C-94B4-5297B74A183C}"/>
    <cellStyle name="Output 2 3 2 2 4 3" xfId="17586" xr:uid="{955BEDD2-470F-41B7-8E5C-B3BB667EA932}"/>
    <cellStyle name="Output 2 3 2 2 4 3 2" xfId="39976" xr:uid="{A58192B9-8618-4AB1-B450-AAB3BFEE121D}"/>
    <cellStyle name="Output 2 3 2 2 4 3 3" xfId="45448" xr:uid="{8B4F891C-2FCE-4909-8DBC-B640D00ADA37}"/>
    <cellStyle name="Output 2 3 2 2 4 4" xfId="19493" xr:uid="{0623122D-87CF-4D67-9A79-053258A98C22}"/>
    <cellStyle name="Output 2 3 2 2 4 4 2" xfId="41857" xr:uid="{EC194AB6-9CA1-4B97-937B-359B811548A1}"/>
    <cellStyle name="Output 2 3 2 2 4 4 3" xfId="26010" xr:uid="{C37A2095-8F70-48C6-8DB7-38F9B8BB2475}"/>
    <cellStyle name="Output 2 3 2 2 4 5" xfId="22010" xr:uid="{28EE1A60-98E6-4216-9941-05008B57D4D8}"/>
    <cellStyle name="Output 2 3 2 2 4 5 2" xfId="45490" xr:uid="{6BF35352-209A-4A56-BA5A-373CDF199EF3}"/>
    <cellStyle name="Output 2 3 2 2 4 6" xfId="43826" xr:uid="{F29DE8AA-5AA1-4B7F-8DD9-45C36027C332}"/>
    <cellStyle name="Output 2 3 2 2 5" xfId="2361" xr:uid="{00000000-0005-0000-0000-0000DE070000}"/>
    <cellStyle name="Output 2 3 2 2 5 2" xfId="9270" xr:uid="{2E156660-0FB3-4D0F-8D2D-712B2E2CEC05}"/>
    <cellStyle name="Output 2 3 2 2 5 2 2" xfId="31845" xr:uid="{68929323-7363-4EAA-89FE-FBF444F102EF}"/>
    <cellStyle name="Output 2 3 2 2 5 2 3" xfId="50067" xr:uid="{D5A80707-18AB-4F2D-B872-A07E1DBED6F7}"/>
    <cellStyle name="Output 2 3 2 2 5 3" xfId="14916" xr:uid="{092C0673-D2B7-4A91-953D-C53946E0BA0D}"/>
    <cellStyle name="Output 2 3 2 2 5 3 2" xfId="37370" xr:uid="{2661D49B-0D3E-4766-89DF-45BBA20BB36C}"/>
    <cellStyle name="Output 2 3 2 2 5 3 3" xfId="30217" xr:uid="{D337A33A-FAAB-4630-AB69-CC3DC811D2D4}"/>
    <cellStyle name="Output 2 3 2 2 5 4" xfId="20412" xr:uid="{8C6B9D9B-A6AB-4D6E-9786-5FEC0AC1B963}"/>
    <cellStyle name="Output 2 3 2 2 5 4 2" xfId="42706" xr:uid="{8BAB4C13-CD41-4BE8-BBDB-2D8C314B8D68}"/>
    <cellStyle name="Output 2 3 2 2 5 4 3" xfId="49993" xr:uid="{9A258638-B4AB-4743-A5DD-894A39BBD0D7}"/>
    <cellStyle name="Output 2 3 2 2 5 5" xfId="20211" xr:uid="{4FA11B62-9717-456C-AD31-756620444294}"/>
    <cellStyle name="Output 2 3 2 2 5 5 2" xfId="38413" xr:uid="{A3F418BD-06D5-4427-86DC-76708EA561DD}"/>
    <cellStyle name="Output 2 3 2 2 5 6" xfId="48394" xr:uid="{B848B1FA-17EC-4B49-9A85-C2A44746ECB1}"/>
    <cellStyle name="Output 2 3 2 2 6" xfId="6388" xr:uid="{00000000-0005-0000-0000-0000DE070000}"/>
    <cellStyle name="Output 2 3 2 2 6 2" xfId="13260" xr:uid="{B1A94F9E-F482-470A-8586-93C0A74ABB8C}"/>
    <cellStyle name="Output 2 3 2 2 6 2 2" xfId="35744" xr:uid="{F2EC3463-4422-4A68-9381-BB1E5DAF932A}"/>
    <cellStyle name="Output 2 3 2 2 6 2 3" xfId="46299" xr:uid="{C6F5E7E4-3EE3-4DF0-B3F6-920A8FB2C632}"/>
    <cellStyle name="Output 2 3 2 2 6 3" xfId="18325" xr:uid="{713248AF-BDBA-409B-95E0-21372528344C}"/>
    <cellStyle name="Output 2 3 2 2 6 3 2" xfId="40715" xr:uid="{4FA33CDE-80C2-4C63-95DB-E2215FFE0C1F}"/>
    <cellStyle name="Output 2 3 2 2 6 3 3" xfId="28673" xr:uid="{1FCA4266-5364-4EB9-B894-94050589C1DD}"/>
    <cellStyle name="Output 2 3 2 2 6 4" xfId="21207" xr:uid="{2B0B0CA7-A041-4BB3-8F3E-70D8B8205B9D}"/>
    <cellStyle name="Output 2 3 2 2 6 4 2" xfId="43447" xr:uid="{83DF3ECF-B88A-4C43-B19A-DE8F45E34012}"/>
    <cellStyle name="Output 2 3 2 2 6 4 3" xfId="49501" xr:uid="{5B5357D7-630C-472D-A7FD-7D33C9FEC776}"/>
    <cellStyle name="Output 2 3 2 2 6 5" xfId="22749" xr:uid="{E364F0BE-20B1-4568-A9FB-CDD9EBA1C3FF}"/>
    <cellStyle name="Output 2 3 2 2 6 5 2" xfId="52814" xr:uid="{5E9F3E7F-5484-4AB4-9991-D99A1FF6A818}"/>
    <cellStyle name="Output 2 3 2 2 6 6" xfId="30859" xr:uid="{AAB6FA6A-BABB-4D89-BAED-F36BBCB02380}"/>
    <cellStyle name="Output 2 3 2 2 7" xfId="6867" xr:uid="{00000000-0005-0000-0000-0000DE070000}"/>
    <cellStyle name="Output 2 3 2 2 7 2" xfId="13709" xr:uid="{C09890B6-FBBE-4CCB-BEC9-83DB22BF77ED}"/>
    <cellStyle name="Output 2 3 2 2 7 2 2" xfId="36193" xr:uid="{159A24F4-7917-495D-9E30-FE099C2C3323}"/>
    <cellStyle name="Output 2 3 2 2 7 2 3" xfId="45187" xr:uid="{0DD399B8-C1C7-48E0-93A2-BCDC119D6BE0}"/>
    <cellStyle name="Output 2 3 2 2 7 3" xfId="18804" xr:uid="{FDF91244-7976-4A3D-8A2B-8FF0CE49B3E6}"/>
    <cellStyle name="Output 2 3 2 2 7 3 2" xfId="41194" xr:uid="{2F0BE835-A095-492C-9F11-0DD714EC3563}"/>
    <cellStyle name="Output 2 3 2 2 7 3 3" xfId="28238" xr:uid="{4B10B93C-93B5-4F96-888F-CBC28AE588D1}"/>
    <cellStyle name="Output 2 3 2 2 7 4" xfId="20900" xr:uid="{5BDB7651-952A-4A21-B25B-5C6467898CAD}"/>
    <cellStyle name="Output 2 3 2 2 7 4 2" xfId="43161" xr:uid="{27821279-A4B8-4E7B-9983-8FB607E79129}"/>
    <cellStyle name="Output 2 3 2 2 7 4 3" xfId="50968" xr:uid="{CC0ED92B-E454-4A63-99A1-EA889DCE2723}"/>
    <cellStyle name="Output 2 3 2 2 7 5" xfId="23228" xr:uid="{AAEFAE9C-666F-4673-9A11-7316948ACECC}"/>
    <cellStyle name="Output 2 3 2 2 7 5 2" xfId="49742" xr:uid="{D0572312-4BA4-4066-AD7C-2E9918C79505}"/>
    <cellStyle name="Output 2 3 2 2 7 6" xfId="46674" xr:uid="{471FCBEF-E970-4E7F-B90D-9AFAAE9F7621}"/>
    <cellStyle name="Output 2 3 2 2 8" xfId="6905" xr:uid="{00000000-0005-0000-0000-0000DE070000}"/>
    <cellStyle name="Output 2 3 2 2 8 2" xfId="13743" xr:uid="{9D0273E8-A482-4698-B124-78030EBF24A9}"/>
    <cellStyle name="Output 2 3 2 2 8 2 2" xfId="36227" xr:uid="{52AC0974-FF2D-4983-A743-518B23EA0244}"/>
    <cellStyle name="Output 2 3 2 2 8 2 3" xfId="47623" xr:uid="{A0A5CD51-7807-4D41-BAC0-D79162431309}"/>
    <cellStyle name="Output 2 3 2 2 8 3" xfId="18842" xr:uid="{3F57E5A6-AFF4-4FBD-9CAD-FDC00DB19B6A}"/>
    <cellStyle name="Output 2 3 2 2 8 3 2" xfId="41232" xr:uid="{919194DB-1D37-4473-AB0A-FD2C0BD236FC}"/>
    <cellStyle name="Output 2 3 2 2 8 3 3" xfId="30817" xr:uid="{15F7CA02-861A-48F3-B848-1988B9108534}"/>
    <cellStyle name="Output 2 3 2 2 8 4" xfId="15218" xr:uid="{F903BDFA-913B-449A-8BF8-8D8CF34BB5EC}"/>
    <cellStyle name="Output 2 3 2 2 8 4 2" xfId="37655" xr:uid="{A2FD787B-7B16-4C7C-9722-828C3563D30A}"/>
    <cellStyle name="Output 2 3 2 2 8 4 3" xfId="47589" xr:uid="{6F82DEDB-F477-4D9F-B7F0-F0701DA3258B}"/>
    <cellStyle name="Output 2 3 2 2 8 5" xfId="23266" xr:uid="{EF671931-C5C9-415E-A213-1F232054BFC7}"/>
    <cellStyle name="Output 2 3 2 2 8 5 2" xfId="52196" xr:uid="{22443B45-FF65-4D66-B326-65915B5AACED}"/>
    <cellStyle name="Output 2 3 2 2 8 6" xfId="50527" xr:uid="{C8AC7FC1-B3EB-4147-9FEB-7BC3357E3F95}"/>
    <cellStyle name="Output 2 3 2 2 9" xfId="6815" xr:uid="{00000000-0005-0000-0000-0000DE070000}"/>
    <cellStyle name="Output 2 3 2 2 9 2" xfId="18752" xr:uid="{DB2E4F1E-D929-498F-A2E2-C2948BBA0D13}"/>
    <cellStyle name="Output 2 3 2 2 9 2 2" xfId="41142" xr:uid="{CEB499C3-A112-4973-A33C-43327D9AA4F4}"/>
    <cellStyle name="Output 2 3 2 2 9 2 3" xfId="28755" xr:uid="{C7C2497E-0FE4-44F8-A1AA-76F314EE64F4}"/>
    <cellStyle name="Output 2 3 2 2 9 3" xfId="8744" xr:uid="{6F87035C-075B-4086-9B03-A7732DFE6838}"/>
    <cellStyle name="Output 2 3 2 2 9 3 2" xfId="31327" xr:uid="{ECE73EAE-1785-4FB8-B50F-F48160583781}"/>
    <cellStyle name="Output 2 3 2 2 9 3 3" xfId="48674" xr:uid="{179F2555-A9B1-4E2D-A372-1D248B440DA8}"/>
    <cellStyle name="Output 2 3 2 2 9 4" xfId="23176" xr:uid="{12C401FA-2C08-4298-99A6-09A8F23A9D91}"/>
    <cellStyle name="Output 2 3 2 2 9 4 2" xfId="54138" xr:uid="{2BA3B584-B05C-467F-A0A2-33C92672A18E}"/>
    <cellStyle name="Output 2 3 2 2 9 5" xfId="26186" xr:uid="{6B8C0B80-3A0E-49A8-96A8-62CCCC393151}"/>
    <cellStyle name="Output 2 3 2 3" xfId="2736" xr:uid="{00000000-0005-0000-0000-0000DD070000}"/>
    <cellStyle name="Output 2 3 2 3 2" xfId="9645" xr:uid="{D93393E0-2C98-4F48-B86B-9AC135807B53}"/>
    <cellStyle name="Output 2 3 2 3 2 2" xfId="32193" xr:uid="{12F136D0-633C-4ABB-9201-97440552F79C}"/>
    <cellStyle name="Output 2 3 2 3 2 3" xfId="46147" xr:uid="{AC618D7C-5382-43E6-9697-5820B400AACB}"/>
    <cellStyle name="Output 2 3 2 3 3" xfId="15163" xr:uid="{AF354D67-4D79-4F13-9272-9D16BFFCA209}"/>
    <cellStyle name="Output 2 3 2 3 3 2" xfId="37603" xr:uid="{74AE2928-D973-461B-84DB-D813A003EA62}"/>
    <cellStyle name="Output 2 3 2 3 3 3" xfId="47488" xr:uid="{528A87EF-5E03-4E4B-9A5B-F9AB33A508A8}"/>
    <cellStyle name="Output 2 3 2 3 4" xfId="15496" xr:uid="{716A03CF-9125-4B3C-AF7B-F9B33AC58511}"/>
    <cellStyle name="Output 2 3 2 3 4 2" xfId="37918" xr:uid="{90A309E2-9808-4921-9A58-C7778766F348}"/>
    <cellStyle name="Output 2 3 2 3 4 3" xfId="51926" xr:uid="{5BD37336-C14A-42F6-8E1D-BC3EDA642F49}"/>
    <cellStyle name="Output 2 3 2 3 5" xfId="7378" xr:uid="{ADF15761-4250-45EB-9B66-22FF8A5FEEE9}"/>
    <cellStyle name="Output 2 3 2 3 5 2" xfId="50909" xr:uid="{1E5BD550-8971-48D4-BD76-925A36BBD954}"/>
    <cellStyle name="Output 2 3 2 3 6" xfId="54090" xr:uid="{B5A7A7B6-14EE-462B-A4E1-3CD27F16BD92}"/>
    <cellStyle name="Output 2 3 2 4" xfId="4528" xr:uid="{00000000-0005-0000-0000-0000DD070000}"/>
    <cellStyle name="Output 2 3 2 4 2" xfId="11430" xr:uid="{8EB815B3-0734-4C63-8B84-525B58169CA7}"/>
    <cellStyle name="Output 2 3 2 4 2 2" xfId="33916" xr:uid="{328F14BD-7187-45AE-B128-651B31462317}"/>
    <cellStyle name="Output 2 3 2 4 2 3" xfId="27025" xr:uid="{41EB091D-CCA1-49A7-A146-308FBA30895D}"/>
    <cellStyle name="Output 2 3 2 4 3" xfId="16465" xr:uid="{DF7E5A07-0CBF-44D2-BF6D-77DB9170C50F}"/>
    <cellStyle name="Output 2 3 2 4 3 2" xfId="38855" xr:uid="{0F19468F-AD98-4C74-8C0C-1CC3774C8C56}"/>
    <cellStyle name="Output 2 3 2 4 3 3" xfId="43054" xr:uid="{7D73706A-7140-427B-A54F-120541E40BAF}"/>
    <cellStyle name="Output 2 3 2 4 4" xfId="15134" xr:uid="{23F68158-D8D3-4779-9A83-BBB162277C7C}"/>
    <cellStyle name="Output 2 3 2 4 4 2" xfId="37576" xr:uid="{B63F2160-2A21-4BAD-945D-4A72D39BC73D}"/>
    <cellStyle name="Output 2 3 2 4 4 3" xfId="23620" xr:uid="{84A9EB44-5734-475F-9255-6B2645AC40F9}"/>
    <cellStyle name="Output 2 3 2 4 5" xfId="21003" xr:uid="{9221DFCE-2CBE-4D09-8901-33A3C2BEAA2E}"/>
    <cellStyle name="Output 2 3 2 4 5 2" xfId="52752" xr:uid="{A39DAAF6-A0D0-467F-92CC-6002A24B4DC1}"/>
    <cellStyle name="Output 2 3 2 4 6" xfId="49208" xr:uid="{D3833230-073D-48D3-B0F9-62005E88D9F3}"/>
    <cellStyle name="Output 2 3 2 5" xfId="5124" xr:uid="{00000000-0005-0000-0000-0000DD070000}"/>
    <cellStyle name="Output 2 3 2 5 2" xfId="12017" xr:uid="{14E6BBB8-55E3-493E-B076-045EE5C884DE}"/>
    <cellStyle name="Output 2 3 2 5 2 2" xfId="34503" xr:uid="{09BB660F-35E0-4F17-90B1-19729AA1348C}"/>
    <cellStyle name="Output 2 3 2 5 2 3" xfId="37732" xr:uid="{417C6670-F6BE-44F4-9F9D-073F51B1F4CE}"/>
    <cellStyle name="Output 2 3 2 5 3" xfId="17061" xr:uid="{565A6895-5980-4122-AA56-7740E222EE33}"/>
    <cellStyle name="Output 2 3 2 5 3 2" xfId="39451" xr:uid="{FCDD5A77-681E-404D-9472-EB8C391EB3AD}"/>
    <cellStyle name="Output 2 3 2 5 3 3" xfId="26366" xr:uid="{4CFFED0E-2978-4A5C-AE6D-6DCEE9354D4C}"/>
    <cellStyle name="Output 2 3 2 5 4" xfId="14338" xr:uid="{565A8A92-452E-43C0-AD7C-4FFB3645666B}"/>
    <cellStyle name="Output 2 3 2 5 4 2" xfId="36806" xr:uid="{C6662B84-AE93-4041-9E84-70B13080AAB3}"/>
    <cellStyle name="Output 2 3 2 5 4 3" xfId="41663" xr:uid="{FB7E31F9-1936-40DF-9AAE-1D00615BFA44}"/>
    <cellStyle name="Output 2 3 2 5 5" xfId="21485" xr:uid="{6E1B2D9B-C788-4E88-BC1B-09B1F19644D3}"/>
    <cellStyle name="Output 2 3 2 5 5 2" xfId="52067" xr:uid="{8E0EC292-4C19-49B4-8B60-2EEFCE7642D5}"/>
    <cellStyle name="Output 2 3 2 5 6" xfId="51825" xr:uid="{A1A2F591-0D07-497F-A198-645267DD1342}"/>
    <cellStyle name="Output 2 3 2 6" xfId="5543" xr:uid="{00000000-0005-0000-0000-0000DD070000}"/>
    <cellStyle name="Output 2 3 2 6 2" xfId="12432" xr:uid="{75E03393-3C49-4993-92A5-17D7D6FD3E45}"/>
    <cellStyle name="Output 2 3 2 6 2 2" xfId="34917" xr:uid="{CDD0FEDF-CFDE-4377-BAD3-C4B8B1B405F6}"/>
    <cellStyle name="Output 2 3 2 6 2 3" xfId="30190" xr:uid="{DF666303-E57C-441E-808A-57462433EE0B}"/>
    <cellStyle name="Output 2 3 2 6 3" xfId="17480" xr:uid="{50563A81-D6F4-4AE0-8A30-0B6DD629D0CC}"/>
    <cellStyle name="Output 2 3 2 6 3 2" xfId="39870" xr:uid="{5BDD2AC7-1964-4FE0-95CD-7E3A414F3BB9}"/>
    <cellStyle name="Output 2 3 2 6 3 3" xfId="25932" xr:uid="{F5050D14-9046-4B69-8B8C-FF16949934C3}"/>
    <cellStyle name="Output 2 3 2 6 4" xfId="19460" xr:uid="{27FAF6CA-CDEC-4966-85CE-A735FDF0EB90}"/>
    <cellStyle name="Output 2 3 2 6 4 2" xfId="41827" xr:uid="{947FB830-59B3-4F67-AC22-BE20EE6EA8F8}"/>
    <cellStyle name="Output 2 3 2 6 4 3" xfId="30933" xr:uid="{101E0A80-5BF2-49E9-A4EB-047F9EBB748C}"/>
    <cellStyle name="Output 2 3 2 6 5" xfId="21904" xr:uid="{8D2C05E5-76A5-40D0-BF6B-F71AA7FF2D4D}"/>
    <cellStyle name="Output 2 3 2 6 5 2" xfId="47543" xr:uid="{C58EB8A6-0F1A-4F22-B62C-07FB5286EDFF}"/>
    <cellStyle name="Output 2 3 2 6 6" xfId="46971" xr:uid="{F1C933D3-F547-4A2D-8857-4864E996B39F}"/>
    <cellStyle name="Output 2 3 2 7" xfId="6865" xr:uid="{00000000-0005-0000-0000-0000DD070000}"/>
    <cellStyle name="Output 2 3 2 7 2" xfId="13707" xr:uid="{028DC589-4A6B-4505-8858-0367278F1893}"/>
    <cellStyle name="Output 2 3 2 7 2 2" xfId="36191" xr:uid="{B14AC9E2-EAD8-440D-8838-1343EA8088CB}"/>
    <cellStyle name="Output 2 3 2 7 2 3" xfId="49089" xr:uid="{F6832A90-ABFD-47E2-AE10-9FBE41805A92}"/>
    <cellStyle name="Output 2 3 2 7 3" xfId="18802" xr:uid="{E202AB21-62C6-4862-95E3-6C7369E1907D}"/>
    <cellStyle name="Output 2 3 2 7 3 2" xfId="41192" xr:uid="{F520725B-759B-436D-A620-56EBA58E2FE9}"/>
    <cellStyle name="Output 2 3 2 7 3 3" xfId="23822" xr:uid="{DCCB4995-8077-4A29-8FAC-D716C2471629}"/>
    <cellStyle name="Output 2 3 2 7 4" xfId="20091" xr:uid="{3814EEC3-AE01-47CF-B619-D28AFA5520E1}"/>
    <cellStyle name="Output 2 3 2 7 4 2" xfId="42408" xr:uid="{B402460F-65D0-4DA6-AD57-825043D6D806}"/>
    <cellStyle name="Output 2 3 2 7 4 3" xfId="32384" xr:uid="{6FEF0630-7EAF-4466-AB89-38A30DCD64BA}"/>
    <cellStyle name="Output 2 3 2 7 5" xfId="23226" xr:uid="{316FC48C-8847-4ABD-BBA6-B3071FB1E93F}"/>
    <cellStyle name="Output 2 3 2 7 5 2" xfId="28114" xr:uid="{611D5FE9-7243-4546-9AFC-9490E15AAD4F}"/>
    <cellStyle name="Output 2 3 2 7 6" xfId="48729" xr:uid="{4303B177-05A8-42AE-8120-76BA2DE92D55}"/>
    <cellStyle name="Output 2 3 2 8" xfId="7341" xr:uid="{D8287DC8-0990-4D72-9020-6178B9A66B54}"/>
    <cellStyle name="Output 2 3 2 8 2" xfId="30029" xr:uid="{F7E3112F-A3F7-4653-ADD5-9EB583561056}"/>
    <cellStyle name="Output 2 3 2 8 3" xfId="47034" xr:uid="{E3AE5E22-CD1D-4EA6-87C7-C9A6B2F86416}"/>
    <cellStyle name="Output 2 3 2 9" xfId="20772" xr:uid="{72CE9BF0-1352-4F92-A7F3-4C56928650FC}"/>
    <cellStyle name="Output 2 3 2 9 2" xfId="43040" xr:uid="{7871ED9F-42E3-444C-971A-417ED1CC8A7D}"/>
    <cellStyle name="Output 2 3 2 9 3" xfId="44562" xr:uid="{C3F4DECB-529A-43D6-9FCD-8A3CC2BFF72F}"/>
    <cellStyle name="Output 2 3 3" xfId="836" xr:uid="{00000000-0005-0000-0000-0000E1070000}"/>
    <cellStyle name="Output 2 3 3 10" xfId="19916" xr:uid="{425899B5-4DDE-4453-9F3A-BE7FBDFB2C57}"/>
    <cellStyle name="Output 2 3 3 10 2" xfId="28784" xr:uid="{853ABBBE-F55E-4F17-9E86-44F87470838F}"/>
    <cellStyle name="Output 2 3 3 11" xfId="51589" xr:uid="{11C57F8A-2C25-42D2-9C24-6E03F7A69338}"/>
    <cellStyle name="Output 2 3 3 2" xfId="1821" xr:uid="{00000000-0005-0000-0000-0000E2070000}"/>
    <cellStyle name="Output 2 3 3 2 10" xfId="14505" xr:uid="{6E4960C7-5EC7-4800-8356-ED30CBB2F447}"/>
    <cellStyle name="Output 2 3 3 2 10 2" xfId="36966" xr:uid="{B39A59A8-64DE-4D9C-BF3C-C2B6E87F9F88}"/>
    <cellStyle name="Output 2 3 3 2 10 3" xfId="51820" xr:uid="{FF211E09-1F67-450E-820B-5D939571687F}"/>
    <cellStyle name="Output 2 3 3 2 11" xfId="20654" xr:uid="{90EAE736-72B2-4FE8-A732-A80E5521782E}"/>
    <cellStyle name="Output 2 3 3 2 11 2" xfId="42931" xr:uid="{03D23B46-D254-4877-B1E0-98B81B3BE9C9}"/>
    <cellStyle name="Output 2 3 3 2 11 3" xfId="48965" xr:uid="{76750677-08F6-4FE9-B8FE-FFB39792DD4E}"/>
    <cellStyle name="Output 2 3 3 2 12" xfId="15013" xr:uid="{7AFC9EBD-BD3D-48BC-B8AC-72110BA88ECF}"/>
    <cellStyle name="Output 2 3 3 2 12 2" xfId="44857" xr:uid="{21E5F6FD-5660-4FA4-AD35-94A78F85ACA7}"/>
    <cellStyle name="Output 2 3 3 2 13" xfId="50822" xr:uid="{E264AC79-9B9D-4F13-B175-32425B980664}"/>
    <cellStyle name="Output 2 3 3 2 2" xfId="3919" xr:uid="{00000000-0005-0000-0000-0000E0070000}"/>
    <cellStyle name="Output 2 3 3 2 2 2" xfId="10823" xr:uid="{AFE7C3FF-AF68-4697-B2EB-7336CF8BA32E}"/>
    <cellStyle name="Output 2 3 3 2 2 2 2" xfId="33309" xr:uid="{A5336399-F830-44A5-8C28-8B383D8D8E56}"/>
    <cellStyle name="Output 2 3 3 2 2 2 3" xfId="28816" xr:uid="{98EBD8C6-1E88-433A-8F82-0BB84211E9D5}"/>
    <cellStyle name="Output 2 3 3 2 2 3" xfId="15961" xr:uid="{EF13BCE4-C10B-48BC-B5FA-37DB57F2C15C}"/>
    <cellStyle name="Output 2 3 3 2 2 3 2" xfId="38364" xr:uid="{F3160B78-7F62-4A87-ADB3-EE41F64386E6}"/>
    <cellStyle name="Output 2 3 3 2 2 3 3" xfId="46582" xr:uid="{35F03485-93B6-49CB-B010-02BB0098AA84}"/>
    <cellStyle name="Output 2 3 3 2 2 4" xfId="21129" xr:uid="{2E6AB199-51F4-4F6A-B04E-BF31CB0B46A1}"/>
    <cellStyle name="Output 2 3 3 2 2 4 2" xfId="43374" xr:uid="{4774F523-60EC-4460-9A76-7F3300644AD6}"/>
    <cellStyle name="Output 2 3 3 2 2 4 3" xfId="48198" xr:uid="{0009DD69-1647-463E-96A0-427E419CC7EB}"/>
    <cellStyle name="Output 2 3 3 2 2 5" xfId="19627" xr:uid="{3D661C9D-B671-44F1-AD09-279E90EDADC8}"/>
    <cellStyle name="Output 2 3 3 2 2 5 2" xfId="29095" xr:uid="{B1B1942A-7FDC-43C2-AF89-C77446F2F96F}"/>
    <cellStyle name="Output 2 3 3 2 2 6" xfId="43095" xr:uid="{C8D8EBAC-BF2D-403B-A5EE-A84B34195C8D}"/>
    <cellStyle name="Output 2 3 3 2 3" xfId="5314" xr:uid="{00000000-0005-0000-0000-0000E0070000}"/>
    <cellStyle name="Output 2 3 3 2 3 2" xfId="12206" xr:uid="{A4E5D854-3F9F-4C75-9EF8-59AD85896044}"/>
    <cellStyle name="Output 2 3 3 2 3 2 2" xfId="34691" xr:uid="{2EAD6F95-9933-48C9-A278-C425EE4FEAE0}"/>
    <cellStyle name="Output 2 3 3 2 3 2 3" xfId="45430" xr:uid="{CBB20424-41D2-4FFB-9AE7-28B667F09802}"/>
    <cellStyle name="Output 2 3 3 2 3 3" xfId="17251" xr:uid="{255D09B6-9CF9-4EA1-A8D6-B296CE4DF381}"/>
    <cellStyle name="Output 2 3 3 2 3 3 2" xfId="39641" xr:uid="{4D400A45-CA31-4051-8E61-CC6C921C9086}"/>
    <cellStyle name="Output 2 3 3 2 3 3 3" xfId="23895" xr:uid="{DA87A088-50AB-410D-9FFC-743C30BE7915}"/>
    <cellStyle name="Output 2 3 3 2 3 4" xfId="14633" xr:uid="{D2BFBF68-B5C6-4ACF-B6BF-373315116FDE}"/>
    <cellStyle name="Output 2 3 3 2 3 4 2" xfId="37093" xr:uid="{50192C6D-2B2F-44BA-B3E5-1BE9761A8FBF}"/>
    <cellStyle name="Output 2 3 3 2 3 4 3" xfId="31461" xr:uid="{025420F3-3932-491B-BF54-7522AA263C31}"/>
    <cellStyle name="Output 2 3 3 2 3 5" xfId="21675" xr:uid="{EDEB9891-DF40-4EED-860D-3DE0DA5181AD}"/>
    <cellStyle name="Output 2 3 3 2 3 5 2" xfId="48152" xr:uid="{3EF48B7B-7285-4039-8359-14F8835010B5}"/>
    <cellStyle name="Output 2 3 3 2 3 6" xfId="53612" xr:uid="{38E77520-03AA-4E32-9891-63885A224D81}"/>
    <cellStyle name="Output 2 3 3 2 4" xfId="5724" xr:uid="{00000000-0005-0000-0000-0000E0070000}"/>
    <cellStyle name="Output 2 3 3 2 4 2" xfId="12608" xr:uid="{7C3A8B76-E0A0-4115-AAC6-5080B21616B9}"/>
    <cellStyle name="Output 2 3 3 2 4 2 2" xfId="35093" xr:uid="{34C13061-431A-4FC6-805F-855B40DFAD73}"/>
    <cellStyle name="Output 2 3 3 2 4 2 3" xfId="42664" xr:uid="{999FAD16-9FEB-4642-BE89-2971E875BAAB}"/>
    <cellStyle name="Output 2 3 3 2 4 3" xfId="17661" xr:uid="{762B2908-185C-4DCB-82BD-0EA9155839C1}"/>
    <cellStyle name="Output 2 3 3 2 4 3 2" xfId="40051" xr:uid="{24901FA4-C8AE-4D5B-89B8-E11066513209}"/>
    <cellStyle name="Output 2 3 3 2 4 3 3" xfId="28978" xr:uid="{CF29A983-C51E-4ABB-89F9-BBB921145F34}"/>
    <cellStyle name="Output 2 3 3 2 4 4" xfId="15284" xr:uid="{DD1EE0B5-3338-4362-B8EA-5D7FF019FBD1}"/>
    <cellStyle name="Output 2 3 3 2 4 4 2" xfId="37717" xr:uid="{2167B281-818F-4B06-8145-809DFC94C31B}"/>
    <cellStyle name="Output 2 3 3 2 4 4 3" xfId="44667" xr:uid="{9980E241-514C-454F-AB82-237EA9490FC5}"/>
    <cellStyle name="Output 2 3 3 2 4 5" xfId="22085" xr:uid="{0EDFD07D-E8CB-4337-B8D5-AC3D185964E6}"/>
    <cellStyle name="Output 2 3 3 2 4 5 2" xfId="24815" xr:uid="{6BE877F8-D468-4EA2-B689-57F383FD5A1C}"/>
    <cellStyle name="Output 2 3 3 2 4 6" xfId="49480" xr:uid="{172F9AA9-60CA-4171-984D-25389AA142D3}"/>
    <cellStyle name="Output 2 3 3 2 5" xfId="6078" xr:uid="{00000000-0005-0000-0000-0000E0070000}"/>
    <cellStyle name="Output 2 3 3 2 5 2" xfId="12956" xr:uid="{8A1534A4-41DA-488D-916C-4B197C52CB64}"/>
    <cellStyle name="Output 2 3 3 2 5 2 2" xfId="35440" xr:uid="{A080480F-F526-4C6F-9EAD-A2A4AC2D59B5}"/>
    <cellStyle name="Output 2 3 3 2 5 2 3" xfId="49608" xr:uid="{1FBE7F9E-1915-4A27-9A53-4CF96020370B}"/>
    <cellStyle name="Output 2 3 3 2 5 3" xfId="18015" xr:uid="{046653B8-DD84-4EAC-90DC-CB6220834BE9}"/>
    <cellStyle name="Output 2 3 3 2 5 3 2" xfId="40405" xr:uid="{6C4BE102-7FF8-4544-9355-665BD2489342}"/>
    <cellStyle name="Output 2 3 3 2 5 3 3" xfId="44382" xr:uid="{CE4F07D7-B17D-4038-809B-4D182F001896}"/>
    <cellStyle name="Output 2 3 3 2 5 4" xfId="15371" xr:uid="{80DB28BC-7574-4121-8046-29B228693E06}"/>
    <cellStyle name="Output 2 3 3 2 5 4 2" xfId="37802" xr:uid="{FF9603C7-2AF5-4177-88F0-FF4233A75367}"/>
    <cellStyle name="Output 2 3 3 2 5 4 3" xfId="46681" xr:uid="{3F6303C3-FDB8-4921-8770-A6D873AAF7FB}"/>
    <cellStyle name="Output 2 3 3 2 5 5" xfId="22439" xr:uid="{AEA5C700-B196-41BD-B98C-11B0FB8FBA79}"/>
    <cellStyle name="Output 2 3 3 2 5 5 2" xfId="47241" xr:uid="{03F296B1-15AD-4159-90ED-3F5800EA8836}"/>
    <cellStyle name="Output 2 3 3 2 5 6" xfId="47970" xr:uid="{4F9B41E4-08C9-4606-BED9-A569E62B70AD}"/>
    <cellStyle name="Output 2 3 3 2 6" xfId="6453" xr:uid="{00000000-0005-0000-0000-0000E0070000}"/>
    <cellStyle name="Output 2 3 3 2 6 2" xfId="13323" xr:uid="{72F2AEE4-5C06-4D4A-B97C-3FC28E9A0D97}"/>
    <cellStyle name="Output 2 3 3 2 6 2 2" xfId="35807" xr:uid="{B9611164-8EC6-4919-933B-1890635295AD}"/>
    <cellStyle name="Output 2 3 3 2 6 2 3" xfId="42105" xr:uid="{254AA37D-9E9E-43FA-ADE3-E126C09E9DBD}"/>
    <cellStyle name="Output 2 3 3 2 6 3" xfId="18390" xr:uid="{2A3C7CE5-DCF1-4F07-92CC-78A835D3653F}"/>
    <cellStyle name="Output 2 3 3 2 6 3 2" xfId="40780" xr:uid="{BC34E193-1A2C-4E68-8FDE-87CFEF7CBE48}"/>
    <cellStyle name="Output 2 3 3 2 6 3 3" xfId="31949" xr:uid="{212A163A-75D6-410F-B0B3-585539024667}"/>
    <cellStyle name="Output 2 3 3 2 6 4" xfId="20322" xr:uid="{AA1B794A-E258-409D-89B2-C4FEA5586B9B}"/>
    <cellStyle name="Output 2 3 3 2 6 4 2" xfId="42621" xr:uid="{BED3229A-3D9E-4D2B-BEC8-B66882E72074}"/>
    <cellStyle name="Output 2 3 3 2 6 4 3" xfId="49698" xr:uid="{6D59116B-7D8D-441E-90CB-8231DE94D2D7}"/>
    <cellStyle name="Output 2 3 3 2 6 5" xfId="22814" xr:uid="{13D98215-9E1D-4069-8EA5-A2F394DE5A75}"/>
    <cellStyle name="Output 2 3 3 2 6 5 2" xfId="52616" xr:uid="{9A2ABAC8-1984-4852-94D0-622D00BCE55A}"/>
    <cellStyle name="Output 2 3 3 2 6 6" xfId="52100" xr:uid="{0DF15673-135B-48C7-8FFA-C3AA28905124}"/>
    <cellStyle name="Output 2 3 3 2 7" xfId="6606" xr:uid="{00000000-0005-0000-0000-0000E0070000}"/>
    <cellStyle name="Output 2 3 3 2 7 2" xfId="13472" xr:uid="{1F477D1B-D52A-436E-9E02-847F347EA96A}"/>
    <cellStyle name="Output 2 3 3 2 7 2 2" xfId="35956" xr:uid="{97098E69-7A56-4726-ADA7-A0426F8CBBA1}"/>
    <cellStyle name="Output 2 3 3 2 7 2 3" xfId="45482" xr:uid="{EB7DCA1A-90BC-4065-B358-A1FC4D349421}"/>
    <cellStyle name="Output 2 3 3 2 7 3" xfId="18543" xr:uid="{B5B5F53F-82D5-4012-868F-6C8FFA46D501}"/>
    <cellStyle name="Output 2 3 3 2 7 3 2" xfId="40933" xr:uid="{84C4012E-F8BC-458E-9D5E-69FFCEF97A38}"/>
    <cellStyle name="Output 2 3 3 2 7 3 3" xfId="27577" xr:uid="{C35E3D24-1D83-4788-8E43-EF6CC4890F96}"/>
    <cellStyle name="Output 2 3 3 2 7 4" xfId="15686" xr:uid="{3F8E650D-B85A-4FE8-94E9-6C59466CA4ED}"/>
    <cellStyle name="Output 2 3 3 2 7 4 2" xfId="38101" xr:uid="{2122A029-FDED-4454-959A-98C337B2B0C8}"/>
    <cellStyle name="Output 2 3 3 2 7 4 3" xfId="46905" xr:uid="{6107D569-985F-48DB-892F-F95078E469C4}"/>
    <cellStyle name="Output 2 3 3 2 7 5" xfId="22967" xr:uid="{E31C2272-5538-4A97-8E3D-C85FE12C1120}"/>
    <cellStyle name="Output 2 3 3 2 7 5 2" xfId="51334" xr:uid="{5F81A20D-5282-4C26-82BD-A4708BA227E3}"/>
    <cellStyle name="Output 2 3 3 2 7 6" xfId="52030" xr:uid="{A9F85BB5-B960-4257-BD91-5DD7CC150829}"/>
    <cellStyle name="Output 2 3 3 2 8" xfId="6953" xr:uid="{00000000-0005-0000-0000-0000E0070000}"/>
    <cellStyle name="Output 2 3 3 2 8 2" xfId="13790" xr:uid="{966A6809-A175-48BD-9D78-DDF3C5964920}"/>
    <cellStyle name="Output 2 3 3 2 8 2 2" xfId="36274" xr:uid="{CB89A08E-97E8-4141-A4F4-DA4ED9934D2F}"/>
    <cellStyle name="Output 2 3 3 2 8 2 3" xfId="49376" xr:uid="{E2A79D1A-645F-4EC4-9469-89B73E4FC599}"/>
    <cellStyle name="Output 2 3 3 2 8 3" xfId="18890" xr:uid="{EC10C738-C21A-400B-AEA6-E6AD63839315}"/>
    <cellStyle name="Output 2 3 3 2 8 3 2" xfId="41280" xr:uid="{0A4E03C5-80AD-40B3-8D6A-3C5659F539F3}"/>
    <cellStyle name="Output 2 3 3 2 8 3 3" xfId="43319" xr:uid="{379D5BD0-B8E8-4687-B1DE-A743BA94D281}"/>
    <cellStyle name="Output 2 3 3 2 8 4" xfId="19955" xr:uid="{65A661F3-09F0-45B4-B792-DB17FE002C45}"/>
    <cellStyle name="Output 2 3 3 2 8 4 2" xfId="42284" xr:uid="{01F78753-56F1-4E95-BFEB-9980AD6CED24}"/>
    <cellStyle name="Output 2 3 3 2 8 4 3" xfId="28894" xr:uid="{7BF1175B-5EAB-4B2A-BBF9-09264368A27D}"/>
    <cellStyle name="Output 2 3 3 2 8 5" xfId="23314" xr:uid="{13C58D31-7CE6-4428-8D24-B2434A3F86D0}"/>
    <cellStyle name="Output 2 3 3 2 8 5 2" xfId="50162" xr:uid="{5F7535C3-130A-417E-A9A5-3D26AB8CF9F5}"/>
    <cellStyle name="Output 2 3 3 2 8 6" xfId="48702" xr:uid="{0F18435C-3B88-44CC-9713-7CD3E1666894}"/>
    <cellStyle name="Output 2 3 3 2 9" xfId="4591" xr:uid="{00000000-0005-0000-0000-0000E0070000}"/>
    <cellStyle name="Output 2 3 3 2 9 2" xfId="16528" xr:uid="{205E9141-AE2F-4712-8BA5-1158587B0163}"/>
    <cellStyle name="Output 2 3 3 2 9 2 2" xfId="38918" xr:uid="{85AA26BF-60C8-405A-82BA-5292E611C74A}"/>
    <cellStyle name="Output 2 3 3 2 9 2 3" xfId="31991" xr:uid="{3E0D8536-CA81-411B-988A-38AC54825DAB}"/>
    <cellStyle name="Output 2 3 3 2 9 3" xfId="13991" xr:uid="{70DCE9D9-7D6E-4EDD-A811-3B8D0DAE2FA8}"/>
    <cellStyle name="Output 2 3 3 2 9 3 2" xfId="36474" xr:uid="{9451F496-4C2B-4EA9-9F9F-E09F7129C268}"/>
    <cellStyle name="Output 2 3 3 2 9 3 3" xfId="47166" xr:uid="{4415998D-E6A6-49CC-AD6D-8E992DF894A7}"/>
    <cellStyle name="Output 2 3 3 2 9 4" xfId="14028" xr:uid="{3CD9A71F-486C-4E57-8644-F8C878BF6FCB}"/>
    <cellStyle name="Output 2 3 3 2 9 4 2" xfId="27917" xr:uid="{F385CC5D-F213-4BDF-A18D-614F793C53AC}"/>
    <cellStyle name="Output 2 3 3 2 9 5" xfId="53755" xr:uid="{D1EC29D2-B482-4AF6-A6F2-BA04B464332D}"/>
    <cellStyle name="Output 2 3 3 3" xfId="2970" xr:uid="{00000000-0005-0000-0000-0000DF070000}"/>
    <cellStyle name="Output 2 3 3 3 2" xfId="9879" xr:uid="{8C2B8F17-9A3E-4E09-8959-944F54F09D9C}"/>
    <cellStyle name="Output 2 3 3 3 2 2" xfId="32402" xr:uid="{667FAE19-3305-4986-98B1-3CA15BD69717}"/>
    <cellStyle name="Output 2 3 3 3 2 3" xfId="50786" xr:uid="{C3F99D5C-34C3-4626-BA80-370D18ABC08D}"/>
    <cellStyle name="Output 2 3 3 3 3" xfId="15317" xr:uid="{9F9E19A7-31C1-4D3F-B5CF-56C9FD68567D}"/>
    <cellStyle name="Output 2 3 3 3 3 2" xfId="37749" xr:uid="{D539EEC0-65A3-4531-9F13-69FE2EB43BF5}"/>
    <cellStyle name="Output 2 3 3 3 3 3" xfId="48945" xr:uid="{B5830074-DBF6-442D-8AA5-E042035FEAE2}"/>
    <cellStyle name="Output 2 3 3 3 4" xfId="7956" xr:uid="{78FCFF1C-8436-4761-8E71-0F731EA80DE8}"/>
    <cellStyle name="Output 2 3 3 3 4 2" xfId="30579" xr:uid="{78F8D3AA-519C-47EE-A6E4-803E5687901C}"/>
    <cellStyle name="Output 2 3 3 3 4 3" xfId="24441" xr:uid="{CCB02DF0-0855-4C2C-A582-345A4618AE0D}"/>
    <cellStyle name="Output 2 3 3 3 5" xfId="19465" xr:uid="{5F2F027E-ADB9-4546-A427-EE6C8FDB7E31}"/>
    <cellStyle name="Output 2 3 3 3 5 2" xfId="43806" xr:uid="{3241F356-EF97-40CE-B9F6-3A996A334616}"/>
    <cellStyle name="Output 2 3 3 3 6" xfId="29710" xr:uid="{1BA37085-60E6-4E9D-AC10-56F6CF5BE18B}"/>
    <cellStyle name="Output 2 3 3 4" xfId="4680" xr:uid="{00000000-0005-0000-0000-0000DF070000}"/>
    <cellStyle name="Output 2 3 3 4 2" xfId="11578" xr:uid="{B0FE202A-2202-4A40-AF49-1EBB69E77636}"/>
    <cellStyle name="Output 2 3 3 4 2 2" xfId="34064" xr:uid="{1F8C76DE-89AB-4931-86E0-96D9ABD4F6E8}"/>
    <cellStyle name="Output 2 3 3 4 2 3" xfId="36640" xr:uid="{D2C9138C-DA2F-4CAE-9EFB-1C1311903E0F}"/>
    <cellStyle name="Output 2 3 3 4 3" xfId="16617" xr:uid="{2CEFFC07-70B0-4528-9E52-B72E8D6B0C5B}"/>
    <cellStyle name="Output 2 3 3 4 3 2" xfId="39007" xr:uid="{71A74479-F488-40E4-8147-0AAF2EDEEDFC}"/>
    <cellStyle name="Output 2 3 3 4 3 3" xfId="45856" xr:uid="{1849E94D-71A9-468A-8FF7-DB2CF6415064}"/>
    <cellStyle name="Output 2 3 3 4 4" xfId="7955" xr:uid="{27A20915-1AED-4575-8550-E5DFE3009329}"/>
    <cellStyle name="Output 2 3 3 4 4 2" xfId="30578" xr:uid="{670F545C-6674-4BDC-958E-BD6C685FD55F}"/>
    <cellStyle name="Output 2 3 3 4 4 3" xfId="52234" xr:uid="{1F8BDCA2-02A4-42DA-9918-92F77BF63458}"/>
    <cellStyle name="Output 2 3 3 4 5" xfId="13982" xr:uid="{F255A823-3A40-43E9-8FD2-D3189773DF62}"/>
    <cellStyle name="Output 2 3 3 4 5 2" xfId="49261" xr:uid="{70B00EDA-F047-40DE-84D2-1FDE53AA36EC}"/>
    <cellStyle name="Output 2 3 3 4 6" xfId="37900" xr:uid="{746EDB68-C99F-4D9D-8D63-9906493FDFB5}"/>
    <cellStyle name="Output 2 3 3 5" xfId="5609" xr:uid="{00000000-0005-0000-0000-0000DF070000}"/>
    <cellStyle name="Output 2 3 3 5 2" xfId="12493" xr:uid="{34B6EFE9-BF99-4D0F-9E7E-5701F9281340}"/>
    <cellStyle name="Output 2 3 3 5 2 2" xfId="34978" xr:uid="{EA598B07-E73E-446A-8EB9-C6BF0E3C6E35}"/>
    <cellStyle name="Output 2 3 3 5 2 3" xfId="43594" xr:uid="{6BFC3719-BF6C-43E9-A826-EDCF59ABF8CF}"/>
    <cellStyle name="Output 2 3 3 5 3" xfId="17546" xr:uid="{807F91B1-BCB5-4DD0-AB2B-FC28EDC62E4D}"/>
    <cellStyle name="Output 2 3 3 5 3 2" xfId="39936" xr:uid="{608A2523-A246-41A3-8282-5F6B0262F519}"/>
    <cellStyle name="Output 2 3 3 5 3 3" xfId="37945" xr:uid="{02C992EE-B846-491A-B348-7E392D1CD1C5}"/>
    <cellStyle name="Output 2 3 3 5 4" xfId="19547" xr:uid="{E400196E-D9E9-49D2-9BFA-AC8DB35CAABB}"/>
    <cellStyle name="Output 2 3 3 5 4 2" xfId="41906" xr:uid="{084F7A16-4F95-434A-A1A0-204B913F0C1F}"/>
    <cellStyle name="Output 2 3 3 5 4 3" xfId="29782" xr:uid="{53D377F2-A53F-49FF-AB9B-87911B5EB98A}"/>
    <cellStyle name="Output 2 3 3 5 5" xfId="21970" xr:uid="{78F7687A-93AB-4B91-B720-E50C4F26C45A}"/>
    <cellStyle name="Output 2 3 3 5 5 2" xfId="49542" xr:uid="{D531A712-282D-46DC-A0DE-9AB360B54215}"/>
    <cellStyle name="Output 2 3 3 5 6" xfId="50517" xr:uid="{FCF13355-E542-4C47-8D9C-3E270507BE60}"/>
    <cellStyle name="Output 2 3 3 6" xfId="2261" xr:uid="{00000000-0005-0000-0000-0000DF070000}"/>
    <cellStyle name="Output 2 3 3 6 2" xfId="9173" xr:uid="{79435015-199D-4B9D-BEFD-51CC6214176D}"/>
    <cellStyle name="Output 2 3 3 6 2 2" xfId="31748" xr:uid="{C7749914-2E4A-4F7A-B912-63B05D91C388}"/>
    <cellStyle name="Output 2 3 3 6 2 3" xfId="46969" xr:uid="{BBFC07A6-AED3-47EA-B729-AAB8475BAB6B}"/>
    <cellStyle name="Output 2 3 3 6 3" xfId="14831" xr:uid="{953789DB-B66B-459B-A7FC-35EF31679D17}"/>
    <cellStyle name="Output 2 3 3 6 3 2" xfId="37285" xr:uid="{C3454277-8628-450F-8035-766B23EABAC9}"/>
    <cellStyle name="Output 2 3 3 6 3 3" xfId="51491" xr:uid="{11C9263F-8EEC-409F-87B2-F3B0134797A1}"/>
    <cellStyle name="Output 2 3 3 6 4" xfId="20451" xr:uid="{CDA7C0C5-EAE9-40DD-9337-90F186AE6A35}"/>
    <cellStyle name="Output 2 3 3 6 4 2" xfId="42742" xr:uid="{2826D88C-B65C-4457-B8B3-B1281B56C3ED}"/>
    <cellStyle name="Output 2 3 3 6 4 3" xfId="51064" xr:uid="{3FD98F57-DB09-4B88-9644-6ED6BDA7DD6F}"/>
    <cellStyle name="Output 2 3 3 6 5" xfId="19938" xr:uid="{7B0BCE61-AA14-4BD4-84B0-2360394F79EC}"/>
    <cellStyle name="Output 2 3 3 6 5 2" xfId="30476" xr:uid="{A27EA40F-01A4-4A5C-882E-8DB4E5D1886D}"/>
    <cellStyle name="Output 2 3 3 6 6" xfId="52976" xr:uid="{1E252375-CBFB-4E58-BE4D-BC0F50821316}"/>
    <cellStyle name="Output 2 3 3 7" xfId="4392" xr:uid="{00000000-0005-0000-0000-0000DF070000}"/>
    <cellStyle name="Output 2 3 3 7 2" xfId="11294" xr:uid="{6916D2A6-CE8F-48F6-8B58-389D3A155967}"/>
    <cellStyle name="Output 2 3 3 7 2 2" xfId="33780" xr:uid="{7CDF12F5-85AE-4CA8-A1D1-32200BE11901}"/>
    <cellStyle name="Output 2 3 3 7 2 3" xfId="25474" xr:uid="{09B9390C-78D9-44B8-B05C-0A3FF18C7A56}"/>
    <cellStyle name="Output 2 3 3 7 3" xfId="16329" xr:uid="{CC0D20F9-D06B-4F89-9A02-37AC36AE644B}"/>
    <cellStyle name="Output 2 3 3 7 3 2" xfId="38719" xr:uid="{7F3B6308-9B7B-4F6F-A879-FB34A4AE032C}"/>
    <cellStyle name="Output 2 3 3 7 3 3" xfId="45882" xr:uid="{67A64D89-BAB8-4EBF-91E9-B37C63CB294F}"/>
    <cellStyle name="Output 2 3 3 7 4" xfId="15273" xr:uid="{8C076398-0E38-4978-ADAA-AC72254A57C9}"/>
    <cellStyle name="Output 2 3 3 7 4 2" xfId="37706" xr:uid="{C754C981-0EB4-4E7E-87C4-FB8BA951ADC7}"/>
    <cellStyle name="Output 2 3 3 7 4 3" xfId="48540" xr:uid="{B0C9A4C4-BB12-4EC7-8E94-F4689AEF891A}"/>
    <cellStyle name="Output 2 3 3 7 5" xfId="19305" xr:uid="{E2CD7999-4E7A-48C4-B686-2A9A67529969}"/>
    <cellStyle name="Output 2 3 3 7 5 2" xfId="26053" xr:uid="{363A55C9-F2EF-48AF-9270-464046F6DC78}"/>
    <cellStyle name="Output 2 3 3 7 6" xfId="28764" xr:uid="{CDFA8E78-2C02-446F-8BB1-7552EDE3900D}"/>
    <cellStyle name="Output 2 3 3 8" xfId="8947" xr:uid="{B7A2B900-26D0-4000-AA43-498A8DB141C6}"/>
    <cellStyle name="Output 2 3 3 8 2" xfId="31526" xr:uid="{06F3BAE5-80DB-4665-8FD8-55BC5BBBAFEE}"/>
    <cellStyle name="Output 2 3 3 8 3" xfId="53404" xr:uid="{04405745-2AF4-4EA2-B231-B843FAA4DFF4}"/>
    <cellStyle name="Output 2 3 3 9" xfId="7943" xr:uid="{DEA8D25A-C7CE-464F-8FA0-9285C81E78C0}"/>
    <cellStyle name="Output 2 3 3 9 2" xfId="30567" xr:uid="{D9AB8E7E-EB50-4E8E-BE24-C4BC013EF8E1}"/>
    <cellStyle name="Output 2 3 3 9 3" xfId="28327" xr:uid="{ECBAE9B1-9D45-4731-9277-589CF4515CF5}"/>
    <cellStyle name="Output 2 3 4" xfId="1023" xr:uid="{00000000-0005-0000-0000-0000E3070000}"/>
    <cellStyle name="Output 2 3 4 10" xfId="20718" xr:uid="{A2EB5EAA-0577-40D2-BF5B-DBE1A9501BA7}"/>
    <cellStyle name="Output 2 3 4 10 2" xfId="48585" xr:uid="{302281B8-752F-452F-A4AD-D82CD81AB244}"/>
    <cellStyle name="Output 2 3 4 11" xfId="48266" xr:uid="{39BBB00D-61B3-482B-A9DA-EFEF0ECE29E7}"/>
    <cellStyle name="Output 2 3 4 2" xfId="1913" xr:uid="{00000000-0005-0000-0000-0000E4070000}"/>
    <cellStyle name="Output 2 3 4 2 10" xfId="14583" xr:uid="{D96FDF44-C6BE-4AF3-9D3A-3ABC9EBAC8BD}"/>
    <cellStyle name="Output 2 3 4 2 10 2" xfId="37044" xr:uid="{9FBF235C-D302-41C7-B294-568BE1060A0A}"/>
    <cellStyle name="Output 2 3 4 2 10 3" xfId="46071" xr:uid="{9BB600F8-AA98-4DC1-8523-7585C678B5FC}"/>
    <cellStyle name="Output 2 3 4 2 11" xfId="20298" xr:uid="{6FBB3B79-6D35-4168-B89A-7246279B7C16}"/>
    <cellStyle name="Output 2 3 4 2 11 2" xfId="42597" xr:uid="{891C38C9-39B4-47A9-AC88-A4DD5C80653F}"/>
    <cellStyle name="Output 2 3 4 2 11 3" xfId="42516" xr:uid="{BC797680-A7BC-4CD9-86E6-456576F3FF32}"/>
    <cellStyle name="Output 2 3 4 2 12" xfId="14003" xr:uid="{6C2AE56C-FB9A-4658-BF27-A48193604F9D}"/>
    <cellStyle name="Output 2 3 4 2 12 2" xfId="45712" xr:uid="{A0A049C3-BF9F-4CB9-AC6E-14E98E7E2C25}"/>
    <cellStyle name="Output 2 3 4 2 13" xfId="49143" xr:uid="{4C6055DB-4F47-4142-BFFA-570711E0070B}"/>
    <cellStyle name="Output 2 3 4 2 2" xfId="4010" xr:uid="{00000000-0005-0000-0000-0000E2070000}"/>
    <cellStyle name="Output 2 3 4 2 2 2" xfId="10914" xr:uid="{23C3A204-A569-4730-A995-7C38D5230717}"/>
    <cellStyle name="Output 2 3 4 2 2 2 2" xfId="33400" xr:uid="{3262E5FD-F318-418C-81E4-6B8D4F7670A2}"/>
    <cellStyle name="Output 2 3 4 2 2 2 3" xfId="23776" xr:uid="{1666418C-31F2-477E-A94C-D4CE97CF98E7}"/>
    <cellStyle name="Output 2 3 4 2 2 3" xfId="16034" xr:uid="{8774D460-F0DF-4038-9FBA-C6F1F0683C8E}"/>
    <cellStyle name="Output 2 3 4 2 2 3 2" xfId="38435" xr:uid="{B720F887-09AF-4EF4-8A76-90E4C20020BF}"/>
    <cellStyle name="Output 2 3 4 2 2 3 3" xfId="52111" xr:uid="{DAD1ABE6-7F21-4060-9089-94FDADC40694}"/>
    <cellStyle name="Output 2 3 4 2 2 4" xfId="21041" xr:uid="{976CB5B1-932B-4000-B12E-8F5D9401296E}"/>
    <cellStyle name="Output 2 3 4 2 2 4 2" xfId="43289" xr:uid="{6704B0BD-D16C-49FA-A733-DDCF5B1A8190}"/>
    <cellStyle name="Output 2 3 4 2 2 4 3" xfId="51148" xr:uid="{1B281CD5-9E46-4FA6-BA46-391CE220B553}"/>
    <cellStyle name="Output 2 3 4 2 2 5" xfId="20528" xr:uid="{35221297-E1FC-40CF-950D-1218402836F2}"/>
    <cellStyle name="Output 2 3 4 2 2 5 2" xfId="36727" xr:uid="{D3052343-B106-4A38-9AC4-6DF6344D8EA9}"/>
    <cellStyle name="Output 2 3 4 2 2 6" xfId="46440" xr:uid="{AC8D476E-C2CA-425B-9B4D-151C9F6ECCC9}"/>
    <cellStyle name="Output 2 3 4 2 3" xfId="5385" xr:uid="{00000000-0005-0000-0000-0000E2070000}"/>
    <cellStyle name="Output 2 3 4 2 3 2" xfId="12276" xr:uid="{F4B20AE9-2685-49D8-ACE0-59587D319CA6}"/>
    <cellStyle name="Output 2 3 4 2 3 2 2" xfId="34761" xr:uid="{6344E153-AA7E-4EB6-AE6D-57EBE9F08D46}"/>
    <cellStyle name="Output 2 3 4 2 3 2 3" xfId="30332" xr:uid="{2E4863F1-31D9-456C-9E1F-6FA164DCBB59}"/>
    <cellStyle name="Output 2 3 4 2 3 3" xfId="17322" xr:uid="{E88CD5EC-3BC6-4AAE-AC30-2912674B7EA0}"/>
    <cellStyle name="Output 2 3 4 2 3 3 2" xfId="39712" xr:uid="{6BDF2E54-4BFF-4871-87BE-2FDA2ADC9472}"/>
    <cellStyle name="Output 2 3 4 2 3 3 3" xfId="27530" xr:uid="{7D015666-CB79-4F6F-BF71-5BC97CB57DD0}"/>
    <cellStyle name="Output 2 3 4 2 3 4" xfId="15605" xr:uid="{6818FCA1-973D-4578-940C-9C4096582FC3}"/>
    <cellStyle name="Output 2 3 4 2 3 4 2" xfId="38022" xr:uid="{9903A3B4-96A4-4175-814C-F5A8F1C142D9}"/>
    <cellStyle name="Output 2 3 4 2 3 4 3" xfId="52775" xr:uid="{BAA6E510-53D0-41F2-94AD-110E858F6CE0}"/>
    <cellStyle name="Output 2 3 4 2 3 5" xfId="21746" xr:uid="{4B113972-9A54-43A8-920C-61C89363C196}"/>
    <cellStyle name="Output 2 3 4 2 3 5 2" xfId="51227" xr:uid="{40304CD9-55DD-4C73-B570-61927241EE9B}"/>
    <cellStyle name="Output 2 3 4 2 3 6" xfId="29116" xr:uid="{7B661BCA-E37A-4251-824D-8033246E8C6C}"/>
    <cellStyle name="Output 2 3 4 2 4" xfId="5798" xr:uid="{00000000-0005-0000-0000-0000E2070000}"/>
    <cellStyle name="Output 2 3 4 2 4 2" xfId="12681" xr:uid="{6E52B930-1906-4B91-90BD-75AF443F60B7}"/>
    <cellStyle name="Output 2 3 4 2 4 2 2" xfId="35166" xr:uid="{FF8BAD3B-097C-4773-A680-DF766C4A5E66}"/>
    <cellStyle name="Output 2 3 4 2 4 2 3" xfId="26017" xr:uid="{F92077F1-8DE4-4A8F-84A3-57DB9FBC7078}"/>
    <cellStyle name="Output 2 3 4 2 4 3" xfId="17735" xr:uid="{C0D9D40B-91FC-4839-AAC6-8D16DF58434B}"/>
    <cellStyle name="Output 2 3 4 2 4 3 2" xfId="40125" xr:uid="{738B5415-B23F-4752-AFE8-CEB41F224CBE}"/>
    <cellStyle name="Output 2 3 4 2 4 3 3" xfId="25478" xr:uid="{225250B2-0EF1-4930-B386-FB30F2B401DB}"/>
    <cellStyle name="Output 2 3 4 2 4 4" xfId="19724" xr:uid="{2B2DD716-91D4-4187-96D9-70358F48B172}"/>
    <cellStyle name="Output 2 3 4 2 4 4 2" xfId="42070" xr:uid="{6849DADB-0529-4414-A7E6-C91196C853B0}"/>
    <cellStyle name="Output 2 3 4 2 4 4 3" xfId="31954" xr:uid="{8E33255B-6016-44EB-BFE3-039D2232770E}"/>
    <cellStyle name="Output 2 3 4 2 4 5" xfId="22159" xr:uid="{3E7CE751-CFDA-4377-8445-F1CEE8503960}"/>
    <cellStyle name="Output 2 3 4 2 4 5 2" xfId="51179" xr:uid="{80950823-E982-4804-A809-B3AB16E63977}"/>
    <cellStyle name="Output 2 3 4 2 4 6" xfId="28259" xr:uid="{6C16F7F7-5CA2-4192-B1C7-A1E88A812BB6}"/>
    <cellStyle name="Output 2 3 4 2 5" xfId="6142" xr:uid="{00000000-0005-0000-0000-0000E2070000}"/>
    <cellStyle name="Output 2 3 4 2 5 2" xfId="13019" xr:uid="{06FAE464-3BC8-4E19-B3AC-A3C140A8AB41}"/>
    <cellStyle name="Output 2 3 4 2 5 2 2" xfId="35503" xr:uid="{5A231222-D007-46D9-BB8A-4E49A1C1E551}"/>
    <cellStyle name="Output 2 3 4 2 5 2 3" xfId="49777" xr:uid="{63518961-67C2-4E8E-8F24-503731781EC0}"/>
    <cellStyle name="Output 2 3 4 2 5 3" xfId="18079" xr:uid="{CC0A3F7D-74BB-4EE7-91F7-297375391EC9}"/>
    <cellStyle name="Output 2 3 4 2 5 3 2" xfId="40469" xr:uid="{3CA5DF69-9427-424F-9160-C03CEDBD2281}"/>
    <cellStyle name="Output 2 3 4 2 5 3 3" xfId="23890" xr:uid="{599D1B69-71A9-4D03-8084-F9D0895C50CC}"/>
    <cellStyle name="Output 2 3 4 2 5 4" xfId="14399" xr:uid="{27F5E0DB-540B-4248-9B20-5AA071ADD735}"/>
    <cellStyle name="Output 2 3 4 2 5 4 2" xfId="36865" xr:uid="{48DB216B-0659-45D8-876B-C14CA865E866}"/>
    <cellStyle name="Output 2 3 4 2 5 4 3" xfId="50742" xr:uid="{F412E8F3-A432-46C4-B082-9B6DAEE900E2}"/>
    <cellStyle name="Output 2 3 4 2 5 5" xfId="22503" xr:uid="{C59944D4-DB64-47A7-ABB0-5C99C6C6A379}"/>
    <cellStyle name="Output 2 3 4 2 5 5 2" xfId="38329" xr:uid="{7A58CF2A-4AE2-4821-8826-95BA6E56175A}"/>
    <cellStyle name="Output 2 3 4 2 5 6" xfId="47407" xr:uid="{D5057B59-D07D-41CD-A517-281CBF43411B}"/>
    <cellStyle name="Output 2 3 4 2 6" xfId="6515" xr:uid="{00000000-0005-0000-0000-0000E2070000}"/>
    <cellStyle name="Output 2 3 4 2 6 2" xfId="13384" xr:uid="{67BF011A-8B49-442B-8F62-C3CB3E14AECF}"/>
    <cellStyle name="Output 2 3 4 2 6 2 2" xfId="35868" xr:uid="{21E164DA-CCE6-431A-9271-5CD1AF7DAB57}"/>
    <cellStyle name="Output 2 3 4 2 6 2 3" xfId="54060" xr:uid="{63AEBEFB-3382-4244-ACA3-B0A26EA61EF1}"/>
    <cellStyle name="Output 2 3 4 2 6 3" xfId="18452" xr:uid="{2216D99B-9E0B-41F3-A089-205543969B65}"/>
    <cellStyle name="Output 2 3 4 2 6 3 2" xfId="40842" xr:uid="{B547FF9B-5933-4182-9911-FE0B46A245CC}"/>
    <cellStyle name="Output 2 3 4 2 6 3 3" xfId="36196" xr:uid="{37097EF0-DD00-493D-BEA3-0E164BB103B0}"/>
    <cellStyle name="Output 2 3 4 2 6 4" xfId="14995" xr:uid="{301E8A1D-69F5-46EE-A329-7EA7D56ED353}"/>
    <cellStyle name="Output 2 3 4 2 6 4 2" xfId="37445" xr:uid="{158E04E1-442B-48C2-ADE8-4DC4DA644FDC}"/>
    <cellStyle name="Output 2 3 4 2 6 4 3" xfId="25132" xr:uid="{42BE9585-D2B5-4B8C-9B64-A3128BB6C7D5}"/>
    <cellStyle name="Output 2 3 4 2 6 5" xfId="22876" xr:uid="{5AB11A2F-655D-4D06-A54A-7E9078A92718}"/>
    <cellStyle name="Output 2 3 4 2 6 5 2" xfId="42759" xr:uid="{77D88723-59BF-4783-BB5A-64075407F0F9}"/>
    <cellStyle name="Output 2 3 4 2 6 6" xfId="48868" xr:uid="{071CB9E6-1CAF-4C12-94E6-021ACA5F2A43}"/>
    <cellStyle name="Output 2 3 4 2 7" xfId="4489" xr:uid="{00000000-0005-0000-0000-0000E2070000}"/>
    <cellStyle name="Output 2 3 4 2 7 2" xfId="11391" xr:uid="{B69449CC-C92E-4852-9863-5DDB26250412}"/>
    <cellStyle name="Output 2 3 4 2 7 2 2" xfId="33877" xr:uid="{A444E52A-9A5F-4FAF-800E-912686AA9B8F}"/>
    <cellStyle name="Output 2 3 4 2 7 2 3" xfId="30485" xr:uid="{90145F3D-25F1-41C7-B893-71BD8C106EE7}"/>
    <cellStyle name="Output 2 3 4 2 7 3" xfId="16426" xr:uid="{FA2200B3-57DD-422F-ABD0-ACA9172A0045}"/>
    <cellStyle name="Output 2 3 4 2 7 3 2" xfId="38816" xr:uid="{22E788E5-BE29-48D5-B6C7-5EF368F8F1FA}"/>
    <cellStyle name="Output 2 3 4 2 7 3 3" xfId="44682" xr:uid="{C53B0F37-5F6D-4648-84C1-0907BAAAEF00}"/>
    <cellStyle name="Output 2 3 4 2 7 4" xfId="14543" xr:uid="{7F0E7BC3-1DA2-4DD5-82F2-71AACC0E1A2D}"/>
    <cellStyle name="Output 2 3 4 2 7 4 2" xfId="37004" xr:uid="{6CFE9554-7D0F-4284-B689-BBA20537609E}"/>
    <cellStyle name="Output 2 3 4 2 7 4 3" xfId="51955" xr:uid="{0D3DCBC2-1F6B-41BE-A95E-4C19329ED2D9}"/>
    <cellStyle name="Output 2 3 4 2 7 5" xfId="7729" xr:uid="{7420E8C4-2283-46E3-AF93-3210DFF92D08}"/>
    <cellStyle name="Output 2 3 4 2 7 5 2" xfId="48662" xr:uid="{AEC1977D-16A7-4ACB-B9E5-9E600E98D646}"/>
    <cellStyle name="Output 2 3 4 2 7 6" xfId="31956" xr:uid="{23663376-9DF7-49EC-BFAF-6B88F3013393}"/>
    <cellStyle name="Output 2 3 4 2 8" xfId="6999" xr:uid="{00000000-0005-0000-0000-0000E2070000}"/>
    <cellStyle name="Output 2 3 4 2 8 2" xfId="13836" xr:uid="{E48A50D8-B8C3-4A5F-9534-90CA95844C7B}"/>
    <cellStyle name="Output 2 3 4 2 8 2 2" xfId="36320" xr:uid="{33F34FAC-BC38-4846-8E41-78698E93CB8C}"/>
    <cellStyle name="Output 2 3 4 2 8 2 3" xfId="47490" xr:uid="{A95438AC-BBAA-42DF-91E7-B01B1D313461}"/>
    <cellStyle name="Output 2 3 4 2 8 3" xfId="18936" xr:uid="{B07DB319-0007-41F6-A48E-065E40510D2F}"/>
    <cellStyle name="Output 2 3 4 2 8 3 2" xfId="41326" xr:uid="{B6DCFB35-FF5E-4309-AA09-830667C37A4F}"/>
    <cellStyle name="Output 2 3 4 2 8 3 3" xfId="41665" xr:uid="{6F33CE62-F0B4-40AA-9090-BCC38EADA0AF}"/>
    <cellStyle name="Output 2 3 4 2 8 4" xfId="20661" xr:uid="{BE6ABC5D-EA89-41E0-BF00-4AC565FBA172}"/>
    <cellStyle name="Output 2 3 4 2 8 4 2" xfId="42938" xr:uid="{1C98ED56-FD2B-4357-96D1-185C5A227EDD}"/>
    <cellStyle name="Output 2 3 4 2 8 4 3" xfId="51896" xr:uid="{F5FC9638-B1CD-4DF5-9874-332F88FC58C8}"/>
    <cellStyle name="Output 2 3 4 2 8 5" xfId="23360" xr:uid="{DC38C307-C5DC-40F2-8C8A-4AB87982D989}"/>
    <cellStyle name="Output 2 3 4 2 8 5 2" xfId="53508" xr:uid="{4F9178BC-D4C5-4D37-8544-B28526FE50EE}"/>
    <cellStyle name="Output 2 3 4 2 8 6" xfId="52200" xr:uid="{DD2B8FB1-7126-4399-803A-48A2FCBE4992}"/>
    <cellStyle name="Output 2 3 4 2 9" xfId="6783" xr:uid="{00000000-0005-0000-0000-0000E2070000}"/>
    <cellStyle name="Output 2 3 4 2 9 2" xfId="18720" xr:uid="{84C84041-918B-4AE5-A0A5-0B35AD9B9645}"/>
    <cellStyle name="Output 2 3 4 2 9 2 2" xfId="41110" xr:uid="{B55A5B18-856B-4404-8842-B4DA8226C215}"/>
    <cellStyle name="Output 2 3 4 2 9 2 3" xfId="44269" xr:uid="{F44D1022-3CA5-47BA-92EC-BB1305D733F0}"/>
    <cellStyle name="Output 2 3 4 2 9 3" xfId="20402" xr:uid="{97DF48E7-98F1-4ED8-9D52-57F4B23C6782}"/>
    <cellStyle name="Output 2 3 4 2 9 3 2" xfId="42697" xr:uid="{D75F7AAE-37DA-4F7E-8DDE-555D2B58D0A5}"/>
    <cellStyle name="Output 2 3 4 2 9 3 3" xfId="45441" xr:uid="{EF1F3D2B-9327-4185-A48A-0EAFA4D12E4F}"/>
    <cellStyle name="Output 2 3 4 2 9 4" xfId="23144" xr:uid="{B8BCCC52-9CEA-421B-B20E-F18AF24331A8}"/>
    <cellStyle name="Output 2 3 4 2 9 4 2" xfId="46423" xr:uid="{2C5A7259-F9AB-4929-AC8B-C8B4FA107F82}"/>
    <cellStyle name="Output 2 3 4 2 9 5" xfId="47985" xr:uid="{F5C3956D-CDFC-409C-B2F9-199C8565FAD4}"/>
    <cellStyle name="Output 2 3 4 3" xfId="3148" xr:uid="{00000000-0005-0000-0000-0000E1070000}"/>
    <cellStyle name="Output 2 3 4 3 2" xfId="10057" xr:uid="{C72B6F0C-DE36-4752-B21B-BC125628FD2B}"/>
    <cellStyle name="Output 2 3 4 3 2 2" xfId="32564" xr:uid="{B25CE0C9-C586-429A-8BB3-16D3340C025C}"/>
    <cellStyle name="Output 2 3 4 3 2 3" xfId="46526" xr:uid="{5FC9F9FE-E89F-4671-8ED0-04F5E93695EE}"/>
    <cellStyle name="Output 2 3 4 3 3" xfId="15435" xr:uid="{243DFACE-BA80-4D7C-82C9-0D56C019AF99}"/>
    <cellStyle name="Output 2 3 4 3 3 2" xfId="37861" xr:uid="{8901F2EC-A187-4BDA-AA33-7B02E15D9F71}"/>
    <cellStyle name="Output 2 3 4 3 3 3" xfId="45435" xr:uid="{9C77FD72-34D0-4C5C-A8A2-BB5ECDA4747B}"/>
    <cellStyle name="Output 2 3 4 3 4" xfId="7599" xr:uid="{969A6C70-6353-4CC4-B967-DD29A9215F22}"/>
    <cellStyle name="Output 2 3 4 3 4 2" xfId="30260" xr:uid="{471AF363-0B96-420E-8C07-B636619A5D3A}"/>
    <cellStyle name="Output 2 3 4 3 4 3" xfId="30208" xr:uid="{1C250938-843E-4331-8CB2-20C410ADF9F1}"/>
    <cellStyle name="Output 2 3 4 3 5" xfId="21258" xr:uid="{F493C5A3-B6DE-44B4-B823-1FBBDF68A27D}"/>
    <cellStyle name="Output 2 3 4 3 5 2" xfId="49556" xr:uid="{3FAF8F4B-414F-4095-BC4E-1D831104BFA6}"/>
    <cellStyle name="Output 2 3 4 3 6" xfId="48306" xr:uid="{29A6C418-1D14-45E6-BA97-EBA3BE7C5A17}"/>
    <cellStyle name="Output 2 3 4 4" xfId="4797" xr:uid="{00000000-0005-0000-0000-0000E1070000}"/>
    <cellStyle name="Output 2 3 4 4 2" xfId="11694" xr:uid="{F5E54C43-67D8-4AE2-BB41-CA6FB2AB0048}"/>
    <cellStyle name="Output 2 3 4 4 2 2" xfId="34180" xr:uid="{E5167DFC-B7CD-4649-A1D9-367F13FD1413}"/>
    <cellStyle name="Output 2 3 4 4 2 3" xfId="42551" xr:uid="{A720D43A-DD33-4009-A3D0-6C81A552DB90}"/>
    <cellStyle name="Output 2 3 4 4 3" xfId="16734" xr:uid="{1DF005DC-90CC-4C99-A03F-87DA8809FED5}"/>
    <cellStyle name="Output 2 3 4 4 3 2" xfId="39124" xr:uid="{57855449-C5C3-46DA-A846-B4AC147EB5EC}"/>
    <cellStyle name="Output 2 3 4 4 3 3" xfId="43736" xr:uid="{1FCD4B22-1E47-47DB-9F98-445DEEC8AD60}"/>
    <cellStyle name="Output 2 3 4 4 4" xfId="14699" xr:uid="{23E92402-7429-4047-AFBB-902A9CAECF8B}"/>
    <cellStyle name="Output 2 3 4 4 4 2" xfId="37157" xr:uid="{FC994981-3712-4E8E-BECA-0C5B7D804CA1}"/>
    <cellStyle name="Output 2 3 4 4 4 3" xfId="47155" xr:uid="{61DCE8C6-96EF-46E7-AD7D-9C094C611914}"/>
    <cellStyle name="Output 2 3 4 4 5" xfId="20049" xr:uid="{97857D7B-8426-4C78-A166-3B6928D61D2F}"/>
    <cellStyle name="Output 2 3 4 4 5 2" xfId="45163" xr:uid="{D5B77DD4-B1AB-41B5-9AA2-458D046C2680}"/>
    <cellStyle name="Output 2 3 4 4 6" xfId="30121" xr:uid="{DF4E6450-700D-446F-ABE6-B155330DD4DD}"/>
    <cellStyle name="Output 2 3 4 5" xfId="4600" xr:uid="{00000000-0005-0000-0000-0000E1070000}"/>
    <cellStyle name="Output 2 3 4 5 2" xfId="11501" xr:uid="{73B9EBDA-CADA-45A0-A807-48B7AAF2E4AA}"/>
    <cellStyle name="Output 2 3 4 5 2 2" xfId="33987" xr:uid="{CFBA6E07-153C-434C-886C-10DFD1FE16F3}"/>
    <cellStyle name="Output 2 3 4 5 2 3" xfId="42544" xr:uid="{A72EAE70-8055-4BB3-BB70-B5BB1CACDB61}"/>
    <cellStyle name="Output 2 3 4 5 3" xfId="16537" xr:uid="{E0A82CD7-BFCE-48A4-9B09-F06434CB59BF}"/>
    <cellStyle name="Output 2 3 4 5 3 2" xfId="38927" xr:uid="{AF39ADD8-C868-491C-9378-A677521E38FC}"/>
    <cellStyle name="Output 2 3 4 5 3 3" xfId="28546" xr:uid="{98420287-E46E-4CEF-A302-2749F07D58A9}"/>
    <cellStyle name="Output 2 3 4 5 4" xfId="14146" xr:uid="{FBDF993B-9961-442D-8D9B-308919C3834B}"/>
    <cellStyle name="Output 2 3 4 5 4 2" xfId="36623" xr:uid="{EEA8ABBF-CE52-4A6F-A6C4-3A8DB9332030}"/>
    <cellStyle name="Output 2 3 4 5 4 3" xfId="28411" xr:uid="{91C6E059-10BF-412C-AA37-C891A6F35DD7}"/>
    <cellStyle name="Output 2 3 4 5 5" xfId="21166" xr:uid="{A9988CC4-7994-4BEA-94AB-E74F3C144054}"/>
    <cellStyle name="Output 2 3 4 5 5 2" xfId="53661" xr:uid="{28CD8AF6-7013-4227-9A71-20D5ACE59327}"/>
    <cellStyle name="Output 2 3 4 5 6" xfId="29794" xr:uid="{0BAEEF7B-7599-437E-99E3-3092AA3C448B}"/>
    <cellStyle name="Output 2 3 4 6" xfId="5216" xr:uid="{00000000-0005-0000-0000-0000E1070000}"/>
    <cellStyle name="Output 2 3 4 6 2" xfId="12109" xr:uid="{B38CD90C-F189-4E11-86FF-7F0D68DF9E47}"/>
    <cellStyle name="Output 2 3 4 6 2 2" xfId="34594" xr:uid="{BB94BABA-E2F8-4743-A9AE-0951FF3F0025}"/>
    <cellStyle name="Output 2 3 4 6 2 3" xfId="43584" xr:uid="{2A9CD313-8F6A-4D6E-BB93-6DA8F9215CEC}"/>
    <cellStyle name="Output 2 3 4 6 3" xfId="17153" xr:uid="{4408F9A1-8CF1-4438-B35C-641EB1D1AFE8}"/>
    <cellStyle name="Output 2 3 4 6 3 2" xfId="39543" xr:uid="{5A2DBA25-5FD4-4BC3-B028-A690FC876055}"/>
    <cellStyle name="Output 2 3 4 6 3 3" xfId="29535" xr:uid="{4EA9551F-B63B-4956-A64F-612354B4E396}"/>
    <cellStyle name="Output 2 3 4 6 4" xfId="15772" xr:uid="{7A7615E9-D8D5-46EC-8D38-F9DDC675B82B}"/>
    <cellStyle name="Output 2 3 4 6 4 2" xfId="38182" xr:uid="{FFE09FCE-BD47-44B0-9722-5F230D7C9B27}"/>
    <cellStyle name="Output 2 3 4 6 4 3" xfId="47444" xr:uid="{6692E6D3-7E85-4750-90D5-8A8689A7D4D3}"/>
    <cellStyle name="Output 2 3 4 6 5" xfId="21577" xr:uid="{BFEEE0F9-8FE4-4580-83D8-478496B20382}"/>
    <cellStyle name="Output 2 3 4 6 5 2" xfId="46269" xr:uid="{0D28E2D6-BB97-4886-A10B-8E387367B5B0}"/>
    <cellStyle name="Output 2 3 4 6 6" xfId="46187" xr:uid="{53307ABD-EB16-44CC-A2F4-C1F4928F6741}"/>
    <cellStyle name="Output 2 3 4 7" xfId="4733" xr:uid="{00000000-0005-0000-0000-0000E1070000}"/>
    <cellStyle name="Output 2 3 4 7 2" xfId="11631" xr:uid="{3377AEE2-23F0-4F1C-B878-332F7998F318}"/>
    <cellStyle name="Output 2 3 4 7 2 2" xfId="34117" xr:uid="{20D587C4-5B15-4945-9C7E-47121E20B40F}"/>
    <cellStyle name="Output 2 3 4 7 2 3" xfId="28664" xr:uid="{598D6391-E353-49EE-9B17-DEA3E0AA4308}"/>
    <cellStyle name="Output 2 3 4 7 3" xfId="16670" xr:uid="{E42ACB93-09A3-4841-A0AC-CB2480F9A5F3}"/>
    <cellStyle name="Output 2 3 4 7 3 2" xfId="39060" xr:uid="{77F9E291-94D2-41CC-BF9E-3D74731EE8FE}"/>
    <cellStyle name="Output 2 3 4 7 3 3" xfId="43804" xr:uid="{3FA3FB4E-ECF6-4C60-AE5B-B3944AD19882}"/>
    <cellStyle name="Output 2 3 4 7 4" xfId="15679" xr:uid="{F0E359AB-5B21-4D6B-8259-B6AFCA3C73A4}"/>
    <cellStyle name="Output 2 3 4 7 4 2" xfId="38095" xr:uid="{017E47F0-0CC0-424D-8731-E970F2A1E9D5}"/>
    <cellStyle name="Output 2 3 4 7 4 3" xfId="47930" xr:uid="{4665900F-AC47-4CBA-ABEF-92036840BAAF}"/>
    <cellStyle name="Output 2 3 4 7 5" xfId="19686" xr:uid="{1D2D4068-9297-409B-B91D-A8952CC9B47A}"/>
    <cellStyle name="Output 2 3 4 7 5 2" xfId="29854" xr:uid="{E2BB0E6C-F087-440A-952D-D2186338CEBB}"/>
    <cellStyle name="Output 2 3 4 7 6" xfId="53781" xr:uid="{5BE2A95D-1658-4AE6-9B5A-74DCF279EE3E}"/>
    <cellStyle name="Output 2 3 4 8" xfId="8973" xr:uid="{F6F059DB-DC8E-4883-B2F8-00BDFBB23147}"/>
    <cellStyle name="Output 2 3 4 8 2" xfId="31551" xr:uid="{32AE986E-E4CF-4F22-A723-15782B22781A}"/>
    <cellStyle name="Output 2 3 4 8 3" xfId="46812" xr:uid="{FFDA534A-6C1E-4DA9-AE6F-C67AED739C51}"/>
    <cellStyle name="Output 2 3 4 9" xfId="20671" xr:uid="{37BFAF64-5770-4C21-9017-47878A5AA351}"/>
    <cellStyle name="Output 2 3 4 9 2" xfId="42945" xr:uid="{5F95D53E-55D5-4A58-8C39-0799B95C27DB}"/>
    <cellStyle name="Output 2 3 4 9 3" xfId="52948" xr:uid="{AF96F18D-18BB-4665-B34F-F8163EA05F0D}"/>
    <cellStyle name="Output 2 3 5" xfId="1207" xr:uid="{00000000-0005-0000-0000-0000E5070000}"/>
    <cellStyle name="Output 2 3 5 10" xfId="15729" xr:uid="{C3786F89-5801-4213-839A-06B6BF0A7721}"/>
    <cellStyle name="Output 2 3 5 10 2" xfId="45852" xr:uid="{56661C44-0509-4933-8B23-F991C111CB24}"/>
    <cellStyle name="Output 2 3 5 11" xfId="47499" xr:uid="{2DD82516-A891-4071-9104-F55EDE70E6D3}"/>
    <cellStyle name="Output 2 3 5 2" xfId="2007" xr:uid="{00000000-0005-0000-0000-0000E6070000}"/>
    <cellStyle name="Output 2 3 5 2 10" xfId="14655" xr:uid="{639B8ABE-6FD1-4055-A9C1-1C6B91A7B878}"/>
    <cellStyle name="Output 2 3 5 2 10 2" xfId="37115" xr:uid="{A418DDE7-968A-4720-8D3F-141430C8A1D3}"/>
    <cellStyle name="Output 2 3 5 2 10 3" xfId="52555" xr:uid="{BD3267C9-4B85-4132-9ADE-CECEF0602E09}"/>
    <cellStyle name="Output 2 3 5 2 11" xfId="21007" xr:uid="{57F6931B-51BB-4429-8BB6-AFD1677A5FCB}"/>
    <cellStyle name="Output 2 3 5 2 11 2" xfId="43258" xr:uid="{8F199B8C-8B2E-4CBE-9CA3-9D3B1B85AB53}"/>
    <cellStyle name="Output 2 3 5 2 11 3" xfId="51312" xr:uid="{DF848E12-6F85-4A89-BA42-60603001F8EC}"/>
    <cellStyle name="Output 2 3 5 2 12" xfId="15707" xr:uid="{B992CABB-1B4C-4208-9E09-C17FF49EDBF9}"/>
    <cellStyle name="Output 2 3 5 2 12 2" xfId="53094" xr:uid="{5C710AFE-ABDC-41DF-A2EC-270DA4F89AF2}"/>
    <cellStyle name="Output 2 3 5 2 13" xfId="48005" xr:uid="{ADF56128-40C7-450C-8017-9FED4638AF0D}"/>
    <cellStyle name="Output 2 3 5 2 2" xfId="4102" xr:uid="{00000000-0005-0000-0000-0000E4070000}"/>
    <cellStyle name="Output 2 3 5 2 2 2" xfId="11006" xr:uid="{2C2F8090-4326-41C0-9542-C61BB57C3EA3}"/>
    <cellStyle name="Output 2 3 5 2 2 2 2" xfId="33492" xr:uid="{B6E2B492-9EEE-4CBC-90A6-A41336BAD8DD}"/>
    <cellStyle name="Output 2 3 5 2 2 2 3" xfId="49109" xr:uid="{9EAFEACD-4DC5-4ADC-9396-C41961C9CA7F}"/>
    <cellStyle name="Output 2 3 5 2 2 3" xfId="16106" xr:uid="{4A3428AE-DEED-47F6-80F7-7EBBE6E95F87}"/>
    <cellStyle name="Output 2 3 5 2 2 3 2" xfId="38506" xr:uid="{7BF1DDD3-2AF4-4278-A51E-7C160B66FEA6}"/>
    <cellStyle name="Output 2 3 5 2 2 3 3" xfId="28388" xr:uid="{96236B2A-E64B-4DFD-844D-D0F1A2A39140}"/>
    <cellStyle name="Output 2 3 5 2 2 4" xfId="19960" xr:uid="{4F34AD4F-8B72-4773-AE01-153F42905344}"/>
    <cellStyle name="Output 2 3 5 2 2 4 2" xfId="42288" xr:uid="{CC3BDA03-48A1-4D46-93F4-7DC5E9C23A58}"/>
    <cellStyle name="Output 2 3 5 2 2 4 3" xfId="28144" xr:uid="{DB69ED04-12B9-4296-BE92-AA4E02308B0F}"/>
    <cellStyle name="Output 2 3 5 2 2 5" xfId="20845" xr:uid="{84DE29D9-E279-4405-8AEF-E0FC22CBF4B9}"/>
    <cellStyle name="Output 2 3 5 2 2 5 2" xfId="48689" xr:uid="{F63AFD1C-A8CF-4BB0-99B7-AD19232126A7}"/>
    <cellStyle name="Output 2 3 5 2 2 6" xfId="45458" xr:uid="{4B471C21-41A6-4B77-B6BA-410CC5053178}"/>
    <cellStyle name="Output 2 3 5 2 3" xfId="5448" xr:uid="{00000000-0005-0000-0000-0000E4070000}"/>
    <cellStyle name="Output 2 3 5 2 3 2" xfId="12337" xr:uid="{24FAA0B3-F686-4891-9749-1A323C22B7A0}"/>
    <cellStyle name="Output 2 3 5 2 3 2 2" xfId="34822" xr:uid="{6B89433B-6736-4F18-88EB-D32B68CF02E0}"/>
    <cellStyle name="Output 2 3 5 2 3 2 3" xfId="37082" xr:uid="{E92FC55D-1BB6-4404-BC4C-D4C040622E1D}"/>
    <cellStyle name="Output 2 3 5 2 3 3" xfId="17385" xr:uid="{C0E392DA-FDA6-40A1-85B6-A4B13BF15F36}"/>
    <cellStyle name="Output 2 3 5 2 3 3 2" xfId="39775" xr:uid="{A73AEAE7-38AC-41B5-9A8A-4FF2EF0FF023}"/>
    <cellStyle name="Output 2 3 5 2 3 3 3" xfId="45344" xr:uid="{54685C08-24FD-4441-971D-589F500F93F7}"/>
    <cellStyle name="Output 2 3 5 2 3 4" xfId="19881" xr:uid="{ADCEE22E-9965-4699-919C-8990E831B6C5}"/>
    <cellStyle name="Output 2 3 5 2 3 4 2" xfId="42215" xr:uid="{350BF611-653C-4C69-96C7-7C0D30D9A078}"/>
    <cellStyle name="Output 2 3 5 2 3 4 3" xfId="30202" xr:uid="{DA6F9F81-2C58-4A46-8F56-B23C4C6DED0B}"/>
    <cellStyle name="Output 2 3 5 2 3 5" xfId="21809" xr:uid="{1C90A093-79B5-4770-883A-733D811E94FA}"/>
    <cellStyle name="Output 2 3 5 2 3 5 2" xfId="47705" xr:uid="{AD7C0FFC-3222-46EF-8F2C-82EF6852A21A}"/>
    <cellStyle name="Output 2 3 5 2 3 6" xfId="50400" xr:uid="{53DAD016-73BA-47C6-ACCD-3AB0F1B5997D}"/>
    <cellStyle name="Output 2 3 5 2 4" xfId="5871" xr:uid="{00000000-0005-0000-0000-0000E4070000}"/>
    <cellStyle name="Output 2 3 5 2 4 2" xfId="12753" xr:uid="{15DCCD23-4A47-4F3D-81DE-247D0EACAD55}"/>
    <cellStyle name="Output 2 3 5 2 4 2 2" xfId="35237" xr:uid="{EB4643B5-C118-4AC5-B0C0-6FB39025C823}"/>
    <cellStyle name="Output 2 3 5 2 4 2 3" xfId="32474" xr:uid="{C20C1023-F44F-4DAD-B53F-D9866A5E66CD}"/>
    <cellStyle name="Output 2 3 5 2 4 3" xfId="17808" xr:uid="{3EC7B24B-AA40-4819-9026-B7C11D71F2DD}"/>
    <cellStyle name="Output 2 3 5 2 4 3 2" xfId="40198" xr:uid="{35081A1C-95F0-4AB5-9E4C-F05191571882}"/>
    <cellStyle name="Output 2 3 5 2 4 3 3" xfId="29113" xr:uid="{7828AAD6-061B-4B2E-ACE5-91A88F4BEAF3}"/>
    <cellStyle name="Output 2 3 5 2 4 4" xfId="14701" xr:uid="{B576C114-1F0E-4CD1-A5C9-87F53EC21C85}"/>
    <cellStyle name="Output 2 3 5 2 4 4 2" xfId="37159" xr:uid="{2330CBEB-4627-41C3-BB1B-90CEA99F4871}"/>
    <cellStyle name="Output 2 3 5 2 4 4 3" xfId="53225" xr:uid="{FD6230EF-6BBC-4087-A876-6BA9133B8B4A}"/>
    <cellStyle name="Output 2 3 5 2 4 5" xfId="22232" xr:uid="{0C253615-DD06-4AEA-8979-2AE5D8C1F8F2}"/>
    <cellStyle name="Output 2 3 5 2 4 5 2" xfId="53399" xr:uid="{CA56EF69-D02E-4EFE-884E-EC2826DE8887}"/>
    <cellStyle name="Output 2 3 5 2 4 6" xfId="45962" xr:uid="{959F845D-A5DC-4D35-9E65-FBBA2B1754DB}"/>
    <cellStyle name="Output 2 3 5 2 5" xfId="6209" xr:uid="{00000000-0005-0000-0000-0000E4070000}"/>
    <cellStyle name="Output 2 3 5 2 5 2" xfId="13084" xr:uid="{52154D09-4D36-466A-8F24-80B3E31FFDAF}"/>
    <cellStyle name="Output 2 3 5 2 5 2 2" xfId="35568" xr:uid="{646308CC-CD97-44EA-855F-54793ED5629D}"/>
    <cellStyle name="Output 2 3 5 2 5 2 3" xfId="36619" xr:uid="{D623E4FD-D3AE-4CE0-8B3E-82D3627F6382}"/>
    <cellStyle name="Output 2 3 5 2 5 3" xfId="18146" xr:uid="{BFCD8187-4F3C-4D05-95BC-1159F4B31D5A}"/>
    <cellStyle name="Output 2 3 5 2 5 3 2" xfId="40536" xr:uid="{E1E06B07-5F59-4020-8FB8-C2EADCC5187C}"/>
    <cellStyle name="Output 2 3 5 2 5 3 3" xfId="44014" xr:uid="{668485EE-3F52-43BF-BB55-27A6A2312E55}"/>
    <cellStyle name="Output 2 3 5 2 5 4" xfId="15853" xr:uid="{D1B42EE0-96C6-4C40-9834-CA8D2C05E8FE}"/>
    <cellStyle name="Output 2 3 5 2 5 4 2" xfId="38260" xr:uid="{ABE392FF-4D13-4D2A-B899-FDC3BF28284B}"/>
    <cellStyle name="Output 2 3 5 2 5 4 3" xfId="48870" xr:uid="{EDE65B61-8E9F-4BE4-8652-17A584264588}"/>
    <cellStyle name="Output 2 3 5 2 5 5" xfId="22570" xr:uid="{90902A55-346A-4768-A91F-9774199BF261}"/>
    <cellStyle name="Output 2 3 5 2 5 5 2" xfId="41809" xr:uid="{6E07D0A9-3F97-4560-B342-B3EE106A189F}"/>
    <cellStyle name="Output 2 3 5 2 5 6" xfId="48597" xr:uid="{8F9C151A-5F20-4361-A5BE-2C5923D3BC5D}"/>
    <cellStyle name="Output 2 3 5 2 6" xfId="6575" xr:uid="{00000000-0005-0000-0000-0000E4070000}"/>
    <cellStyle name="Output 2 3 5 2 6 2" xfId="13441" xr:uid="{9EC3C808-084D-472F-8963-230BE69A4098}"/>
    <cellStyle name="Output 2 3 5 2 6 2 2" xfId="35925" xr:uid="{8A32E90E-6F5E-47C2-8FE0-4D08C198C366}"/>
    <cellStyle name="Output 2 3 5 2 6 2 3" xfId="27885" xr:uid="{524B2076-4928-4EF0-81F0-BD4B9C5A4315}"/>
    <cellStyle name="Output 2 3 5 2 6 3" xfId="18512" xr:uid="{28830D72-DA88-46A4-A0E6-A10F2E5E38DD}"/>
    <cellStyle name="Output 2 3 5 2 6 3 2" xfId="40902" xr:uid="{F703FEAA-F5C6-4392-B963-D94E8232FB23}"/>
    <cellStyle name="Output 2 3 5 2 6 3 3" xfId="28117" xr:uid="{414D467B-9281-417C-A4CA-543A7199093A}"/>
    <cellStyle name="Output 2 3 5 2 6 4" xfId="8824" xr:uid="{1B98ED6E-CC06-40A9-A72F-8DA464E4CE7A}"/>
    <cellStyle name="Output 2 3 5 2 6 4 2" xfId="31405" xr:uid="{D71310D8-88CD-4E04-888F-AAD0E0C5912A}"/>
    <cellStyle name="Output 2 3 5 2 6 4 3" xfId="24055" xr:uid="{5F684208-C1E1-4704-8B53-BBC0FF94D47B}"/>
    <cellStyle name="Output 2 3 5 2 6 5" xfId="22936" xr:uid="{163A5C1B-F513-4DE4-BFFD-05BF2BADE729}"/>
    <cellStyle name="Output 2 3 5 2 6 5 2" xfId="51364" xr:uid="{AC2E6C24-8818-4AA3-9679-C61EF5ABE8D5}"/>
    <cellStyle name="Output 2 3 5 2 6 6" xfId="41956" xr:uid="{C72E0030-D396-40EE-98A1-8407038A3CDC}"/>
    <cellStyle name="Output 2 3 5 2 7" xfId="6037" xr:uid="{00000000-0005-0000-0000-0000E4070000}"/>
    <cellStyle name="Output 2 3 5 2 7 2" xfId="12916" xr:uid="{67CB4D13-E6A2-4A75-BCF9-FABBB3A0DF08}"/>
    <cellStyle name="Output 2 3 5 2 7 2 2" xfId="35400" xr:uid="{2B6676D8-BA71-4D34-BDC5-98A38C803F89}"/>
    <cellStyle name="Output 2 3 5 2 7 2 3" xfId="51095" xr:uid="{125AF368-9168-417B-A7F8-4CEFA0A0FE64}"/>
    <cellStyle name="Output 2 3 5 2 7 3" xfId="17974" xr:uid="{4AE7E56A-06C1-46AC-9D7C-72E847097B47}"/>
    <cellStyle name="Output 2 3 5 2 7 3 2" xfId="40364" xr:uid="{60507F24-D552-41B5-8BDA-0BFF0CA63F72}"/>
    <cellStyle name="Output 2 3 5 2 7 3 3" xfId="26662" xr:uid="{8119A707-21C3-479A-AF77-1903BF5BEC97}"/>
    <cellStyle name="Output 2 3 5 2 7 4" xfId="15362" xr:uid="{783122EB-7B01-498B-A659-B8A2DBF48701}"/>
    <cellStyle name="Output 2 3 5 2 7 4 2" xfId="37793" xr:uid="{FC2E8E8D-EA35-4026-9837-863BAB68ACEA}"/>
    <cellStyle name="Output 2 3 5 2 7 4 3" xfId="50564" xr:uid="{B9CEABF6-80EA-4C72-A8F8-1B4C4B3A747F}"/>
    <cellStyle name="Output 2 3 5 2 7 5" xfId="22398" xr:uid="{B234CAFC-C536-4914-A470-BBEDCF4C1F4D}"/>
    <cellStyle name="Output 2 3 5 2 7 5 2" xfId="25605" xr:uid="{24FAC555-1A27-4C2E-B086-BB6F1F6E39DA}"/>
    <cellStyle name="Output 2 3 5 2 7 6" xfId="47395" xr:uid="{8341A2C3-42FC-4E05-BCC3-4062FB73A024}"/>
    <cellStyle name="Output 2 3 5 2 8" xfId="7045" xr:uid="{00000000-0005-0000-0000-0000E4070000}"/>
    <cellStyle name="Output 2 3 5 2 8 2" xfId="13881" xr:uid="{AEE2B374-5FCD-448C-9204-9B7B791F451C}"/>
    <cellStyle name="Output 2 3 5 2 8 2 2" xfId="36365" xr:uid="{32A9F53C-8862-43C0-A1D0-A0F64E9A3E8D}"/>
    <cellStyle name="Output 2 3 5 2 8 2 3" xfId="52751" xr:uid="{077C1DF6-5985-4DD3-8DEE-A862779D9CF2}"/>
    <cellStyle name="Output 2 3 5 2 8 3" xfId="18982" xr:uid="{9A0B127E-343A-4DCC-B8B8-72B0F2F72C83}"/>
    <cellStyle name="Output 2 3 5 2 8 3 2" xfId="41372" xr:uid="{C5329ABD-F5AF-4A2B-8042-2EABD26EA8F5}"/>
    <cellStyle name="Output 2 3 5 2 8 3 3" xfId="24221" xr:uid="{DB162656-3FB1-4ACA-95FB-EFD7546CBD6A}"/>
    <cellStyle name="Output 2 3 5 2 8 4" xfId="21101" xr:uid="{83745F38-CE9D-45C1-94DA-704979944D03}"/>
    <cellStyle name="Output 2 3 5 2 8 4 2" xfId="43348" xr:uid="{5A53FD72-4849-401E-8D31-0C3E364309A3}"/>
    <cellStyle name="Output 2 3 5 2 8 4 3" xfId="47704" xr:uid="{3417A59C-1685-4363-B22A-5C85789B8B3E}"/>
    <cellStyle name="Output 2 3 5 2 8 5" xfId="23406" xr:uid="{C6909C4A-D7A9-41B2-9ED3-68CC458BB1F3}"/>
    <cellStyle name="Output 2 3 5 2 8 5 2" xfId="46152" xr:uid="{E5AAEA69-138F-4C5D-9AAC-4769744E1305}"/>
    <cellStyle name="Output 2 3 5 2 8 6" xfId="47309" xr:uid="{D7EF4E65-9627-415E-921F-8E3C269C3BF1}"/>
    <cellStyle name="Output 2 3 5 2 9" xfId="7160" xr:uid="{00000000-0005-0000-0000-0000E4070000}"/>
    <cellStyle name="Output 2 3 5 2 9 2" xfId="19097" xr:uid="{762DF69A-2407-4CC0-9366-CD34D77A8937}"/>
    <cellStyle name="Output 2 3 5 2 9 2 2" xfId="41487" xr:uid="{DEF2C9A9-0438-4632-9A35-9E72626D3AB7}"/>
    <cellStyle name="Output 2 3 5 2 9 2 3" xfId="44135" xr:uid="{F8A24C50-D882-4FD8-A6BB-83146178069B}"/>
    <cellStyle name="Output 2 3 5 2 9 3" xfId="20610" xr:uid="{BD38E7FC-7460-43BE-8274-25F8A1D51FFB}"/>
    <cellStyle name="Output 2 3 5 2 9 3 2" xfId="42891" xr:uid="{7F74ACBF-6A9A-424E-B7A9-21AF9D99E081}"/>
    <cellStyle name="Output 2 3 5 2 9 3 3" xfId="48338" xr:uid="{5D690AF1-1D20-428E-A4B9-8DF4A9FFEAEC}"/>
    <cellStyle name="Output 2 3 5 2 9 4" xfId="23521" xr:uid="{D8E77771-CB12-4835-8FDD-1F6550D71AA0}"/>
    <cellStyle name="Output 2 3 5 2 9 4 2" xfId="44144" xr:uid="{79D42C42-AFE5-4648-918D-83683F9E9345}"/>
    <cellStyle name="Output 2 3 5 2 9 5" xfId="49670" xr:uid="{BFF71F6E-49F7-49EF-A154-061BD0C0E4A9}"/>
    <cellStyle name="Output 2 3 5 3" xfId="3321" xr:uid="{00000000-0005-0000-0000-0000E3070000}"/>
    <cellStyle name="Output 2 3 5 3 2" xfId="10229" xr:uid="{D4B5FBBB-6AE8-4010-8A25-6CE8AD2D6128}"/>
    <cellStyle name="Output 2 3 5 3 2 2" xfId="32723" xr:uid="{9D4D8652-CEBD-4D56-9A77-46CFFC3C028B}"/>
    <cellStyle name="Output 2 3 5 3 2 3" xfId="52109" xr:uid="{594CBCD2-D2F4-44D5-A179-FC01B2961F48}"/>
    <cellStyle name="Output 2 3 5 3 3" xfId="15547" xr:uid="{EA2CF0E2-0AE8-48B9-AC27-6F9D07536A2D}"/>
    <cellStyle name="Output 2 3 5 3 3 2" xfId="37966" xr:uid="{71699814-EB46-4BAA-97C9-6137010482C2}"/>
    <cellStyle name="Output 2 3 5 3 3 3" xfId="49908" xr:uid="{95CF7356-8B63-460B-B8C8-D9A308FF73CA}"/>
    <cellStyle name="Output 2 3 5 3 4" xfId="19653" xr:uid="{F0227832-AB52-4629-812F-B294B241D847}"/>
    <cellStyle name="Output 2 3 5 3 4 2" xfId="42001" xr:uid="{F767AF11-24E5-48FB-B434-65D3095BD788}"/>
    <cellStyle name="Output 2 3 5 3 4 3" xfId="43892" xr:uid="{6C7781E8-3053-4D5F-B06F-AB15563DA9A1}"/>
    <cellStyle name="Output 2 3 5 3 5" xfId="15296" xr:uid="{5E6BBD4D-0AB7-4D6A-B906-C07067559503}"/>
    <cellStyle name="Output 2 3 5 3 5 2" xfId="52772" xr:uid="{2B4D0D04-24FA-43FE-971F-86A392D893F4}"/>
    <cellStyle name="Output 2 3 5 3 6" xfId="47795" xr:uid="{86F9623E-A247-432F-98EC-7649CE0F7503}"/>
    <cellStyle name="Output 2 3 5 4" xfId="4907" xr:uid="{00000000-0005-0000-0000-0000E3070000}"/>
    <cellStyle name="Output 2 3 5 4 2" xfId="11802" xr:uid="{B7E1F5ED-2F77-4F28-96F0-02D8C63C5B60}"/>
    <cellStyle name="Output 2 3 5 4 2 2" xfId="34288" xr:uid="{1572A81D-8404-4627-939B-9F439C8DAA74}"/>
    <cellStyle name="Output 2 3 5 4 2 3" xfId="29548" xr:uid="{9E267100-B42E-4E55-B97C-36C5EAE1F93F}"/>
    <cellStyle name="Output 2 3 5 4 3" xfId="16844" xr:uid="{55FD2D18-3314-474C-82E1-B0B1615117D0}"/>
    <cellStyle name="Output 2 3 5 4 3 2" xfId="39234" xr:uid="{45395773-46EE-4B97-BE6B-A20188C24483}"/>
    <cellStyle name="Output 2 3 5 4 3 3" xfId="30873" xr:uid="{F1AEA734-F689-4794-A343-46550E42C3F1}"/>
    <cellStyle name="Output 2 3 5 4 4" xfId="8896" xr:uid="{C5A27683-E4BC-49A8-A348-998BE37951C1}"/>
    <cellStyle name="Output 2 3 5 4 4 2" xfId="31475" xr:uid="{002CD390-F334-4C6E-A4C5-427372651E97}"/>
    <cellStyle name="Output 2 3 5 4 4 3" xfId="53226" xr:uid="{A223CFD7-D0EA-48B9-A43E-4383A44DC772}"/>
    <cellStyle name="Output 2 3 5 4 5" xfId="20568" xr:uid="{AD5CA90E-935A-4570-883D-611E35BA5B73}"/>
    <cellStyle name="Output 2 3 5 4 5 2" xfId="53905" xr:uid="{B9CDCCAC-6D70-4B5A-AA4D-E91D336F36FC}"/>
    <cellStyle name="Output 2 3 5 4 6" xfId="51554" xr:uid="{AE60F04C-D827-483D-9529-5DDC8FDCF965}"/>
    <cellStyle name="Output 2 3 5 5" xfId="5781" xr:uid="{00000000-0005-0000-0000-0000E3070000}"/>
    <cellStyle name="Output 2 3 5 5 2" xfId="12664" xr:uid="{F90C3380-165A-41D5-A2F1-4004FA74FCBB}"/>
    <cellStyle name="Output 2 3 5 5 2 2" xfId="35149" xr:uid="{8E0CD083-7A96-4158-A8E1-F18096800915}"/>
    <cellStyle name="Output 2 3 5 5 2 3" xfId="29055" xr:uid="{3C8D715A-8174-432D-B85B-0F330FD2CD2F}"/>
    <cellStyle name="Output 2 3 5 5 3" xfId="17718" xr:uid="{C5CFF4D9-001E-4C2F-8978-255E4ED35922}"/>
    <cellStyle name="Output 2 3 5 5 3 2" xfId="40108" xr:uid="{6B15A7B0-D2FA-4118-9FE7-4D89DCC63085}"/>
    <cellStyle name="Output 2 3 5 5 3 3" xfId="26386" xr:uid="{FC8D6478-C1AE-4879-A4F2-7AEBA9434AA6}"/>
    <cellStyle name="Output 2 3 5 5 4" xfId="8827" xr:uid="{E5BF9FB6-87D9-43F8-A658-F2AD09B37EBE}"/>
    <cellStyle name="Output 2 3 5 5 4 2" xfId="31408" xr:uid="{DEC84106-0FBF-48FE-BB29-AD58BB38830E}"/>
    <cellStyle name="Output 2 3 5 5 4 3" xfId="47724" xr:uid="{B22C751C-6B67-4EB2-A7A4-EE40CD622931}"/>
    <cellStyle name="Output 2 3 5 5 5" xfId="22142" xr:uid="{3C590164-DC9D-43E7-93DA-848F1C53B5D2}"/>
    <cellStyle name="Output 2 3 5 5 5 2" xfId="30594" xr:uid="{B5665007-7F3D-423C-BC57-C45881C7E4F9}"/>
    <cellStyle name="Output 2 3 5 5 6" xfId="50886" xr:uid="{372F993D-F3DC-469A-9177-36BA33E884D3}"/>
    <cellStyle name="Output 2 3 5 6" xfId="5495" xr:uid="{00000000-0005-0000-0000-0000E3070000}"/>
    <cellStyle name="Output 2 3 5 6 2" xfId="12384" xr:uid="{AC792E80-3C18-4B21-8F6E-15A9A813F269}"/>
    <cellStyle name="Output 2 3 5 6 2 2" xfId="34869" xr:uid="{4C1A9661-A746-43A8-8B33-C84659DF49BD}"/>
    <cellStyle name="Output 2 3 5 6 2 3" xfId="29663" xr:uid="{D903F091-BB51-4B0D-A13E-5B37296B3E37}"/>
    <cellStyle name="Output 2 3 5 6 3" xfId="17432" xr:uid="{F3CFE582-C765-44D5-9AD5-26E63179256B}"/>
    <cellStyle name="Output 2 3 5 6 3 2" xfId="39822" xr:uid="{3E357C4B-FF3D-46D2-88D6-392F3872F112}"/>
    <cellStyle name="Output 2 3 5 6 3 3" xfId="44435" xr:uid="{1D432D72-004A-4BD9-9944-460CB2E29A63}"/>
    <cellStyle name="Output 2 3 5 6 4" xfId="15475" xr:uid="{7FECB444-C2F8-48B0-8B5B-1211B2B6B4B8}"/>
    <cellStyle name="Output 2 3 5 6 4 2" xfId="37901" xr:uid="{CDDBBAE8-C6DA-4DD3-8AE1-123F315D5390}"/>
    <cellStyle name="Output 2 3 5 6 4 3" xfId="53639" xr:uid="{F870E1AB-F0B4-4BED-B270-24D1CBD304A3}"/>
    <cellStyle name="Output 2 3 5 6 5" xfId="21856" xr:uid="{04C43B4B-1702-4BC6-95F3-D8998D46BEF4}"/>
    <cellStyle name="Output 2 3 5 6 5 2" xfId="49589" xr:uid="{4E4CCCCB-A444-4B15-90F2-69C3D88E3876}"/>
    <cellStyle name="Output 2 3 5 6 6" xfId="45124" xr:uid="{8284ABA0-FBE3-4533-860E-E60CE925A5F8}"/>
    <cellStyle name="Output 2 3 5 7" xfId="5971" xr:uid="{00000000-0005-0000-0000-0000E3070000}"/>
    <cellStyle name="Output 2 3 5 7 2" xfId="12852" xr:uid="{89D299DB-C212-4DFF-8BC4-2AB4D03C0FED}"/>
    <cellStyle name="Output 2 3 5 7 2 2" xfId="35336" xr:uid="{6D751180-F957-46A8-96E3-9C294DA9B0FA}"/>
    <cellStyle name="Output 2 3 5 7 2 3" xfId="30875" xr:uid="{FC54AD8C-708B-4E23-B161-3255220F7382}"/>
    <cellStyle name="Output 2 3 5 7 3" xfId="17908" xr:uid="{E1E6F1B7-E183-4486-94F1-9A434EC1AA30}"/>
    <cellStyle name="Output 2 3 5 7 3 2" xfId="40298" xr:uid="{5EAA07C0-231C-4F4D-8FFE-F3E83F9B40C7}"/>
    <cellStyle name="Output 2 3 5 7 3 3" xfId="42967" xr:uid="{024FACBA-FAE5-4F5C-86EA-920153A24EF0}"/>
    <cellStyle name="Output 2 3 5 7 4" xfId="7274" xr:uid="{3FC1A58B-09C4-4167-89BE-9AAC7A872002}"/>
    <cellStyle name="Output 2 3 5 7 4 2" xfId="29962" xr:uid="{A6914EAE-2A49-4708-8B8D-CAB816764494}"/>
    <cellStyle name="Output 2 3 5 7 4 3" xfId="47416" xr:uid="{B61F2966-7BD6-4326-BBBD-0D77890FF84C}"/>
    <cellStyle name="Output 2 3 5 7 5" xfId="22332" xr:uid="{F77BA5D8-CD42-42D7-8966-D2128AC19800}"/>
    <cellStyle name="Output 2 3 5 7 5 2" xfId="48509" xr:uid="{17835C45-DE89-4BEF-B2F9-962FFA3FA8C5}"/>
    <cellStyle name="Output 2 3 5 7 6" xfId="43661" xr:uid="{F2376118-3CA0-4FCF-BD21-C93F76462EE3}"/>
    <cellStyle name="Output 2 3 5 8" xfId="14082" xr:uid="{6EB87775-5872-4C1C-94E7-B4EDE9E0D19E}"/>
    <cellStyle name="Output 2 3 5 8 2" xfId="36560" xr:uid="{E36D1FD7-EA6F-4D77-A31C-5D8FB397588E}"/>
    <cellStyle name="Output 2 3 5 8 3" xfId="46174" xr:uid="{D0DD7AAA-001F-4E6B-B91C-F8842DE458EA}"/>
    <cellStyle name="Output 2 3 5 9" xfId="15856" xr:uid="{4BC84889-3A66-4084-AE9B-F47E7D52B761}"/>
    <cellStyle name="Output 2 3 5 9 2" xfId="38263" xr:uid="{7621EF5A-9531-4261-84C0-D425BC279B00}"/>
    <cellStyle name="Output 2 3 5 9 3" xfId="47491" xr:uid="{5497CC6A-D7F6-4954-85EC-11D54AE35548}"/>
    <cellStyle name="Output 2 3 6" xfId="1369" xr:uid="{00000000-0005-0000-0000-0000E7070000}"/>
    <cellStyle name="Output 2 3 6 10" xfId="14826" xr:uid="{1A3195EF-AE64-4356-BF58-DC467568DD00}"/>
    <cellStyle name="Output 2 3 6 10 2" xfId="24505" xr:uid="{6DDDC210-A43A-4FD6-B363-3EB480C6184B}"/>
    <cellStyle name="Output 2 3 6 11" xfId="47853" xr:uid="{FF566794-F7D7-4FD9-A83D-1D5B599F352B}"/>
    <cellStyle name="Output 2 3 6 2" xfId="2098" xr:uid="{00000000-0005-0000-0000-0000E8070000}"/>
    <cellStyle name="Output 2 3 6 2 10" xfId="14727" xr:uid="{BE59F738-02E0-4A7C-AAC3-F96ACC4EC945}"/>
    <cellStyle name="Output 2 3 6 2 10 2" xfId="37185" xr:uid="{1A5F0E63-7ED2-43B6-A7B7-B0BAC79F0EAB}"/>
    <cellStyle name="Output 2 3 6 2 10 3" xfId="46316" xr:uid="{3E6F9017-B1A7-4BEB-B887-9B183483CFEC}"/>
    <cellStyle name="Output 2 3 6 2 11" xfId="20730" xr:uid="{8BE9DB6B-6D70-4084-B5A7-19B8024F7A5C}"/>
    <cellStyle name="Output 2 3 6 2 11 2" xfId="43001" xr:uid="{9FE73491-952A-4C6E-B6F3-C00A16D54696}"/>
    <cellStyle name="Output 2 3 6 2 11 3" xfId="52859" xr:uid="{AEF16246-3932-49DA-9936-A0E4374E5041}"/>
    <cellStyle name="Output 2 3 6 2 12" xfId="21138" xr:uid="{A01BC82D-62FA-4303-887D-4345B905212D}"/>
    <cellStyle name="Output 2 3 6 2 12 2" xfId="28372" xr:uid="{067570D7-7CF3-4D8B-9FC3-5588C2D809FC}"/>
    <cellStyle name="Output 2 3 6 2 13" xfId="51916" xr:uid="{7BF5DB7A-F60F-4F90-9900-CFDACF2F1E29}"/>
    <cellStyle name="Output 2 3 6 2 2" xfId="4191" xr:uid="{00000000-0005-0000-0000-0000E6070000}"/>
    <cellStyle name="Output 2 3 6 2 2 2" xfId="11095" xr:uid="{B6FAE1D5-EB7A-496E-94FE-F5C7BB4C6AAA}"/>
    <cellStyle name="Output 2 3 6 2 2 2 2" xfId="33581" xr:uid="{B1CEDA5B-91A6-431A-B0C5-599AAF92C802}"/>
    <cellStyle name="Output 2 3 6 2 2 2 3" xfId="48979" xr:uid="{374695F4-07C3-4621-9F19-ECFBF64AE3F0}"/>
    <cellStyle name="Output 2 3 6 2 2 3" xfId="16184" xr:uid="{65A578A7-CDF4-4CBF-ABFC-B46DC32FC796}"/>
    <cellStyle name="Output 2 3 6 2 2 3 2" xfId="38583" xr:uid="{FAC57851-D414-405D-9720-B819B00B7808}"/>
    <cellStyle name="Output 2 3 6 2 2 3 3" xfId="45509" xr:uid="{5F7C3914-83AD-4725-A526-A8FD118A136F}"/>
    <cellStyle name="Output 2 3 6 2 2 4" xfId="21098" xr:uid="{1AFEC622-FEF0-469D-AF9A-888BFD98578D}"/>
    <cellStyle name="Output 2 3 6 2 2 4 2" xfId="43345" xr:uid="{F24B8D88-E6CD-4724-8E41-556D82A3494A}"/>
    <cellStyle name="Output 2 3 6 2 2 4 3" xfId="26002" xr:uid="{12B810C4-B918-4B98-8B72-99BE0E1D4A7E}"/>
    <cellStyle name="Output 2 3 6 2 2 5" xfId="20435" xr:uid="{49C92AB2-F4CA-45E9-8BBC-294D1DB8316E}"/>
    <cellStyle name="Output 2 3 6 2 2 5 2" xfId="52594" xr:uid="{6309B219-D7CD-4375-A377-5F9B0DBA7DDE}"/>
    <cellStyle name="Output 2 3 6 2 2 6" xfId="47989" xr:uid="{925A4A94-50E6-4723-9CBE-3AF89696E5F3}"/>
    <cellStyle name="Output 2 3 6 2 3" xfId="5517" xr:uid="{00000000-0005-0000-0000-0000E6070000}"/>
    <cellStyle name="Output 2 3 6 2 3 2" xfId="12406" xr:uid="{6F376C5C-527C-486C-88FF-EF063FACAA0D}"/>
    <cellStyle name="Output 2 3 6 2 3 2 2" xfId="34891" xr:uid="{055CC647-C7CA-4500-9E7E-5D0B44B2A36E}"/>
    <cellStyle name="Output 2 3 6 2 3 2 3" xfId="27678" xr:uid="{B7772A01-D810-460C-9C74-078B809A0F7E}"/>
    <cellStyle name="Output 2 3 6 2 3 3" xfId="17454" xr:uid="{36F3AA56-A31F-4531-B351-3DE2EEB41AD1}"/>
    <cellStyle name="Output 2 3 6 2 3 3 2" xfId="39844" xr:uid="{CAF32688-2AE6-4A24-B195-CEDF5B7AF147}"/>
    <cellStyle name="Output 2 3 6 2 3 3 3" xfId="30284" xr:uid="{07901769-D8E9-49F6-BCC0-53139BC83653}"/>
    <cellStyle name="Output 2 3 6 2 3 4" xfId="8318" xr:uid="{FBE0C4B5-CB07-4E23-9577-6192A5E6E4B4}"/>
    <cellStyle name="Output 2 3 6 2 3 4 2" xfId="30916" xr:uid="{64CF25B8-F44F-45C5-8F2F-6F8AC00D24AE}"/>
    <cellStyle name="Output 2 3 6 2 3 4 3" xfId="43847" xr:uid="{E9615D09-B517-42A4-9571-BB96DD59A51A}"/>
    <cellStyle name="Output 2 3 6 2 3 5" xfId="21878" xr:uid="{0EA633CA-0056-44CF-AB3D-1C5D1BAF0E47}"/>
    <cellStyle name="Output 2 3 6 2 3 5 2" xfId="53415" xr:uid="{203782FB-E740-4A33-961A-872B4864ED43}"/>
    <cellStyle name="Output 2 3 6 2 3 6" xfId="52040" xr:uid="{4F1E4ED9-6107-4081-A513-D145202A6878}"/>
    <cellStyle name="Output 2 3 6 2 4" xfId="5939" xr:uid="{00000000-0005-0000-0000-0000E6070000}"/>
    <cellStyle name="Output 2 3 6 2 4 2" xfId="12820" xr:uid="{A99D6E71-CA2A-48F1-8110-8EDAC7AEBA00}"/>
    <cellStyle name="Output 2 3 6 2 4 2 2" xfId="35304" xr:uid="{6FB942BE-2E36-4085-87BE-9D25050D9506}"/>
    <cellStyle name="Output 2 3 6 2 4 2 3" xfId="49809" xr:uid="{E555550C-E900-4465-84BB-1BD2E8BB5D5B}"/>
    <cellStyle name="Output 2 3 6 2 4 3" xfId="17876" xr:uid="{6EAE3CE3-1836-453B-9A62-AD2607D1F6F1}"/>
    <cellStyle name="Output 2 3 6 2 4 3 2" xfId="40266" xr:uid="{D72DBB39-DE6D-4CF2-A644-34FA909284E7}"/>
    <cellStyle name="Output 2 3 6 2 4 3 3" xfId="41682" xr:uid="{5AAE310A-B6B6-40E0-9B66-9D1EAA621D7B}"/>
    <cellStyle name="Output 2 3 6 2 4 4" xfId="19336" xr:uid="{A2E5E881-1DE9-4FCB-A13B-01F98C09EDC7}"/>
    <cellStyle name="Output 2 3 6 2 4 4 2" xfId="41713" xr:uid="{E55F51A1-451F-4E9D-8844-8A55A9781B14}"/>
    <cellStyle name="Output 2 3 6 2 4 4 3" xfId="44006" xr:uid="{FD6284B4-84F0-4899-9089-81DF3247FA9E}"/>
    <cellStyle name="Output 2 3 6 2 4 5" xfId="22300" xr:uid="{A54A033E-7872-4CBB-914E-FDE45CA47964}"/>
    <cellStyle name="Output 2 3 6 2 4 5 2" xfId="49918" xr:uid="{B3FAFF91-75D6-4E0C-BCA8-6735C0E33BEE}"/>
    <cellStyle name="Output 2 3 6 2 4 6" xfId="26088" xr:uid="{1CFB1D67-198D-420A-B98E-739ED82CE7A3}"/>
    <cellStyle name="Output 2 3 6 2 5" xfId="6279" xr:uid="{00000000-0005-0000-0000-0000E6070000}"/>
    <cellStyle name="Output 2 3 6 2 5 2" xfId="13151" xr:uid="{39A61598-CE5B-4AD4-8E61-818728682E0B}"/>
    <cellStyle name="Output 2 3 6 2 5 2 2" xfId="35635" xr:uid="{6C0CA93E-DBBF-4294-BD71-EFE7DC5B36A3}"/>
    <cellStyle name="Output 2 3 6 2 5 2 3" xfId="49851" xr:uid="{D2269F84-ACAC-4D1B-8E3C-196CCD6D8301}"/>
    <cellStyle name="Output 2 3 6 2 5 3" xfId="18216" xr:uid="{D54E90F8-4363-4F49-BB8D-B3FBC320478B}"/>
    <cellStyle name="Output 2 3 6 2 5 3 2" xfId="40606" xr:uid="{67610027-2E91-41A5-8FF7-32CE62D9ACF0}"/>
    <cellStyle name="Output 2 3 6 2 5 3 3" xfId="26142" xr:uid="{BEC1FA14-0DF5-4D44-8B53-3B3E3A4BAD64}"/>
    <cellStyle name="Output 2 3 6 2 5 4" xfId="19191" xr:uid="{B2EFE7F0-104B-48F9-87C1-B4CC2C303679}"/>
    <cellStyle name="Output 2 3 6 2 5 4 2" xfId="41580" xr:uid="{40DCAC21-2A1A-4C37-854A-1603DA5C5842}"/>
    <cellStyle name="Output 2 3 6 2 5 4 3" xfId="44888" xr:uid="{0FF45400-1065-4C62-890A-0C28D4D1B7DB}"/>
    <cellStyle name="Output 2 3 6 2 5 5" xfId="22640" xr:uid="{7947C2DA-B21A-4C7B-9AE9-32DF0EE49E47}"/>
    <cellStyle name="Output 2 3 6 2 5 5 2" xfId="26126" xr:uid="{3DA43B9D-E41D-4753-B477-FF210886078E}"/>
    <cellStyle name="Output 2 3 6 2 5 6" xfId="52263" xr:uid="{07371EA7-B1F5-43E9-9E29-B712A77A4DF9}"/>
    <cellStyle name="Output 2 3 6 2 6" xfId="6634" xr:uid="{00000000-0005-0000-0000-0000E6070000}"/>
    <cellStyle name="Output 2 3 6 2 6 2" xfId="13500" xr:uid="{6711DCBF-7057-4CD3-A700-E535169357F7}"/>
    <cellStyle name="Output 2 3 6 2 6 2 2" xfId="35984" xr:uid="{D6BF8B94-5BF1-4E53-8BA9-973891D4937F}"/>
    <cellStyle name="Output 2 3 6 2 6 2 3" xfId="51894" xr:uid="{E21D4873-A219-4089-99A1-D7E0EAEDE82D}"/>
    <cellStyle name="Output 2 3 6 2 6 3" xfId="18571" xr:uid="{464A3C65-2C79-49C4-B3D2-513C9757FB7F}"/>
    <cellStyle name="Output 2 3 6 2 6 3 2" xfId="40961" xr:uid="{8F5A2572-437A-4D62-A9DE-919D2612C4B9}"/>
    <cellStyle name="Output 2 3 6 2 6 3 3" xfId="29502" xr:uid="{16AAB5BD-A3F2-400B-AC7B-FE088F3C0A8D}"/>
    <cellStyle name="Output 2 3 6 2 6 4" xfId="19620" xr:uid="{8CC84EE1-5A05-4567-AB7F-0F6C977661E8}"/>
    <cellStyle name="Output 2 3 6 2 6 4 2" xfId="41972" xr:uid="{79CBDD63-3669-48AB-A96D-FE624CD7B1B1}"/>
    <cellStyle name="Output 2 3 6 2 6 4 3" xfId="44688" xr:uid="{BC07EAA8-2EC4-42F8-A561-2A4EDA1D56A4}"/>
    <cellStyle name="Output 2 3 6 2 6 5" xfId="22995" xr:uid="{56A8145C-6EF7-465C-B0EA-E3D3A38E5C0E}"/>
    <cellStyle name="Output 2 3 6 2 6 5 2" xfId="51461" xr:uid="{AEB7A1F2-7FFF-4947-9B59-5D1540973763}"/>
    <cellStyle name="Output 2 3 6 2 6 6" xfId="27274" xr:uid="{6EE5F0DB-8551-4573-8F94-C9CA85DD7BD1}"/>
    <cellStyle name="Output 2 3 6 2 7" xfId="6670" xr:uid="{00000000-0005-0000-0000-0000E6070000}"/>
    <cellStyle name="Output 2 3 6 2 7 2" xfId="13536" xr:uid="{4AE97BB5-C4F0-4C69-A489-68DC23B8AF8A}"/>
    <cellStyle name="Output 2 3 6 2 7 2 2" xfId="36020" xr:uid="{21EC8051-00C2-4992-9365-BDDCAEB2865B}"/>
    <cellStyle name="Output 2 3 6 2 7 2 3" xfId="51275" xr:uid="{73C29007-6B33-4DBC-B4B3-667F2E3021B3}"/>
    <cellStyle name="Output 2 3 6 2 7 3" xfId="18607" xr:uid="{C0BECDCB-A5CA-451F-9F2B-57DF5291B935}"/>
    <cellStyle name="Output 2 3 6 2 7 3 2" xfId="40997" xr:uid="{0C2A2C53-A378-424C-9902-3699880B87D8}"/>
    <cellStyle name="Output 2 3 6 2 7 3 3" xfId="45278" xr:uid="{C2190758-C934-49BB-97F3-328EB185E4C4}"/>
    <cellStyle name="Output 2 3 6 2 7 4" xfId="20146" xr:uid="{D8427F47-1A2C-464C-8138-174ED3777481}"/>
    <cellStyle name="Output 2 3 6 2 7 4 2" xfId="42460" xr:uid="{647F2320-204B-470B-B6CB-19827230FD12}"/>
    <cellStyle name="Output 2 3 6 2 7 4 3" xfId="29592" xr:uid="{29E739A5-B0AD-40B2-AB65-CB0F8BC29B0D}"/>
    <cellStyle name="Output 2 3 6 2 7 5" xfId="23031" xr:uid="{05E0E259-A8B6-4964-8B31-BC07ED4FD645}"/>
    <cellStyle name="Output 2 3 6 2 7 5 2" xfId="52134" xr:uid="{C868241D-7D8D-4E7F-9B0B-11CCE3E2DA1F}"/>
    <cellStyle name="Output 2 3 6 2 7 6" xfId="50850" xr:uid="{B56FFE86-C3E0-47C9-BB7B-39F37F2B6BBB}"/>
    <cellStyle name="Output 2 3 6 2 8" xfId="7089" xr:uid="{00000000-0005-0000-0000-0000E6070000}"/>
    <cellStyle name="Output 2 3 6 2 8 2" xfId="13925" xr:uid="{CC0B3F86-2278-4502-8236-05BBBC009B90}"/>
    <cellStyle name="Output 2 3 6 2 8 2 2" xfId="36409" xr:uid="{17BFD70A-56D7-4D61-8716-28375710432F}"/>
    <cellStyle name="Output 2 3 6 2 8 2 3" xfId="41986" xr:uid="{B2745BD3-9E92-4058-A32F-7E82AA2E1C9F}"/>
    <cellStyle name="Output 2 3 6 2 8 3" xfId="19026" xr:uid="{3B9AB8E4-3CC5-4C7D-9BDA-7A8197F5B5F5}"/>
    <cellStyle name="Output 2 3 6 2 8 3 2" xfId="41416" xr:uid="{CCA6936D-33A6-4165-9E6D-32CE7F0A5976}"/>
    <cellStyle name="Output 2 3 6 2 8 3 3" xfId="29772" xr:uid="{B1114307-A794-49B2-9FDA-B5122779B8A6}"/>
    <cellStyle name="Output 2 3 6 2 8 4" xfId="15854" xr:uid="{31386829-38B6-4B1F-B8C3-EED0C5B9B24C}"/>
    <cellStyle name="Output 2 3 6 2 8 4 2" xfId="38261" xr:uid="{EFDDCF13-5F07-40F3-B747-1E3B4FCF2404}"/>
    <cellStyle name="Output 2 3 6 2 8 4 3" xfId="44342" xr:uid="{92917C69-330D-4848-B6C8-20BADA563AD4}"/>
    <cellStyle name="Output 2 3 6 2 8 5" xfId="23450" xr:uid="{C306895D-2B43-48A2-B1C3-9323976BA2FB}"/>
    <cellStyle name="Output 2 3 6 2 8 5 2" xfId="25762" xr:uid="{9D0F2E70-FC3B-4FAF-8687-13C76C3888D9}"/>
    <cellStyle name="Output 2 3 6 2 8 6" xfId="29395" xr:uid="{F532749A-826C-4D91-BEB4-4268F550C0ED}"/>
    <cellStyle name="Output 2 3 6 2 9" xfId="7204" xr:uid="{00000000-0005-0000-0000-0000E6070000}"/>
    <cellStyle name="Output 2 3 6 2 9 2" xfId="19141" xr:uid="{CE20006F-FEDA-47FC-965F-9E04FB53FB70}"/>
    <cellStyle name="Output 2 3 6 2 9 2 2" xfId="41531" xr:uid="{509DD327-9677-45CD-96C8-16FDA2EB9F5E}"/>
    <cellStyle name="Output 2 3 6 2 9 2 3" xfId="36703" xr:uid="{DECBE95B-9A2E-45E0-8225-3C906F28FF5B}"/>
    <cellStyle name="Output 2 3 6 2 9 3" xfId="19991" xr:uid="{3053FCD5-D619-40C3-98EB-D9B22B790B04}"/>
    <cellStyle name="Output 2 3 6 2 9 3 2" xfId="42316" xr:uid="{63064331-D9E9-44C7-9ED0-DE10196349DF}"/>
    <cellStyle name="Output 2 3 6 2 9 3 3" xfId="28023" xr:uid="{F5AD93F8-343B-4FB8-B3BC-9E215172F7D9}"/>
    <cellStyle name="Output 2 3 6 2 9 4" xfId="23565" xr:uid="{5E9EDB94-08A0-4911-9C37-CC2EB5EFB4A5}"/>
    <cellStyle name="Output 2 3 6 2 9 4 2" xfId="52296" xr:uid="{2572AA33-F7D3-426E-9789-1CFEE9209CA5}"/>
    <cellStyle name="Output 2 3 6 2 9 5" xfId="46896" xr:uid="{1D5CFCB0-90D2-48FD-BBE5-77A15F0FD724}"/>
    <cellStyle name="Output 2 3 6 3" xfId="3473" xr:uid="{00000000-0005-0000-0000-0000E5070000}"/>
    <cellStyle name="Output 2 3 6 3 2" xfId="10380" xr:uid="{F8800AFE-27E2-4BB9-AE62-8D1E96677BD2}"/>
    <cellStyle name="Output 2 3 6 3 2 2" xfId="32867" xr:uid="{D775761D-A888-42A5-90DA-C0ED4B27FA3A}"/>
    <cellStyle name="Output 2 3 6 3 2 3" xfId="28035" xr:uid="{5FF64717-3C99-4D3F-9F30-7FAAFB509B19}"/>
    <cellStyle name="Output 2 3 6 3 3" xfId="15651" xr:uid="{7D1E2523-4107-4CFB-92DD-06CD567934E0}"/>
    <cellStyle name="Output 2 3 6 3 3 2" xfId="38067" xr:uid="{E44BAF0F-4130-43CC-B13C-80ED9A979816}"/>
    <cellStyle name="Output 2 3 6 3 3 3" xfId="49350" xr:uid="{F2E0E942-33B5-4322-8AE8-86E6623B0A99}"/>
    <cellStyle name="Output 2 3 6 3 4" xfId="20302" xr:uid="{B844CC62-C93B-4EB2-9A25-1CFB121C3702}"/>
    <cellStyle name="Output 2 3 6 3 4 2" xfId="42601" xr:uid="{ADE8AE3E-B775-4529-9139-B5CBD8DB7037}"/>
    <cellStyle name="Output 2 3 6 3 4 3" xfId="29418" xr:uid="{826CE6AE-7560-4406-9F63-75364191FBFD}"/>
    <cellStyle name="Output 2 3 6 3 5" xfId="21259" xr:uid="{CC98E283-57A7-4B67-BB21-16D74F272DA3}"/>
    <cellStyle name="Output 2 3 6 3 5 2" xfId="46203" xr:uid="{E5691811-DB7D-4AA2-A1A4-7F164172F741}"/>
    <cellStyle name="Output 2 3 6 3 6" xfId="48318" xr:uid="{135367EA-BB31-4C16-AD81-063DF452234A}"/>
    <cellStyle name="Output 2 3 6 4" xfId="5006" xr:uid="{00000000-0005-0000-0000-0000E5070000}"/>
    <cellStyle name="Output 2 3 6 4 2" xfId="11900" xr:uid="{2291E30E-592F-4913-8062-9BF8179524A3}"/>
    <cellStyle name="Output 2 3 6 4 2 2" xfId="34386" xr:uid="{41C9C066-2AB4-4B45-BCE8-89ECBD3065E6}"/>
    <cellStyle name="Output 2 3 6 4 2 3" xfId="28984" xr:uid="{42285474-E7B8-4A81-9450-BEE80869C102}"/>
    <cellStyle name="Output 2 3 6 4 3" xfId="16943" xr:uid="{D03B6ED6-9D7A-48B1-AA9F-713CF5AF9D4F}"/>
    <cellStyle name="Output 2 3 6 4 3 2" xfId="39333" xr:uid="{128D48A3-E232-473A-AF62-FB8B9A9D364B}"/>
    <cellStyle name="Output 2 3 6 4 3 3" xfId="41890" xr:uid="{A47F3F98-DC89-456E-AB4F-3FA5CE829E50}"/>
    <cellStyle name="Output 2 3 6 4 4" xfId="14946" xr:uid="{63710A6D-6BDF-4B13-BB3C-6E23B60FD771}"/>
    <cellStyle name="Output 2 3 6 4 4 2" xfId="37400" xr:uid="{CA756093-03C4-40DD-BE69-6516A7AC1DF9}"/>
    <cellStyle name="Output 2 3 6 4 4 3" xfId="44469" xr:uid="{50B6EC93-3C1E-448E-800F-4C1B50E2C12B}"/>
    <cellStyle name="Output 2 3 6 4 5" xfId="21367" xr:uid="{B39F8455-5AF8-42AC-816D-DAC18EAC70FB}"/>
    <cellStyle name="Output 2 3 6 4 5 2" xfId="47978" xr:uid="{A3C28A08-529F-46BC-AD07-94A597F30D0B}"/>
    <cellStyle name="Output 2 3 6 4 6" xfId="49302" xr:uid="{B43BC6CE-7558-45E0-A559-360ABAC4F25F}"/>
    <cellStyle name="Output 2 3 6 5" xfId="3020" xr:uid="{00000000-0005-0000-0000-0000E5070000}"/>
    <cellStyle name="Output 2 3 6 5 2" xfId="9929" xr:uid="{BEDBB2ED-3C19-4383-A3AF-764C9512683C}"/>
    <cellStyle name="Output 2 3 6 5 2 2" xfId="32449" xr:uid="{B8A5D37F-83F0-4C68-97E4-D4C884FFD5D7}"/>
    <cellStyle name="Output 2 3 6 5 2 3" xfId="53514" xr:uid="{BB8374AA-D835-4CFA-8B55-FEF23001E1E4}"/>
    <cellStyle name="Output 2 3 6 5 3" xfId="15359" xr:uid="{A6561312-1249-4B8B-A96D-81D2922CDCFA}"/>
    <cellStyle name="Output 2 3 6 5 3 2" xfId="37790" xr:uid="{A91146E0-9733-4A79-A174-57DFAA7BA1BE}"/>
    <cellStyle name="Output 2 3 6 5 3 3" xfId="47415" xr:uid="{41172454-8E7B-4ACF-A599-AB05CC6EE006}"/>
    <cellStyle name="Output 2 3 6 5 4" xfId="19469" xr:uid="{196CE74A-FDFD-4A8C-8B3C-BD6A40069691}"/>
    <cellStyle name="Output 2 3 6 5 4 2" xfId="41836" xr:uid="{84815B58-BDC0-4C8F-B0E3-7850F979D09C}"/>
    <cellStyle name="Output 2 3 6 5 4 3" xfId="25220" xr:uid="{116DC6FD-99FD-478B-8F77-5F031DC28586}"/>
    <cellStyle name="Output 2 3 6 5 5" xfId="19433" xr:uid="{7BC8506E-3C4F-4E3E-94B0-4F28E85B9B11}"/>
    <cellStyle name="Output 2 3 6 5 5 2" xfId="26051" xr:uid="{830A678E-E0C5-4CB9-BB84-1542C58E9BC9}"/>
    <cellStyle name="Output 2 3 6 5 6" xfId="48543" xr:uid="{FBD055A2-E679-4B0C-B777-FC010BA91F50}"/>
    <cellStyle name="Output 2 3 6 6" xfId="4451" xr:uid="{00000000-0005-0000-0000-0000E5070000}"/>
    <cellStyle name="Output 2 3 6 6 2" xfId="11353" xr:uid="{60E4DF89-37F6-43FA-BF95-8F93724BCD14}"/>
    <cellStyle name="Output 2 3 6 6 2 2" xfId="33839" xr:uid="{137DC421-B5E8-4BB2-8A9C-883D42722E61}"/>
    <cellStyle name="Output 2 3 6 6 2 3" xfId="43482" xr:uid="{094F766B-35C6-4743-9FB6-B3111E0E60D5}"/>
    <cellStyle name="Output 2 3 6 6 3" xfId="16388" xr:uid="{4D658529-B231-4C77-8E38-60A56CBCFC2F}"/>
    <cellStyle name="Output 2 3 6 6 3 2" xfId="38778" xr:uid="{90722EDA-8595-4029-A97E-808314D9253C}"/>
    <cellStyle name="Output 2 3 6 6 3 3" xfId="28891" xr:uid="{9DE1590A-1386-45E4-8229-248F76DC8FAA}"/>
    <cellStyle name="Output 2 3 6 6 4" xfId="13717" xr:uid="{2174A697-00EE-4444-8C41-61A2165F22EE}"/>
    <cellStyle name="Output 2 3 6 6 4 2" xfId="36201" xr:uid="{2E67AA22-F2F7-4CE5-AF59-4C17FA45C93B}"/>
    <cellStyle name="Output 2 3 6 6 4 3" xfId="25803" xr:uid="{DB48076C-BBEA-4C8E-BC19-50411B6B5A87}"/>
    <cellStyle name="Output 2 3 6 6 5" xfId="14062" xr:uid="{E1E7CB5F-5609-49FE-8412-BBB7DE09A5A7}"/>
    <cellStyle name="Output 2 3 6 6 5 2" xfId="45639" xr:uid="{B8FB4A89-F911-4D1D-8D8E-FFD7E0E7BC6E}"/>
    <cellStyle name="Output 2 3 6 6 6" xfId="51666" xr:uid="{62EB959A-741C-4526-BE7F-E41D1674F2D9}"/>
    <cellStyle name="Output 2 3 6 7" xfId="6678" xr:uid="{00000000-0005-0000-0000-0000E5070000}"/>
    <cellStyle name="Output 2 3 6 7 2" xfId="13544" xr:uid="{E3E11187-8A2C-4C63-BD1E-AB8811D8A30C}"/>
    <cellStyle name="Output 2 3 6 7 2 2" xfId="36028" xr:uid="{04808937-A5B6-4429-B33A-C4A8B158C243}"/>
    <cellStyle name="Output 2 3 6 7 2 3" xfId="43583" xr:uid="{2A946AD8-BEAF-4F9E-B1D5-9F99BE268DAB}"/>
    <cellStyle name="Output 2 3 6 7 3" xfId="18615" xr:uid="{41BF0AFB-5AD1-43E0-A2F0-D9DE8CCFFA92}"/>
    <cellStyle name="Output 2 3 6 7 3 2" xfId="41005" xr:uid="{2633A5DC-0C00-40F3-86E8-D7DFA77D1151}"/>
    <cellStyle name="Output 2 3 6 7 3 3" xfId="23977" xr:uid="{D0DB3A06-CFBE-4830-9BB0-4040136E0D82}"/>
    <cellStyle name="Output 2 3 6 7 4" xfId="20417" xr:uid="{D00BC7E2-E27D-4468-9F76-4091740FCBC5}"/>
    <cellStyle name="Output 2 3 6 7 4 2" xfId="42711" xr:uid="{399D7844-3048-4050-B2C8-FD63A7446642}"/>
    <cellStyle name="Output 2 3 6 7 4 3" xfId="45692" xr:uid="{B6840F3A-8CD9-4F1C-AE1D-7B9E746D91A1}"/>
    <cellStyle name="Output 2 3 6 7 5" xfId="23039" xr:uid="{DC281DA6-ABC1-4C3F-8677-A0A37FB56854}"/>
    <cellStyle name="Output 2 3 6 7 5 2" xfId="49748" xr:uid="{BB9D9104-56CB-412E-BA7F-7D103FF353F1}"/>
    <cellStyle name="Output 2 3 6 7 6" xfId="51302" xr:uid="{FE147AE0-8EC1-42B7-A231-9B8A27C485B6}"/>
    <cellStyle name="Output 2 3 6 8" xfId="14188" xr:uid="{15F7BB42-0252-418C-8B3B-A825D87437BF}"/>
    <cellStyle name="Output 2 3 6 8 2" xfId="36663" xr:uid="{7080F67D-A39F-45D9-8F81-856CCC2E581A}"/>
    <cellStyle name="Output 2 3 6 8 3" xfId="52267" xr:uid="{817F5E3E-D71B-4678-9A2A-23433B619F0F}"/>
    <cellStyle name="Output 2 3 6 9" xfId="19996" xr:uid="{239680C1-0068-4E84-8643-872B53ED8028}"/>
    <cellStyle name="Output 2 3 6 9 2" xfId="42321" xr:uid="{DC684935-6335-4AC3-A012-8D0A186A4C20}"/>
    <cellStyle name="Output 2 3 6 9 3" xfId="26293" xr:uid="{35865F5E-A4FD-471C-B6CA-FA545F5BC78D}"/>
    <cellStyle name="Output 2 3 7" xfId="1641" xr:uid="{00000000-0005-0000-0000-0000E9070000}"/>
    <cellStyle name="Output 2 3 7 10" xfId="14355" xr:uid="{D3950364-8FAA-4C7A-8C25-823F9B05E6E5}"/>
    <cellStyle name="Output 2 3 7 10 2" xfId="36823" xr:uid="{3A3C7FA5-964F-4ADB-820C-43ECB05070ED}"/>
    <cellStyle name="Output 2 3 7 10 3" xfId="51661" xr:uid="{FD911391-4E08-4D64-83F0-F117019743C2}"/>
    <cellStyle name="Output 2 3 7 11" xfId="20242" xr:uid="{2BFE490B-33A4-48E3-AC96-979D02149EC6}"/>
    <cellStyle name="Output 2 3 7 11 2" xfId="42545" xr:uid="{424587AE-838C-477F-B819-F91F510AC8C0}"/>
    <cellStyle name="Output 2 3 7 11 3" xfId="32269" xr:uid="{E8B3BD4D-C182-475A-A085-37537F9A00E3}"/>
    <cellStyle name="Output 2 3 7 12" xfId="15409" xr:uid="{C073F05A-17C3-4495-85A1-0C2E97193433}"/>
    <cellStyle name="Output 2 3 7 12 2" xfId="51092" xr:uid="{DE284052-00CF-4969-B0ED-E1F030D5349D}"/>
    <cellStyle name="Output 2 3 7 13" xfId="47774" xr:uid="{B66D3416-E180-40B3-B89C-48BD771FF16D}"/>
    <cellStyle name="Output 2 3 7 2" xfId="3739" xr:uid="{00000000-0005-0000-0000-0000E7070000}"/>
    <cellStyle name="Output 2 3 7 2 2" xfId="10643" xr:uid="{056E7455-B176-4E62-8B5A-B3653C2F11CF}"/>
    <cellStyle name="Output 2 3 7 2 2 2" xfId="33129" xr:uid="{FDFD168E-EED5-4170-8916-44A7CEECB232}"/>
    <cellStyle name="Output 2 3 7 2 2 3" xfId="42893" xr:uid="{21B1B6C5-DA5A-4153-A5B5-A1D7A0C63DF4}"/>
    <cellStyle name="Output 2 3 7 2 3" xfId="15820" xr:uid="{09ADA6FD-328B-4CFE-851F-3D5136A435D9}"/>
    <cellStyle name="Output 2 3 7 2 3 2" xfId="38228" xr:uid="{8073B78E-4C97-4EE1-B5F1-267F60831832}"/>
    <cellStyle name="Output 2 3 7 2 3 3" xfId="30210" xr:uid="{7F34C3C2-5D1D-4FDA-8DBD-32E5D74740FD}"/>
    <cellStyle name="Output 2 3 7 2 4" xfId="7358" xr:uid="{ED4D242F-0F6A-40FB-B383-8C27EE610B2F}"/>
    <cellStyle name="Output 2 3 7 2 4 2" xfId="30043" xr:uid="{5E7893BF-2697-4C40-9255-8207C1D13A30}"/>
    <cellStyle name="Output 2 3 7 2 4 3" xfId="52911" xr:uid="{D77C13F8-266C-4765-8D2A-7F6EEF0C7829}"/>
    <cellStyle name="Output 2 3 7 2 5" xfId="20755" xr:uid="{E09EE30C-0A2B-4E5B-9EE6-C7583B990CF5}"/>
    <cellStyle name="Output 2 3 7 2 5 2" xfId="47401" xr:uid="{70738C56-6CC9-41C4-8F2C-4DF18CAAB7F2}"/>
    <cellStyle name="Output 2 3 7 2 6" xfId="50892" xr:uid="{8DFE7A85-A2D5-444F-A955-F810D8BCCDB5}"/>
    <cellStyle name="Output 2 3 7 3" xfId="5174" xr:uid="{00000000-0005-0000-0000-0000E7070000}"/>
    <cellStyle name="Output 2 3 7 3 2" xfId="12067" xr:uid="{C31A411B-E44A-4147-B33A-50C3DA7A2049}"/>
    <cellStyle name="Output 2 3 7 3 2 2" xfId="34553" xr:uid="{E1DC4624-1D4C-40CF-A96F-DD6FDA02CFB3}"/>
    <cellStyle name="Output 2 3 7 3 2 3" xfId="44079" xr:uid="{6557168C-2AA0-4D34-BC18-B8D572D14134}"/>
    <cellStyle name="Output 2 3 7 3 3" xfId="17111" xr:uid="{806EB36D-7100-4F23-86B5-EE8B0211650A}"/>
    <cellStyle name="Output 2 3 7 3 3 2" xfId="39501" xr:uid="{F53412DD-D932-4470-9686-714885154853}"/>
    <cellStyle name="Output 2 3 7 3 3 3" xfId="29874" xr:uid="{D47BF539-839F-4BD9-A0C5-FB302F224D23}"/>
    <cellStyle name="Output 2 3 7 3 4" xfId="14044" xr:uid="{FD38F8C9-DBB6-4402-A353-248C736592DA}"/>
    <cellStyle name="Output 2 3 7 3 4 2" xfId="36524" xr:uid="{32965095-B669-43CC-8F26-8FD197FC9BC6}"/>
    <cellStyle name="Output 2 3 7 3 4 3" xfId="53660" xr:uid="{725064C3-3001-48C0-A44F-58AF7A6B26BA}"/>
    <cellStyle name="Output 2 3 7 3 5" xfId="21535" xr:uid="{ADD64283-DF6E-424F-8D63-4F832E01BAD1}"/>
    <cellStyle name="Output 2 3 7 3 5 2" xfId="38096" xr:uid="{519965D8-DC6D-46B9-BF46-0426F31D49E4}"/>
    <cellStyle name="Output 2 3 7 3 6" xfId="43987" xr:uid="{043AE215-13A3-4D34-A536-80141D813498}"/>
    <cellStyle name="Output 2 3 7 4" xfId="3172" xr:uid="{00000000-0005-0000-0000-0000E7070000}"/>
    <cellStyle name="Output 2 3 7 4 2" xfId="10081" xr:uid="{A83817CA-04FF-48E0-8632-C6A4AF915B13}"/>
    <cellStyle name="Output 2 3 7 4 2 2" xfId="32588" xr:uid="{DB124E91-AEA0-44DF-9501-375915857D0E}"/>
    <cellStyle name="Output 2 3 7 4 2 3" xfId="50182" xr:uid="{5CE0289D-D873-4A6C-BB4C-8F8AF9CF1D90}"/>
    <cellStyle name="Output 2 3 7 4 3" xfId="15458" xr:uid="{DB157AA6-A44C-452D-8FAA-A4F5E9558EA1}"/>
    <cellStyle name="Output 2 3 7 4 3 2" xfId="37884" xr:uid="{E2C7AB65-D46D-4D85-81C9-0D79EC55746B}"/>
    <cellStyle name="Output 2 3 7 4 3 3" xfId="46209" xr:uid="{CD760006-46E0-477C-822F-1931B8BA406C}"/>
    <cellStyle name="Output 2 3 7 4 4" xfId="19884" xr:uid="{12DD3F22-BED8-49F0-92D3-65DF4FCE2100}"/>
    <cellStyle name="Output 2 3 7 4 4 2" xfId="42217" xr:uid="{057B4ED6-845C-4766-AC66-A15C0917A297}"/>
    <cellStyle name="Output 2 3 7 4 4 3" xfId="44416" xr:uid="{B856A85E-7C67-4773-8A31-ADDB3A557C2A}"/>
    <cellStyle name="Output 2 3 7 4 5" xfId="16084" xr:uid="{95E5F3B0-127E-46B2-A76F-373D00B78D6D}"/>
    <cellStyle name="Output 2 3 7 4 5 2" xfId="28610" xr:uid="{7BA5EE47-5390-48E0-B6AA-5C7145B64DFD}"/>
    <cellStyle name="Output 2 3 7 4 6" xfId="47790" xr:uid="{534B1605-4290-45EC-B03C-1849E8F313D3}"/>
    <cellStyle name="Output 2 3 7 5" xfId="2350" xr:uid="{00000000-0005-0000-0000-0000E7070000}"/>
    <cellStyle name="Output 2 3 7 5 2" xfId="9259" xr:uid="{3F18DB49-D4BC-42D3-884F-823EF8089C5B}"/>
    <cellStyle name="Output 2 3 7 5 2 2" xfId="31834" xr:uid="{514FB253-5A53-495E-BBEE-F3BB9700FEEF}"/>
    <cellStyle name="Output 2 3 7 5 2 3" xfId="49564" xr:uid="{FCB94AEE-1851-4C5F-A626-6A1D369FF50A}"/>
    <cellStyle name="Output 2 3 7 5 3" xfId="14907" xr:uid="{C83C74F4-35AB-4333-B6C5-0AC56BFB48BA}"/>
    <cellStyle name="Output 2 3 7 5 3 2" xfId="37361" xr:uid="{84B2A8BF-CCEA-4074-9D80-93815B13EB91}"/>
    <cellStyle name="Output 2 3 7 5 3 3" xfId="30086" xr:uid="{C09D027E-068A-483E-833C-C1FDBE2A2F60}"/>
    <cellStyle name="Output 2 3 7 5 4" xfId="9020" xr:uid="{6F8A01DD-E86A-4187-A109-DDE4BF9DAD79}"/>
    <cellStyle name="Output 2 3 7 5 4 2" xfId="31598" xr:uid="{9CB7C9C9-925E-4460-87E6-8317479B271B}"/>
    <cellStyle name="Output 2 3 7 5 4 3" xfId="48089" xr:uid="{25894665-6D9D-463C-859F-0D58B5FC7ED9}"/>
    <cellStyle name="Output 2 3 7 5 5" xfId="21175" xr:uid="{9073B008-F56C-45E3-8D49-F8D7FDD0877E}"/>
    <cellStyle name="Output 2 3 7 5 5 2" xfId="50258" xr:uid="{80302015-F106-460E-AE77-91B9C0635177}"/>
    <cellStyle name="Output 2 3 7 5 6" xfId="26513" xr:uid="{59CDD21D-5449-4B68-9D20-634EBD867982}"/>
    <cellStyle name="Output 2 3 7 6" xfId="6016" xr:uid="{00000000-0005-0000-0000-0000E7070000}"/>
    <cellStyle name="Output 2 3 7 6 2" xfId="12897" xr:uid="{0559FC27-9CFA-47E7-AEE1-6A21E313230C}"/>
    <cellStyle name="Output 2 3 7 6 2 2" xfId="35381" xr:uid="{2F8C56D5-87D3-4375-9897-3F4181AC7AA3}"/>
    <cellStyle name="Output 2 3 7 6 2 3" xfId="49693" xr:uid="{B8EE6999-DFEB-4EA4-BF95-2BD6774CC130}"/>
    <cellStyle name="Output 2 3 7 6 3" xfId="17953" xr:uid="{46F9A978-F810-4ADD-A522-FD33177AFA14}"/>
    <cellStyle name="Output 2 3 7 6 3 2" xfId="40343" xr:uid="{F63E2C14-51BD-4BD8-B1CE-1419AADA2DEF}"/>
    <cellStyle name="Output 2 3 7 6 3 3" xfId="43445" xr:uid="{1E7243DD-9B56-448D-9855-7401FFD23EC2}"/>
    <cellStyle name="Output 2 3 7 6 4" xfId="19349" xr:uid="{904614BF-5F94-4356-A1E3-8C9E80AAB067}"/>
    <cellStyle name="Output 2 3 7 6 4 2" xfId="41724" xr:uid="{2BFC7D0C-F887-4C27-BF5F-88000B0D25AE}"/>
    <cellStyle name="Output 2 3 7 6 4 3" xfId="28319" xr:uid="{AE53A1E1-45CD-43B3-8548-ABCE3C56FB90}"/>
    <cellStyle name="Output 2 3 7 6 5" xfId="22377" xr:uid="{E1AA6E9D-BC12-4394-86F4-23C56F78CED7}"/>
    <cellStyle name="Output 2 3 7 6 5 2" xfId="46272" xr:uid="{E8417018-08AE-4146-B83F-DA83BF281EDB}"/>
    <cellStyle name="Output 2 3 7 6 6" xfId="51448" xr:uid="{C0DDD626-7560-42F6-BA96-1908D4A909A5}"/>
    <cellStyle name="Output 2 3 7 7" xfId="6884" xr:uid="{00000000-0005-0000-0000-0000E7070000}"/>
    <cellStyle name="Output 2 3 7 7 2" xfId="13723" xr:uid="{98C7E129-3B6C-41B9-91D4-AD57F4A9CEF0}"/>
    <cellStyle name="Output 2 3 7 7 2 2" xfId="36207" xr:uid="{2A144B0A-EC2B-4D41-9DD5-182ABBD0194B}"/>
    <cellStyle name="Output 2 3 7 7 2 3" xfId="50177" xr:uid="{CF829541-D1CC-4FC0-8328-BEFBAB848E65}"/>
    <cellStyle name="Output 2 3 7 7 3" xfId="18821" xr:uid="{07DFFEC3-2BFF-4E4B-BC4E-43DD45635F5F}"/>
    <cellStyle name="Output 2 3 7 7 3 2" xfId="41211" xr:uid="{DAFC4A63-BCB5-4770-8C1B-95613D1CFFA9}"/>
    <cellStyle name="Output 2 3 7 7 3 3" xfId="24599" xr:uid="{C7E65BCA-1563-4F8B-991F-873367D1042A}"/>
    <cellStyle name="Output 2 3 7 7 4" xfId="20250" xr:uid="{F34CCF06-7BA4-48BC-9666-177D36D4B44B}"/>
    <cellStyle name="Output 2 3 7 7 4 2" xfId="42552" xr:uid="{CC2AC866-20C7-44E9-AD3F-112BEA3F596F}"/>
    <cellStyle name="Output 2 3 7 7 4 3" xfId="23622" xr:uid="{27BC1168-E99E-4D2B-89ED-00FF87B0B0CE}"/>
    <cellStyle name="Output 2 3 7 7 5" xfId="23245" xr:uid="{A2597FF6-4A1B-4C82-B3F2-32BEE7F03D04}"/>
    <cellStyle name="Output 2 3 7 7 5 2" xfId="23963" xr:uid="{F17AD17E-AE0D-421F-A8AD-D1EEA0D9707F}"/>
    <cellStyle name="Output 2 3 7 7 6" xfId="54089" xr:uid="{BD8470A5-8DD2-4619-B6CC-7A18254C72DE}"/>
    <cellStyle name="Output 2 3 7 8" xfId="6051" xr:uid="{00000000-0005-0000-0000-0000E7070000}"/>
    <cellStyle name="Output 2 3 7 8 2" xfId="12930" xr:uid="{1A5CB133-AF6D-4F87-A041-2DF06C4788F0}"/>
    <cellStyle name="Output 2 3 7 8 2 2" xfId="35414" xr:uid="{6D2981BD-B3B2-4015-BC39-2F74A4E800F5}"/>
    <cellStyle name="Output 2 3 7 8 2 3" xfId="28105" xr:uid="{43FC0DD4-85AC-4CEA-AD22-CCA6F71F0354}"/>
    <cellStyle name="Output 2 3 7 8 3" xfId="17988" xr:uid="{934165B1-44FA-467D-81F6-61F3FE454938}"/>
    <cellStyle name="Output 2 3 7 8 3 2" xfId="40378" xr:uid="{22AD2247-00B2-4AD5-90BE-6866BA186814}"/>
    <cellStyle name="Output 2 3 7 8 3 3" xfId="28781" xr:uid="{D6A15EE8-FE6B-4843-9D57-E18C1A290725}"/>
    <cellStyle name="Output 2 3 7 8 4" xfId="8675" xr:uid="{F2E95666-B806-4706-99FE-39193E9B545F}"/>
    <cellStyle name="Output 2 3 7 8 4 2" xfId="31261" xr:uid="{2B7DABB4-9E07-4CA1-9EC2-954A6BE43F0F}"/>
    <cellStyle name="Output 2 3 7 8 4 3" xfId="44133" xr:uid="{39709D37-5E01-45A0-BD52-CA72A85653A2}"/>
    <cellStyle name="Output 2 3 7 8 5" xfId="22412" xr:uid="{1EEDE584-A4D5-41B7-84FB-8E24EC2C8BE8}"/>
    <cellStyle name="Output 2 3 7 8 5 2" xfId="49775" xr:uid="{815AD442-7B22-4727-9F41-FACD22A2FF29}"/>
    <cellStyle name="Output 2 3 7 8 6" xfId="50011" xr:uid="{C9AF0BED-4CEB-4DD1-A9EC-057EDE2A3EC5}"/>
    <cellStyle name="Output 2 3 7 9" xfId="4372" xr:uid="{00000000-0005-0000-0000-0000E7070000}"/>
    <cellStyle name="Output 2 3 7 9 2" xfId="16309" xr:uid="{8ADB348A-F57F-4EC1-89BB-F562E68DD747}"/>
    <cellStyle name="Output 2 3 7 9 2 2" xfId="38699" xr:uid="{CE515B84-407A-4E16-8705-01B33B2E233A}"/>
    <cellStyle name="Output 2 3 7 9 2 3" xfId="30698" xr:uid="{58B967C5-9B64-45C6-9439-F574F403A167}"/>
    <cellStyle name="Output 2 3 7 9 3" xfId="15228" xr:uid="{CF98345B-5655-4368-8F09-F9986804DC86}"/>
    <cellStyle name="Output 2 3 7 9 3 2" xfId="37665" xr:uid="{F9BEDA6F-368E-49F8-A85E-A0564526654B}"/>
    <cellStyle name="Output 2 3 7 9 3 3" xfId="48675" xr:uid="{68AF7EBE-2C11-4E88-8803-3B0F9D81494C}"/>
    <cellStyle name="Output 2 3 7 9 4" xfId="21043" xr:uid="{E2D6820C-349B-43E8-A9C4-A8ED7ADBC94C}"/>
    <cellStyle name="Output 2 3 7 9 4 2" xfId="30464" xr:uid="{798B2EE6-D694-489B-9DB6-DE302D0D552C}"/>
    <cellStyle name="Output 2 3 7 9 5" xfId="26198" xr:uid="{89D2F25B-B597-4FA4-973F-1DA6FAEB11FC}"/>
    <cellStyle name="Output 2 3 8" xfId="2591" xr:uid="{00000000-0005-0000-0000-0000DC070000}"/>
    <cellStyle name="Output 2 3 8 2" xfId="9500" xr:uid="{6197FE67-322E-4B1C-8270-EEB88FCDD8E7}"/>
    <cellStyle name="Output 2 3 8 2 2" xfId="32052" xr:uid="{E29489B4-350D-491E-9124-1C5D15289A9D}"/>
    <cellStyle name="Output 2 3 8 2 3" xfId="42946" xr:uid="{638A759F-79E6-4D7F-86CA-2B4E9240294E}"/>
    <cellStyle name="Output 2 3 8 3" xfId="15069" xr:uid="{C0C0D148-1451-4233-BA62-374B2B441B4B}"/>
    <cellStyle name="Output 2 3 8 3 2" xfId="37514" xr:uid="{D053A200-E957-4C12-85DD-D9FA2EAEF8AA}"/>
    <cellStyle name="Output 2 3 8 3 3" xfId="48181" xr:uid="{265D6B09-8E76-483C-A68E-E414CF328B28}"/>
    <cellStyle name="Output 2 3 8 4" xfId="15468" xr:uid="{B123A5F7-67CE-4EFE-96F6-32E6B9C047D8}"/>
    <cellStyle name="Output 2 3 8 4 2" xfId="37894" xr:uid="{63B8612A-4D4C-4D5B-BF7C-1940AEC5712B}"/>
    <cellStyle name="Output 2 3 8 4 3" xfId="51063" xr:uid="{C1099DD5-C0BF-4D12-BBB2-12755483985A}"/>
    <cellStyle name="Output 2 3 8 5" xfId="20583" xr:uid="{2AF52E85-C0E2-4BB1-9E11-64DE0C774827}"/>
    <cellStyle name="Output 2 3 8 5 2" xfId="45129" xr:uid="{CA671E24-5B49-4F6D-986C-26A2DB5C4A01}"/>
    <cellStyle name="Output 2 3 8 6" xfId="48451" xr:uid="{D9B30179-128C-428B-B8CF-C0D318BA476A}"/>
    <cellStyle name="Output 2 3 9" xfId="4419" xr:uid="{00000000-0005-0000-0000-0000DC070000}"/>
    <cellStyle name="Output 2 3 9 2" xfId="11321" xr:uid="{9AB6148C-F860-4C9D-B92E-8F4858B0FE39}"/>
    <cellStyle name="Output 2 3 9 2 2" xfId="33807" xr:uid="{F4D3C633-D5C2-4B7D-8B0B-3DD59F896874}"/>
    <cellStyle name="Output 2 3 9 2 3" xfId="26560" xr:uid="{36D72D2A-1FDB-4893-942E-9241C407213F}"/>
    <cellStyle name="Output 2 3 9 3" xfId="16356" xr:uid="{AFCE29F7-BB8B-4772-A8E5-A1DA5F246304}"/>
    <cellStyle name="Output 2 3 9 3 2" xfId="38746" xr:uid="{F09345E2-3E6A-476A-A474-030901A3FD91}"/>
    <cellStyle name="Output 2 3 9 3 3" xfId="29067" xr:uid="{0E2A4E3E-25BF-4DEE-995F-263316A20AF9}"/>
    <cellStyle name="Output 2 3 9 4" xfId="15374" xr:uid="{84D6C03A-81A2-4ABC-90B9-A3966B4E9CC6}"/>
    <cellStyle name="Output 2 3 9 4 2" xfId="37804" xr:uid="{EB99AFD1-0B1A-4700-96A7-8E0C1EC4FDD9}"/>
    <cellStyle name="Output 2 3 9 4 3" xfId="49173" xr:uid="{DB3A0C2A-01E9-4D5A-9417-D6186E27D53C}"/>
    <cellStyle name="Output 2 3 9 5" xfId="16163" xr:uid="{D223347A-669A-471D-80AF-52885C4E98C3}"/>
    <cellStyle name="Output 2 3 9 5 2" xfId="44130" xr:uid="{DF5A379A-1035-4BF6-9E3D-C6A92DD90AD2}"/>
    <cellStyle name="Output 2 3 9 6" xfId="46589" xr:uid="{F7BC26B0-5E8D-474F-93FB-EE9B0BE792B1}"/>
    <cellStyle name="Output 2 4" xfId="451" xr:uid="{00000000-0005-0000-0000-0000EA070000}"/>
    <cellStyle name="Output 2 4 10" xfId="5759" xr:uid="{00000000-0005-0000-0000-0000E8070000}"/>
    <cellStyle name="Output 2 4 10 2" xfId="12643" xr:uid="{6BA27A78-694C-4820-ADA0-F265C0D1611A}"/>
    <cellStyle name="Output 2 4 10 2 2" xfId="35128" xr:uid="{FBA4251D-25A6-4A3F-BA0D-C9270BDFEFA6}"/>
    <cellStyle name="Output 2 4 10 2 3" xfId="44423" xr:uid="{B138ED48-68A9-40D6-B1D0-AE0ECF1D2A71}"/>
    <cellStyle name="Output 2 4 10 3" xfId="17696" xr:uid="{43BBF4FB-BAD9-49E6-B800-D36CC4D762CF}"/>
    <cellStyle name="Output 2 4 10 3 2" xfId="40086" xr:uid="{690EA1BA-51B1-4D65-8825-022DD0C3DB28}"/>
    <cellStyle name="Output 2 4 10 3 3" xfId="28581" xr:uid="{534B78ED-1192-407B-BBFE-7B4C70E6FA55}"/>
    <cellStyle name="Output 2 4 10 4" xfId="8679" xr:uid="{32DA804B-1B64-4CFA-8205-90E10BEFEA0C}"/>
    <cellStyle name="Output 2 4 10 4 2" xfId="31264" xr:uid="{EE470BC6-7790-45AA-8D08-9498B5B8E3E9}"/>
    <cellStyle name="Output 2 4 10 4 3" xfId="38482" xr:uid="{90DDF48B-2BF3-4D3F-814F-219525C61E1C}"/>
    <cellStyle name="Output 2 4 10 5" xfId="22120" xr:uid="{EFFA1B77-E856-4D29-8EF9-E459CD4C0079}"/>
    <cellStyle name="Output 2 4 10 5 2" xfId="46979" xr:uid="{8CCC0F67-5403-4691-A51F-434B568C60F7}"/>
    <cellStyle name="Output 2 4 10 6" xfId="46825" xr:uid="{4FB431AC-AD8B-4522-877C-8C97FFB1995F}"/>
    <cellStyle name="Output 2 4 11" xfId="5988" xr:uid="{00000000-0005-0000-0000-0000E8070000}"/>
    <cellStyle name="Output 2 4 11 2" xfId="12869" xr:uid="{FE55977E-1744-4C31-966F-7C8083491231}"/>
    <cellStyle name="Output 2 4 11 2 2" xfId="35353" xr:uid="{01E68A73-338A-4B52-B6B1-518401E928D9}"/>
    <cellStyle name="Output 2 4 11 2 3" xfId="50569" xr:uid="{561903B8-4FAE-4EA0-AE51-E09F54BCA900}"/>
    <cellStyle name="Output 2 4 11 3" xfId="17925" xr:uid="{7E3484E1-7A72-4DB0-8BAB-84A34CB24783}"/>
    <cellStyle name="Output 2 4 11 3 2" xfId="40315" xr:uid="{50748CE1-8ECC-42D6-A4DA-BFDE74B759B0}"/>
    <cellStyle name="Output 2 4 11 3 3" xfId="44346" xr:uid="{A11BDA5B-54DC-491F-B1AA-C20490F57DCD}"/>
    <cellStyle name="Output 2 4 11 4" xfId="16146" xr:uid="{F71D23C9-FE3C-4E2E-9B8F-2CC4EF2404E8}"/>
    <cellStyle name="Output 2 4 11 4 2" xfId="38546" xr:uid="{F0AE47B6-4378-419A-B020-BFD0EB08B46C}"/>
    <cellStyle name="Output 2 4 11 4 3" xfId="28115" xr:uid="{1F37C913-E737-4AE2-BE40-5A621E795A5D}"/>
    <cellStyle name="Output 2 4 11 5" xfId="22349" xr:uid="{4661F548-579F-4192-A3A5-3D19D7576DC8}"/>
    <cellStyle name="Output 2 4 11 5 2" xfId="45038" xr:uid="{3F558330-74A0-4E68-80EE-F02A74F0EAD8}"/>
    <cellStyle name="Output 2 4 11 6" xfId="47945" xr:uid="{8B8AE039-A224-441E-BB48-F158C3DDA589}"/>
    <cellStyle name="Output 2 4 12" xfId="4455" xr:uid="{00000000-0005-0000-0000-0000E8070000}"/>
    <cellStyle name="Output 2 4 12 2" xfId="11357" xr:uid="{5512E3D4-502F-47BE-BC4B-A4BA12FCE417}"/>
    <cellStyle name="Output 2 4 12 2 2" xfId="33843" xr:uid="{7C798B3D-0F1F-434B-8B23-5D7FB7995DB9}"/>
    <cellStyle name="Output 2 4 12 2 3" xfId="29438" xr:uid="{E9CCB1C5-D624-4635-B98C-B59097051AEC}"/>
    <cellStyle name="Output 2 4 12 3" xfId="16392" xr:uid="{F63BE5C3-CF48-4EA8-9FF4-F15A27F7699A}"/>
    <cellStyle name="Output 2 4 12 3 2" xfId="38782" xr:uid="{8D25171C-E507-4C6D-A8E5-EF8AB779E0ED}"/>
    <cellStyle name="Output 2 4 12 3 3" xfId="32296" xr:uid="{1F82FFE5-B9F7-4F04-B34B-66145A089711}"/>
    <cellStyle name="Output 2 4 12 4" xfId="8904" xr:uid="{6E52AA99-9DDA-4951-B342-D2231B0E4ADF}"/>
    <cellStyle name="Output 2 4 12 4 2" xfId="31483" xr:uid="{FC708CE6-C40C-4802-81D4-1DCE87F715E2}"/>
    <cellStyle name="Output 2 4 12 4 3" xfId="52013" xr:uid="{BE447158-5D79-44C1-AF08-5508E4A23778}"/>
    <cellStyle name="Output 2 4 12 5" xfId="19369" xr:uid="{814AE9DA-D59B-48E6-99E1-F5E8FCE0401F}"/>
    <cellStyle name="Output 2 4 12 5 2" xfId="45418" xr:uid="{6806647A-9265-4D46-9259-80750B11347E}"/>
    <cellStyle name="Output 2 4 12 6" xfId="53364" xr:uid="{401EC538-9A25-44F0-B2C5-F5ECA9CB18D9}"/>
    <cellStyle name="Output 2 4 13" xfId="7602" xr:uid="{A2E0B4F7-26AF-4515-95C4-D748D2779C60}"/>
    <cellStyle name="Output 2 4 13 2" xfId="30263" xr:uid="{DBB68C47-D130-458A-B3BF-92ED96D319EE}"/>
    <cellStyle name="Output 2 4 13 3" xfId="28877" xr:uid="{EB18B9FF-CC71-44CA-92B7-98A1B0D1779E}"/>
    <cellStyle name="Output 2 4 14" xfId="20441" xr:uid="{A23A44CF-8939-4F41-B311-9531FEF4A8E9}"/>
    <cellStyle name="Output 2 4 14 2" xfId="42733" xr:uid="{02320614-13D9-4360-8B73-7209435B168B}"/>
    <cellStyle name="Output 2 4 14 3" xfId="46211" xr:uid="{662D133E-A2BA-4307-835E-FD039C0170B5}"/>
    <cellStyle name="Output 2 4 15" xfId="20564" xr:uid="{686B3597-299C-4755-8981-0BE02446D08C}"/>
    <cellStyle name="Output 2 4 15 2" xfId="45030" xr:uid="{E5FA1922-5B48-4332-936D-E09D9C296E7F}"/>
    <cellStyle name="Output 2 4 16" xfId="47473" xr:uid="{D90DA08D-A2E5-4A91-9380-4479C3FF09F3}"/>
    <cellStyle name="Output 2 4 2" xfId="604" xr:uid="{00000000-0005-0000-0000-0000EB070000}"/>
    <cellStyle name="Output 2 4 2 10" xfId="15264" xr:uid="{25DC866E-799B-493D-AC0D-E7D8A36FE334}"/>
    <cellStyle name="Output 2 4 2 10 2" xfId="43051" xr:uid="{E90D1B65-8B10-4F7D-9AF3-27F9EB29547D}"/>
    <cellStyle name="Output 2 4 2 11" xfId="25303" xr:uid="{7881BD99-AF00-47E9-9AB6-58D49F91FA2B}"/>
    <cellStyle name="Output 2 4 2 2" xfId="1738" xr:uid="{00000000-0005-0000-0000-0000EC070000}"/>
    <cellStyle name="Output 2 4 2 2 10" xfId="14439" xr:uid="{7BAA02FA-CF02-4BC1-A274-D305A567AFEF}"/>
    <cellStyle name="Output 2 4 2 2 10 2" xfId="36905" xr:uid="{C5A48A63-4057-4EF9-8AB0-5FCEB1700A3F}"/>
    <cellStyle name="Output 2 4 2 2 10 3" xfId="49496" xr:uid="{3D1BF9F7-1A0F-41AE-85B4-4A86EF57BEBD}"/>
    <cellStyle name="Output 2 4 2 2 11" xfId="19930" xr:uid="{685192F2-53B4-44C0-AC7F-40D7F5DA549D}"/>
    <cellStyle name="Output 2 4 2 2 11 2" xfId="42261" xr:uid="{36C51F7F-E69A-4417-B3BF-12B2A5A19C0A}"/>
    <cellStyle name="Output 2 4 2 2 11 3" xfId="29085" xr:uid="{822BB272-3527-4A44-8777-602F2870C77A}"/>
    <cellStyle name="Output 2 4 2 2 12" xfId="21091" xr:uid="{E4AF9186-0303-4313-A81B-D64FD1363800}"/>
    <cellStyle name="Output 2 4 2 2 12 2" xfId="24208" xr:uid="{E7C285BA-BECD-4A8D-BCB1-05DAAE1444E7}"/>
    <cellStyle name="Output 2 4 2 2 13" xfId="45125" xr:uid="{3BDBE268-F16C-477B-B699-B29E1EE42914}"/>
    <cellStyle name="Output 2 4 2 2 2" xfId="3836" xr:uid="{00000000-0005-0000-0000-0000EA070000}"/>
    <cellStyle name="Output 2 4 2 2 2 2" xfId="10740" xr:uid="{C8E0D377-547E-441D-B80B-EEC3900BC4C7}"/>
    <cellStyle name="Output 2 4 2 2 2 2 2" xfId="33226" xr:uid="{4F7D95BE-52A7-43B0-A749-FC5E78380D6C}"/>
    <cellStyle name="Output 2 4 2 2 2 2 3" xfId="52534" xr:uid="{FAF73EF2-5FBC-4677-9C9E-52FA9B564E77}"/>
    <cellStyle name="Output 2 4 2 2 2 3" xfId="15896" xr:uid="{2137BC3E-930A-4D7C-ADAA-0EBC1BD0DF8A}"/>
    <cellStyle name="Output 2 4 2 2 2 3 2" xfId="38302" xr:uid="{FA1356DD-10A1-4252-AFBA-01012623F040}"/>
    <cellStyle name="Output 2 4 2 2 2 3 3" xfId="53185" xr:uid="{CC6C1ADB-1006-4C37-A56A-E7CF92D213ED}"/>
    <cellStyle name="Output 2 4 2 2 2 4" xfId="14406" xr:uid="{EB11C7DE-4909-454F-8E9B-CA5B350A6D86}"/>
    <cellStyle name="Output 2 4 2 2 2 4 2" xfId="36872" xr:uid="{23FCBDAC-6F2D-4385-85DA-511B3D014E49}"/>
    <cellStyle name="Output 2 4 2 2 2 4 3" xfId="53179" xr:uid="{3706DF2B-CBBE-4614-9FA3-313D48276A00}"/>
    <cellStyle name="Output 2 4 2 2 2 5" xfId="19834" xr:uid="{D37A1740-FF79-4EB7-956F-CE6263F0F432}"/>
    <cellStyle name="Output 2 4 2 2 2 5 2" xfId="45293" xr:uid="{CA91A0A8-B301-44DD-ADCA-A0C90AA86458}"/>
    <cellStyle name="Output 2 4 2 2 2 6" xfId="50863" xr:uid="{5BE4A246-3FFA-4195-ABE2-0A5406F3BD5A}"/>
    <cellStyle name="Output 2 4 2 2 3" xfId="5252" xr:uid="{00000000-0005-0000-0000-0000EA070000}"/>
    <cellStyle name="Output 2 4 2 2 3 2" xfId="12144" xr:uid="{1F44D761-37FE-4CD0-B321-BF94003ED2BB}"/>
    <cellStyle name="Output 2 4 2 2 3 2 2" xfId="34629" xr:uid="{9D5B2124-9073-4958-8A24-BF15610D5CEF}"/>
    <cellStyle name="Output 2 4 2 2 3 2 3" xfId="45823" xr:uid="{3D87F8F8-73EB-4C66-A979-0AEE41C3BACA}"/>
    <cellStyle name="Output 2 4 2 2 3 3" xfId="17189" xr:uid="{E66DF8B3-F212-4589-9CB6-43559742C2B9}"/>
    <cellStyle name="Output 2 4 2 2 3 3 2" xfId="39579" xr:uid="{6AE9BCEA-646D-4D69-8196-15AA5BCC19D0}"/>
    <cellStyle name="Output 2 4 2 2 3 3 3" xfId="30617" xr:uid="{42F2D49E-BA2E-475B-BE45-EFD6C94D3031}"/>
    <cellStyle name="Output 2 4 2 2 3 4" xfId="8119" xr:uid="{9CFB417E-C841-4E91-97ED-831D571E8E9D}"/>
    <cellStyle name="Output 2 4 2 2 3 4 2" xfId="30732" xr:uid="{33AC06A4-24B8-469F-896E-349A58AC4C49}"/>
    <cellStyle name="Output 2 4 2 2 3 4 3" xfId="53010" xr:uid="{09416836-B100-43DC-9F8F-F0398B06BB65}"/>
    <cellStyle name="Output 2 4 2 2 3 5" xfId="21613" xr:uid="{57101896-DD3C-4DD1-964E-6E94B62212FA}"/>
    <cellStyle name="Output 2 4 2 2 3 5 2" xfId="42662" xr:uid="{00A251FF-2520-415D-8990-1C8CB7BCC8C9}"/>
    <cellStyle name="Output 2 4 2 2 3 6" xfId="53171" xr:uid="{2691FAB7-00F6-4E78-885A-5BBEC47572E7}"/>
    <cellStyle name="Output 2 4 2 2 4" xfId="5664" xr:uid="{00000000-0005-0000-0000-0000EA070000}"/>
    <cellStyle name="Output 2 4 2 2 4 2" xfId="12548" xr:uid="{80E4501A-0DE8-41F6-A5CA-3FB2F4A31CDA}"/>
    <cellStyle name="Output 2 4 2 2 4 2 2" xfId="35033" xr:uid="{A47F98E0-0D85-4DC5-ACC2-A854186A1EAD}"/>
    <cellStyle name="Output 2 4 2 2 4 2 3" xfId="45790" xr:uid="{9142E995-7601-44BD-87DC-30029C8234C2}"/>
    <cellStyle name="Output 2 4 2 2 4 3" xfId="17601" xr:uid="{278E8002-307E-45B3-ACC2-2F71E6B5EF32}"/>
    <cellStyle name="Output 2 4 2 2 4 3 2" xfId="39991" xr:uid="{C00CE265-10A5-4420-91BE-DBF81FB74291}"/>
    <cellStyle name="Output 2 4 2 2 4 3 3" xfId="29376" xr:uid="{4AC7F5CD-B67D-4CC5-88E8-C3A5BE4B25F7}"/>
    <cellStyle name="Output 2 4 2 2 4 4" xfId="14766" xr:uid="{40D83289-7355-4CA1-9DDD-30DC6406BDB4}"/>
    <cellStyle name="Output 2 4 2 2 4 4 2" xfId="37223" xr:uid="{86A105C6-35A1-47F9-928A-B4007D209514}"/>
    <cellStyle name="Output 2 4 2 2 4 4 3" xfId="46612" xr:uid="{97BC0A01-F8F0-4308-9087-CAF7AD28567A}"/>
    <cellStyle name="Output 2 4 2 2 4 5" xfId="22025" xr:uid="{BA9D5E75-3B16-46AE-912E-762159FD972B}"/>
    <cellStyle name="Output 2 4 2 2 4 5 2" xfId="48652" xr:uid="{358D3D82-B6F7-4067-81C3-C35A27F69ECF}"/>
    <cellStyle name="Output 2 4 2 2 4 6" xfId="53974" xr:uid="{B3DAC14E-E333-49DC-B306-F16BE3AB5203}"/>
    <cellStyle name="Output 2 4 2 2 5" xfId="5348" xr:uid="{00000000-0005-0000-0000-0000EA070000}"/>
    <cellStyle name="Output 2 4 2 2 5 2" xfId="12240" xr:uid="{6F265BA2-6CB2-4F1B-83AA-842DE3B676ED}"/>
    <cellStyle name="Output 2 4 2 2 5 2 2" xfId="34725" xr:uid="{134EA63C-00BA-4D3E-8FF9-726CCE4DAE4D}"/>
    <cellStyle name="Output 2 4 2 2 5 2 3" xfId="45589" xr:uid="{CED8A7C1-3073-4E27-82B1-215F2A790C39}"/>
    <cellStyle name="Output 2 4 2 2 5 3" xfId="17285" xr:uid="{C0B3B16D-932A-4B61-99EB-66A05928B87F}"/>
    <cellStyle name="Output 2 4 2 2 5 3 2" xfId="39675" xr:uid="{DBCBD0E6-C83D-41A8-B3E4-D9B6907C4F25}"/>
    <cellStyle name="Output 2 4 2 2 5 3 3" xfId="24076" xr:uid="{5938DEFC-5F7E-49FC-9432-7BA44FB6AEA0}"/>
    <cellStyle name="Output 2 4 2 2 5 4" xfId="15740" xr:uid="{A38B4FF2-6FED-4F78-98F3-5AD26111892F}"/>
    <cellStyle name="Output 2 4 2 2 5 4 2" xfId="38152" xr:uid="{90E3B7D5-18AD-4F8D-BA85-CD628B434F82}"/>
    <cellStyle name="Output 2 4 2 2 5 4 3" xfId="50838" xr:uid="{2414A784-A775-4DFC-B8E9-1A28AF8A4AB9}"/>
    <cellStyle name="Output 2 4 2 2 5 5" xfId="21709" xr:uid="{DF0DC3A9-AF1D-4799-95B5-D2B2D21E9A6F}"/>
    <cellStyle name="Output 2 4 2 2 5 5 2" xfId="46710" xr:uid="{96CC8FCE-80E3-43C3-9D82-AF32C7B32668}"/>
    <cellStyle name="Output 2 4 2 2 5 6" xfId="25986" xr:uid="{DD85047F-7C25-4899-BA12-D65956AF766D}"/>
    <cellStyle name="Output 2 4 2 2 6" xfId="6403" xr:uid="{00000000-0005-0000-0000-0000EA070000}"/>
    <cellStyle name="Output 2 4 2 2 6 2" xfId="13275" xr:uid="{82167DB3-11F5-44CA-B67C-282BBDE60945}"/>
    <cellStyle name="Output 2 4 2 2 6 2 2" xfId="35759" xr:uid="{52E62904-F605-4635-BA3E-E53FE6836DF8}"/>
    <cellStyle name="Output 2 4 2 2 6 2 3" xfId="46163" xr:uid="{39F3E589-CCC9-47F5-A0E7-CC9EB71DC38A}"/>
    <cellStyle name="Output 2 4 2 2 6 3" xfId="18340" xr:uid="{723E4599-E579-49B0-8A81-00E244252860}"/>
    <cellStyle name="Output 2 4 2 2 6 3 2" xfId="40730" xr:uid="{A57F8838-73D1-402C-9CD6-7BE38CDFE0FA}"/>
    <cellStyle name="Output 2 4 2 2 6 3 3" xfId="23809" xr:uid="{BC11576E-5077-4D01-99AA-6623A13E5A1C}"/>
    <cellStyle name="Output 2 4 2 2 6 4" xfId="21187" xr:uid="{0360EF41-6BC0-45DF-B001-BFB71AAA9F32}"/>
    <cellStyle name="Output 2 4 2 2 6 4 2" xfId="43427" xr:uid="{442B3E6D-DE94-4163-B8BA-886A2B68DABE}"/>
    <cellStyle name="Output 2 4 2 2 6 4 3" xfId="52432" xr:uid="{A2AF9DDC-A5F0-47D0-91AC-C53F56331AA6}"/>
    <cellStyle name="Output 2 4 2 2 6 5" xfId="22764" xr:uid="{CD55959F-2108-4F29-8C89-A304717BAC1C}"/>
    <cellStyle name="Output 2 4 2 2 6 5 2" xfId="42843" xr:uid="{2843D55D-2B51-4289-9F2B-17996D6085E7}"/>
    <cellStyle name="Output 2 4 2 2 6 6" xfId="31138" xr:uid="{C0B86695-A39F-493B-B196-68B2EBD48530}"/>
    <cellStyle name="Output 2 4 2 2 7" xfId="4365" xr:uid="{00000000-0005-0000-0000-0000EA070000}"/>
    <cellStyle name="Output 2 4 2 2 7 2" xfId="11268" xr:uid="{B4F07079-F0E8-4873-BBEB-72257B71B616}"/>
    <cellStyle name="Output 2 4 2 2 7 2 2" xfId="33754" xr:uid="{9B0E6B39-32C4-4500-9FF4-D765E7233FA1}"/>
    <cellStyle name="Output 2 4 2 2 7 2 3" xfId="32521" xr:uid="{B7665666-0E6D-4C11-B70C-198A9106F9D8}"/>
    <cellStyle name="Output 2 4 2 2 7 3" xfId="16302" xr:uid="{6014B131-2EFE-4418-8683-5390A3874E79}"/>
    <cellStyle name="Output 2 4 2 2 7 3 2" xfId="38692" xr:uid="{C8722CF6-3C9E-45CD-A5E3-810A9D5C6E84}"/>
    <cellStyle name="Output 2 4 2 2 7 3 3" xfId="28098" xr:uid="{F2A402BC-45AF-4819-8885-6D7511864CC6}"/>
    <cellStyle name="Output 2 4 2 2 7 4" xfId="19288" xr:uid="{A33CBB2E-F7AB-414D-8159-764D510AF55D}"/>
    <cellStyle name="Output 2 4 2 2 7 4 2" xfId="41669" xr:uid="{938D552C-803A-44AA-A728-7DF61E1D6945}"/>
    <cellStyle name="Output 2 4 2 2 7 4 3" xfId="43081" xr:uid="{62BC7411-7316-473A-AF97-8D8641897AD4}"/>
    <cellStyle name="Output 2 4 2 2 7 5" xfId="20377" xr:uid="{C977A0A1-C158-42D8-B639-1F610BC40196}"/>
    <cellStyle name="Output 2 4 2 2 7 5 2" xfId="49838" xr:uid="{0AFA75AB-F208-49E5-98C6-8BC8BEB6842F}"/>
    <cellStyle name="Output 2 4 2 2 7 6" xfId="52258" xr:uid="{4BDDC263-34A4-4B06-8C64-F57F35DA0324}"/>
    <cellStyle name="Output 2 4 2 2 8" xfId="6920" xr:uid="{00000000-0005-0000-0000-0000EA070000}"/>
    <cellStyle name="Output 2 4 2 2 8 2" xfId="13758" xr:uid="{F1BFC542-208A-4AEE-BB87-EB09DAD37044}"/>
    <cellStyle name="Output 2 4 2 2 8 2 2" xfId="36242" xr:uid="{B2EC985B-A49E-4ABA-8BAA-7B43DF3B6FA6}"/>
    <cellStyle name="Output 2 4 2 2 8 2 3" xfId="50192" xr:uid="{D654B059-0669-4A8E-BC6E-C31615E491A8}"/>
    <cellStyle name="Output 2 4 2 2 8 3" xfId="18857" xr:uid="{0D2C9949-71B9-4130-B0A1-BCBECA5BBA3E}"/>
    <cellStyle name="Output 2 4 2 2 8 3 2" xfId="41247" xr:uid="{66DE60BF-CF02-4BB5-B48C-44E47B6C84D8}"/>
    <cellStyle name="Output 2 4 2 2 8 3 3" xfId="45151" xr:uid="{DB006661-E2CA-470E-8952-5B8EDCC6DC00}"/>
    <cellStyle name="Output 2 4 2 2 8 4" xfId="19556" xr:uid="{5B32EF26-77EF-4926-8053-08371FDBB090}"/>
    <cellStyle name="Output 2 4 2 2 8 4 2" xfId="41915" xr:uid="{9D6648A7-2AD9-4742-ACF3-85FBF4340A04}"/>
    <cellStyle name="Output 2 4 2 2 8 4 3" xfId="43183" xr:uid="{4A19839B-4345-4A0F-BC60-EE302A535178}"/>
    <cellStyle name="Output 2 4 2 2 8 5" xfId="23281" xr:uid="{298113B5-E814-406C-9FB4-D0AB2901E595}"/>
    <cellStyle name="Output 2 4 2 2 8 5 2" xfId="26438" xr:uid="{145F86E0-7044-4364-A980-60CBDCD0F4DC}"/>
    <cellStyle name="Output 2 4 2 2 8 6" xfId="49137" xr:uid="{874DD988-AE77-41C8-A41F-B6A22F43A081}"/>
    <cellStyle name="Output 2 4 2 2 9" xfId="6685" xr:uid="{00000000-0005-0000-0000-0000EA070000}"/>
    <cellStyle name="Output 2 4 2 2 9 2" xfId="18622" xr:uid="{EDDC0BBE-6E17-4D48-8C15-2A2B22BAC5B0}"/>
    <cellStyle name="Output 2 4 2 2 9 2 2" xfId="41012" xr:uid="{E54BED6E-979B-4B8A-A2F7-441BBEC5BA60}"/>
    <cellStyle name="Output 2 4 2 2 9 2 3" xfId="44656" xr:uid="{CC335F56-1D72-4B09-940E-E3913F5E0CC0}"/>
    <cellStyle name="Output 2 4 2 2 9 3" xfId="20087" xr:uid="{B09A0EAA-92B6-445D-8495-9B3B4251C7D1}"/>
    <cellStyle name="Output 2 4 2 2 9 3 2" xfId="42405" xr:uid="{918FC7B0-7EA7-4D17-87D1-EC1A14E54FE4}"/>
    <cellStyle name="Output 2 4 2 2 9 3 3" xfId="26137" xr:uid="{05C106BD-BC29-46DD-8BE2-3771F33BA6B8}"/>
    <cellStyle name="Output 2 4 2 2 9 4" xfId="23046" xr:uid="{076F351C-1F5B-4F5A-9B5F-350AFDFA98EC}"/>
    <cellStyle name="Output 2 4 2 2 9 4 2" xfId="51625" xr:uid="{64C730FF-2C09-4204-8EA2-4BBC25168361}"/>
    <cellStyle name="Output 2 4 2 2 9 5" xfId="47279" xr:uid="{27418DCE-49E4-4DDE-9E9D-2D2A294EE2AC}"/>
    <cellStyle name="Output 2 4 2 3" xfId="2750" xr:uid="{00000000-0005-0000-0000-0000E9070000}"/>
    <cellStyle name="Output 2 4 2 3 2" xfId="9659" xr:uid="{609C54B4-ED54-4E83-A6B1-2CF29D2E66EA}"/>
    <cellStyle name="Output 2 4 2 3 2 2" xfId="32207" xr:uid="{3C38D126-F96B-45A7-B7A2-3D83DB442A95}"/>
    <cellStyle name="Output 2 4 2 3 2 3" xfId="50704" xr:uid="{36FB9E88-35F0-4233-AB4D-DAF8FF405EA3}"/>
    <cellStyle name="Output 2 4 2 3 3" xfId="15177" xr:uid="{9E92C5F6-F9BE-473B-A5BB-2BF653935456}"/>
    <cellStyle name="Output 2 4 2 3 3 2" xfId="37617" xr:uid="{0DE7E6E2-8CC1-487E-B2C4-6AC803A50C5A}"/>
    <cellStyle name="Output 2 4 2 3 3 3" xfId="52837" xr:uid="{D275AF8C-2436-4955-9FA7-C604741C8145}"/>
    <cellStyle name="Output 2 4 2 3 4" xfId="19838" xr:uid="{4E21DE1B-96A4-45EC-9B82-ED4307DC81B7}"/>
    <cellStyle name="Output 2 4 2 3 4 2" xfId="42174" xr:uid="{AEEC0BC0-2300-495D-9714-333CA28725C3}"/>
    <cellStyle name="Output 2 4 2 3 4 3" xfId="24669" xr:uid="{F4511DDD-CB14-43EF-BA04-40D670BC6CB7}"/>
    <cellStyle name="Output 2 4 2 3 5" xfId="14121" xr:uid="{9D375388-2418-4F94-9E64-D872C05EE4CF}"/>
    <cellStyle name="Output 2 4 2 3 5 2" xfId="45568" xr:uid="{141CDB38-A41E-436D-9D31-035C3A386004}"/>
    <cellStyle name="Output 2 4 2 3 6" xfId="53690" xr:uid="{331822B0-3144-4F4C-AC74-10FB147D60ED}"/>
    <cellStyle name="Output 2 4 2 4" xfId="4543" xr:uid="{00000000-0005-0000-0000-0000E9070000}"/>
    <cellStyle name="Output 2 4 2 4 2" xfId="11445" xr:uid="{BCBA55A3-18D2-47CC-978D-FCBFEA7E637D}"/>
    <cellStyle name="Output 2 4 2 4 2 2" xfId="33931" xr:uid="{61F0F4C9-AE17-4ABB-B252-64C8FDE071BA}"/>
    <cellStyle name="Output 2 4 2 4 2 3" xfId="45854" xr:uid="{A247581F-EC73-4401-897C-F74DF8B49940}"/>
    <cellStyle name="Output 2 4 2 4 3" xfId="16480" xr:uid="{00E3A9CB-9A57-4279-A8A5-E575A5BE6A9B}"/>
    <cellStyle name="Output 2 4 2 4 3 2" xfId="38870" xr:uid="{DFB12CD9-7900-4FE7-B14D-F539CDD49ECC}"/>
    <cellStyle name="Output 2 4 2 4 3 3" xfId="44441" xr:uid="{674B9F28-A416-4CC6-9525-CF5433CB723E}"/>
    <cellStyle name="Output 2 4 2 4 4" xfId="14469" xr:uid="{3C38718F-BA1A-4762-BEC1-4D35D58326A9}"/>
    <cellStyle name="Output 2 4 2 4 4 2" xfId="36933" xr:uid="{704F0B9A-50CE-47B3-BC2D-E27BFD004959}"/>
    <cellStyle name="Output 2 4 2 4 4 3" xfId="52848" xr:uid="{90F85995-31F0-40B4-9F84-17A168819C57}"/>
    <cellStyle name="Output 2 4 2 4 5" xfId="21282" xr:uid="{36A823F2-5ADE-4C22-A52F-8AF915E46831}"/>
    <cellStyle name="Output 2 4 2 4 5 2" xfId="46747" xr:uid="{A9A5C7FB-CB0D-4A24-9A1B-E4962646AFF9}"/>
    <cellStyle name="Output 2 4 2 4 6" xfId="30662" xr:uid="{1398C988-FB24-4E72-A3A6-CA7F44E3B427}"/>
    <cellStyle name="Output 2 4 2 5" xfId="5776" xr:uid="{00000000-0005-0000-0000-0000E9070000}"/>
    <cellStyle name="Output 2 4 2 5 2" xfId="12659" xr:uid="{91C79DA3-18BA-43A4-8720-AE19D4460454}"/>
    <cellStyle name="Output 2 4 2 5 2 2" xfId="35144" xr:uid="{659350B3-8F3E-4FE0-8680-EACBB34FCECF}"/>
    <cellStyle name="Output 2 4 2 5 2 3" xfId="42259" xr:uid="{4EA1DD01-00B7-48CF-B6CF-926A4764319A}"/>
    <cellStyle name="Output 2 4 2 5 3" xfId="17713" xr:uid="{8038ABB6-4FBB-4E95-93BE-711129DCC8D6}"/>
    <cellStyle name="Output 2 4 2 5 3 2" xfId="40103" xr:uid="{9EE213FC-8F70-4A34-AEC8-D1AD5B8D7F16}"/>
    <cellStyle name="Output 2 4 2 5 3 3" xfId="30313" xr:uid="{190949C3-E0B9-4C48-A8D6-C83ACD48A0AB}"/>
    <cellStyle name="Output 2 4 2 5 4" xfId="15508" xr:uid="{1975332D-7831-4A62-B442-308E096E99B2}"/>
    <cellStyle name="Output 2 4 2 5 4 2" xfId="37929" xr:uid="{8996FBCD-287B-4390-92D9-123A09769EA9}"/>
    <cellStyle name="Output 2 4 2 5 4 3" xfId="50607" xr:uid="{9452D0FC-AB02-48FF-BE8E-063B2ABE7996}"/>
    <cellStyle name="Output 2 4 2 5 5" xfId="22137" xr:uid="{ABDF6493-1A41-4D34-B716-7A24302ABAF8}"/>
    <cellStyle name="Output 2 4 2 5 5 2" xfId="47818" xr:uid="{A09E2F97-964A-473A-B6FE-888328B4861D}"/>
    <cellStyle name="Output 2 4 2 5 6" xfId="42578" xr:uid="{E1828698-3B1F-4412-BC95-AA523B35D574}"/>
    <cellStyle name="Output 2 4 2 6" xfId="4626" xr:uid="{00000000-0005-0000-0000-0000E9070000}"/>
    <cellStyle name="Output 2 4 2 6 2" xfId="11527" xr:uid="{45F22AAC-95B8-41D7-ABEB-C376066AE9B2}"/>
    <cellStyle name="Output 2 4 2 6 2 2" xfId="34013" xr:uid="{77CE6842-640B-4D51-83C3-9A3759548D5E}"/>
    <cellStyle name="Output 2 4 2 6 2 3" xfId="42223" xr:uid="{6DADB678-17B7-4DFE-BA27-7449A3C39B8E}"/>
    <cellStyle name="Output 2 4 2 6 3" xfId="16563" xr:uid="{6372B188-4CF3-4C3D-9021-AF1CF4F4D07E}"/>
    <cellStyle name="Output 2 4 2 6 3 2" xfId="38953" xr:uid="{BA12C63D-FD20-4BA1-BE8E-7C59F58270D2}"/>
    <cellStyle name="Output 2 4 2 6 3 3" xfId="44453" xr:uid="{B0084675-9EE0-448E-A068-23B4AB972E27}"/>
    <cellStyle name="Output 2 4 2 6 4" xfId="19690" xr:uid="{D9844A59-FBEC-4B83-8F70-2AFC32716DFF}"/>
    <cellStyle name="Output 2 4 2 6 4 2" xfId="42037" xr:uid="{EB831359-2D7E-425C-A395-EBC08DCE4A69}"/>
    <cellStyle name="Output 2 4 2 6 4 3" xfId="45098" xr:uid="{31996BC3-73C9-4F15-A22D-314CF8941A61}"/>
    <cellStyle name="Output 2 4 2 6 5" xfId="15225" xr:uid="{5521A146-9AE0-4A24-B1D8-6F52A65461C3}"/>
    <cellStyle name="Output 2 4 2 6 5 2" xfId="50646" xr:uid="{F443D5D4-3F96-43A1-9F59-9D67F727989A}"/>
    <cellStyle name="Output 2 4 2 6 6" xfId="47890" xr:uid="{D950BE89-BB1D-46C0-A2F9-055C81E47A7E}"/>
    <cellStyle name="Output 2 4 2 7" xfId="4957" xr:uid="{00000000-0005-0000-0000-0000E9070000}"/>
    <cellStyle name="Output 2 4 2 7 2" xfId="11852" xr:uid="{10A2909E-BCB1-4283-BC57-0192CE527863}"/>
    <cellStyle name="Output 2 4 2 7 2 2" xfId="34338" xr:uid="{C4C231CF-F940-44E1-ACAD-8F65AC4878E0}"/>
    <cellStyle name="Output 2 4 2 7 2 3" xfId="23990" xr:uid="{6EE8366E-8C45-4750-B26A-1A84461205EB}"/>
    <cellStyle name="Output 2 4 2 7 3" xfId="16894" xr:uid="{28CFF249-837B-48A6-8C27-C1433AE455DA}"/>
    <cellStyle name="Output 2 4 2 7 3 2" xfId="39284" xr:uid="{DC813A1A-1FCE-4876-89EC-8AFC2A101D9D}"/>
    <cellStyle name="Output 2 4 2 7 3 3" xfId="28159" xr:uid="{5680FA8A-B697-4E9E-992D-1C2DB4BA81BA}"/>
    <cellStyle name="Output 2 4 2 7 4" xfId="15489" xr:uid="{3E3C2E40-FA46-4725-A117-325F87121F09}"/>
    <cellStyle name="Output 2 4 2 7 4 2" xfId="37912" xr:uid="{CC3D4371-47E7-4661-8348-DE79C39C6C1E}"/>
    <cellStyle name="Output 2 4 2 7 4 3" xfId="46598" xr:uid="{0BB3A12A-A54A-4058-8254-E8DBC67A4319}"/>
    <cellStyle name="Output 2 4 2 7 5" xfId="21318" xr:uid="{F00C6852-BB38-4D6A-A2B7-0085278C6047}"/>
    <cellStyle name="Output 2 4 2 7 5 2" xfId="50592" xr:uid="{70B3EFDB-6C0A-4E7C-AF58-2EBD0D5DF6E1}"/>
    <cellStyle name="Output 2 4 2 7 6" xfId="47271" xr:uid="{47C73469-B906-40AF-9FBE-51714572449F}"/>
    <cellStyle name="Output 2 4 2 8" xfId="9161" xr:uid="{9D4F0530-5288-445B-85D3-E09DD412FF7F}"/>
    <cellStyle name="Output 2 4 2 8 2" xfId="31736" xr:uid="{57383A5E-770A-4FBC-B98B-8DAFB1B12D04}"/>
    <cellStyle name="Output 2 4 2 8 3" xfId="46862" xr:uid="{A0C70BBB-093F-4CB7-8B71-ADC4310DA769}"/>
    <cellStyle name="Output 2 4 2 9" xfId="20745" xr:uid="{C321F81C-F126-4C06-AA03-474C13B8B0A5}"/>
    <cellStyle name="Output 2 4 2 9 2" xfId="43015" xr:uid="{4BC251CF-3862-4558-A9E9-D64B7BDD5B2F}"/>
    <cellStyle name="Output 2 4 2 9 3" xfId="54024" xr:uid="{C27ED58E-6D1E-4D00-A5D5-DA847269736C}"/>
    <cellStyle name="Output 2 4 3" xfId="851" xr:uid="{00000000-0005-0000-0000-0000ED070000}"/>
    <cellStyle name="Output 2 4 3 10" xfId="19896" xr:uid="{62916798-E649-4467-A0C4-5830AB9A1DEF}"/>
    <cellStyle name="Output 2 4 3 10 2" xfId="28465" xr:uid="{C6BFEEBA-A535-4537-B260-D62498A200C2}"/>
    <cellStyle name="Output 2 4 3 11" xfId="51237" xr:uid="{C88E9476-5066-4754-B0A1-0A3F17AE9713}"/>
    <cellStyle name="Output 2 4 3 2" xfId="1836" xr:uid="{00000000-0005-0000-0000-0000EE070000}"/>
    <cellStyle name="Output 2 4 3 2 10" xfId="14520" xr:uid="{3AFCC8E9-AFDD-4149-93C2-521A777E40A0}"/>
    <cellStyle name="Output 2 4 3 2 10 2" xfId="36981" xr:uid="{98E79930-F85B-406C-BC20-7E23126A35AD}"/>
    <cellStyle name="Output 2 4 3 2 10 3" xfId="51383" xr:uid="{7925903C-D6B5-46D0-B07E-AD1445B0F1C9}"/>
    <cellStyle name="Output 2 4 3 2 11" xfId="21274" xr:uid="{44217EB6-71B5-4D4D-A5B7-2C625A5A341D}"/>
    <cellStyle name="Output 2 4 3 2 11 2" xfId="43509" xr:uid="{1C5E5CB2-3DBD-4251-9A3F-DE77250C985D}"/>
    <cellStyle name="Output 2 4 3 2 11 3" xfId="50562" xr:uid="{75C6D5E7-C286-42BE-8837-4CB6C45809AD}"/>
    <cellStyle name="Output 2 4 3 2 12" xfId="15997" xr:uid="{3D77460B-004C-4940-B499-79FD41BBC288}"/>
    <cellStyle name="Output 2 4 3 2 12 2" xfId="44685" xr:uid="{03911E3A-AC7D-42FF-A7D6-0074608776B5}"/>
    <cellStyle name="Output 2 4 3 2 13" xfId="50054" xr:uid="{2DB73471-24C2-46AF-B9F9-419BE29B4236}"/>
    <cellStyle name="Output 2 4 3 2 2" xfId="3934" xr:uid="{00000000-0005-0000-0000-0000EC070000}"/>
    <cellStyle name="Output 2 4 3 2 2 2" xfId="10838" xr:uid="{7ABC28F2-DCD7-43F2-B833-63A3477BD19E}"/>
    <cellStyle name="Output 2 4 3 2 2 2 2" xfId="33324" xr:uid="{DDCB552B-F7C3-492E-896F-AB940AA12CF4}"/>
    <cellStyle name="Output 2 4 3 2 2 2 3" xfId="46735" xr:uid="{EBF086AE-DFFF-4F55-9716-FC27C24B89D7}"/>
    <cellStyle name="Output 2 4 3 2 2 3" xfId="15976" xr:uid="{4B6E296B-6B62-48AF-8320-FAFD8E71F0C8}"/>
    <cellStyle name="Output 2 4 3 2 2 3 2" xfId="38379" xr:uid="{9D900B17-2896-4E69-9630-70141DE70F96}"/>
    <cellStyle name="Output 2 4 3 2 2 3 3" xfId="50962" xr:uid="{0C7415FE-3930-4054-9ED8-51B3011182B6}"/>
    <cellStyle name="Output 2 4 3 2 2 4" xfId="21012" xr:uid="{F7260862-1D6D-4248-B3EA-C17A5018D88D}"/>
    <cellStyle name="Output 2 4 3 2 2 4 2" xfId="43263" xr:uid="{3E4CA053-D5D1-4F17-8D9B-6E13AD54E47D}"/>
    <cellStyle name="Output 2 4 3 2 2 4 3" xfId="51829" xr:uid="{1B0721F7-9392-4931-B024-609C195D18B6}"/>
    <cellStyle name="Output 2 4 3 2 2 5" xfId="20503" xr:uid="{05A0E605-C4E1-46C5-AFE6-C8D301EA834B}"/>
    <cellStyle name="Output 2 4 3 2 2 5 2" xfId="48609" xr:uid="{7130AF28-24A8-44F0-BCE7-FAE21E48D025}"/>
    <cellStyle name="Output 2 4 3 2 2 6" xfId="37922" xr:uid="{2D6EC382-FD79-45D5-8893-0E017E8254B3}"/>
    <cellStyle name="Output 2 4 3 2 3" xfId="5329" xr:uid="{00000000-0005-0000-0000-0000EC070000}"/>
    <cellStyle name="Output 2 4 3 2 3 2" xfId="12221" xr:uid="{5BBDA0B9-0FA6-48DE-BE1F-7410E6F6AF44}"/>
    <cellStyle name="Output 2 4 3 2 3 2 2" xfId="34706" xr:uid="{634570A6-F882-465C-86E2-82687CDC964C}"/>
    <cellStyle name="Output 2 4 3 2 3 2 3" xfId="27869" xr:uid="{27B7C8E1-5E5B-4A1D-855D-3F00B4E40892}"/>
    <cellStyle name="Output 2 4 3 2 3 3" xfId="17266" xr:uid="{B87C29EA-6D84-47D2-A8F4-E9780A954B08}"/>
    <cellStyle name="Output 2 4 3 2 3 3 2" xfId="39656" xr:uid="{5239CD60-289E-43B3-A4FA-BE2D9BBF525E}"/>
    <cellStyle name="Output 2 4 3 2 3 3 3" xfId="29886" xr:uid="{B7A7B340-0854-4B37-8022-B7C32A7B0AC9}"/>
    <cellStyle name="Output 2 4 3 2 3 4" xfId="14265" xr:uid="{22DEB379-9BA8-46B5-BEDB-114151EF7ACB}"/>
    <cellStyle name="Output 2 4 3 2 3 4 2" xfId="36736" xr:uid="{8D85A8CE-5AE4-4F32-B738-BF9D990EFEB1}"/>
    <cellStyle name="Output 2 4 3 2 3 4 3" xfId="52249" xr:uid="{1077BF01-02D7-493A-827D-CA25AB763AE6}"/>
    <cellStyle name="Output 2 4 3 2 3 5" xfId="21690" xr:uid="{9105836A-1A68-4C2D-ACAB-C6D228AFBB43}"/>
    <cellStyle name="Output 2 4 3 2 3 5 2" xfId="31921" xr:uid="{C0FF31F1-A10D-4995-A91B-FC95CEA25F62}"/>
    <cellStyle name="Output 2 4 3 2 3 6" xfId="52841" xr:uid="{9035002A-ED65-480F-85D1-9BB034063C50}"/>
    <cellStyle name="Output 2 4 3 2 4" xfId="5739" xr:uid="{00000000-0005-0000-0000-0000EC070000}"/>
    <cellStyle name="Output 2 4 3 2 4 2" xfId="12623" xr:uid="{10D77C2B-6C38-4127-A3CF-D82B0D93B8B2}"/>
    <cellStyle name="Output 2 4 3 2 4 2 2" xfId="35108" xr:uid="{9580F575-3487-4D11-A08F-633C44E1DB96}"/>
    <cellStyle name="Output 2 4 3 2 4 2 3" xfId="23777" xr:uid="{40CF14CD-3C03-4ED8-93BC-1BFB63723C01}"/>
    <cellStyle name="Output 2 4 3 2 4 3" xfId="17676" xr:uid="{23F8FF47-B476-40EA-B530-009568137F96}"/>
    <cellStyle name="Output 2 4 3 2 4 3 2" xfId="40066" xr:uid="{5D9ACBB6-4615-40EE-B820-E97BB06BC607}"/>
    <cellStyle name="Output 2 4 3 2 4 3 3" xfId="26254" xr:uid="{7B7F4791-1DDD-47DC-A655-DE7C3CED4476}"/>
    <cellStyle name="Output 2 4 3 2 4 4" xfId="14137" xr:uid="{445E564F-AA6D-4299-90E2-29F2749D5866}"/>
    <cellStyle name="Output 2 4 3 2 4 4 2" xfId="36614" xr:uid="{BD4047CA-2D06-4A7F-A95D-4731D30C0843}"/>
    <cellStyle name="Output 2 4 3 2 4 4 3" xfId="47056" xr:uid="{A2B2B18F-93C4-4B26-AAD5-1FF4247849A7}"/>
    <cellStyle name="Output 2 4 3 2 4 5" xfId="22100" xr:uid="{F411FDE8-D71A-4D60-B271-97FAD52267DC}"/>
    <cellStyle name="Output 2 4 3 2 4 5 2" xfId="51210" xr:uid="{9EAE48EF-8BAB-4AA1-8698-FD512D7F88FF}"/>
    <cellStyle name="Output 2 4 3 2 4 6" xfId="47619" xr:uid="{D05F551E-5260-484C-BD3D-254D3DDBD2D1}"/>
    <cellStyle name="Output 2 4 3 2 5" xfId="6093" xr:uid="{00000000-0005-0000-0000-0000EC070000}"/>
    <cellStyle name="Output 2 4 3 2 5 2" xfId="12971" xr:uid="{C3F4D621-4250-4508-BCD6-063588385DF0}"/>
    <cellStyle name="Output 2 4 3 2 5 2 2" xfId="35455" xr:uid="{7C91AFA6-360D-47D8-B28A-8ACBBA04ED10}"/>
    <cellStyle name="Output 2 4 3 2 5 2 3" xfId="53423" xr:uid="{B0DD2E95-AB9F-4BD7-B10D-82D883F6B636}"/>
    <cellStyle name="Output 2 4 3 2 5 3" xfId="18030" xr:uid="{CD05A500-5C86-4314-A67C-C6CDACED5B34}"/>
    <cellStyle name="Output 2 4 3 2 5 3 2" xfId="40420" xr:uid="{47C77014-5893-42D8-A74C-E442AB6BF8A2}"/>
    <cellStyle name="Output 2 4 3 2 5 3 3" xfId="25898" xr:uid="{8656A407-D0CA-48F4-89EF-D400905F3591}"/>
    <cellStyle name="Output 2 4 3 2 5 4" xfId="19359" xr:uid="{4E9E68B5-46AB-407F-823A-E709E2AF9C01}"/>
    <cellStyle name="Output 2 4 3 2 5 4 2" xfId="41733" xr:uid="{1EE41FCE-670C-4E98-A182-230B11938CFB}"/>
    <cellStyle name="Output 2 4 3 2 5 4 3" xfId="29475" xr:uid="{7E49FDA3-DE10-40B3-9685-85FB2C8640F5}"/>
    <cellStyle name="Output 2 4 3 2 5 5" xfId="22454" xr:uid="{FE4A6583-EB5E-495A-AEBA-ED89D81BAE70}"/>
    <cellStyle name="Output 2 4 3 2 5 5 2" xfId="51207" xr:uid="{5688BA64-BB7B-42BD-B47F-8A5CD4F91956}"/>
    <cellStyle name="Output 2 4 3 2 5 6" xfId="52428" xr:uid="{03FAA592-705D-44FD-BBA8-3A2EF0AD9642}"/>
    <cellStyle name="Output 2 4 3 2 6" xfId="6468" xr:uid="{00000000-0005-0000-0000-0000EC070000}"/>
    <cellStyle name="Output 2 4 3 2 6 2" xfId="13338" xr:uid="{9B58BDCE-E254-4553-83CE-3523D376C748}"/>
    <cellStyle name="Output 2 4 3 2 6 2 2" xfId="35822" xr:uid="{DD9050C9-FE92-4A15-9B0F-D1D97FC72916}"/>
    <cellStyle name="Output 2 4 3 2 6 2 3" xfId="47354" xr:uid="{602A2548-03D9-42D5-904D-13BA7C6969DA}"/>
    <cellStyle name="Output 2 4 3 2 6 3" xfId="18405" xr:uid="{664C8C59-C949-44CA-B96B-67FCC1B4D860}"/>
    <cellStyle name="Output 2 4 3 2 6 3 2" xfId="40795" xr:uid="{D70D7A94-F1BB-49C9-AC46-F8F9B36D3DB3}"/>
    <cellStyle name="Output 2 4 3 2 6 3 3" xfId="28216" xr:uid="{BD75DD29-C1BA-4EC0-AF67-D06E371E285E}"/>
    <cellStyle name="Output 2 4 3 2 6 4" xfId="20255" xr:uid="{7DF8C888-24C6-4F09-914A-2EC994319F80}"/>
    <cellStyle name="Output 2 4 3 2 6 4 2" xfId="42557" xr:uid="{6C1A8EB1-0D45-4743-8F24-0C098A23B812}"/>
    <cellStyle name="Output 2 4 3 2 6 4 3" xfId="42387" xr:uid="{65FA9702-AA20-49A7-8D76-529C4FFDEB1A}"/>
    <cellStyle name="Output 2 4 3 2 6 5" xfId="22829" xr:uid="{72D8DDE6-16CC-4EB3-9358-82F6584855E0}"/>
    <cellStyle name="Output 2 4 3 2 6 5 2" xfId="53756" xr:uid="{6D0E5D80-440C-4FD5-A79D-C3B5B8EC8BBE}"/>
    <cellStyle name="Output 2 4 3 2 6 6" xfId="50784" xr:uid="{ADF3FEC6-03F6-401E-9F21-0D0A70ADC603}"/>
    <cellStyle name="Output 2 4 3 2 7" xfId="6738" xr:uid="{00000000-0005-0000-0000-0000EC070000}"/>
    <cellStyle name="Output 2 4 3 2 7 2" xfId="13597" xr:uid="{FEF8A618-847B-4F1A-B724-D1AF9AEFA5DD}"/>
    <cellStyle name="Output 2 4 3 2 7 2 2" xfId="36081" xr:uid="{66FB09D1-77F7-484D-B1A0-FAF2990A8F4C}"/>
    <cellStyle name="Output 2 4 3 2 7 2 3" xfId="29713" xr:uid="{7B64133A-8464-4A32-B97A-C55B7C66AF92}"/>
    <cellStyle name="Output 2 4 3 2 7 3" xfId="18675" xr:uid="{56B4ECD0-DCCF-436E-AB60-1B67457AF408}"/>
    <cellStyle name="Output 2 4 3 2 7 3 2" xfId="41065" xr:uid="{2196947D-6691-41DC-89B4-2CB4B645A2A9}"/>
    <cellStyle name="Output 2 4 3 2 7 3 3" xfId="29436" xr:uid="{8C3CDDE4-59EC-4F33-BF15-D330BE9D28AA}"/>
    <cellStyle name="Output 2 4 3 2 7 4" xfId="20466" xr:uid="{CDA1842E-400D-494F-AC4F-BA2B6C179176}"/>
    <cellStyle name="Output 2 4 3 2 7 4 2" xfId="42755" xr:uid="{AF2BA4D9-87B2-42E7-BE11-8F50C8B5BB6F}"/>
    <cellStyle name="Output 2 4 3 2 7 4 3" xfId="53160" xr:uid="{7B78C1C9-4D6E-48CE-B3CE-F399AD0958CB}"/>
    <cellStyle name="Output 2 4 3 2 7 5" xfId="23099" xr:uid="{D25CA334-091D-431E-8D74-BBD463E69017}"/>
    <cellStyle name="Output 2 4 3 2 7 5 2" xfId="50229" xr:uid="{A2ED2BDC-ED1A-425F-8C01-D417053D6648}"/>
    <cellStyle name="Output 2 4 3 2 7 6" xfId="48725" xr:uid="{621E928A-E7F3-4CF4-A82A-9049B53DA435}"/>
    <cellStyle name="Output 2 4 3 2 8" xfId="6968" xr:uid="{00000000-0005-0000-0000-0000EC070000}"/>
    <cellStyle name="Output 2 4 3 2 8 2" xfId="13805" xr:uid="{39DE1615-6F1A-4629-A8B9-EDF3B976AE61}"/>
    <cellStyle name="Output 2 4 3 2 8 2 2" xfId="36289" xr:uid="{8EF10C62-5C9A-4501-BB4B-93A117A4A838}"/>
    <cellStyle name="Output 2 4 3 2 8 2 3" xfId="49400" xr:uid="{4493A4DB-9BDA-42AF-AEC1-851589F4275E}"/>
    <cellStyle name="Output 2 4 3 2 8 3" xfId="18905" xr:uid="{7FFFFB39-060C-475E-B51F-57E05B82695A}"/>
    <cellStyle name="Output 2 4 3 2 8 3 2" xfId="41295" xr:uid="{E932B6E6-B2EC-47C4-839B-0C519FB71884}"/>
    <cellStyle name="Output 2 4 3 2 8 3 3" xfId="29392" xr:uid="{17FD72F6-F490-48C8-AE7E-022FE63BEBC5}"/>
    <cellStyle name="Output 2 4 3 2 8 4" xfId="20022" xr:uid="{DF2F8D83-ABDD-4584-83D2-752781BB2EBA}"/>
    <cellStyle name="Output 2 4 3 2 8 4 2" xfId="42346" xr:uid="{5553F469-02BB-4D31-BCD9-567711A27488}"/>
    <cellStyle name="Output 2 4 3 2 8 4 3" xfId="29541" xr:uid="{4D250117-6106-4AA1-AF90-06D47B63E588}"/>
    <cellStyle name="Output 2 4 3 2 8 5" xfId="23329" xr:uid="{931680A8-7EAA-4E0C-B95D-F77D4D507BC2}"/>
    <cellStyle name="Output 2 4 3 2 8 5 2" xfId="52321" xr:uid="{867575D6-C258-49E4-943C-B165E7EBA59E}"/>
    <cellStyle name="Output 2 4 3 2 8 6" xfId="46005" xr:uid="{7A8F8194-1DD2-4FB9-9E85-7B22A358C36D}"/>
    <cellStyle name="Output 2 4 3 2 9" xfId="6713" xr:uid="{00000000-0005-0000-0000-0000EC070000}"/>
    <cellStyle name="Output 2 4 3 2 9 2" xfId="18650" xr:uid="{FE2379B4-1C0F-45FD-9AEF-D31E41545BC7}"/>
    <cellStyle name="Output 2 4 3 2 9 2 2" xfId="41040" xr:uid="{0D478C65-B6C1-4381-BCD3-5AC48AC3FF1B}"/>
    <cellStyle name="Output 2 4 3 2 9 2 3" xfId="44083" xr:uid="{6033878A-616D-4993-9098-DEE62C8E1FA2}"/>
    <cellStyle name="Output 2 4 3 2 9 3" xfId="15632" xr:uid="{17BD2C98-E6FA-47D2-BB42-A1CD19542935}"/>
    <cellStyle name="Output 2 4 3 2 9 3 2" xfId="38048" xr:uid="{6ED86BD7-DC3A-4E22-9113-3C2DA4124604}"/>
    <cellStyle name="Output 2 4 3 2 9 3 3" xfId="46763" xr:uid="{7F242582-D4CF-4E68-BFE9-FBCC0BA415E5}"/>
    <cellStyle name="Output 2 4 3 2 9 4" xfId="23074" xr:uid="{9287715B-4E2F-4A9F-B9A3-B0F586A575E5}"/>
    <cellStyle name="Output 2 4 3 2 9 4 2" xfId="48449" xr:uid="{5476B692-0343-4E5A-8B24-C928042A6314}"/>
    <cellStyle name="Output 2 4 3 2 9 5" xfId="52095" xr:uid="{9C5EC830-0F11-4FB2-B234-7D53DCB981A5}"/>
    <cellStyle name="Output 2 4 3 3" xfId="2983" xr:uid="{00000000-0005-0000-0000-0000EB070000}"/>
    <cellStyle name="Output 2 4 3 3 2" xfId="9892" xr:uid="{D7847068-6881-4A1F-BCA7-277F32930730}"/>
    <cellStyle name="Output 2 4 3 3 2 2" xfId="32415" xr:uid="{925F91B1-8231-464D-A17A-0583CFA3230E}"/>
    <cellStyle name="Output 2 4 3 3 2 3" xfId="46659" xr:uid="{797A2289-E8F8-4242-83E9-185426F2C13F}"/>
    <cellStyle name="Output 2 4 3 3 3" xfId="15330" xr:uid="{B1F2C474-9447-462B-914E-B2DE3077683F}"/>
    <cellStyle name="Output 2 4 3 3 3 2" xfId="37762" xr:uid="{66AC75E4-C3FD-46E8-8739-73E47B22030F}"/>
    <cellStyle name="Output 2 4 3 3 3 3" xfId="53385" xr:uid="{9FAE2A51-FAD1-4A82-90D5-A849310F6371}"/>
    <cellStyle name="Output 2 4 3 3 4" xfId="15749" xr:uid="{7AB8BE40-D4F0-4FDF-9A9F-D4402F511742}"/>
    <cellStyle name="Output 2 4 3 3 4 2" xfId="38161" xr:uid="{F000F97C-DF8F-4C61-8CF4-5E1196FE1881}"/>
    <cellStyle name="Output 2 4 3 3 4 3" xfId="46335" xr:uid="{0321BD45-60A3-4E46-898B-1E5097AA258C}"/>
    <cellStyle name="Output 2 4 3 3 5" xfId="19957" xr:uid="{4C36A780-BAAA-4F8D-8ACC-8CCBB52D55A6}"/>
    <cellStyle name="Output 2 4 3 3 5 2" xfId="44235" xr:uid="{54A8DF8D-1B02-4A8C-A14C-28E083F94571}"/>
    <cellStyle name="Output 2 4 3 3 6" xfId="49865" xr:uid="{85F2EBB2-D76B-4E21-87CC-C7DABCC70008}"/>
    <cellStyle name="Output 2 4 3 4" xfId="4695" xr:uid="{00000000-0005-0000-0000-0000EB070000}"/>
    <cellStyle name="Output 2 4 3 4 2" xfId="11593" xr:uid="{D16F86C9-C0C4-4217-8728-4EFE538286A8}"/>
    <cellStyle name="Output 2 4 3 4 2 2" xfId="34079" xr:uid="{F70EC092-219A-45D6-8637-08C405E50B46}"/>
    <cellStyle name="Output 2 4 3 4 2 3" xfId="45881" xr:uid="{219D825A-B0B9-4348-8A25-4D01034BA968}"/>
    <cellStyle name="Output 2 4 3 4 3" xfId="16632" xr:uid="{1D911549-7B7C-4EF1-87BA-2623C280F464}"/>
    <cellStyle name="Output 2 4 3 4 3 2" xfId="39022" xr:uid="{5956A130-381A-449D-A04D-A86097408459}"/>
    <cellStyle name="Output 2 4 3 4 3 3" xfId="30924" xr:uid="{5100C401-AE72-41BC-A85B-E68A6CA7FA71}"/>
    <cellStyle name="Output 2 4 3 4 4" xfId="14160" xr:uid="{4ADD4318-A524-4DD5-9172-BB3EE7A00D0A}"/>
    <cellStyle name="Output 2 4 3 4 4 2" xfId="36636" xr:uid="{1B65F06A-72A1-4404-8A1C-BA52B6037A0C}"/>
    <cellStyle name="Output 2 4 3 4 4 3" xfId="46552" xr:uid="{37892BA7-4CF4-4FBC-A0FB-9262FBA263B0}"/>
    <cellStyle name="Output 2 4 3 4 5" xfId="19189" xr:uid="{75B30475-AD41-49EA-AAA3-D44899F9B55C}"/>
    <cellStyle name="Output 2 4 3 4 5 2" xfId="24664" xr:uid="{1C4F486F-4C5E-4F03-8DC0-A06F3DB0BB77}"/>
    <cellStyle name="Output 2 4 3 4 6" xfId="48660" xr:uid="{4B274358-0117-4B6E-A496-710D401E39F4}"/>
    <cellStyle name="Output 2 4 3 5" xfId="4982" xr:uid="{00000000-0005-0000-0000-0000EB070000}"/>
    <cellStyle name="Output 2 4 3 5 2" xfId="11877" xr:uid="{51392605-DA94-4817-8A09-2AC5B13AC0CD}"/>
    <cellStyle name="Output 2 4 3 5 2 2" xfId="34363" xr:uid="{E1B14E12-7A28-4883-8A91-9C40320655EF}"/>
    <cellStyle name="Output 2 4 3 5 2 3" xfId="24600" xr:uid="{9B7F4F9A-29B0-4BD6-B144-58F9883D4C7B}"/>
    <cellStyle name="Output 2 4 3 5 3" xfId="16919" xr:uid="{3A03A784-63B7-4B3D-93F8-D8CF2E578F01}"/>
    <cellStyle name="Output 2 4 3 5 3 2" xfId="39309" xr:uid="{64B0A3C8-2C79-48AB-BFB1-DECB48BB29A0}"/>
    <cellStyle name="Output 2 4 3 5 3 3" xfId="44723" xr:uid="{04E3EF45-2F9A-4514-B435-3B03E15A37A2}"/>
    <cellStyle name="Output 2 4 3 5 4" xfId="15483" xr:uid="{9CBD0635-FA71-4690-B277-390425CFEE60}"/>
    <cellStyle name="Output 2 4 3 5 4 2" xfId="37907" xr:uid="{05E14BD6-20A3-4DE6-9FDA-21AC1FFB97FB}"/>
    <cellStyle name="Output 2 4 3 5 4 3" xfId="53158" xr:uid="{280C34B4-BAB2-46C4-8C3C-811CC0943B7B}"/>
    <cellStyle name="Output 2 4 3 5 5" xfId="21343" xr:uid="{4462E20C-F9C4-4377-BD77-CFF7D0A5C8C1}"/>
    <cellStyle name="Output 2 4 3 5 5 2" xfId="46814" xr:uid="{3AEE494B-8270-4D85-8DD6-B7A2D6B69FC3}"/>
    <cellStyle name="Output 2 4 3 5 6" xfId="37024" xr:uid="{58A67F0F-792C-4CE8-9740-A26333BE27B6}"/>
    <cellStyle name="Output 2 4 3 6" xfId="3118" xr:uid="{00000000-0005-0000-0000-0000EB070000}"/>
    <cellStyle name="Output 2 4 3 6 2" xfId="10027" xr:uid="{221266A0-7054-4860-A962-C356126DB3E1}"/>
    <cellStyle name="Output 2 4 3 6 2 2" xfId="32535" xr:uid="{D3B6F4FC-1192-4441-BA45-146C79EFD267}"/>
    <cellStyle name="Output 2 4 3 6 2 3" xfId="28087" xr:uid="{4BAFD47B-6871-4208-A10C-01DBD6321B02}"/>
    <cellStyle name="Output 2 4 3 6 3" xfId="15411" xr:uid="{84633C21-229E-4637-875B-909076DDDD32}"/>
    <cellStyle name="Output 2 4 3 6 3 2" xfId="37837" xr:uid="{3DBCEE3E-C866-44E6-944D-2EDF70983D2A}"/>
    <cellStyle name="Output 2 4 3 6 3 3" xfId="24254" xr:uid="{1BD3941B-9DD6-4F6D-AF55-EE6F6E9D7C61}"/>
    <cellStyle name="Output 2 4 3 6 4" xfId="9031" xr:uid="{A9A21B47-EEFB-4A82-B1D9-F5192479F147}"/>
    <cellStyle name="Output 2 4 3 6 4 2" xfId="31608" xr:uid="{82C6F51E-AC50-4D02-AC73-9898C40B033F}"/>
    <cellStyle name="Output 2 4 3 6 4 3" xfId="49628" xr:uid="{FE2C8839-890E-4293-B96C-8C47EABDD2E9}"/>
    <cellStyle name="Output 2 4 3 6 5" xfId="14547" xr:uid="{9AFDE497-6D47-4FAD-8812-9FB4EA52D7A2}"/>
    <cellStyle name="Output 2 4 3 6 5 2" xfId="47333" xr:uid="{34C75CE6-A957-4B59-9EE9-D56C98930BB5}"/>
    <cellStyle name="Output 2 4 3 6 6" xfId="54033" xr:uid="{4A80B378-7620-4A7B-9F7D-830CD92A8967}"/>
    <cellStyle name="Output 2 4 3 7" xfId="6045" xr:uid="{00000000-0005-0000-0000-0000EB070000}"/>
    <cellStyle name="Output 2 4 3 7 2" xfId="12924" xr:uid="{50CE2277-60E7-4D26-9850-3AF2502408CF}"/>
    <cellStyle name="Output 2 4 3 7 2 2" xfId="35408" xr:uid="{D2D65EAF-C778-491C-B1DF-9C6D9CFD8EFB}"/>
    <cellStyle name="Output 2 4 3 7 2 3" xfId="50767" xr:uid="{DE41B636-34C9-4614-AA68-AB370DA4BA30}"/>
    <cellStyle name="Output 2 4 3 7 3" xfId="17982" xr:uid="{511D47BC-02A8-41FC-B27F-5EBCA3663BD1}"/>
    <cellStyle name="Output 2 4 3 7 3 2" xfId="40372" xr:uid="{BC5540D6-E540-4B9D-A000-DEFFD336C0AF}"/>
    <cellStyle name="Output 2 4 3 7 3 3" xfId="27356" xr:uid="{378DC3F3-E5E3-45F3-830A-D4B13AFE3508}"/>
    <cellStyle name="Output 2 4 3 7 4" xfId="14798" xr:uid="{2FD5A252-5600-43F1-9EC2-2F0B409153C0}"/>
    <cellStyle name="Output 2 4 3 7 4 2" xfId="37254" xr:uid="{457D9191-F0DC-4BAD-B28D-D7DF21FB67F6}"/>
    <cellStyle name="Output 2 4 3 7 4 3" xfId="42758" xr:uid="{61A43C5A-736D-4C0C-91F2-2411FC2DD4F9}"/>
    <cellStyle name="Output 2 4 3 7 5" xfId="22406" xr:uid="{93A3239F-28AA-47EB-AECA-8FA0FE2D206B}"/>
    <cellStyle name="Output 2 4 3 7 5 2" xfId="44898" xr:uid="{265AD44D-9D86-4054-B56B-97134431C6A1}"/>
    <cellStyle name="Output 2 4 3 7 6" xfId="49169" xr:uid="{D907C66E-3000-4EF6-BFA6-37CD18D3693F}"/>
    <cellStyle name="Output 2 4 3 8" xfId="7309" xr:uid="{2288D038-4FA9-473B-8FBD-74345A33AFF0}"/>
    <cellStyle name="Output 2 4 3 8 2" xfId="29997" xr:uid="{1531A3A6-BE39-4299-B870-470998256A67}"/>
    <cellStyle name="Output 2 4 3 8 3" xfId="53551" xr:uid="{A9AC1D68-D005-4A6C-B4F8-5D9279E4898A}"/>
    <cellStyle name="Output 2 4 3 9" xfId="19871" xr:uid="{1396A687-80EB-4F7E-B644-B1AE55EBDC59}"/>
    <cellStyle name="Output 2 4 3 9 2" xfId="42205" xr:uid="{950DF5DD-088E-4E23-8F24-AA8F8DEB2C44}"/>
    <cellStyle name="Output 2 4 3 9 3" xfId="35140" xr:uid="{54E78A8E-47B2-4CFE-8B17-A44FFDD11374}"/>
    <cellStyle name="Output 2 4 4" xfId="1038" xr:uid="{00000000-0005-0000-0000-0000EF070000}"/>
    <cellStyle name="Output 2 4 4 10" xfId="21167" xr:uid="{CEC3851A-11DC-4650-8229-F05F62AAD79D}"/>
    <cellStyle name="Output 2 4 4 10 2" xfId="50745" xr:uid="{32DF6500-0845-4B13-8417-79CF423241E5}"/>
    <cellStyle name="Output 2 4 4 11" xfId="31897" xr:uid="{EF47DAD0-A101-4D09-B8B0-CA750E316FC0}"/>
    <cellStyle name="Output 2 4 4 2" xfId="1928" xr:uid="{00000000-0005-0000-0000-0000F0070000}"/>
    <cellStyle name="Output 2 4 4 2 10" xfId="14598" xr:uid="{F4775CB0-4D3C-4831-A3AF-5A2CE578C502}"/>
    <cellStyle name="Output 2 4 4 2 10 2" xfId="37059" xr:uid="{9C76F076-69C5-47C7-AE95-B3BB286A8373}"/>
    <cellStyle name="Output 2 4 4 2 10 3" xfId="47753" xr:uid="{6BB824B1-2B1D-4DF6-9D60-C35F50D3C1B3}"/>
    <cellStyle name="Output 2 4 4 2 11" xfId="9054" xr:uid="{8AF3C03F-2FA1-40F3-A58B-08692253A700}"/>
    <cellStyle name="Output 2 4 4 2 11 2" xfId="31630" xr:uid="{614B7C58-95A7-44EE-AD24-ECC80E7ECE1C}"/>
    <cellStyle name="Output 2 4 4 2 11 3" xfId="50654" xr:uid="{FCFF6B45-B264-4F67-B074-CACFD3F44F8B}"/>
    <cellStyle name="Output 2 4 4 2 12" xfId="15694" xr:uid="{54351D97-B217-4910-8C7C-FB9ECA9AEF70}"/>
    <cellStyle name="Output 2 4 4 2 12 2" xfId="46396" xr:uid="{79007974-753F-4EC8-B8C5-E9143A8737F6}"/>
    <cellStyle name="Output 2 4 4 2 13" xfId="27999" xr:uid="{7FC5EE83-816E-403D-9BE6-63B16121532C}"/>
    <cellStyle name="Output 2 4 4 2 2" xfId="4025" xr:uid="{00000000-0005-0000-0000-0000EE070000}"/>
    <cellStyle name="Output 2 4 4 2 2 2" xfId="10929" xr:uid="{03BE68C9-7545-4CD0-BA3E-9D87268EF7CC}"/>
    <cellStyle name="Output 2 4 4 2 2 2 2" xfId="33415" xr:uid="{049BA9C6-853D-49EC-A963-631FEE402C59}"/>
    <cellStyle name="Output 2 4 4 2 2 2 3" xfId="32615" xr:uid="{D2A4368B-46FD-459E-989E-17CCC0AC4662}"/>
    <cellStyle name="Output 2 4 4 2 2 3" xfId="16049" xr:uid="{BF9C43F3-58AD-4695-9356-63AB43C3BA4E}"/>
    <cellStyle name="Output 2 4 4 2 2 3 2" xfId="38450" xr:uid="{0FBAD386-5535-4EEF-B67F-7CC2CE762CB4}"/>
    <cellStyle name="Output 2 4 4 2 2 3 3" xfId="28242" xr:uid="{34625F01-9EDE-46C0-B035-363B16F989AF}"/>
    <cellStyle name="Output 2 4 4 2 2 4" xfId="21203" xr:uid="{2DBD69DC-DE3D-4759-9853-2B3BFFB1C3C5}"/>
    <cellStyle name="Output 2 4 4 2 2 4 2" xfId="43443" xr:uid="{D91ABDDB-C706-4021-8A5E-86D27B73D35A}"/>
    <cellStyle name="Output 2 4 4 2 2 4 3" xfId="49615" xr:uid="{E960868A-CCBF-49A9-A506-ED4B41B19EEA}"/>
    <cellStyle name="Output 2 4 4 2 2 5" xfId="19616" xr:uid="{A2A3950F-A207-4248-B0ED-C25AD6165250}"/>
    <cellStyle name="Output 2 4 4 2 2 5 2" xfId="41583" xr:uid="{9A7521DD-FA1E-4A5F-9752-1136D90B8032}"/>
    <cellStyle name="Output 2 4 4 2 2 6" xfId="44184" xr:uid="{462A14B1-A73F-4C9C-965F-5738525836D7}"/>
    <cellStyle name="Output 2 4 4 2 3" xfId="5400" xr:uid="{00000000-0005-0000-0000-0000EE070000}"/>
    <cellStyle name="Output 2 4 4 2 3 2" xfId="12291" xr:uid="{4DA7DE58-F1D6-4ADC-ACCF-D0F9E5CC2900}"/>
    <cellStyle name="Output 2 4 4 2 3 2 2" xfId="34776" xr:uid="{D2B79CE5-88CB-4DE1-8951-8DB80628187D}"/>
    <cellStyle name="Output 2 4 4 2 3 2 3" xfId="28590" xr:uid="{DDEF2420-07E8-4A06-899C-3697BA7432BA}"/>
    <cellStyle name="Output 2 4 4 2 3 3" xfId="17337" xr:uid="{454468E5-D12D-4AE3-91C9-EDDB8FE4CAAD}"/>
    <cellStyle name="Output 2 4 4 2 3 3 2" xfId="39727" xr:uid="{ECFD80CE-9654-4BD8-B453-B1BD1D93F2FD}"/>
    <cellStyle name="Output 2 4 4 2 3 3 3" xfId="28613" xr:uid="{A69BFA1C-F8F3-4796-8DBD-0355DC1747B1}"/>
    <cellStyle name="Output 2 4 4 2 3 4" xfId="14623" xr:uid="{F147CB83-8169-430C-B06F-4867471DD51D}"/>
    <cellStyle name="Output 2 4 4 2 3 4 2" xfId="37084" xr:uid="{25DC0B05-1142-4587-88EB-80F1A2345937}"/>
    <cellStyle name="Output 2 4 4 2 3 4 3" xfId="54124" xr:uid="{D8C5A8B9-F5D7-4812-BAE8-F1BD60BD7391}"/>
    <cellStyle name="Output 2 4 4 2 3 5" xfId="21761" xr:uid="{D1A6C7D0-FA6D-4EE1-8F94-3EB81BAEF93E}"/>
    <cellStyle name="Output 2 4 4 2 3 5 2" xfId="50590" xr:uid="{776AB33C-94FE-429C-828A-71C100DFD607}"/>
    <cellStyle name="Output 2 4 4 2 3 6" xfId="27641" xr:uid="{ED443347-24E4-46EE-AFB9-79BD332349B2}"/>
    <cellStyle name="Output 2 4 4 2 4" xfId="5813" xr:uid="{00000000-0005-0000-0000-0000EE070000}"/>
    <cellStyle name="Output 2 4 4 2 4 2" xfId="12696" xr:uid="{7190376A-F192-41C9-B22D-E70A950F4AE5}"/>
    <cellStyle name="Output 2 4 4 2 4 2 2" xfId="35181" xr:uid="{DD143BB4-9669-4137-BB53-B75A43C15248}"/>
    <cellStyle name="Output 2 4 4 2 4 2 3" xfId="43099" xr:uid="{FC53C2B5-55A8-4C5B-8B14-4C88319AC621}"/>
    <cellStyle name="Output 2 4 4 2 4 3" xfId="17750" xr:uid="{021B4E16-63C2-41F2-8202-9CF34073CA19}"/>
    <cellStyle name="Output 2 4 4 2 4 3 2" xfId="40140" xr:uid="{A866642B-56AE-4637-A86A-3A52436ACF92}"/>
    <cellStyle name="Output 2 4 4 2 4 3 3" xfId="32440" xr:uid="{D2D0415F-20D5-41A3-A2B1-BDB8C4E6F877}"/>
    <cellStyle name="Output 2 4 4 2 4 4" xfId="14297" xr:uid="{8736BB02-8335-42BA-811C-907F88C1BC19}"/>
    <cellStyle name="Output 2 4 4 2 4 4 2" xfId="36766" xr:uid="{FB2DD710-859A-4783-BB90-8D4C3A94AB3A}"/>
    <cellStyle name="Output 2 4 4 2 4 4 3" xfId="49195" xr:uid="{1E485F79-D8F5-42F9-B46E-72AE63B1CE6F}"/>
    <cellStyle name="Output 2 4 4 2 4 5" xfId="22174" xr:uid="{4C2995D8-AF62-4B21-8E72-C8A156E3276C}"/>
    <cellStyle name="Output 2 4 4 2 4 5 2" xfId="50525" xr:uid="{0DE1798A-9DC9-4DB7-9F1E-9032C5A9C5FF}"/>
    <cellStyle name="Output 2 4 4 2 4 6" xfId="53804" xr:uid="{30DBB99F-FC07-4944-BD8D-D57D51AFE8CA}"/>
    <cellStyle name="Output 2 4 4 2 5" xfId="6157" xr:uid="{00000000-0005-0000-0000-0000EE070000}"/>
    <cellStyle name="Output 2 4 4 2 5 2" xfId="13034" xr:uid="{1D9B9FCA-7D04-4208-94C5-1514F2B12FC6}"/>
    <cellStyle name="Output 2 4 4 2 5 2 2" xfId="35518" xr:uid="{70C6BCD2-49A8-4899-B361-71572208A3ED}"/>
    <cellStyle name="Output 2 4 4 2 5 2 3" xfId="51036" xr:uid="{E94B0D6B-F7F9-4715-A835-779E2C91B7C2}"/>
    <cellStyle name="Output 2 4 4 2 5 3" xfId="18094" xr:uid="{76C14380-40A6-43DD-8D83-3F3ACC9CF5FA}"/>
    <cellStyle name="Output 2 4 4 2 5 3 2" xfId="40484" xr:uid="{E7C68607-980E-4638-9BB6-77D95450848E}"/>
    <cellStyle name="Output 2 4 4 2 5 3 3" xfId="45215" xr:uid="{8AB42DBC-204C-494C-A84B-B7E2BDE4C092}"/>
    <cellStyle name="Output 2 4 4 2 5 4" xfId="8505" xr:uid="{B63CF023-1194-4F37-8316-2FC8DE2B00C3}"/>
    <cellStyle name="Output 2 4 4 2 5 4 2" xfId="31092" xr:uid="{2B0D3C0F-CB52-4B7D-BFA3-A38E8C45CF03}"/>
    <cellStyle name="Output 2 4 4 2 5 4 3" xfId="47430" xr:uid="{AC03FA94-5E98-49E9-950F-B7095121968F}"/>
    <cellStyle name="Output 2 4 4 2 5 5" xfId="22518" xr:uid="{24CC7C1C-56DF-42F3-9C18-4B7C1ACAEB92}"/>
    <cellStyle name="Output 2 4 4 2 5 5 2" xfId="23732" xr:uid="{D9C4F3F1-CCE0-430A-A9D7-C639C5BD8A4D}"/>
    <cellStyle name="Output 2 4 4 2 5 6" xfId="46143" xr:uid="{03945645-EA7F-475B-BEBB-87D9B18A6212}"/>
    <cellStyle name="Output 2 4 4 2 6" xfId="6530" xr:uid="{00000000-0005-0000-0000-0000EE070000}"/>
    <cellStyle name="Output 2 4 4 2 6 2" xfId="13399" xr:uid="{86C58AA2-B32D-4886-AC69-DF770EE10C9B}"/>
    <cellStyle name="Output 2 4 4 2 6 2 2" xfId="35883" xr:uid="{36B94A13-89EB-4058-AF6A-7435D6321577}"/>
    <cellStyle name="Output 2 4 4 2 6 2 3" xfId="53366" xr:uid="{2844CBB3-F222-44BF-92E3-C3D151125103}"/>
    <cellStyle name="Output 2 4 4 2 6 3" xfId="18467" xr:uid="{73526EC9-D3AD-4F12-9BB4-B981933C54DA}"/>
    <cellStyle name="Output 2 4 4 2 6 3 2" xfId="40857" xr:uid="{46465BB2-7C8E-422B-8913-76AD25DCD781}"/>
    <cellStyle name="Output 2 4 4 2 6 3 3" xfId="44084" xr:uid="{B429F897-47D8-4F4E-959B-C0CEF47BE7CD}"/>
    <cellStyle name="Output 2 4 4 2 6 4" xfId="15101" xr:uid="{292CF183-E412-4549-A55A-BCF9284C1F76}"/>
    <cellStyle name="Output 2 4 4 2 6 4 2" xfId="37545" xr:uid="{C7329477-CAF9-4BFC-B731-C994A5665DCF}"/>
    <cellStyle name="Output 2 4 4 2 6 4 3" xfId="32665" xr:uid="{D8EFB1A2-6C54-466B-903D-0EB90C9A5FD2}"/>
    <cellStyle name="Output 2 4 4 2 6 5" xfId="22891" xr:uid="{FBC2286A-CA39-440C-99A9-B8609976B83F}"/>
    <cellStyle name="Output 2 4 4 2 6 5 2" xfId="25632" xr:uid="{C20453D1-A570-496A-B1F7-A82776721659}"/>
    <cellStyle name="Output 2 4 4 2 6 6" xfId="51081" xr:uid="{696BDE0E-1DE0-4808-AA7D-C53E439BF79B}"/>
    <cellStyle name="Output 2 4 4 2 7" xfId="5051" xr:uid="{00000000-0005-0000-0000-0000EE070000}"/>
    <cellStyle name="Output 2 4 4 2 7 2" xfId="11944" xr:uid="{122F050F-BA66-45E3-8325-ACF25E59E78C}"/>
    <cellStyle name="Output 2 4 4 2 7 2 2" xfId="34430" xr:uid="{DE61BF16-13DB-458F-A00C-E9DAC32B125D}"/>
    <cellStyle name="Output 2 4 4 2 7 2 3" xfId="26314" xr:uid="{8052DD5A-E22F-4D6C-A1B1-5A417183B337}"/>
    <cellStyle name="Output 2 4 4 2 7 3" xfId="16988" xr:uid="{3B1F9584-04D9-4D81-AE5B-A94EAEB4D086}"/>
    <cellStyle name="Output 2 4 4 2 7 3 2" xfId="39378" xr:uid="{B19FF6A1-7769-43C2-A898-70F591F3B407}"/>
    <cellStyle name="Output 2 4 4 2 7 3 3" xfId="45133" xr:uid="{09000889-08B4-4066-BE43-2658A7F5344D}"/>
    <cellStyle name="Output 2 4 4 2 7 4" xfId="19201" xr:uid="{C5A8FCAD-1E85-4561-92F0-E219A61C553C}"/>
    <cellStyle name="Output 2 4 4 2 7 4 2" xfId="41590" xr:uid="{83E963C5-61F0-41C4-80D4-9ADDB02382A5}"/>
    <cellStyle name="Output 2 4 4 2 7 4 3" xfId="29887" xr:uid="{1BDB2E31-9231-4783-A49E-8DFACE901DF5}"/>
    <cellStyle name="Output 2 4 4 2 7 5" xfId="21412" xr:uid="{EB98001E-7684-428A-8C3C-847A0A2D957D}"/>
    <cellStyle name="Output 2 4 4 2 7 5 2" xfId="46973" xr:uid="{0873AE5C-133C-4343-8AD8-5B09808B631B}"/>
    <cellStyle name="Output 2 4 4 2 7 6" xfId="43540" xr:uid="{2630C712-7060-43A0-8971-84C0E763DCA8}"/>
    <cellStyle name="Output 2 4 4 2 8" xfId="7014" xr:uid="{00000000-0005-0000-0000-0000EE070000}"/>
    <cellStyle name="Output 2 4 4 2 8 2" xfId="13851" xr:uid="{BFC53371-177D-4E14-B5A7-B8C39066C86A}"/>
    <cellStyle name="Output 2 4 4 2 8 2 2" xfId="36335" xr:uid="{14134725-DABA-4A72-A677-1C91A67F36AF}"/>
    <cellStyle name="Output 2 4 4 2 8 2 3" xfId="49312" xr:uid="{E9CBB5A5-B916-4E08-930C-9BB386D19F8E}"/>
    <cellStyle name="Output 2 4 4 2 8 3" xfId="18951" xr:uid="{E8E1E00F-D7A5-4DB4-8886-D29236545994}"/>
    <cellStyle name="Output 2 4 4 2 8 3 2" xfId="41341" xr:uid="{341A0050-C7DF-4A3E-8F05-CDEC6DE00D23}"/>
    <cellStyle name="Output 2 4 4 2 8 3 3" xfId="45605" xr:uid="{53879991-D5D9-4EA8-8E02-24F45B35DD94}"/>
    <cellStyle name="Output 2 4 4 2 8 4" xfId="8733" xr:uid="{077F90E4-55E2-4BC7-A0B5-2B8A737ABE2D}"/>
    <cellStyle name="Output 2 4 4 2 8 4 2" xfId="31316" xr:uid="{30805634-FF3C-4301-8CDC-4E8024C50CEF}"/>
    <cellStyle name="Output 2 4 4 2 8 4 3" xfId="46786" xr:uid="{BE010A4B-8D7F-4C9A-8181-9B3C7D9DCE3B}"/>
    <cellStyle name="Output 2 4 4 2 8 5" xfId="23375" xr:uid="{C07A4A5C-BD28-4DDA-A9B6-C3A4D5D767C0}"/>
    <cellStyle name="Output 2 4 4 2 8 5 2" xfId="42220" xr:uid="{46BC757F-70A6-4779-9AED-E62D1DD34ADA}"/>
    <cellStyle name="Output 2 4 4 2 8 6" xfId="51467" xr:uid="{BBAC3FD9-0606-4265-877E-5F33C8325037}"/>
    <cellStyle name="Output 2 4 4 2 9" xfId="7130" xr:uid="{00000000-0005-0000-0000-0000EE070000}"/>
    <cellStyle name="Output 2 4 4 2 9 2" xfId="19067" xr:uid="{E0320B41-FA1F-41E9-80A8-66E32AD19735}"/>
    <cellStyle name="Output 2 4 4 2 9 2 2" xfId="41457" xr:uid="{97D33BB6-0BEB-4DC0-80D2-9315CEF0CA36}"/>
    <cellStyle name="Output 2 4 4 2 9 2 3" xfId="32019" xr:uid="{62070620-8EBA-482B-858C-990A969B4E89}"/>
    <cellStyle name="Output 2 4 4 2 9 3" xfId="20704" xr:uid="{DA5E2812-8D08-4C65-97F6-3E33FA874381}"/>
    <cellStyle name="Output 2 4 4 2 9 3 2" xfId="42976" xr:uid="{9856731A-97EA-4147-9928-90056ADFE444}"/>
    <cellStyle name="Output 2 4 4 2 9 3 3" xfId="46991" xr:uid="{A955F1FF-3754-487F-B6E4-A0ABC4235563}"/>
    <cellStyle name="Output 2 4 4 2 9 4" xfId="23491" xr:uid="{7E8A0630-DCA9-4351-AF0F-9D33ED9976D5}"/>
    <cellStyle name="Output 2 4 4 2 9 4 2" xfId="50163" xr:uid="{D3821737-1A98-4859-B8D4-4F38A6CF129B}"/>
    <cellStyle name="Output 2 4 4 2 9 5" xfId="51279" xr:uid="{3D260EC4-EE0A-4C16-94CD-385940697610}"/>
    <cellStyle name="Output 2 4 4 3" xfId="3161" xr:uid="{00000000-0005-0000-0000-0000ED070000}"/>
    <cellStyle name="Output 2 4 4 3 2" xfId="10070" xr:uid="{E7B79414-B036-46FF-89C8-BCCD11EEC1C0}"/>
    <cellStyle name="Output 2 4 4 3 2 2" xfId="32577" xr:uid="{EB9B6733-E9C2-4A25-BD75-63CF105838F0}"/>
    <cellStyle name="Output 2 4 4 3 2 3" xfId="47779" xr:uid="{9B0284B6-F8A4-42FA-B0D3-8D3C601E99C3}"/>
    <cellStyle name="Output 2 4 4 3 3" xfId="15448" xr:uid="{0394A9F4-4CED-45B1-88D4-10969B556DD1}"/>
    <cellStyle name="Output 2 4 4 3 3 2" xfId="37874" xr:uid="{8ACFEF32-628B-41E4-B6B9-45D7F8A7124E}"/>
    <cellStyle name="Output 2 4 4 3 3 3" xfId="52647" xr:uid="{E47645D3-FFD4-422E-ADC3-C8DB3098C25C}"/>
    <cellStyle name="Output 2 4 4 3 4" xfId="7327" xr:uid="{71828AE9-EB28-4CF9-8C39-20F15898A0FC}"/>
    <cellStyle name="Output 2 4 4 3 4 2" xfId="30015" xr:uid="{EAEFC688-38B8-41BC-8BED-26F9ED55A954}"/>
    <cellStyle name="Output 2 4 4 3 4 3" xfId="25301" xr:uid="{D2AEE717-6079-4BB0-AC43-E3A639279CA4}"/>
    <cellStyle name="Output 2 4 4 3 5" xfId="8303" xr:uid="{903D10B8-A6E7-4025-98D9-C8D9B4320663}"/>
    <cellStyle name="Output 2 4 4 3 5 2" xfId="51460" xr:uid="{B91B425F-0B7D-4FDC-B14F-7E066B915998}"/>
    <cellStyle name="Output 2 4 4 3 6" xfId="53890" xr:uid="{BC59F37A-C0AC-4E40-87C3-CFDEE2233E83}"/>
    <cellStyle name="Output 2 4 4 4" xfId="4812" xr:uid="{00000000-0005-0000-0000-0000ED070000}"/>
    <cellStyle name="Output 2 4 4 4 2" xfId="11709" xr:uid="{A909955F-D647-4620-A6C9-897C0A7FF322}"/>
    <cellStyle name="Output 2 4 4 4 2 2" xfId="34195" xr:uid="{F4A074C1-0B41-4BAE-9194-EF283B71592B}"/>
    <cellStyle name="Output 2 4 4 4 2 3" xfId="26297" xr:uid="{C99A8AD6-A602-40F6-84D9-45DD599F807C}"/>
    <cellStyle name="Output 2 4 4 4 3" xfId="16749" xr:uid="{285CFED4-3186-41D5-9D91-B5F9FC56839D}"/>
    <cellStyle name="Output 2 4 4 4 3 2" xfId="39139" xr:uid="{6030D91B-2BD9-4DA9-909F-1729FDAB8466}"/>
    <cellStyle name="Output 2 4 4 4 3 3" xfId="26627" xr:uid="{5F7BB729-92B6-4380-87EE-3B93286F039C}"/>
    <cellStyle name="Output 2 4 4 4 4" xfId="15681" xr:uid="{D050AEAD-C82F-4808-8B63-1F9D7759F4DF}"/>
    <cellStyle name="Output 2 4 4 4 4 2" xfId="38097" xr:uid="{23A5F985-2581-4949-825D-FBD5B9662577}"/>
    <cellStyle name="Output 2 4 4 4 4 3" xfId="49604" xr:uid="{DC2483F0-BF93-42DF-9DBF-598F991C4426}"/>
    <cellStyle name="Output 2 4 4 4 5" xfId="20221" xr:uid="{8E266275-B008-4CBD-B7E9-6277ED3E3C1F}"/>
    <cellStyle name="Output 2 4 4 4 5 2" xfId="28108" xr:uid="{FA8A01DA-56EB-42B9-AB48-E5E66575A9FC}"/>
    <cellStyle name="Output 2 4 4 4 6" xfId="50732" xr:uid="{43312048-E70C-4BCE-A232-DBF822842415}"/>
    <cellStyle name="Output 2 4 4 5" xfId="5217" xr:uid="{00000000-0005-0000-0000-0000ED070000}"/>
    <cellStyle name="Output 2 4 4 5 2" xfId="12110" xr:uid="{F9EDDD6D-2ACA-47A7-B856-1353D6543CB7}"/>
    <cellStyle name="Output 2 4 4 5 2 2" xfId="34595" xr:uid="{8AAE647C-2567-49D7-B64A-9037D249D405}"/>
    <cellStyle name="Output 2 4 4 5 2 3" xfId="42445" xr:uid="{5230D332-8F9C-4305-861A-0AD529433F14}"/>
    <cellStyle name="Output 2 4 4 5 3" xfId="17154" xr:uid="{C49B0128-32C9-4B78-8264-21DDBFAA809A}"/>
    <cellStyle name="Output 2 4 4 5 3 2" xfId="39544" xr:uid="{BFB16FFA-91C8-48F4-8AAC-330C19A4158B}"/>
    <cellStyle name="Output 2 4 4 5 3 3" xfId="25476" xr:uid="{381AE147-5FDA-4523-80E7-F26D964ACD97}"/>
    <cellStyle name="Output 2 4 4 5 4" xfId="15136" xr:uid="{0A8D7F7B-18E5-4130-8C14-42EB809EBBB1}"/>
    <cellStyle name="Output 2 4 4 5 4 2" xfId="37578" xr:uid="{4B17AF79-D030-429D-8FA3-FBE47D279F2D}"/>
    <cellStyle name="Output 2 4 4 5 4 3" xfId="45997" xr:uid="{67231CF1-CF8F-4946-A9F7-657199E0F888}"/>
    <cellStyle name="Output 2 4 4 5 5" xfId="21578" xr:uid="{12317485-DFC3-4A07-A7E1-9A812A0B5266}"/>
    <cellStyle name="Output 2 4 4 5 5 2" xfId="45219" xr:uid="{991BAF75-CA79-4E03-8B2B-524EF6A814D4}"/>
    <cellStyle name="Output 2 4 4 5 6" xfId="28549" xr:uid="{CDA706B9-9D2B-480A-B938-F4F5756019FF}"/>
    <cellStyle name="Output 2 4 4 6" xfId="4873" xr:uid="{00000000-0005-0000-0000-0000ED070000}"/>
    <cellStyle name="Output 2 4 4 6 2" xfId="11768" xr:uid="{15BABFBA-0C61-4253-BDFA-9A67B9D2912F}"/>
    <cellStyle name="Output 2 4 4 6 2 2" xfId="34254" xr:uid="{98C64E7B-9C6C-4ED7-93ED-4139DA3550F3}"/>
    <cellStyle name="Output 2 4 4 6 2 3" xfId="24288" xr:uid="{2E449D2E-D9D8-4A36-BF97-9F45C6A107F9}"/>
    <cellStyle name="Output 2 4 4 6 3" xfId="16810" xr:uid="{B5B087F1-AA06-4934-B02A-767B16D50CAE}"/>
    <cellStyle name="Output 2 4 4 6 3 2" xfId="39200" xr:uid="{D5E8F58E-4B86-4827-B0F7-7893B95A42E3}"/>
    <cellStyle name="Output 2 4 4 6 3 3" xfId="45349" xr:uid="{81EAFC6B-893A-4043-9F55-100ADBA01C3C}"/>
    <cellStyle name="Output 2 4 4 6 4" xfId="19377" xr:uid="{F1E30745-04FD-47EC-A07C-9A382F5F4F17}"/>
    <cellStyle name="Output 2 4 4 6 4 2" xfId="41751" xr:uid="{D4A2CBC0-0163-460B-ADDF-C86C914A89B8}"/>
    <cellStyle name="Output 2 4 4 6 4 3" xfId="36718" xr:uid="{7C3C9C2F-52D9-40B1-BE0F-132AED7F9947}"/>
    <cellStyle name="Output 2 4 4 6 5" xfId="19470" xr:uid="{A6E6A35F-03FA-4709-924A-168E3A3F63AF}"/>
    <cellStyle name="Output 2 4 4 6 5 2" xfId="28912" xr:uid="{810B3979-18EB-42DB-A52D-DCE7D3CA82BD}"/>
    <cellStyle name="Output 2 4 4 6 6" xfId="51780" xr:uid="{1C8C1AB9-BED0-4908-AF27-8DB527753F56}"/>
    <cellStyle name="Output 2 4 4 7" xfId="6319" xr:uid="{00000000-0005-0000-0000-0000ED070000}"/>
    <cellStyle name="Output 2 4 4 7 2" xfId="13191" xr:uid="{5811FD30-705E-41D1-B068-DBDAEA264BAD}"/>
    <cellStyle name="Output 2 4 4 7 2 2" xfId="35675" xr:uid="{8162B052-5A87-42A0-9585-E13224E64658}"/>
    <cellStyle name="Output 2 4 4 7 2 3" xfId="52106" xr:uid="{2CFAA8C9-4412-4233-802F-15DCCCC69D98}"/>
    <cellStyle name="Output 2 4 4 7 3" xfId="18256" xr:uid="{00450543-020B-4119-89D8-E1929258CCE6}"/>
    <cellStyle name="Output 2 4 4 7 3 2" xfId="40646" xr:uid="{2FCE5235-5F13-4F8D-BAE2-24E9C3E6A8FB}"/>
    <cellStyle name="Output 2 4 4 7 3 3" xfId="45113" xr:uid="{556E9F5F-5C74-4583-8429-82C2E6520746}"/>
    <cellStyle name="Output 2 4 4 7 4" xfId="14183" xr:uid="{887BBCB4-ACA9-499D-9D75-29AE801A02E0}"/>
    <cellStyle name="Output 2 4 4 7 4 2" xfId="36658" xr:uid="{4AD97B3C-9286-4193-9AF4-BAB9A440BF72}"/>
    <cellStyle name="Output 2 4 4 7 4 3" xfId="51920" xr:uid="{2E121632-80C2-45EF-BB07-E01BE1D0FE61}"/>
    <cellStyle name="Output 2 4 4 7 5" xfId="22680" xr:uid="{267EFA41-0D1E-4F3C-B096-8B22129C4C41}"/>
    <cellStyle name="Output 2 4 4 7 5 2" xfId="42589" xr:uid="{52694CAD-A240-4E03-8E8A-EF89EF4FBB49}"/>
    <cellStyle name="Output 2 4 4 7 6" xfId="53836" xr:uid="{774E45F9-0776-40D8-A225-C74E34BEF5B6}"/>
    <cellStyle name="Output 2 4 4 8" xfId="9025" xr:uid="{51E6841E-AB8D-4728-B969-9DF97CA2865E}"/>
    <cellStyle name="Output 2 4 4 8 2" xfId="31602" xr:uid="{31523A96-F34A-4B85-9854-78FD49C88D44}"/>
    <cellStyle name="Output 2 4 4 8 3" xfId="30562" xr:uid="{08E6EE4B-FDD8-4C41-A597-6E22831D4F8D}"/>
    <cellStyle name="Output 2 4 4 9" xfId="20642" xr:uid="{93F8985B-2F6F-4CA7-98ED-A1E26908E238}"/>
    <cellStyle name="Output 2 4 4 9 2" xfId="42920" xr:uid="{64E90C33-159D-4099-A710-52941EE8C691}"/>
    <cellStyle name="Output 2 4 4 9 3" xfId="50368" xr:uid="{0DB81593-EF1D-48C4-9BF4-C6F5C4EB5DF3}"/>
    <cellStyle name="Output 2 4 5" xfId="1222" xr:uid="{00000000-0005-0000-0000-0000F1070000}"/>
    <cellStyle name="Output 2 4 5 10" xfId="20131" xr:uid="{AE406466-A0EF-4362-B86E-6345EFA0B4CA}"/>
    <cellStyle name="Output 2 4 5 10 2" xfId="36763" xr:uid="{65CDF1D1-04A2-4C39-9BB7-C62429E47C91}"/>
    <cellStyle name="Output 2 4 5 11" xfId="46038" xr:uid="{516171DF-6FFD-4825-BC03-1A92F51BAEA8}"/>
    <cellStyle name="Output 2 4 5 2" xfId="2022" xr:uid="{00000000-0005-0000-0000-0000F2070000}"/>
    <cellStyle name="Output 2 4 5 2 10" xfId="14670" xr:uid="{CEA713E3-108B-43AC-A252-2947A72C0D0F}"/>
    <cellStyle name="Output 2 4 5 2 10 2" xfId="37130" xr:uid="{86187C8B-ACE6-443C-A4AB-4C6C0A05D8B0}"/>
    <cellStyle name="Output 2 4 5 2 10 3" xfId="53052" xr:uid="{A53928E8-6857-412E-A50D-372DA71E6471}"/>
    <cellStyle name="Output 2 4 5 2 11" xfId="20799" xr:uid="{47853145-C412-4963-9581-75E18BC5D9D3}"/>
    <cellStyle name="Output 2 4 5 2 11 2" xfId="43065" xr:uid="{5C26C626-361A-4C55-8FCC-93C22B778826}"/>
    <cellStyle name="Output 2 4 5 2 11 3" xfId="25711" xr:uid="{AD962D59-5DBA-4033-9B3C-3C4AD915D3D2}"/>
    <cellStyle name="Output 2 4 5 2 12" xfId="20767" xr:uid="{8985FDF4-A054-4690-9B86-B758F643F9DC}"/>
    <cellStyle name="Output 2 4 5 2 12 2" xfId="46660" xr:uid="{5F3FB479-E734-47A7-AA25-EF2E60DE938B}"/>
    <cellStyle name="Output 2 4 5 2 13" xfId="52043" xr:uid="{6261DC13-38FC-4A40-9FEB-EB0585BDC395}"/>
    <cellStyle name="Output 2 4 5 2 2" xfId="4117" xr:uid="{00000000-0005-0000-0000-0000F0070000}"/>
    <cellStyle name="Output 2 4 5 2 2 2" xfId="11021" xr:uid="{0EE14075-0D1C-4B71-BFF2-BC4F7BB325B9}"/>
    <cellStyle name="Output 2 4 5 2 2 2 2" xfId="33507" xr:uid="{C998DF27-A839-4F37-9243-B9481D8CD11B}"/>
    <cellStyle name="Output 2 4 5 2 2 2 3" xfId="52865" xr:uid="{BD6625FA-B17D-4E10-A0EE-ECAB3F983DA4}"/>
    <cellStyle name="Output 2 4 5 2 2 3" xfId="16121" xr:uid="{55E299E7-896C-4990-9532-ADE482CA3E4C}"/>
    <cellStyle name="Output 2 4 5 2 2 3 2" xfId="38521" xr:uid="{A41B2F98-158A-4DAE-8718-588377032EE4}"/>
    <cellStyle name="Output 2 4 5 2 2 3 3" xfId="42098" xr:uid="{C7C9DA44-7EA2-4113-ADE8-030299013D9A}"/>
    <cellStyle name="Output 2 4 5 2 2 4" xfId="21047" xr:uid="{EED788E0-E05B-4865-AFBF-5E3E057957FD}"/>
    <cellStyle name="Output 2 4 5 2 2 4 2" xfId="43295" xr:uid="{FDB0AF04-CDF1-42D4-9204-1418240503CC}"/>
    <cellStyle name="Output 2 4 5 2 2 4 3" xfId="26194" xr:uid="{F430BE9F-2690-4FE4-A96F-C75573B68F72}"/>
    <cellStyle name="Output 2 4 5 2 2 5" xfId="20114" xr:uid="{41333DC6-F8A4-4F3B-85E9-67A59EAACD5C}"/>
    <cellStyle name="Output 2 4 5 2 2 5 2" xfId="27226" xr:uid="{DEA89DB3-39B2-4890-BE1B-4AF4E814E899}"/>
    <cellStyle name="Output 2 4 5 2 2 6" xfId="38314" xr:uid="{DF5E76B9-BFBD-4B38-AB43-2030110AC89A}"/>
    <cellStyle name="Output 2 4 5 2 3" xfId="5463" xr:uid="{00000000-0005-0000-0000-0000F0070000}"/>
    <cellStyle name="Output 2 4 5 2 3 2" xfId="12352" xr:uid="{786FF224-0AB7-4CBB-B783-2A78221105A6}"/>
    <cellStyle name="Output 2 4 5 2 3 2 2" xfId="34837" xr:uid="{8F1890CB-7151-4546-B488-634E52836646}"/>
    <cellStyle name="Output 2 4 5 2 3 2 3" xfId="41610" xr:uid="{F700EE38-AE6B-48C1-8F29-30DFD431345E}"/>
    <cellStyle name="Output 2 4 5 2 3 3" xfId="17400" xr:uid="{AB8189DF-E851-4180-9EB9-CB0DE6C989C5}"/>
    <cellStyle name="Output 2 4 5 2 3 3 2" xfId="39790" xr:uid="{DAB0E0EE-5ADA-4221-9B5D-D23904C972FB}"/>
    <cellStyle name="Output 2 4 5 2 3 3 3" xfId="24020" xr:uid="{DFF51852-3F0A-4100-9F0F-EEF6304FD4E8}"/>
    <cellStyle name="Output 2 4 5 2 3 4" xfId="15779" xr:uid="{DB8E87C4-1EAB-43F7-B371-154CC091503D}"/>
    <cellStyle name="Output 2 4 5 2 3 4 2" xfId="38189" xr:uid="{C444EFDC-ED57-404D-B85D-11E101CEC8EC}"/>
    <cellStyle name="Output 2 4 5 2 3 4 3" xfId="50371" xr:uid="{C3AD8B8F-9C28-4A96-A4C1-A2DC73A0D780}"/>
    <cellStyle name="Output 2 4 5 2 3 5" xfId="21824" xr:uid="{D39F622A-EB09-44BE-A436-52CFA7A2450A}"/>
    <cellStyle name="Output 2 4 5 2 3 5 2" xfId="50316" xr:uid="{AF43C20D-522A-4E83-BFAC-A7D91BDE14B9}"/>
    <cellStyle name="Output 2 4 5 2 3 6" xfId="46498" xr:uid="{E29B3D07-6AB8-41AB-B5D9-AE256D863CDB}"/>
    <cellStyle name="Output 2 4 5 2 4" xfId="5886" xr:uid="{00000000-0005-0000-0000-0000F0070000}"/>
    <cellStyle name="Output 2 4 5 2 4 2" xfId="12768" xr:uid="{0B61E8BE-B2FF-4B23-8F99-D9F507E8B24F}"/>
    <cellStyle name="Output 2 4 5 2 4 2 2" xfId="35252" xr:uid="{416F3BC7-D0E6-4946-B940-5EB464DFD80C}"/>
    <cellStyle name="Output 2 4 5 2 4 2 3" xfId="43372" xr:uid="{033113DF-2972-4ADC-BE18-EE7D9F9D9BDD}"/>
    <cellStyle name="Output 2 4 5 2 4 3" xfId="17823" xr:uid="{BE83B2DA-BC63-4555-80EC-FCD298F551DF}"/>
    <cellStyle name="Output 2 4 5 2 4 3 2" xfId="40213" xr:uid="{870BB08B-A94F-487B-98DD-A457A3039E8B}"/>
    <cellStyle name="Output 2 4 5 2 4 3 3" xfId="43035" xr:uid="{6B4A0191-0C5A-4BC8-8028-6D9FE03D0C30}"/>
    <cellStyle name="Output 2 4 5 2 4 4" xfId="15527" xr:uid="{A19BDE26-02E4-484A-9370-DC6D4F6E851E}"/>
    <cellStyle name="Output 2 4 5 2 4 4 2" xfId="37947" xr:uid="{7B68B018-2833-44D6-B3EA-08C5808C09CD}"/>
    <cellStyle name="Output 2 4 5 2 4 4 3" xfId="51031" xr:uid="{8C3B4644-99F5-4BEF-A27B-A1AD3C63AECB}"/>
    <cellStyle name="Output 2 4 5 2 4 5" xfId="22247" xr:uid="{DCEE03FD-9D43-4092-9FEF-D70891E0E391}"/>
    <cellStyle name="Output 2 4 5 2 4 5 2" xfId="29533" xr:uid="{4740F0AE-0FC9-4257-80D6-30D4E1842799}"/>
    <cellStyle name="Output 2 4 5 2 4 6" xfId="34261" xr:uid="{F51B154F-8D55-4841-B261-B52E0F625BFE}"/>
    <cellStyle name="Output 2 4 5 2 5" xfId="6224" xr:uid="{00000000-0005-0000-0000-0000F0070000}"/>
    <cellStyle name="Output 2 4 5 2 5 2" xfId="13099" xr:uid="{C5664A40-C27D-45C1-B2EC-9FEE518B9C53}"/>
    <cellStyle name="Output 2 4 5 2 5 2 2" xfId="35583" xr:uid="{B4BAA9CC-A052-424A-B1D9-C9DC8825AFA3}"/>
    <cellStyle name="Output 2 4 5 2 5 2 3" xfId="28680" xr:uid="{5BF74AC2-7875-476B-A421-2EB2A62AC6FD}"/>
    <cellStyle name="Output 2 4 5 2 5 3" xfId="18161" xr:uid="{F6E85A07-B737-4080-B907-76294CE23828}"/>
    <cellStyle name="Output 2 4 5 2 5 3 2" xfId="40551" xr:uid="{F60AACA7-E34D-47A2-B3EE-210B10327E56}"/>
    <cellStyle name="Output 2 4 5 2 5 3 3" xfId="43020" xr:uid="{BCE1AC4E-E05B-4E57-8C1B-EA4A7E4F5FF5}"/>
    <cellStyle name="Output 2 4 5 2 5 4" xfId="19348" xr:uid="{5DCFB914-04B2-46D8-946B-4186D1F2A1AB}"/>
    <cellStyle name="Output 2 4 5 2 5 4 2" xfId="41723" xr:uid="{B203FEB6-9D59-4559-8B08-6CC7047D2B8E}"/>
    <cellStyle name="Output 2 4 5 2 5 4 3" xfId="29626" xr:uid="{3D7A6FA0-D45D-4CB9-9647-57C37E437815}"/>
    <cellStyle name="Output 2 4 5 2 5 5" xfId="22585" xr:uid="{12AFE2EA-37EA-46DC-9BC7-88CF08AD5264}"/>
    <cellStyle name="Output 2 4 5 2 5 5 2" xfId="44163" xr:uid="{ED0561D3-B0EE-487B-BF55-4E042DFC5279}"/>
    <cellStyle name="Output 2 4 5 2 5 6" xfId="46913" xr:uid="{CEFE303F-3AFC-4654-997B-2AA0391E2571}"/>
    <cellStyle name="Output 2 4 5 2 6" xfId="6590" xr:uid="{00000000-0005-0000-0000-0000F0070000}"/>
    <cellStyle name="Output 2 4 5 2 6 2" xfId="13456" xr:uid="{C3A8180F-490B-4A2F-9865-D5898EAF1676}"/>
    <cellStyle name="Output 2 4 5 2 6 2 2" xfId="35940" xr:uid="{90A5BEE9-74E8-4187-834F-A1AF512CA6F5}"/>
    <cellStyle name="Output 2 4 5 2 6 2 3" xfId="47276" xr:uid="{E117318A-3722-4D4A-AC7B-A3E6BB742DCD}"/>
    <cellStyle name="Output 2 4 5 2 6 3" xfId="18527" xr:uid="{65836F56-26BD-4561-A870-EF89D14AF889}"/>
    <cellStyle name="Output 2 4 5 2 6 3 2" xfId="40917" xr:uid="{1C3A74BF-131E-428E-ABB5-9E961CF38DD7}"/>
    <cellStyle name="Output 2 4 5 2 6 3 3" xfId="44371" xr:uid="{0D2F4ADC-2178-4EA0-B039-4CE9CC2BCA4E}"/>
    <cellStyle name="Output 2 4 5 2 6 4" xfId="15341" xr:uid="{C5E37140-A6F6-4010-AB5A-7211064F57D5}"/>
    <cellStyle name="Output 2 4 5 2 6 4 2" xfId="37773" xr:uid="{CDBB71BB-158B-453C-BC04-E7CA81769E47}"/>
    <cellStyle name="Output 2 4 5 2 6 4 3" xfId="23719" xr:uid="{B22A41EA-E2A9-46F6-AF0F-DA0344B6724C}"/>
    <cellStyle name="Output 2 4 5 2 6 5" xfId="22951" xr:uid="{7198A80F-FBD6-4E56-9F21-0D5A518448C7}"/>
    <cellStyle name="Output 2 4 5 2 6 5 2" xfId="53638" xr:uid="{2BBA9AE5-2C5B-4313-B293-E6BAC11916EB}"/>
    <cellStyle name="Output 2 4 5 2 6 6" xfId="27014" xr:uid="{57AA4D1C-C807-4DCE-AD7B-91D722B7461E}"/>
    <cellStyle name="Output 2 4 5 2 7" xfId="6692" xr:uid="{00000000-0005-0000-0000-0000F0070000}"/>
    <cellStyle name="Output 2 4 5 2 7 2" xfId="13558" xr:uid="{FCFD1CDF-F4DD-40AD-883D-F10F15E97D1C}"/>
    <cellStyle name="Output 2 4 5 2 7 2 2" xfId="36042" xr:uid="{3CEF7725-388F-46AC-926E-09708DE04F66}"/>
    <cellStyle name="Output 2 4 5 2 7 2 3" xfId="48845" xr:uid="{EF789B24-1D8A-4BDD-93D9-4FFAF422A795}"/>
    <cellStyle name="Output 2 4 5 2 7 3" xfId="18629" xr:uid="{298BDFDF-6E23-4AA0-937A-DE3557621048}"/>
    <cellStyle name="Output 2 4 5 2 7 3 2" xfId="41019" xr:uid="{5C96B5B3-09B0-4888-9DCB-DF4B406173E3}"/>
    <cellStyle name="Output 2 4 5 2 7 3 3" xfId="23661" xr:uid="{78307479-AE31-4269-8F13-21B19526C2CA}"/>
    <cellStyle name="Output 2 4 5 2 7 4" xfId="20596" xr:uid="{9F6E8240-809C-4120-B883-0FB8C3FB42E3}"/>
    <cellStyle name="Output 2 4 5 2 7 4 2" xfId="42878" xr:uid="{BC0D3F03-9F89-4B2A-BFFE-EF07E26FA406}"/>
    <cellStyle name="Output 2 4 5 2 7 4 3" xfId="49228" xr:uid="{5522507E-8371-4954-BCF2-198AAA353754}"/>
    <cellStyle name="Output 2 4 5 2 7 5" xfId="23053" xr:uid="{6C2FBDD0-6949-4BF4-BB6D-19627C2287A0}"/>
    <cellStyle name="Output 2 4 5 2 7 5 2" xfId="44755" xr:uid="{F26500AA-8D80-4400-9030-EA5A64B4C93C}"/>
    <cellStyle name="Output 2 4 5 2 7 6" xfId="53076" xr:uid="{D02349A7-19A5-4C7B-82D2-AAF1C617370B}"/>
    <cellStyle name="Output 2 4 5 2 8" xfId="7060" xr:uid="{00000000-0005-0000-0000-0000F0070000}"/>
    <cellStyle name="Output 2 4 5 2 8 2" xfId="13896" xr:uid="{6B1AAF3D-682C-40AD-93F3-ABCDDC8FFE9F}"/>
    <cellStyle name="Output 2 4 5 2 8 2 2" xfId="36380" xr:uid="{EE519712-AAE0-499B-B423-03609997D325}"/>
    <cellStyle name="Output 2 4 5 2 8 2 3" xfId="49429" xr:uid="{17A1AE03-72DF-4F9F-95CE-948E4A204914}"/>
    <cellStyle name="Output 2 4 5 2 8 3" xfId="18997" xr:uid="{E721AC7A-BB02-4BDD-8C95-A00F0A039584}"/>
    <cellStyle name="Output 2 4 5 2 8 3 2" xfId="41387" xr:uid="{00EBC34E-DA21-4D08-A35A-B938EB24C808}"/>
    <cellStyle name="Output 2 4 5 2 8 3 3" xfId="29908" xr:uid="{1C881B9A-AE75-4F93-B4CC-5481F9DDD185}"/>
    <cellStyle name="Output 2 4 5 2 8 4" xfId="20132" xr:uid="{BAC5CBEE-05EF-4668-94C3-EB10EB38342F}"/>
    <cellStyle name="Output 2 4 5 2 8 4 2" xfId="42446" xr:uid="{75AF4D62-B2CB-427E-9210-1D87A201ADF8}"/>
    <cellStyle name="Output 2 4 5 2 8 4 3" xfId="28094" xr:uid="{DF759458-EC44-4286-9B42-392EDF5DCDD6}"/>
    <cellStyle name="Output 2 4 5 2 8 5" xfId="23421" xr:uid="{17BA5FA0-F5C8-4214-9B25-EAAA4E38C2D2}"/>
    <cellStyle name="Output 2 4 5 2 8 5 2" xfId="47094" xr:uid="{6C29BD15-84A6-4FFA-B364-0875D6173E4A}"/>
    <cellStyle name="Output 2 4 5 2 8 6" xfId="46568" xr:uid="{E1BDA563-9D2C-46DE-A94D-090BDCBBED4C}"/>
    <cellStyle name="Output 2 4 5 2 9" xfId="7175" xr:uid="{00000000-0005-0000-0000-0000F0070000}"/>
    <cellStyle name="Output 2 4 5 2 9 2" xfId="19112" xr:uid="{821930CE-A65E-4FC5-90F6-91D54A19FAF5}"/>
    <cellStyle name="Output 2 4 5 2 9 2 2" xfId="41502" xr:uid="{C78E66D9-7C14-4A16-A091-6BFFE3109963}"/>
    <cellStyle name="Output 2 4 5 2 9 2 3" xfId="44870" xr:uid="{3B149F57-7FF4-4C2F-A5BE-65FD955C0DE8}"/>
    <cellStyle name="Output 2 4 5 2 9 3" xfId="20571" xr:uid="{E2C5F051-2517-41CF-848C-06493375B49A}"/>
    <cellStyle name="Output 2 4 5 2 9 3 2" xfId="42854" xr:uid="{FD1759DB-D0B7-4CAB-A1C2-47CC30CF5FA0}"/>
    <cellStyle name="Output 2 4 5 2 9 3 3" xfId="30773" xr:uid="{43D44F42-0B6E-46C9-897D-9BB2ADBACCE5}"/>
    <cellStyle name="Output 2 4 5 2 9 4" xfId="23536" xr:uid="{ED0C99D4-9AED-4E54-9A38-0EE520CD3EC1}"/>
    <cellStyle name="Output 2 4 5 2 9 4 2" xfId="27542" xr:uid="{E438F021-644F-4A8B-AB6F-FB6CFB352A75}"/>
    <cellStyle name="Output 2 4 5 2 9 5" xfId="46416" xr:uid="{61556129-B6AB-4126-9A00-228C85FD098B}"/>
    <cellStyle name="Output 2 4 5 3" xfId="3335" xr:uid="{00000000-0005-0000-0000-0000EF070000}"/>
    <cellStyle name="Output 2 4 5 3 2" xfId="10243" xr:uid="{054952BF-045D-48E2-8596-ED3223A7417A}"/>
    <cellStyle name="Output 2 4 5 3 2 2" xfId="32737" xr:uid="{CD87E3E7-EFC6-43BD-9533-2FF0FA5D1FDC}"/>
    <cellStyle name="Output 2 4 5 3 2 3" xfId="24376" xr:uid="{DAC06571-765B-4D27-9F27-629631F727EC}"/>
    <cellStyle name="Output 2 4 5 3 3" xfId="15561" xr:uid="{AEB15E4A-4EA1-4604-B286-FB9D4A8D4B7F}"/>
    <cellStyle name="Output 2 4 5 3 3 2" xfId="37980" xr:uid="{A247897A-E067-4082-B63C-477FD12B0ECF}"/>
    <cellStyle name="Output 2 4 5 3 3 3" xfId="24267" xr:uid="{9B0ADA6D-E761-432A-8755-A62B973744E1}"/>
    <cellStyle name="Output 2 4 5 3 4" xfId="15992" xr:uid="{991DAC6A-A252-4B26-A972-D18ABD72DB88}"/>
    <cellStyle name="Output 2 4 5 3 4 2" xfId="38395" xr:uid="{731E34FB-3FF4-4EF9-8D26-BF3520BA1BBC}"/>
    <cellStyle name="Output 2 4 5 3 4 3" xfId="48552" xr:uid="{36BFB5E8-9C1C-413C-B8DE-498154AEBDA1}"/>
    <cellStyle name="Output 2 4 5 3 5" xfId="20370" xr:uid="{98CA1BFC-91EC-4D84-B036-8E33AB4C99E6}"/>
    <cellStyle name="Output 2 4 5 3 5 2" xfId="47558" xr:uid="{85CA8979-E0AF-474D-8C18-4E7BD5C678B4}"/>
    <cellStyle name="Output 2 4 5 3 6" xfId="52546" xr:uid="{079AF589-C0AB-4C16-87AF-AAE18EB650CE}"/>
    <cellStyle name="Output 2 4 5 4" xfId="4922" xr:uid="{00000000-0005-0000-0000-0000EF070000}"/>
    <cellStyle name="Output 2 4 5 4 2" xfId="11817" xr:uid="{9F947D23-2E88-4866-A8D6-CA8C04174CDC}"/>
    <cellStyle name="Output 2 4 5 4 2 2" xfId="34303" xr:uid="{8D2476EA-8DE5-4B40-B8C1-BF407A4B7E8D}"/>
    <cellStyle name="Output 2 4 5 4 2 3" xfId="45828" xr:uid="{2136A117-385C-4747-859D-0C823FECCB33}"/>
    <cellStyle name="Output 2 4 5 4 3" xfId="16859" xr:uid="{40991D6B-11A3-41FB-8032-EEE1E496C832}"/>
    <cellStyle name="Output 2 4 5 4 3 2" xfId="39249" xr:uid="{A05B3856-3819-4ADE-A24D-DCCD939D29BA}"/>
    <cellStyle name="Output 2 4 5 4 3 3" xfId="44063" xr:uid="{A924DC9A-6286-48FD-93C3-5B4F96E4268C}"/>
    <cellStyle name="Output 2 4 5 4 4" xfId="14393" xr:uid="{BCE0A2FE-1CC6-4171-845D-4B5B2A86413B}"/>
    <cellStyle name="Output 2 4 5 4 4 2" xfId="36859" xr:uid="{B7961604-45A8-495A-9D64-48E4672A3B47}"/>
    <cellStyle name="Output 2 4 5 4 4 3" xfId="23749" xr:uid="{C45E51D2-70DC-43C2-A3CA-54DC18ADA3F8}"/>
    <cellStyle name="Output 2 4 5 4 5" xfId="20607" xr:uid="{15391634-A83D-491D-A313-6016369AAC83}"/>
    <cellStyle name="Output 2 4 5 4 5 2" xfId="47529" xr:uid="{9318F038-2B41-4C61-8765-5581654CB259}"/>
    <cellStyle name="Output 2 4 5 4 6" xfId="48298" xr:uid="{94AF6483-780C-45EC-9145-88EEC065A1E4}"/>
    <cellStyle name="Output 2 4 5 5" xfId="5118" xr:uid="{00000000-0005-0000-0000-0000EF070000}"/>
    <cellStyle name="Output 2 4 5 5 2" xfId="12011" xr:uid="{4CFC919D-B440-4363-B465-731B44A2B949}"/>
    <cellStyle name="Output 2 4 5 5 2 2" xfId="34497" xr:uid="{B3773893-FAFF-4BB3-AA56-D4D553794822}"/>
    <cellStyle name="Output 2 4 5 5 2 3" xfId="43086" xr:uid="{01E39845-E09C-4B99-B932-6F44000CD39F}"/>
    <cellStyle name="Output 2 4 5 5 3" xfId="17055" xr:uid="{A397E52E-C284-4FF1-B458-3928325C3CB7}"/>
    <cellStyle name="Output 2 4 5 5 3 2" xfId="39445" xr:uid="{20F79652-66C6-4BC6-843E-D7464AD51A36}"/>
    <cellStyle name="Output 2 4 5 5 3 3" xfId="25637" xr:uid="{5DDC6FDB-6B16-42EB-8640-5BF670F4E550}"/>
    <cellStyle name="Output 2 4 5 5 4" xfId="8742" xr:uid="{E1CB2F62-984F-4E5A-8833-9B810D556C0E}"/>
    <cellStyle name="Output 2 4 5 5 4 2" xfId="31325" xr:uid="{1674CA15-E846-43BB-A307-9F1A8F535B22}"/>
    <cellStyle name="Output 2 4 5 5 4 3" xfId="25631" xr:uid="{903AC092-EF8B-4716-92C6-407E78C3307F}"/>
    <cellStyle name="Output 2 4 5 5 5" xfId="21479" xr:uid="{803441C5-E407-45AE-9105-D6BABB5E0D22}"/>
    <cellStyle name="Output 2 4 5 5 5 2" xfId="45695" xr:uid="{D9C66608-2615-4E81-8376-A746311D3E2B}"/>
    <cellStyle name="Output 2 4 5 5 6" xfId="51282" xr:uid="{D522A9C3-C531-4900-B2EE-C38F9CC83039}"/>
    <cellStyle name="Output 2 4 5 6" xfId="6356" xr:uid="{00000000-0005-0000-0000-0000EF070000}"/>
    <cellStyle name="Output 2 4 5 6 2" xfId="13228" xr:uid="{9BF6C03A-FB73-44AA-969C-83DED4811EEC}"/>
    <cellStyle name="Output 2 4 5 6 2 2" xfId="35712" xr:uid="{B3D7945D-1061-480F-9265-8526136C764E}"/>
    <cellStyle name="Output 2 4 5 6 2 3" xfId="46985" xr:uid="{44580BFA-F883-45DB-89FD-631D78CFCBCF}"/>
    <cellStyle name="Output 2 4 5 6 3" xfId="18293" xr:uid="{1491CB28-FB94-4DA8-8BE8-4FB48CF98DAE}"/>
    <cellStyle name="Output 2 4 5 6 3 2" xfId="40683" xr:uid="{3BC533B7-37A3-4A7D-B0DD-C7C7AF8C4298}"/>
    <cellStyle name="Output 2 4 5 6 3 3" xfId="29629" xr:uid="{239CAA08-4EAE-4A0F-A26D-BD3C1700C925}"/>
    <cellStyle name="Output 2 4 5 6 4" xfId="19816" xr:uid="{CDCEBE61-DF65-457F-AE2E-A5C0126094C1}"/>
    <cellStyle name="Output 2 4 5 6 4 2" xfId="42154" xr:uid="{1B66E4BC-1BBC-40E5-8317-A74DCC0807D2}"/>
    <cellStyle name="Output 2 4 5 6 4 3" xfId="32669" xr:uid="{94510D87-709C-41DF-B624-B81EE9306434}"/>
    <cellStyle name="Output 2 4 5 6 5" xfId="22717" xr:uid="{0C28FB32-BCB7-409A-86DF-97DBD3C53D5F}"/>
    <cellStyle name="Output 2 4 5 6 5 2" xfId="48989" xr:uid="{20E18AC3-79FE-494B-AC3D-BA78C75A9CE4}"/>
    <cellStyle name="Output 2 4 5 6 6" xfId="51777" xr:uid="{7408049A-CDEB-4873-BFBF-9E5117E4134E}"/>
    <cellStyle name="Output 2 4 5 7" xfId="5108" xr:uid="{00000000-0005-0000-0000-0000EF070000}"/>
    <cellStyle name="Output 2 4 5 7 2" xfId="12001" xr:uid="{1BA6F302-F52B-4C88-A531-7DF0F9147C70}"/>
    <cellStyle name="Output 2 4 5 7 2 2" xfId="34487" xr:uid="{AE06492B-983C-4237-AA75-1421E337D911}"/>
    <cellStyle name="Output 2 4 5 7 2 3" xfId="44236" xr:uid="{D5FCF3A7-EA42-4242-A42A-AD5F2FDF04F7}"/>
    <cellStyle name="Output 2 4 5 7 3" xfId="17045" xr:uid="{CA304AD3-DB63-4670-BEBE-58D74305E420}"/>
    <cellStyle name="Output 2 4 5 7 3 2" xfId="39435" xr:uid="{C840CE04-3656-4E4A-A973-40DEBBF841E1}"/>
    <cellStyle name="Output 2 4 5 7 3 3" xfId="24134" xr:uid="{2ACD2639-C781-4B3C-95E7-838D177072A2}"/>
    <cellStyle name="Output 2 4 5 7 4" xfId="19277" xr:uid="{B739534A-7166-4F1D-BE53-93928AE0D536}"/>
    <cellStyle name="Output 2 4 5 7 4 2" xfId="41660" xr:uid="{D795C79F-A2FB-4D58-82B9-76A8E71310F1}"/>
    <cellStyle name="Output 2 4 5 7 4 3" xfId="26684" xr:uid="{5F02AC64-A80C-45C8-9EC9-9844F3161E08}"/>
    <cellStyle name="Output 2 4 5 7 5" xfId="21469" xr:uid="{A1A0C7E2-D5DB-4F8C-BF7C-657F01070E27}"/>
    <cellStyle name="Output 2 4 5 7 5 2" xfId="53214" xr:uid="{3BE53F75-BFBB-4CBB-B4EF-0C17CAF08105}"/>
    <cellStyle name="Output 2 4 5 7 6" xfId="53271" xr:uid="{0B91B887-5B1C-4976-B52D-F111081EFD55}"/>
    <cellStyle name="Output 2 4 5 8" xfId="14097" xr:uid="{6905A6BB-30EB-4455-B7A8-0F9D331FD1C3}"/>
    <cellStyle name="Output 2 4 5 8 2" xfId="36575" xr:uid="{5555F95B-8D24-4B65-8EA7-B542CFF6AD51}"/>
    <cellStyle name="Output 2 4 5 8 3" xfId="47639" xr:uid="{5EE8BB6F-E988-4310-B158-ADE2E8A3E7C1}"/>
    <cellStyle name="Output 2 4 5 9" xfId="14114" xr:uid="{C0A8D078-29AB-4DB6-B1D9-CA85A9157944}"/>
    <cellStyle name="Output 2 4 5 9 2" xfId="36592" xr:uid="{47A8A66A-0CDC-4294-A88F-EE78FD67238D}"/>
    <cellStyle name="Output 2 4 5 9 3" xfId="23993" xr:uid="{4559D598-BDB9-43BB-9AD2-E35A120EF3F5}"/>
    <cellStyle name="Output 2 4 6" xfId="1384" xr:uid="{00000000-0005-0000-0000-0000F3070000}"/>
    <cellStyle name="Output 2 4 6 10" xfId="15355" xr:uid="{F30F192A-B84E-4DE0-84BF-9CA0DFEA8395}"/>
    <cellStyle name="Output 2 4 6 10 2" xfId="38550" xr:uid="{62F24B2B-CC2C-473F-B5B1-CBC51A267818}"/>
    <cellStyle name="Output 2 4 6 11" xfId="49276" xr:uid="{49C6D016-D658-40B5-AADD-C7D169B1EF00}"/>
    <cellStyle name="Output 2 4 6 2" xfId="2113" xr:uid="{00000000-0005-0000-0000-0000F4070000}"/>
    <cellStyle name="Output 2 4 6 2 10" xfId="14742" xr:uid="{9E1F9AC5-BAC2-4707-9BBF-24F7EA33DB2F}"/>
    <cellStyle name="Output 2 4 6 2 10 2" xfId="37200" xr:uid="{9EC385C4-C342-418E-AFD7-D8A9A33FE875}"/>
    <cellStyle name="Output 2 4 6 2 10 3" xfId="49795" xr:uid="{866CD24E-3982-4DE1-894E-5A93FA74DA47}"/>
    <cellStyle name="Output 2 4 6 2 11" xfId="20247" xr:uid="{E1FD1353-DFFE-4EFC-9B3C-A3FEE9919478}"/>
    <cellStyle name="Output 2 4 6 2 11 2" xfId="42550" xr:uid="{5B0F10BE-9DDE-4102-9DB4-B00493118825}"/>
    <cellStyle name="Output 2 4 6 2 11 3" xfId="27553" xr:uid="{163B5182-3C93-438C-A55A-63537441C149}"/>
    <cellStyle name="Output 2 4 6 2 12" xfId="14937" xr:uid="{4D02F474-6FE4-4404-9D06-EDDD1A09B102}"/>
    <cellStyle name="Output 2 4 6 2 12 2" xfId="46332" xr:uid="{4877D7ED-1700-4192-B35B-FA0FCA034016}"/>
    <cellStyle name="Output 2 4 6 2 13" xfId="48218" xr:uid="{060C7A1F-D428-456C-89FC-DEF470739BD3}"/>
    <cellStyle name="Output 2 4 6 2 2" xfId="4206" xr:uid="{00000000-0005-0000-0000-0000F2070000}"/>
    <cellStyle name="Output 2 4 6 2 2 2" xfId="11110" xr:uid="{6DFBD62E-0229-4C83-8F6B-C2D9A52C561E}"/>
    <cellStyle name="Output 2 4 6 2 2 2 2" xfId="33596" xr:uid="{DA5A75DE-71A1-4D9A-9995-DE079D6769EE}"/>
    <cellStyle name="Output 2 4 6 2 2 2 3" xfId="43093" xr:uid="{5837345D-E9A6-4DE2-96ED-E56E5FE53091}"/>
    <cellStyle name="Output 2 4 6 2 2 3" xfId="16199" xr:uid="{104FFB81-2FE8-4C77-BA54-5FFA852424EF}"/>
    <cellStyle name="Output 2 4 6 2 2 3 2" xfId="38598" xr:uid="{A9CD4CED-8F9D-4C6C-A6F2-29FC07F98534}"/>
    <cellStyle name="Output 2 4 6 2 2 3 3" xfId="26464" xr:uid="{BC88740B-AE9D-4A4B-9C87-653F82F92203}"/>
    <cellStyle name="Output 2 4 6 2 2 4" xfId="19950" xr:uid="{4754D3F7-9031-45FB-981D-731D3783DA0A}"/>
    <cellStyle name="Output 2 4 6 2 2 4 2" xfId="42280" xr:uid="{19AA5774-81F8-4FB4-BBC4-51478B786E88}"/>
    <cellStyle name="Output 2 4 6 2 2 4 3" xfId="32297" xr:uid="{7F297242-033E-4177-9DAA-406FF5A0842C}"/>
    <cellStyle name="Output 2 4 6 2 2 5" xfId="19364" xr:uid="{822D66DB-F94E-4326-A2E7-12F731D4713C}"/>
    <cellStyle name="Output 2 4 6 2 2 5 2" xfId="24393" xr:uid="{2A83B41A-CBA4-4A94-8A81-0F7F70E5C53B}"/>
    <cellStyle name="Output 2 4 6 2 2 6" xfId="48830" xr:uid="{3F342FAC-00F0-4C43-B284-B3DB3E1A96A6}"/>
    <cellStyle name="Output 2 4 6 2 3" xfId="5532" xr:uid="{00000000-0005-0000-0000-0000F2070000}"/>
    <cellStyle name="Output 2 4 6 2 3 2" xfId="12421" xr:uid="{795D59F7-8027-4EC4-84F9-73B81D1C72D2}"/>
    <cellStyle name="Output 2 4 6 2 3 2 2" xfId="34906" xr:uid="{B766A151-D475-4EBC-B876-C0868F3805EF}"/>
    <cellStyle name="Output 2 4 6 2 3 2 3" xfId="28449" xr:uid="{FD0F77BF-70ED-46F4-9ED4-E6043ECB31AD}"/>
    <cellStyle name="Output 2 4 6 2 3 3" xfId="17469" xr:uid="{12438F44-7B6B-46CF-B053-60E0BB58BDE0}"/>
    <cellStyle name="Output 2 4 6 2 3 3 2" xfId="39859" xr:uid="{927CB453-0571-49C5-AB6C-948CA8E0EF92}"/>
    <cellStyle name="Output 2 4 6 2 3 3 3" xfId="27970" xr:uid="{9C24A0D2-C002-4F4F-98DA-D8420F145C94}"/>
    <cellStyle name="Output 2 4 6 2 3 4" xfId="19593" xr:uid="{7FE8BA6B-43F8-4FD8-AE08-505928C91C7B}"/>
    <cellStyle name="Output 2 4 6 2 3 4 2" xfId="41948" xr:uid="{3B000EFC-0855-45B8-8F0A-D897C0B7861A}"/>
    <cellStyle name="Output 2 4 6 2 3 4 3" xfId="44165" xr:uid="{12960083-60BA-422A-86CA-E23D07858056}"/>
    <cellStyle name="Output 2 4 6 2 3 5" xfId="21893" xr:uid="{E29F537A-99A7-44B9-8836-068F2B858E69}"/>
    <cellStyle name="Output 2 4 6 2 3 5 2" xfId="42057" xr:uid="{C15DF7DB-6E8F-47D3-8B67-0E526FB99BAE}"/>
    <cellStyle name="Output 2 4 6 2 3 6" xfId="50807" xr:uid="{AEFE0BD3-BBA4-4DB5-96EB-2FCF1B9E476A}"/>
    <cellStyle name="Output 2 4 6 2 4" xfId="5954" xr:uid="{00000000-0005-0000-0000-0000F2070000}"/>
    <cellStyle name="Output 2 4 6 2 4 2" xfId="12835" xr:uid="{C83FDE56-EBF2-4DD5-BB2E-B27D57C6A593}"/>
    <cellStyle name="Output 2 4 6 2 4 2 2" xfId="35319" xr:uid="{D8819323-4663-4610-8E54-9324C46BAE13}"/>
    <cellStyle name="Output 2 4 6 2 4 2 3" xfId="47032" xr:uid="{D97DEE55-3EAC-490D-9503-DB09C7741703}"/>
    <cellStyle name="Output 2 4 6 2 4 3" xfId="17891" xr:uid="{F8AC6C39-B4D4-45EE-AB94-D11224E257F1}"/>
    <cellStyle name="Output 2 4 6 2 4 3 2" xfId="40281" xr:uid="{DFE11158-0FE9-4CA7-ACAA-3F12C7E227AA}"/>
    <cellStyle name="Output 2 4 6 2 4 3 3" xfId="43254" xr:uid="{C8CFD0BB-600D-48F8-BB0B-A919A56DDBCF}"/>
    <cellStyle name="Output 2 4 6 2 4 4" xfId="15596" xr:uid="{318F3365-7B7E-4511-B2CB-9A0756831801}"/>
    <cellStyle name="Output 2 4 6 2 4 4 2" xfId="38013" xr:uid="{5952372C-E9B2-4F27-88B8-BCF1E689F76E}"/>
    <cellStyle name="Output 2 4 6 2 4 4 3" xfId="42828" xr:uid="{AB14EA3A-56BC-46CF-A94A-0B2FFE3ABE7D}"/>
    <cellStyle name="Output 2 4 6 2 4 5" xfId="22315" xr:uid="{E3BD947E-754E-4C39-B902-E3EE9D903757}"/>
    <cellStyle name="Output 2 4 6 2 4 5 2" xfId="52987" xr:uid="{FEC20EF8-6CAD-4264-941C-C3C9D965594A}"/>
    <cellStyle name="Output 2 4 6 2 4 6" xfId="51139" xr:uid="{2F38EDAA-049C-4F32-B923-081F50A2D493}"/>
    <cellStyle name="Output 2 4 6 2 5" xfId="6294" xr:uid="{00000000-0005-0000-0000-0000F2070000}"/>
    <cellStyle name="Output 2 4 6 2 5 2" xfId="13166" xr:uid="{AF92FBB2-EA97-4B56-97D2-996949488151}"/>
    <cellStyle name="Output 2 4 6 2 5 2 2" xfId="35650" xr:uid="{BD5D10D3-42FF-4799-9485-314629D65C30}"/>
    <cellStyle name="Output 2 4 6 2 5 2 3" xfId="48342" xr:uid="{D43E8C97-2731-44C6-A75D-122A6C593C5E}"/>
    <cellStyle name="Output 2 4 6 2 5 3" xfId="18231" xr:uid="{9085C518-9081-4A72-918E-35138210EA9A}"/>
    <cellStyle name="Output 2 4 6 2 5 3 2" xfId="40621" xr:uid="{271D350C-F88E-4E44-991E-F8CA9E25F9FD}"/>
    <cellStyle name="Output 2 4 6 2 5 3 3" xfId="28539" xr:uid="{0B57B607-A18A-4AA2-9584-9CEC255EAD5B}"/>
    <cellStyle name="Output 2 4 6 2 5 4" xfId="12436" xr:uid="{1AAE6E1B-92CC-46F2-9F70-3FD6B2E2DEC0}"/>
    <cellStyle name="Output 2 4 6 2 5 4 2" xfId="34921" xr:uid="{24BF3C1E-8B61-4B8D-B27A-DCFEB56F3954}"/>
    <cellStyle name="Output 2 4 6 2 5 4 3" xfId="45892" xr:uid="{7197E60D-DD83-408B-8967-8114090E3C1B}"/>
    <cellStyle name="Output 2 4 6 2 5 5" xfId="22655" xr:uid="{B85599A2-7240-4658-8655-0E96832B2CED}"/>
    <cellStyle name="Output 2 4 6 2 5 5 2" xfId="46564" xr:uid="{E252C54D-A019-493E-92EA-0BDAAC601A74}"/>
    <cellStyle name="Output 2 4 6 2 5 6" xfId="53191" xr:uid="{F6094FF8-D900-4D92-8357-C8976F1D5773}"/>
    <cellStyle name="Output 2 4 6 2 6" xfId="6649" xr:uid="{00000000-0005-0000-0000-0000F2070000}"/>
    <cellStyle name="Output 2 4 6 2 6 2" xfId="13515" xr:uid="{A066E12A-6973-4B9B-BDA3-5D443A36BEEB}"/>
    <cellStyle name="Output 2 4 6 2 6 2 2" xfId="35999" xr:uid="{6611CBFB-4C34-4B04-92B3-B8D172163E04}"/>
    <cellStyle name="Output 2 4 6 2 6 2 3" xfId="52583" xr:uid="{F25E94B5-C9B8-4869-B434-70D3DA18925C}"/>
    <cellStyle name="Output 2 4 6 2 6 3" xfId="18586" xr:uid="{25419994-ED2D-418A-911A-0A3397627861}"/>
    <cellStyle name="Output 2 4 6 2 6 3 2" xfId="40976" xr:uid="{AC066E00-7A5D-4F4F-87AD-C718C0B4DC66}"/>
    <cellStyle name="Output 2 4 6 2 6 3 3" xfId="44232" xr:uid="{13C5802C-73C0-49B6-9E6F-D0446FF90673}"/>
    <cellStyle name="Output 2 4 6 2 6 4" xfId="20290" xr:uid="{7A8B8223-A825-44D5-B183-EABB28884571}"/>
    <cellStyle name="Output 2 4 6 2 6 4 2" xfId="42590" xr:uid="{E20FBB4A-6E2C-4429-922A-F42AC445C125}"/>
    <cellStyle name="Output 2 4 6 2 6 4 3" xfId="28402" xr:uid="{70FFB10C-8752-4880-A387-551AE08D4471}"/>
    <cellStyle name="Output 2 4 6 2 6 5" xfId="23010" xr:uid="{271286C8-3D17-46BB-A2BB-258C9634BB94}"/>
    <cellStyle name="Output 2 4 6 2 6 5 2" xfId="53598" xr:uid="{39860E3D-13A0-4E3F-9D59-DC6895CD14A7}"/>
    <cellStyle name="Output 2 4 6 2 6 6" xfId="51552" xr:uid="{3E7EFB18-0658-4C29-A07F-ACF99088968D}"/>
    <cellStyle name="Output 2 4 6 2 7" xfId="6839" xr:uid="{00000000-0005-0000-0000-0000F2070000}"/>
    <cellStyle name="Output 2 4 6 2 7 2" xfId="13683" xr:uid="{BAA54226-488C-4DC6-8075-2B8C16AE289D}"/>
    <cellStyle name="Output 2 4 6 2 7 2 2" xfId="36167" xr:uid="{E95E6196-4AA6-4C1C-9B1D-3AE0CD755024}"/>
    <cellStyle name="Output 2 4 6 2 7 2 3" xfId="51069" xr:uid="{FCB14E2C-0382-4912-A497-0CDF5D0DF11B}"/>
    <cellStyle name="Output 2 4 6 2 7 3" xfId="18776" xr:uid="{F4B0D7D9-0B90-4AB2-87DD-B7109AB4591B}"/>
    <cellStyle name="Output 2 4 6 2 7 3 2" xfId="41166" xr:uid="{00780A69-5986-4EF9-82CF-7FA1D1EB66A4}"/>
    <cellStyle name="Output 2 4 6 2 7 3 3" xfId="23758" xr:uid="{7C86A38D-2A3A-4B1E-BF65-E753DF9ECC55}"/>
    <cellStyle name="Output 2 4 6 2 7 4" xfId="20076" xr:uid="{3AAFB608-6BDE-4B06-ADA1-C64A476B7A65}"/>
    <cellStyle name="Output 2 4 6 2 7 4 2" xfId="42396" xr:uid="{B9F7A24B-B63C-4DFC-A43D-9AC3BFC3F2FD}"/>
    <cellStyle name="Output 2 4 6 2 7 4 3" xfId="45153" xr:uid="{DDDB58A8-9385-4160-80F9-5BEEFFA8C987}"/>
    <cellStyle name="Output 2 4 6 2 7 5" xfId="23200" xr:uid="{19FA3D11-CB9E-4721-A829-212BA5A56B96}"/>
    <cellStyle name="Output 2 4 6 2 7 5 2" xfId="50092" xr:uid="{BEA16BB8-7CCF-4AD1-9525-4E362DB900DB}"/>
    <cellStyle name="Output 2 4 6 2 7 6" xfId="46980" xr:uid="{75DEF477-A3C7-40BD-B807-93EEC270E19B}"/>
    <cellStyle name="Output 2 4 6 2 8" xfId="7104" xr:uid="{00000000-0005-0000-0000-0000F2070000}"/>
    <cellStyle name="Output 2 4 6 2 8 2" xfId="13940" xr:uid="{E61BE3DE-701E-4C70-8F2F-216C03962E7F}"/>
    <cellStyle name="Output 2 4 6 2 8 2 2" xfId="36424" xr:uid="{BCFAD807-E965-4684-92E6-B4E18678596C}"/>
    <cellStyle name="Output 2 4 6 2 8 2 3" xfId="46705" xr:uid="{3FECF7DA-5547-4F57-A63A-8DFA8CBAA957}"/>
    <cellStyle name="Output 2 4 6 2 8 3" xfId="19041" xr:uid="{6C77D9EC-04DF-4E3A-85E5-AB6323AC5A94}"/>
    <cellStyle name="Output 2 4 6 2 8 3 2" xfId="41431" xr:uid="{A4842BE6-4396-4E53-9000-903A54FF2ED6}"/>
    <cellStyle name="Output 2 4 6 2 8 3 3" xfId="24313" xr:uid="{DB511FE9-25C1-41AC-AABA-E2B39B6390E0}"/>
    <cellStyle name="Output 2 4 6 2 8 4" xfId="8106" xr:uid="{DE88300A-E94B-4617-B66F-C614E7C35086}"/>
    <cellStyle name="Output 2 4 6 2 8 4 2" xfId="30719" xr:uid="{3C088E6E-4682-4FB4-9111-19CD174EE71E}"/>
    <cellStyle name="Output 2 4 6 2 8 4 3" xfId="45959" xr:uid="{24491D74-7876-4AC1-8F13-D674754E7005}"/>
    <cellStyle name="Output 2 4 6 2 8 5" xfId="23465" xr:uid="{527B58B0-FEF9-44A4-B3BA-5DB706D37219}"/>
    <cellStyle name="Output 2 4 6 2 8 5 2" xfId="46067" xr:uid="{A464BF8E-BE88-4C58-B8AA-91A9430F190A}"/>
    <cellStyle name="Output 2 4 6 2 8 6" xfId="53914" xr:uid="{72CA27DB-F0B0-46F1-8BC6-E4AEDECE175B}"/>
    <cellStyle name="Output 2 4 6 2 9" xfId="7219" xr:uid="{00000000-0005-0000-0000-0000F2070000}"/>
    <cellStyle name="Output 2 4 6 2 9 2" xfId="19156" xr:uid="{9118D7BC-5657-4141-B8CA-3D970396AAEB}"/>
    <cellStyle name="Output 2 4 6 2 9 2 2" xfId="41546" xr:uid="{6832EB97-2D19-4B5C-A3AA-DACFF5CB261F}"/>
    <cellStyle name="Output 2 4 6 2 9 2 3" xfId="38540" xr:uid="{CA36B1D9-2A50-475F-808B-39FF0FFDCEFE}"/>
    <cellStyle name="Output 2 4 6 2 9 3" xfId="16067" xr:uid="{A547C4E6-9C7D-4D71-AC76-E510F6F2732F}"/>
    <cellStyle name="Output 2 4 6 2 9 3 2" xfId="38467" xr:uid="{D14F4356-FD57-43A5-A4B9-4FE704989602}"/>
    <cellStyle name="Output 2 4 6 2 9 3 3" xfId="46926" xr:uid="{24ED75AB-9BA1-48A4-BC57-CE0D50A497CB}"/>
    <cellStyle name="Output 2 4 6 2 9 4" xfId="23580" xr:uid="{62DFB684-DD4E-4FB8-8040-D88624ECE0F2}"/>
    <cellStyle name="Output 2 4 6 2 9 4 2" xfId="27997" xr:uid="{2347ECC2-7BB6-4389-A587-63F7E77954A3}"/>
    <cellStyle name="Output 2 4 6 2 9 5" xfId="46457" xr:uid="{CF5F1964-3942-4F69-82B8-47235375A340}"/>
    <cellStyle name="Output 2 4 6 3" xfId="3488" xr:uid="{00000000-0005-0000-0000-0000F1070000}"/>
    <cellStyle name="Output 2 4 6 3 2" xfId="10395" xr:uid="{39DAD710-EC04-4EEF-BD5C-B9570B14F86C}"/>
    <cellStyle name="Output 2 4 6 3 2 2" xfId="32882" xr:uid="{F2E23A2B-E14B-495A-A243-DBC636ED2685}"/>
    <cellStyle name="Output 2 4 6 3 2 3" xfId="48030" xr:uid="{716C52F6-6988-4448-8DF7-D70B60437118}"/>
    <cellStyle name="Output 2 4 6 3 3" xfId="15666" xr:uid="{0D852AC7-4098-45DA-A8EA-94BD80482E23}"/>
    <cellStyle name="Output 2 4 6 3 3 2" xfId="38082" xr:uid="{DFC133F6-86B8-4D8C-B3CC-D179B365852E}"/>
    <cellStyle name="Output 2 4 6 3 3 3" xfId="52695" xr:uid="{1C4C5C76-D90F-4F6D-B2D4-B3B8E93D3BA7}"/>
    <cellStyle name="Output 2 4 6 3 4" xfId="19806" xr:uid="{44E0C47D-6398-4DBC-A826-D7BD5D0D4720}"/>
    <cellStyle name="Output 2 4 6 3 4 2" xfId="42144" xr:uid="{8CEAE2B6-2FC3-4CE4-94E7-BDC9E78C7B59}"/>
    <cellStyle name="Output 2 4 6 3 4 3" xfId="44526" xr:uid="{F3BD1732-5177-48D6-8817-C58CAE3C98D5}"/>
    <cellStyle name="Output 2 4 6 3 5" xfId="19662" xr:uid="{9049C847-B6BC-4185-9EB8-416081692B96}"/>
    <cellStyle name="Output 2 4 6 3 5 2" xfId="27906" xr:uid="{D51A2D6E-2274-426E-BA6B-7AC3910F3C3B}"/>
    <cellStyle name="Output 2 4 6 3 6" xfId="46055" xr:uid="{9C5D9BB1-1C8F-421E-A047-5FAD971C90FD}"/>
    <cellStyle name="Output 2 4 6 4" xfId="5021" xr:uid="{00000000-0005-0000-0000-0000F1070000}"/>
    <cellStyle name="Output 2 4 6 4 2" xfId="11915" xr:uid="{6E190BB4-A34F-417C-A5CF-899F8EC59CBC}"/>
    <cellStyle name="Output 2 4 6 4 2 2" xfId="34401" xr:uid="{C4A9D010-6D47-4C48-8C1D-53849FBBDE38}"/>
    <cellStyle name="Output 2 4 6 4 2 3" xfId="45096" xr:uid="{B060AC59-8DB9-4B56-8107-069DF60EC62E}"/>
    <cellStyle name="Output 2 4 6 4 3" xfId="16958" xr:uid="{E7072C73-47D5-44F3-9CE5-F8959DFD0A7C}"/>
    <cellStyle name="Output 2 4 6 4 3 2" xfId="39348" xr:uid="{6F3D0C9F-4AC7-4D3B-8C0C-61E8BA339617}"/>
    <cellStyle name="Output 2 4 6 4 3 3" xfId="26944" xr:uid="{C97D201F-3D01-4F6E-83DA-524DC6320963}"/>
    <cellStyle name="Output 2 4 6 4 4" xfId="7276" xr:uid="{50234498-2E63-4727-B58B-70DFD65A44FD}"/>
    <cellStyle name="Output 2 4 6 4 4 2" xfId="29964" xr:uid="{3FFF1D1C-5154-4C3A-9BE5-7A26D3AFB386}"/>
    <cellStyle name="Output 2 4 6 4 4 3" xfId="53481" xr:uid="{E0EC4004-11B8-4033-9C3F-7088AC449F68}"/>
    <cellStyle name="Output 2 4 6 4 5" xfId="21382" xr:uid="{97A96C91-1E7F-4391-96E5-0E26A75C099C}"/>
    <cellStyle name="Output 2 4 6 4 5 2" xfId="28614" xr:uid="{3FA536D1-B457-40A3-866D-9AB563111980}"/>
    <cellStyle name="Output 2 4 6 4 6" xfId="46977" xr:uid="{0414D5AE-0516-44CD-82E3-CBACFAE9CDCA}"/>
    <cellStyle name="Output 2 4 6 5" xfId="2760" xr:uid="{00000000-0005-0000-0000-0000F1070000}"/>
    <cellStyle name="Output 2 4 6 5 2" xfId="9669" xr:uid="{D17528B6-50DF-40D0-85FE-5F0056969F0E}"/>
    <cellStyle name="Output 2 4 6 5 2 2" xfId="32217" xr:uid="{3259E32D-F9B6-484E-81BF-8E608033DB0A}"/>
    <cellStyle name="Output 2 4 6 5 2 3" xfId="29342" xr:uid="{7C0AA17C-2356-4D31-9703-25F6D3633982}"/>
    <cellStyle name="Output 2 4 6 5 3" xfId="15186" xr:uid="{2A20E29D-0966-480E-960C-C16196E18994}"/>
    <cellStyle name="Output 2 4 6 5 3 2" xfId="37626" xr:uid="{09E1C848-95C1-4A3A-BB4A-178B38BFDD1C}"/>
    <cellStyle name="Output 2 4 6 5 3 3" xfId="52373" xr:uid="{ECFDA366-E982-421F-9DC1-58ECB72C5182}"/>
    <cellStyle name="Output 2 4 6 5 4" xfId="16257" xr:uid="{F6B431A6-2D40-4FD3-BB76-C4F6F7B9B4DE}"/>
    <cellStyle name="Output 2 4 6 5 4 2" xfId="38649" xr:uid="{8AC23B90-5902-46EE-8A8E-2FF723A7D1BB}"/>
    <cellStyle name="Output 2 4 6 5 4 3" xfId="45887" xr:uid="{0A2143B9-07A4-4800-ACF6-FFA589E8D0E5}"/>
    <cellStyle name="Output 2 4 6 5 5" xfId="14546" xr:uid="{00378A3A-F6A6-41C1-B593-C918AAD03309}"/>
    <cellStyle name="Output 2 4 6 5 5 2" xfId="50718" xr:uid="{F31AA6A3-97D5-42D8-9634-12AF6C5DB392}"/>
    <cellStyle name="Output 2 4 6 5 6" xfId="53222" xr:uid="{17B845C8-DF7A-410A-9B76-2671A306D92F}"/>
    <cellStyle name="Output 2 4 6 6" xfId="6242" xr:uid="{00000000-0005-0000-0000-0000F1070000}"/>
    <cellStyle name="Output 2 4 6 6 2" xfId="13116" xr:uid="{0B827EA2-402A-47CB-94AB-A97399CDF4DC}"/>
    <cellStyle name="Output 2 4 6 6 2 2" xfId="35600" xr:uid="{ED9889F6-9A98-45D4-927A-136A98D3B23C}"/>
    <cellStyle name="Output 2 4 6 6 2 3" xfId="48921" xr:uid="{D22FC89D-F330-43F6-ACB7-7786F0B0B856}"/>
    <cellStyle name="Output 2 4 6 6 3" xfId="18179" xr:uid="{71558796-3CCD-4621-93AC-5AF2EA290BD7}"/>
    <cellStyle name="Output 2 4 6 6 3 2" xfId="40569" xr:uid="{601EF1C5-2311-4FF2-9B4F-8A196170AC46}"/>
    <cellStyle name="Output 2 4 6 6 3 3" xfId="32644" xr:uid="{FB12141D-A91E-41AC-A240-5FD7324447A1}"/>
    <cellStyle name="Output 2 4 6 6 4" xfId="14322" xr:uid="{D9764D88-8B3E-4E7C-8AC0-CE3F6A37DB72}"/>
    <cellStyle name="Output 2 4 6 6 4 2" xfId="36791" xr:uid="{2E5507F9-FB1A-4EA1-8E61-2579BA57C270}"/>
    <cellStyle name="Output 2 4 6 6 4 3" xfId="46302" xr:uid="{78655E7C-FB46-427B-9D28-89DB41C5C834}"/>
    <cellStyle name="Output 2 4 6 6 5" xfId="22603" xr:uid="{3C1C799C-9BA8-4E5E-A3CF-3267492DBEC0}"/>
    <cellStyle name="Output 2 4 6 6 5 2" xfId="51683" xr:uid="{72E5735D-F590-44F6-B271-A27C45394A9E}"/>
    <cellStyle name="Output 2 4 6 6 6" xfId="51015" xr:uid="{8BE04F13-C00E-4F7C-B014-FB941007C982}"/>
    <cellStyle name="Output 2 4 6 7" xfId="2368" xr:uid="{00000000-0005-0000-0000-0000F1070000}"/>
    <cellStyle name="Output 2 4 6 7 2" xfId="9277" xr:uid="{52E86F90-0F6A-4A82-9ECC-6FE0829549C8}"/>
    <cellStyle name="Output 2 4 6 7 2 2" xfId="31852" xr:uid="{EA92C650-A6D9-4881-B900-3E9EFAF38B26}"/>
    <cellStyle name="Output 2 4 6 7 2 3" xfId="53391" xr:uid="{48BC4096-55C0-4E3C-B619-AE5B7F2464E9}"/>
    <cellStyle name="Output 2 4 6 7 3" xfId="14921" xr:uid="{3B552C45-7825-4717-8018-007FC908CF10}"/>
    <cellStyle name="Output 2 4 6 7 3 2" xfId="37375" xr:uid="{0F1DF570-1696-4064-BF27-967E2EADFB17}"/>
    <cellStyle name="Output 2 4 6 7 3 3" xfId="50554" xr:uid="{052C769A-5073-475C-8B9A-2B4719DB9DF3}"/>
    <cellStyle name="Output 2 4 6 7 4" xfId="20083" xr:uid="{5D7D6DAB-D2BD-4A42-B5D8-4B475162E86C}"/>
    <cellStyle name="Output 2 4 6 7 4 2" xfId="42402" xr:uid="{4EEB40C6-EC4F-4D4E-B13E-7FE1C7DF829C}"/>
    <cellStyle name="Output 2 4 6 7 4 3" xfId="32107" xr:uid="{6CA75CB6-4FE4-4567-AE00-4F9844CE71FA}"/>
    <cellStyle name="Output 2 4 6 7 5" xfId="9535" xr:uid="{2CA5DED6-3ED6-48D0-8971-A5F71120280B}"/>
    <cellStyle name="Output 2 4 6 7 5 2" xfId="46303" xr:uid="{F852F2E6-2729-45E3-ACC2-7392D18C1D49}"/>
    <cellStyle name="Output 2 4 6 7 6" xfId="49581" xr:uid="{FD596259-E15B-464C-8B06-88BD8A541BEB}"/>
    <cellStyle name="Output 2 4 6 8" xfId="14203" xr:uid="{7BE903D9-3104-4E42-B369-E66EF3373330}"/>
    <cellStyle name="Output 2 4 6 8 2" xfId="36678" xr:uid="{B91EF260-E050-4A46-8D3A-FC492485CA47}"/>
    <cellStyle name="Output 2 4 6 8 3" xfId="29188" xr:uid="{329B9AA3-E85D-4D1B-8D7A-3CA47A59FDFA}"/>
    <cellStyle name="Output 2 4 6 9" xfId="20461" xr:uid="{7D6D83FD-2CF3-495E-87DB-15DA53ACC10D}"/>
    <cellStyle name="Output 2 4 6 9 2" xfId="42750" xr:uid="{F0A6C618-1C92-4DD6-9751-B599AC7AA7AB}"/>
    <cellStyle name="Output 2 4 6 9 3" xfId="45478" xr:uid="{7B8ADD2C-4391-4B1A-B87B-6EA39BFE297C}"/>
    <cellStyle name="Output 2 4 7" xfId="1656" xr:uid="{00000000-0005-0000-0000-0000F5070000}"/>
    <cellStyle name="Output 2 4 7 10" xfId="14370" xr:uid="{F1735746-455A-4392-939F-8D6E28D363E9}"/>
    <cellStyle name="Output 2 4 7 10 2" xfId="36838" xr:uid="{D21CD3D9-1915-46ED-B75F-DFF517A2C0E6}"/>
    <cellStyle name="Output 2 4 7 10 3" xfId="44477" xr:uid="{3F688951-0EE0-4B9B-9172-F164AD8B8223}"/>
    <cellStyle name="Output 2 4 7 11" xfId="20689" xr:uid="{3CC16765-BF24-4FF2-A523-1874BD481727}"/>
    <cellStyle name="Output 2 4 7 11 2" xfId="42962" xr:uid="{61FDAEEA-24CB-4B4C-9A20-A77015FF4A44}"/>
    <cellStyle name="Output 2 4 7 11 3" xfId="26113" xr:uid="{84ED9F58-22FF-4067-B3B5-884C5896C0D6}"/>
    <cellStyle name="Output 2 4 7 12" xfId="19471" xr:uid="{E699DBEA-F642-4D46-B14A-17E5A6520BBF}"/>
    <cellStyle name="Output 2 4 7 12 2" xfId="28914" xr:uid="{92FC1066-03D8-4519-990E-8E4FAEDAF9F0}"/>
    <cellStyle name="Output 2 4 7 13" xfId="51531" xr:uid="{95CA3AE0-DEA2-4F35-81FB-78A0E1EB89D4}"/>
    <cellStyle name="Output 2 4 7 2" xfId="3754" xr:uid="{00000000-0005-0000-0000-0000F3070000}"/>
    <cellStyle name="Output 2 4 7 2 2" xfId="10658" xr:uid="{AD2DAADD-88A9-4BFA-9B46-48BBA4AE52AD}"/>
    <cellStyle name="Output 2 4 7 2 2 2" xfId="33144" xr:uid="{07349B26-27C7-425D-9929-92055094939F}"/>
    <cellStyle name="Output 2 4 7 2 2 3" xfId="43200" xr:uid="{6AE3714F-2F52-43C8-A93C-1FD3140572A0}"/>
    <cellStyle name="Output 2 4 7 2 3" xfId="15835" xr:uid="{BE778B37-B525-42B2-BA46-52B132B7B5C9}"/>
    <cellStyle name="Output 2 4 7 2 3 2" xfId="38243" xr:uid="{666F605D-DC40-474B-8286-E6AB502DE0B0}"/>
    <cellStyle name="Output 2 4 7 2 3 3" xfId="47170" xr:uid="{409D4BA2-1E20-413D-B823-6AA42CDFF704}"/>
    <cellStyle name="Output 2 4 7 2 4" xfId="21024" xr:uid="{B3F49BBE-9088-4D00-9174-9941B6646249}"/>
    <cellStyle name="Output 2 4 7 2 4 2" xfId="43274" xr:uid="{99B21A36-F0E3-4C64-A505-B6ECCF47161C}"/>
    <cellStyle name="Output 2 4 7 2 4 3" xfId="28879" xr:uid="{33C595DD-80EF-4F58-AC0D-077078B2ADBE}"/>
    <cellStyle name="Output 2 4 7 2 5" xfId="21213" xr:uid="{DB69BBEF-147A-4DB0-AD2D-0E4B082F5AC5}"/>
    <cellStyle name="Output 2 4 7 2 5 2" xfId="26938" xr:uid="{41EF937A-EB98-4A6E-A25C-BBE937993D86}"/>
    <cellStyle name="Output 2 4 7 2 6" xfId="49594" xr:uid="{B278BD2F-4271-4C2C-9016-48C2D368160A}"/>
    <cellStyle name="Output 2 4 7 3" xfId="5189" xr:uid="{00000000-0005-0000-0000-0000F3070000}"/>
    <cellStyle name="Output 2 4 7 3 2" xfId="12082" xr:uid="{05037E4F-4694-4A25-B49F-CC11E38D935D}"/>
    <cellStyle name="Output 2 4 7 3 2 2" xfId="34568" xr:uid="{A522F2C8-E690-4855-8922-3B4380DB25E2}"/>
    <cellStyle name="Output 2 4 7 3 2 3" xfId="24112" xr:uid="{D95D0EA4-66BD-4E6D-895C-54405E8CFFBD}"/>
    <cellStyle name="Output 2 4 7 3 3" xfId="17126" xr:uid="{8744D3EE-6531-4CF7-BBEB-2DAE10BCCC00}"/>
    <cellStyle name="Output 2 4 7 3 3 2" xfId="39516" xr:uid="{534D1E72-D091-4B50-8304-72838CC3F9A3}"/>
    <cellStyle name="Output 2 4 7 3 3 3" xfId="44121" xr:uid="{05EEA42D-156D-44D3-918B-579CD37F6991}"/>
    <cellStyle name="Output 2 4 7 3 4" xfId="7739" xr:uid="{D31854AE-1F87-42C2-AE5B-074E79202F93}"/>
    <cellStyle name="Output 2 4 7 3 4 2" xfId="30388" xr:uid="{1F48F86D-B9D6-4135-9FB4-A04467A1E070}"/>
    <cellStyle name="Output 2 4 7 3 4 3" xfId="51556" xr:uid="{048CA588-F3F1-4F85-A773-45C6E768590C}"/>
    <cellStyle name="Output 2 4 7 3 5" xfId="21550" xr:uid="{63842D7A-8EAF-4590-AF72-961A5D7518BC}"/>
    <cellStyle name="Output 2 4 7 3 5 2" xfId="46328" xr:uid="{65F1ADCA-99E7-4616-9EBB-603BE0D105B1}"/>
    <cellStyle name="Output 2 4 7 3 6" xfId="45313" xr:uid="{FAD62EC6-53FD-469D-9450-2C54C30133AF}"/>
    <cellStyle name="Output 2 4 7 4" xfId="4571" xr:uid="{00000000-0005-0000-0000-0000F3070000}"/>
    <cellStyle name="Output 2 4 7 4 2" xfId="11473" xr:uid="{B26E5F60-DFDF-45AE-BEB2-18E9F80FEDD3}"/>
    <cellStyle name="Output 2 4 7 4 2 2" xfId="33959" xr:uid="{427C8953-46EA-4EB2-BFD3-499C1FB0F8C0}"/>
    <cellStyle name="Output 2 4 7 4 2 3" xfId="31990" xr:uid="{6565626D-3A64-4154-961D-FEC621B3B74D}"/>
    <cellStyle name="Output 2 4 7 4 3" xfId="16508" xr:uid="{3BD97831-BE1A-4CBF-875F-C2A6A7E06803}"/>
    <cellStyle name="Output 2 4 7 4 3 2" xfId="38898" xr:uid="{3C2661D4-1130-4ACD-AB54-757A86374287}"/>
    <cellStyle name="Output 2 4 7 4 3 3" xfId="43327" xr:uid="{E83802A4-327B-4B10-8A4B-57EE62215B04}"/>
    <cellStyle name="Output 2 4 7 4 4" xfId="15141" xr:uid="{EDA7E319-78FA-4431-B4D8-C7D8D1123E2C}"/>
    <cellStyle name="Output 2 4 7 4 4 2" xfId="37583" xr:uid="{365767CC-1EBC-4CAB-A9A7-FC0BFAA62E18}"/>
    <cellStyle name="Output 2 4 7 4 4 3" xfId="44446" xr:uid="{9658086C-576B-4C7C-AB09-BE44F198E6E3}"/>
    <cellStyle name="Output 2 4 7 4 5" xfId="19640" xr:uid="{F086EF77-9172-4706-883C-5628C65F9F29}"/>
    <cellStyle name="Output 2 4 7 4 5 2" xfId="28408" xr:uid="{900AEC98-2AA4-456C-8551-6F0BAF543DBF}"/>
    <cellStyle name="Output 2 4 7 4 6" xfId="24659" xr:uid="{585CA913-275B-45FD-A009-881035185164}"/>
    <cellStyle name="Output 2 4 7 5" xfId="5625" xr:uid="{00000000-0005-0000-0000-0000F3070000}"/>
    <cellStyle name="Output 2 4 7 5 2" xfId="12509" xr:uid="{F8D218D3-7E38-4D85-B32B-C3974A1AA5EE}"/>
    <cellStyle name="Output 2 4 7 5 2 2" xfId="34994" xr:uid="{9146762B-D657-4BD8-9F99-01A9D7643B65}"/>
    <cellStyle name="Output 2 4 7 5 2 3" xfId="26075" xr:uid="{063ADEC4-8DED-406A-8706-98B70C6B0A31}"/>
    <cellStyle name="Output 2 4 7 5 3" xfId="17562" xr:uid="{C758A366-AECF-43FA-B14F-3019D490AE14}"/>
    <cellStyle name="Output 2 4 7 5 3 2" xfId="39952" xr:uid="{FEA86E37-FC11-4A70-A95D-9CE289C150D3}"/>
    <cellStyle name="Output 2 4 7 5 3 3" xfId="23885" xr:uid="{BEB34807-1294-4B7C-BFDD-CABE269613AF}"/>
    <cellStyle name="Output 2 4 7 5 4" xfId="19768" xr:uid="{28C5FC3A-8D28-4E3C-8EA6-D358EA7A5BE2}"/>
    <cellStyle name="Output 2 4 7 5 4 2" xfId="42110" xr:uid="{5EBD5729-1A3F-4DDA-9595-9C400959EAC7}"/>
    <cellStyle name="Output 2 4 7 5 4 3" xfId="24641" xr:uid="{F5CE4143-879F-4223-A1A5-C182C47507B5}"/>
    <cellStyle name="Output 2 4 7 5 5" xfId="21986" xr:uid="{F997A7CA-AFF7-4FB1-9BCE-A3F0A9F1F3EF}"/>
    <cellStyle name="Output 2 4 7 5 5 2" xfId="47607" xr:uid="{355077FB-2679-4418-B3D4-F6A5F5820782}"/>
    <cellStyle name="Output 2 4 7 5 6" xfId="45693" xr:uid="{BE5EBA93-B685-4525-B64E-2964DD8431E8}"/>
    <cellStyle name="Output 2 4 7 6" xfId="4729" xr:uid="{00000000-0005-0000-0000-0000F3070000}"/>
    <cellStyle name="Output 2 4 7 6 2" xfId="11627" xr:uid="{4BBB5AD4-95E8-4A39-87F6-B97614106A32}"/>
    <cellStyle name="Output 2 4 7 6 2 2" xfId="34113" xr:uid="{25B418AF-7423-4849-861E-94CA68460654}"/>
    <cellStyle name="Output 2 4 7 6 2 3" xfId="25139" xr:uid="{361DAC4E-B2A8-42C0-B609-D9DAC98E90FD}"/>
    <cellStyle name="Output 2 4 7 6 3" xfId="16666" xr:uid="{8315005E-1F31-4E3F-A399-B4DBEF0468BE}"/>
    <cellStyle name="Output 2 4 7 6 3 2" xfId="39056" xr:uid="{9B906D63-7637-41D2-B47C-65D8B37F4F24}"/>
    <cellStyle name="Output 2 4 7 6 3 3" xfId="27286" xr:uid="{933FE002-0C9F-4CE2-AB7C-4CAB450BF4EA}"/>
    <cellStyle name="Output 2 4 7 6 4" xfId="19247" xr:uid="{EFA812C9-7A10-4AF1-9D8F-835CA730FB37}"/>
    <cellStyle name="Output 2 4 7 6 4 2" xfId="41631" xr:uid="{277C9DCE-AED3-4D82-997D-696208DA77E6}"/>
    <cellStyle name="Output 2 4 7 6 4 3" xfId="45515" xr:uid="{2C03FE0C-C67A-4070-BCE3-2D44BB461FE0}"/>
    <cellStyle name="Output 2 4 7 6 5" xfId="14144" xr:uid="{73FED8A2-5AA8-4866-99D9-0A533A6208F7}"/>
    <cellStyle name="Output 2 4 7 6 5 2" xfId="49393" xr:uid="{0A5C76E6-B6B9-4A55-AA6E-6AA0C6F5C02A}"/>
    <cellStyle name="Output 2 4 7 6 6" xfId="51762" xr:uid="{F60B273B-FD13-4053-976C-B5B596CB3455}"/>
    <cellStyle name="Output 2 4 7 7" xfId="6803" xr:uid="{00000000-0005-0000-0000-0000F3070000}"/>
    <cellStyle name="Output 2 4 7 7 2" xfId="13652" xr:uid="{4E4BBCC6-92B6-4EDA-8CFF-C716B682EC7C}"/>
    <cellStyle name="Output 2 4 7 7 2 2" xfId="36136" xr:uid="{77F81EF7-06CD-4CFA-AD04-79C75DB79E1E}"/>
    <cellStyle name="Output 2 4 7 7 2 3" xfId="51258" xr:uid="{1992DE99-F001-413C-A724-51BBADF3D39B}"/>
    <cellStyle name="Output 2 4 7 7 3" xfId="18740" xr:uid="{B257308D-D5BA-447B-83D0-27FF2C5753C4}"/>
    <cellStyle name="Output 2 4 7 7 3 2" xfId="41130" xr:uid="{5E936F2E-4ED5-4F81-A049-E09434C26A3C}"/>
    <cellStyle name="Output 2 4 7 7 3 3" xfId="44873" xr:uid="{32BF51BF-5B79-449D-87EB-7C13AFADC98C}"/>
    <cellStyle name="Output 2 4 7 7 4" xfId="20253" xr:uid="{28026BA2-3936-4F59-B90B-592576157F42}"/>
    <cellStyle name="Output 2 4 7 7 4 2" xfId="42555" xr:uid="{CEDCB44B-2BDE-4889-BBC7-AC5E39F14BAB}"/>
    <cellStyle name="Output 2 4 7 7 4 3" xfId="28199" xr:uid="{5868D173-E417-43CB-8007-BA8122002376}"/>
    <cellStyle name="Output 2 4 7 7 5" xfId="23164" xr:uid="{0F7D3941-3FDA-4358-9F2A-407CDC40F172}"/>
    <cellStyle name="Output 2 4 7 7 5 2" xfId="51826" xr:uid="{447351A1-5039-4DB0-8CE1-7D81C35FAECB}"/>
    <cellStyle name="Output 2 4 7 7 6" xfId="48375" xr:uid="{84DED88D-082F-44A3-886A-441CDC9151C6}"/>
    <cellStyle name="Output 2 4 7 8" xfId="4850" xr:uid="{00000000-0005-0000-0000-0000F3070000}"/>
    <cellStyle name="Output 2 4 7 8 2" xfId="11746" xr:uid="{FAA0324E-9A12-4476-92F2-75ACF95C05CD}"/>
    <cellStyle name="Output 2 4 7 8 2 2" xfId="34232" xr:uid="{B23885C1-CE6C-4D6C-B54D-90701CC4998B}"/>
    <cellStyle name="Output 2 4 7 8 2 3" xfId="27571" xr:uid="{F2A44BDF-D51D-4136-8789-4AD111BC8111}"/>
    <cellStyle name="Output 2 4 7 8 3" xfId="16787" xr:uid="{D1F68E88-9B65-4879-B4CA-D0DBE8A1860B}"/>
    <cellStyle name="Output 2 4 7 8 3 2" xfId="39177" xr:uid="{CF9C386A-3B42-4FE5-AB33-0CFB8D5100DB}"/>
    <cellStyle name="Output 2 4 7 8 3 3" xfId="27876" xr:uid="{16451582-4862-4150-8CF8-EE0660F413ED}"/>
    <cellStyle name="Output 2 4 7 8 4" xfId="15123" xr:uid="{240ED1AA-70E3-4CF8-B185-9EB6F235184B}"/>
    <cellStyle name="Output 2 4 7 8 4 2" xfId="37565" xr:uid="{E4E07166-8387-4968-97A9-B517B9EA1E7B}"/>
    <cellStyle name="Output 2 4 7 8 4 3" xfId="49090" xr:uid="{E8338D43-9426-43F3-BED8-7A8D415EDB63}"/>
    <cellStyle name="Output 2 4 7 8 5" xfId="19911" xr:uid="{ED3D8564-E958-40DD-93B7-BCBFD57E56FA}"/>
    <cellStyle name="Output 2 4 7 8 5 2" xfId="30897" xr:uid="{8696C55A-FD6C-47E6-835C-70008E41D823}"/>
    <cellStyle name="Output 2 4 7 8 6" xfId="50242" xr:uid="{C6F3EF79-CD46-469D-AA0F-61917205CEC4}"/>
    <cellStyle name="Output 2 4 7 9" xfId="6871" xr:uid="{00000000-0005-0000-0000-0000F3070000}"/>
    <cellStyle name="Output 2 4 7 9 2" xfId="18808" xr:uid="{BC036236-4A35-42F7-8F97-DA946DC7B41C}"/>
    <cellStyle name="Output 2 4 7 9 2 2" xfId="41198" xr:uid="{ED8EB5AB-AE25-40BA-822C-FE401300E147}"/>
    <cellStyle name="Output 2 4 7 9 2 3" xfId="26402" xr:uid="{20E4BBA4-1399-4D56-96B7-FD86FF4AEB7C}"/>
    <cellStyle name="Output 2 4 7 9 3" xfId="20769" xr:uid="{51CA62E3-9A6B-4EC8-88FC-9023934157FA}"/>
    <cellStyle name="Output 2 4 7 9 3 2" xfId="43037" xr:uid="{BB904D54-D003-49D2-8261-E9A56138C49E}"/>
    <cellStyle name="Output 2 4 7 9 3 3" xfId="46677" xr:uid="{415E71B4-DB17-4E4B-962F-D26AAAEFE5F7}"/>
    <cellStyle name="Output 2 4 7 9 4" xfId="23232" xr:uid="{D489A1D6-0741-42E6-809F-82456CB62991}"/>
    <cellStyle name="Output 2 4 7 9 4 2" xfId="48890" xr:uid="{413D37F6-E530-4CA9-A811-0C2F09C809E6}"/>
    <cellStyle name="Output 2 4 7 9 5" xfId="50232" xr:uid="{D73C558A-1F49-4241-8C7F-C58F4CF2F123}"/>
    <cellStyle name="Output 2 4 8" xfId="2604" xr:uid="{00000000-0005-0000-0000-0000E8070000}"/>
    <cellStyle name="Output 2 4 8 2" xfId="9513" xr:uid="{3C3A6854-6C58-448E-82B6-7B679D6D82A1}"/>
    <cellStyle name="Output 2 4 8 2 2" xfId="32065" xr:uid="{9124D8A1-266D-4471-A231-805BE56FA28C}"/>
    <cellStyle name="Output 2 4 8 2 3" xfId="51811" xr:uid="{D7C6A0E9-82A2-43BD-B58D-239668B21C7A}"/>
    <cellStyle name="Output 2 4 8 3" xfId="15082" xr:uid="{F9F91F37-921C-4478-9B78-C4D270B9BC85}"/>
    <cellStyle name="Output 2 4 8 3 2" xfId="37527" xr:uid="{1696BA21-EC91-447C-84E4-8728916F3283}"/>
    <cellStyle name="Output 2 4 8 3 3" xfId="27780" xr:uid="{6C7409E9-F6BB-4044-9D4B-90713F0CF775}"/>
    <cellStyle name="Output 2 4 8 4" xfId="19233" xr:uid="{DCB7C98D-2721-427A-AAC5-3183FB3940AE}"/>
    <cellStyle name="Output 2 4 8 4 2" xfId="41618" xr:uid="{BF7AE83F-84B3-4824-AAE4-6A94B0FF15BF}"/>
    <cellStyle name="Output 2 4 8 4 3" xfId="29481" xr:uid="{5557890F-9598-4CEA-980A-445DEF764710}"/>
    <cellStyle name="Output 2 4 8 5" xfId="20662" xr:uid="{D38DFE37-8252-4291-93B3-B0B2621F019A}"/>
    <cellStyle name="Output 2 4 8 5 2" xfId="47899" xr:uid="{4618B025-40BB-4AED-A7B9-6F827E60B44D}"/>
    <cellStyle name="Output 2 4 8 6" xfId="48576" xr:uid="{656E461A-5F0D-4427-A473-C9D9322DC2F8}"/>
    <cellStyle name="Output 2 4 9" xfId="4434" xr:uid="{00000000-0005-0000-0000-0000E8070000}"/>
    <cellStyle name="Output 2 4 9 2" xfId="11336" xr:uid="{5D26A2AE-A5D1-4A78-AD42-FB1E167444E1}"/>
    <cellStyle name="Output 2 4 9 2 2" xfId="33822" xr:uid="{D0570B78-C2B7-45AD-9DFD-DF5C419B058F}"/>
    <cellStyle name="Output 2 4 9 2 3" xfId="45839" xr:uid="{26F3FBA6-6363-42D8-92D7-850CEE381B1F}"/>
    <cellStyle name="Output 2 4 9 3" xfId="16371" xr:uid="{559DF8CA-F62E-4553-8102-245D313CFD76}"/>
    <cellStyle name="Output 2 4 9 3 2" xfId="38761" xr:uid="{0F78182B-7C96-4D57-945E-07DCFB7D1533}"/>
    <cellStyle name="Output 2 4 9 3 3" xfId="24657" xr:uid="{093B6272-4D5B-440F-9F99-C551E334B3DA}"/>
    <cellStyle name="Output 2 4 9 4" xfId="19776" xr:uid="{39F9A237-7E65-4A43-838A-739020192EE7}"/>
    <cellStyle name="Output 2 4 9 4 2" xfId="42116" xr:uid="{372A271A-BDCF-441C-9869-8C747BD5A415}"/>
    <cellStyle name="Output 2 4 9 4 3" xfId="25485" xr:uid="{1E2AB0AF-4C51-4EF2-BD85-0D31ED27F79C}"/>
    <cellStyle name="Output 2 4 9 5" xfId="15769" xr:uid="{FB68E044-6C7D-4F21-A1B6-76720E20C7B8}"/>
    <cellStyle name="Output 2 4 9 5 2" xfId="24132" xr:uid="{CC4DB6BC-95F0-4200-A1AC-6CD4664E29F8}"/>
    <cellStyle name="Output 2 4 9 6" xfId="27136" xr:uid="{0B5B9D19-F014-4125-A164-0E6F77DDF443}"/>
    <cellStyle name="Output 2 5" xfId="449" xr:uid="{00000000-0005-0000-0000-0000F6070000}"/>
    <cellStyle name="Output 2 5 10" xfId="5833" xr:uid="{00000000-0005-0000-0000-0000F4070000}"/>
    <cellStyle name="Output 2 5 10 2" xfId="12716" xr:uid="{8B858232-21C9-4ABE-ACB8-88829C9A1645}"/>
    <cellStyle name="Output 2 5 10 2 2" xfId="35200" xr:uid="{5CF03400-1CFE-47AE-A0CE-E200D01B9797}"/>
    <cellStyle name="Output 2 5 10 2 3" xfId="38148" xr:uid="{16881A71-59F9-45B5-BF97-3F028F00EAEA}"/>
    <cellStyle name="Output 2 5 10 3" xfId="17770" xr:uid="{36C39A61-5BBA-4052-99DB-B895C3B9B228}"/>
    <cellStyle name="Output 2 5 10 3 2" xfId="40160" xr:uid="{BF04B80A-79CA-4F2A-95B5-9CB964342FAD}"/>
    <cellStyle name="Output 2 5 10 3 3" xfId="38562" xr:uid="{0D297AC6-8B26-47C2-9237-AE5C0F9FC06C}"/>
    <cellStyle name="Output 2 5 10 4" xfId="19246" xr:uid="{C945BF57-9296-4ADB-9232-685D74C653CA}"/>
    <cellStyle name="Output 2 5 10 4 2" xfId="41630" xr:uid="{6AAA25F2-C3E3-41D9-9D2E-60E3DA84F906}"/>
    <cellStyle name="Output 2 5 10 4 3" xfId="30183" xr:uid="{82A704C6-8ABA-4638-9478-546B1E0D0228}"/>
    <cellStyle name="Output 2 5 10 5" xfId="22194" xr:uid="{3010AA0E-CA08-43B2-9E06-19E20C387EC1}"/>
    <cellStyle name="Output 2 5 10 5 2" xfId="45239" xr:uid="{2D95F021-8157-4990-A33E-5960206ADF1A}"/>
    <cellStyle name="Output 2 5 10 6" xfId="52778" xr:uid="{5EA4ADBE-4F97-4638-8D2B-D01F752BF6AB}"/>
    <cellStyle name="Output 2 5 11" xfId="5427" xr:uid="{00000000-0005-0000-0000-0000F4070000}"/>
    <cellStyle name="Output 2 5 11 2" xfId="12317" xr:uid="{2FFC44EF-E643-449A-9559-2EB722D47D63}"/>
    <cellStyle name="Output 2 5 11 2 2" xfId="34802" xr:uid="{2D859EDD-734D-4BCF-A768-88C38BA10ADE}"/>
    <cellStyle name="Output 2 5 11 2 3" xfId="44691" xr:uid="{8F8C2F26-13CB-4393-A89F-19ACFF6A87F6}"/>
    <cellStyle name="Output 2 5 11 3" xfId="17364" xr:uid="{1FF3ED9A-246B-4C18-A807-2BB831A610EC}"/>
    <cellStyle name="Output 2 5 11 3 2" xfId="39754" xr:uid="{A9D9FCFB-5F9E-4AF3-BB5C-5017D850A670}"/>
    <cellStyle name="Output 2 5 11 3 3" xfId="25382" xr:uid="{B3CA33C7-8026-4D13-958F-02DD6CCB4396}"/>
    <cellStyle name="Output 2 5 11 4" xfId="7272" xr:uid="{D8992CD4-2DBD-47CB-82F6-D00C3DFAC46D}"/>
    <cellStyle name="Output 2 5 11 4 2" xfId="29960" xr:uid="{DE7D81A5-17C4-4174-BCE9-0BD75C91AC94}"/>
    <cellStyle name="Output 2 5 11 4 3" xfId="51992" xr:uid="{84D04591-542F-4C6D-9594-1F02F2655BDE}"/>
    <cellStyle name="Output 2 5 11 5" xfId="21788" xr:uid="{AD80411D-1767-4297-9C55-F58DA63348ED}"/>
    <cellStyle name="Output 2 5 11 5 2" xfId="52554" xr:uid="{3CEE04CC-64BF-481B-B259-0011C2FF422F}"/>
    <cellStyle name="Output 2 5 11 6" xfId="50427" xr:uid="{1CFD11DB-405A-4C34-B0AB-93B82A00A06E}"/>
    <cellStyle name="Output 2 5 12" xfId="4614" xr:uid="{00000000-0005-0000-0000-0000F4070000}"/>
    <cellStyle name="Output 2 5 12 2" xfId="11515" xr:uid="{B61AF316-8DC8-48C9-B3AA-5C08A6B37554}"/>
    <cellStyle name="Output 2 5 12 2 2" xfId="34001" xr:uid="{520FC722-CA6D-4061-8648-74AD225FC8D5}"/>
    <cellStyle name="Output 2 5 12 2 3" xfId="29849" xr:uid="{51B8B4E6-F3FE-45AE-849D-63B1E755AEEB}"/>
    <cellStyle name="Output 2 5 12 3" xfId="16551" xr:uid="{C1A62B2D-348B-4B29-A118-161AD18D6C4F}"/>
    <cellStyle name="Output 2 5 12 3 2" xfId="38941" xr:uid="{D7621DA1-8C94-4FAF-8F25-B9572A7EF0D4}"/>
    <cellStyle name="Output 2 5 12 3 3" xfId="28815" xr:uid="{4D28A7BF-A648-465B-81A1-4739DC3BD0D7}"/>
    <cellStyle name="Output 2 5 12 4" xfId="19840" xr:uid="{0870D6DD-63DD-475F-B046-190AED222238}"/>
    <cellStyle name="Output 2 5 12 4 2" xfId="42176" xr:uid="{99056F00-DDD5-4392-B710-78B517A35914}"/>
    <cellStyle name="Output 2 5 12 4 3" xfId="27386" xr:uid="{4DFAA768-643D-4EBB-9D2A-82B9B6070876}"/>
    <cellStyle name="Output 2 5 12 5" xfId="14403" xr:uid="{93E0352D-4BAC-4443-932F-58BF1D246529}"/>
    <cellStyle name="Output 2 5 12 5 2" xfId="50492" xr:uid="{CD887CE7-C8E1-4C53-86CE-45B1F2C3C77B}"/>
    <cellStyle name="Output 2 5 12 6" xfId="46470" xr:uid="{227F099B-CC98-420D-A78B-E8702938AD4D}"/>
    <cellStyle name="Output 2 5 13" xfId="8747" xr:uid="{906463B6-7D4A-4630-BB23-BE734AC89FA4}"/>
    <cellStyle name="Output 2 5 13 2" xfId="31330" xr:uid="{00DD873E-BE78-4E19-A893-0BAD4E349F0C}"/>
    <cellStyle name="Output 2 5 13 3" xfId="27996" xr:uid="{00126DBC-EFC0-4561-89FE-4CAB3AFBAF0D}"/>
    <cellStyle name="Output 2 5 14" xfId="19931" xr:uid="{A10CB037-0D4D-4CFB-B60B-6572C237FCD0}"/>
    <cellStyle name="Output 2 5 14 2" xfId="42262" xr:uid="{76800A10-6DA0-4A1C-8225-B501966B9EC1}"/>
    <cellStyle name="Output 2 5 14 3" xfId="28540" xr:uid="{D8748D21-4ED4-404A-8002-85FCE81B82C7}"/>
    <cellStyle name="Output 2 5 15" xfId="20222" xr:uid="{F6025B2F-178D-409B-8AA2-EDE3C7CB647B}"/>
    <cellStyle name="Output 2 5 15 2" xfId="27592" xr:uid="{4468A48E-5B07-4C08-A304-5A7124BB4E30}"/>
    <cellStyle name="Output 2 5 16" xfId="51533" xr:uid="{94F380C3-A781-4F76-9A79-368ADCD3DDB8}"/>
    <cellStyle name="Output 2 5 2" xfId="602" xr:uid="{00000000-0005-0000-0000-0000F7070000}"/>
    <cellStyle name="Output 2 5 2 10" xfId="20803" xr:uid="{4E796464-68F0-4338-9678-071AADA8383D}"/>
    <cellStyle name="Output 2 5 2 10 2" xfId="30108" xr:uid="{BBC459EA-0AE8-4534-A946-94C588D74C87}"/>
    <cellStyle name="Output 2 5 2 11" xfId="50533" xr:uid="{85D193F6-B2AE-4776-B708-A8CBFE904AB7}"/>
    <cellStyle name="Output 2 5 2 2" xfId="1736" xr:uid="{00000000-0005-0000-0000-0000F8070000}"/>
    <cellStyle name="Output 2 5 2 2 10" xfId="14437" xr:uid="{2278B40E-AEC3-43BE-9CC5-155B73998FFE}"/>
    <cellStyle name="Output 2 5 2 2 10 2" xfId="36903" xr:uid="{7540B592-F129-43E4-B49A-F8ACF5D56167}"/>
    <cellStyle name="Output 2 5 2 2 10 3" xfId="26037" xr:uid="{E4C7A677-08A4-49F1-AC91-25BC7F1B1DC2}"/>
    <cellStyle name="Output 2 5 2 2 11" xfId="14292" xr:uid="{B9FB1D6F-649E-47C8-8243-7ECB064A0428}"/>
    <cellStyle name="Output 2 5 2 2 11 2" xfId="36761" xr:uid="{EF335571-C2A2-49E1-B9EF-AFD66E75BF65}"/>
    <cellStyle name="Output 2 5 2 2 11 3" xfId="52981" xr:uid="{51434102-2672-4BE0-B7CE-ADEE842568AB}"/>
    <cellStyle name="Output 2 5 2 2 12" xfId="20203" xr:uid="{B2439501-D914-41D0-A685-998AD71F83A8}"/>
    <cellStyle name="Output 2 5 2 2 12 2" xfId="23709" xr:uid="{29EEA489-36D8-4D15-A323-885D38D0C557}"/>
    <cellStyle name="Output 2 5 2 2 13" xfId="52402" xr:uid="{E42DDF4B-9AAF-46ED-8A45-2F4685D32C0F}"/>
    <cellStyle name="Output 2 5 2 2 2" xfId="3834" xr:uid="{00000000-0005-0000-0000-0000F6070000}"/>
    <cellStyle name="Output 2 5 2 2 2 2" xfId="10738" xr:uid="{C048527F-0C3D-4978-85CC-9AF9EF88D0F3}"/>
    <cellStyle name="Output 2 5 2 2 2 2 2" xfId="33224" xr:uid="{58A024C9-CD2E-4165-BFF3-E308DCCF812D}"/>
    <cellStyle name="Output 2 5 2 2 2 2 3" xfId="29817" xr:uid="{FABA23B6-A277-4C22-BA03-06F094D1A3B0}"/>
    <cellStyle name="Output 2 5 2 2 2 3" xfId="15894" xr:uid="{5119E775-47C2-4D27-81FB-D9393602BE54}"/>
    <cellStyle name="Output 2 5 2 2 2 3 2" xfId="38300" xr:uid="{2B7F01ED-F638-4DC3-B2D1-1FC1494C6D7D}"/>
    <cellStyle name="Output 2 5 2 2 2 3 3" xfId="47128" xr:uid="{A0A3F1AC-ACD5-4FDD-B8ED-A1968A2E7FEC}"/>
    <cellStyle name="Output 2 5 2 2 2 4" xfId="19561" xr:uid="{4B81D56A-63C5-4168-AFBF-41CF430067B8}"/>
    <cellStyle name="Output 2 5 2 2 2 4 2" xfId="41919" xr:uid="{4973B646-4612-4C63-98A9-5EE07098C35A}"/>
    <cellStyle name="Output 2 5 2 2 2 4 3" xfId="28852" xr:uid="{D34C861A-EA1D-4602-8B97-7A93D6BC6339}"/>
    <cellStyle name="Output 2 5 2 2 2 5" xfId="19836" xr:uid="{CFF57E88-C355-4730-9AAB-A88986BF93C2}"/>
    <cellStyle name="Output 2 5 2 2 2 5 2" xfId="27193" xr:uid="{C11FC823-7A8A-4E6E-A28E-026315003862}"/>
    <cellStyle name="Output 2 5 2 2 2 6" xfId="53773" xr:uid="{74252063-EB03-41E1-988D-FA6C0F261FCE}"/>
    <cellStyle name="Output 2 5 2 2 3" xfId="5250" xr:uid="{00000000-0005-0000-0000-0000F6070000}"/>
    <cellStyle name="Output 2 5 2 2 3 2" xfId="12142" xr:uid="{C19D5E78-F77A-4737-ACF7-AC866BB5F4F0}"/>
    <cellStyle name="Output 2 5 2 2 3 2 2" xfId="34627" xr:uid="{06A5260F-959A-448A-879D-33F014A01FB8}"/>
    <cellStyle name="Output 2 5 2 2 3 2 3" xfId="43766" xr:uid="{1D5F053F-A3BE-4FE1-847F-7ED5C1AB380F}"/>
    <cellStyle name="Output 2 5 2 2 3 3" xfId="17187" xr:uid="{3FB0DCF8-31B7-41FF-A0F2-45EA3C51B2FD}"/>
    <cellStyle name="Output 2 5 2 2 3 3 2" xfId="39577" xr:uid="{A7032B82-BE8F-497A-BE5C-EA04B0035FED}"/>
    <cellStyle name="Output 2 5 2 2 3 3 3" xfId="24660" xr:uid="{D1FA7C7B-9A21-4889-8B37-50E14C3276D6}"/>
    <cellStyle name="Output 2 5 2 2 3 4" xfId="8560" xr:uid="{BF52D3D9-8F3F-4E6D-9F24-455EA309A701}"/>
    <cellStyle name="Output 2 5 2 2 3 4 2" xfId="31147" xr:uid="{6E952518-5485-45D7-86B6-954FF4E8CE9E}"/>
    <cellStyle name="Output 2 5 2 2 3 4 3" xfId="47393" xr:uid="{C9399B8F-B6B5-4286-96B0-17C05D90807B}"/>
    <cellStyle name="Output 2 5 2 2 3 5" xfId="21611" xr:uid="{864DC6DC-B84F-4CD8-9029-9B9E0A12D81C}"/>
    <cellStyle name="Output 2 5 2 2 3 5 2" xfId="51530" xr:uid="{FE7DD8F0-10EF-42AB-BFAC-D40FE283E4D6}"/>
    <cellStyle name="Output 2 5 2 2 3 6" xfId="47113" xr:uid="{4A02835A-9AF6-4B0A-B9D8-2434B6492889}"/>
    <cellStyle name="Output 2 5 2 2 4" xfId="5662" xr:uid="{00000000-0005-0000-0000-0000F6070000}"/>
    <cellStyle name="Output 2 5 2 2 4 2" xfId="12546" xr:uid="{EE4379E7-E39B-42BF-A82A-62A4C6A0654F}"/>
    <cellStyle name="Output 2 5 2 2 4 2 2" xfId="35031" xr:uid="{050CF206-E0FA-4671-95B4-5786DDFCBA9C}"/>
    <cellStyle name="Output 2 5 2 2 4 2 3" xfId="31141" xr:uid="{9BAE6B9D-0A98-44FE-AE25-563E8A115717}"/>
    <cellStyle name="Output 2 5 2 2 4 3" xfId="17599" xr:uid="{2BEB7CEE-1FB8-4517-8F57-154EE1D71AB4}"/>
    <cellStyle name="Output 2 5 2 2 4 3 2" xfId="39989" xr:uid="{39DC2267-2E23-4A6D-9269-49BA0DACAEDA}"/>
    <cellStyle name="Output 2 5 2 2 4 3 3" xfId="24549" xr:uid="{01FE18BD-305D-4EBC-AB02-170ACC7ABC3F}"/>
    <cellStyle name="Output 2 5 2 2 4 4" xfId="14397" xr:uid="{60D90C46-7F42-4D46-BFBA-8C8B70AE4908}"/>
    <cellStyle name="Output 2 5 2 2 4 4 2" xfId="36863" xr:uid="{18BC5331-472E-4CD5-BD8B-45B1FFC308AB}"/>
    <cellStyle name="Output 2 5 2 2 4 4 3" xfId="37909" xr:uid="{2BA24FC8-50EC-4A78-859F-AA41121B8543}"/>
    <cellStyle name="Output 2 5 2 2 4 5" xfId="22023" xr:uid="{A94ABADC-4BB5-434A-8E80-40585E58B840}"/>
    <cellStyle name="Output 2 5 2 2 4 5 2" xfId="47445" xr:uid="{D2887599-2834-4F80-98FB-072E15168D53}"/>
    <cellStyle name="Output 2 5 2 2 4 6" xfId="50949" xr:uid="{AB322FFB-1F6D-4025-8146-0414FBD5621B}"/>
    <cellStyle name="Output 2 5 2 2 5" xfId="5278" xr:uid="{00000000-0005-0000-0000-0000F6070000}"/>
    <cellStyle name="Output 2 5 2 2 5 2" xfId="12170" xr:uid="{B4C377FF-A108-4BB2-A648-552C1C20972C}"/>
    <cellStyle name="Output 2 5 2 2 5 2 2" xfId="34655" xr:uid="{98A6E69A-8B8A-43E8-A86B-DA64F34E2E17}"/>
    <cellStyle name="Output 2 5 2 2 5 2 3" xfId="26425" xr:uid="{558946E3-3E14-4DAD-99FC-93A7303D9E95}"/>
    <cellStyle name="Output 2 5 2 2 5 3" xfId="17215" xr:uid="{AC7DC839-6ED6-4D96-96EE-49B8A6372B80}"/>
    <cellStyle name="Output 2 5 2 2 5 3 2" xfId="39605" xr:uid="{6522BB8E-E8CC-432E-9367-6CA1B76620DD}"/>
    <cellStyle name="Output 2 5 2 2 5 3 3" xfId="43444" xr:uid="{30C858BD-C426-48D7-ABB2-43D18BD1BB61}"/>
    <cellStyle name="Output 2 5 2 2 5 4" xfId="19188" xr:uid="{20C6665E-49A6-4FAE-909B-DF7AA1FC90C7}"/>
    <cellStyle name="Output 2 5 2 2 5 4 2" xfId="41577" xr:uid="{3C67847F-61B5-4AA3-BF41-942F5C6ADA14}"/>
    <cellStyle name="Output 2 5 2 2 5 4 3" xfId="28088" xr:uid="{D72BB448-DA61-4C02-AD31-2E4F6A251080}"/>
    <cellStyle name="Output 2 5 2 2 5 5" xfId="21639" xr:uid="{F9395B8D-6F24-404E-8312-13FB4C014364}"/>
    <cellStyle name="Output 2 5 2 2 5 5 2" xfId="50643" xr:uid="{16083194-7F74-4279-A43C-76A17DE1688E}"/>
    <cellStyle name="Output 2 5 2 2 5 6" xfId="46540" xr:uid="{FFF2C446-C5D3-4E1C-99E8-CC9F73ED901B}"/>
    <cellStyle name="Output 2 5 2 2 6" xfId="6401" xr:uid="{00000000-0005-0000-0000-0000F6070000}"/>
    <cellStyle name="Output 2 5 2 2 6 2" xfId="13273" xr:uid="{5E2DD8F5-BBE3-4857-AFC2-2DF64077B2BE}"/>
    <cellStyle name="Output 2 5 2 2 6 2 2" xfId="35757" xr:uid="{051C40CF-1CDB-4F0C-89AA-D9E599050625}"/>
    <cellStyle name="Output 2 5 2 2 6 2 3" xfId="48686" xr:uid="{6BA6B004-F5D1-48B2-9F6A-D54F67E0EA0A}"/>
    <cellStyle name="Output 2 5 2 2 6 3" xfId="18338" xr:uid="{90FEFA3E-07C0-4195-BDE1-71A5A8ACBAA9}"/>
    <cellStyle name="Output 2 5 2 2 6 3 2" xfId="40728" xr:uid="{6C4756B6-C105-46E7-B7DC-B3063A25D6A5}"/>
    <cellStyle name="Output 2 5 2 2 6 3 3" xfId="26242" xr:uid="{F330BBA6-B288-4265-A386-FDCF7BAC5B91}"/>
    <cellStyle name="Output 2 5 2 2 6 4" xfId="19311" xr:uid="{0D281959-99B9-4985-BCD8-2F2AAE552912}"/>
    <cellStyle name="Output 2 5 2 2 6 4 2" xfId="41691" xr:uid="{6BD97169-B86B-482C-B35D-19E9B98E5E7C}"/>
    <cellStyle name="Output 2 5 2 2 6 4 3" xfId="27029" xr:uid="{415D8A29-680D-4888-9B0D-41FD173E3A66}"/>
    <cellStyle name="Output 2 5 2 2 6 5" xfId="22762" xr:uid="{CA6DD1D9-FC59-488C-AA6A-735CF482A969}"/>
    <cellStyle name="Output 2 5 2 2 6 5 2" xfId="48436" xr:uid="{B7F3211E-4FFD-4477-BDCD-A65EB6C6F659}"/>
    <cellStyle name="Output 2 5 2 2 6 6" xfId="50584" xr:uid="{31A01F02-790C-4ADE-8BEC-4E58C5A5C8D4}"/>
    <cellStyle name="Output 2 5 2 2 7" xfId="6703" xr:uid="{00000000-0005-0000-0000-0000F6070000}"/>
    <cellStyle name="Output 2 5 2 2 7 2" xfId="13567" xr:uid="{29C10620-17AD-4FEC-AE8C-7D30032BF4BB}"/>
    <cellStyle name="Output 2 5 2 2 7 2 2" xfId="36051" xr:uid="{9602C4C2-EE75-4424-A259-5CB7006A10F7}"/>
    <cellStyle name="Output 2 5 2 2 7 2 3" xfId="24017" xr:uid="{859BDE8D-7D15-4B45-AA96-8F066A3A2BE8}"/>
    <cellStyle name="Output 2 5 2 2 7 3" xfId="18640" xr:uid="{77745A6C-837A-42DF-94D8-16025D6102F2}"/>
    <cellStyle name="Output 2 5 2 2 7 3 2" xfId="41030" xr:uid="{16AEDD7F-A805-44D5-9327-A25033779FF3}"/>
    <cellStyle name="Output 2 5 2 2 7 3 3" xfId="37939" xr:uid="{5D7445D3-BCCD-4CF8-AD0F-8881BD778285}"/>
    <cellStyle name="Output 2 5 2 2 7 4" xfId="21152" xr:uid="{0FE49313-AB2D-4C75-8B19-D8EB41631FA0}"/>
    <cellStyle name="Output 2 5 2 2 7 4 2" xfId="43395" xr:uid="{E450D02B-8365-4E1E-A90E-AC493D49722D}"/>
    <cellStyle name="Output 2 5 2 2 7 4 3" xfId="48716" xr:uid="{288822CB-C3B1-42C2-A393-F5B73D5C63A1}"/>
    <cellStyle name="Output 2 5 2 2 7 5" xfId="23064" xr:uid="{CA75147E-FE69-42A8-B895-484C5763A4D7}"/>
    <cellStyle name="Output 2 5 2 2 7 5 2" xfId="23888" xr:uid="{52C52661-445B-4148-87B5-80B6643767F3}"/>
    <cellStyle name="Output 2 5 2 2 7 6" xfId="48017" xr:uid="{EEDE6CC4-9690-4A9D-BC59-E1025B9F8055}"/>
    <cellStyle name="Output 2 5 2 2 8" xfId="6918" xr:uid="{00000000-0005-0000-0000-0000F6070000}"/>
    <cellStyle name="Output 2 5 2 2 8 2" xfId="13756" xr:uid="{1841243C-3FAC-4562-99A2-19A129E5340E}"/>
    <cellStyle name="Output 2 5 2 2 8 2 2" xfId="36240" xr:uid="{D1620D16-759B-4FEE-8270-7DCC0C58197E}"/>
    <cellStyle name="Output 2 5 2 2 8 2 3" xfId="28176" xr:uid="{63B5BF9F-33D3-4C85-9C80-04212356E365}"/>
    <cellStyle name="Output 2 5 2 2 8 3" xfId="18855" xr:uid="{5BCB8247-A89B-426C-AA7C-E234A6C42C84}"/>
    <cellStyle name="Output 2 5 2 2 8 3 2" xfId="41245" xr:uid="{3385E217-2F8F-4B6C-941C-46ACF30274F1}"/>
    <cellStyle name="Output 2 5 2 2 8 3 3" xfId="43638" xr:uid="{9CF094CC-ADA4-47B0-A6F1-14E40D1B08D8}"/>
    <cellStyle name="Output 2 5 2 2 8 4" xfId="19397" xr:uid="{DE35D4D5-B209-4AE9-8807-EEC21739FE43}"/>
    <cellStyle name="Output 2 5 2 2 8 4 2" xfId="41770" xr:uid="{7FEDD414-6FB8-45DC-91EF-7B3B603936E1}"/>
    <cellStyle name="Output 2 5 2 2 8 4 3" xfId="30591" xr:uid="{C3379F6A-7B2D-47F0-BDEB-3682105C0EEB}"/>
    <cellStyle name="Output 2 5 2 2 8 5" xfId="23279" xr:uid="{BF2C9775-6C13-4884-8641-FAAF9AF78545}"/>
    <cellStyle name="Output 2 5 2 2 8 5 2" xfId="49265" xr:uid="{2143316F-6606-4073-9A6A-666F179DB65D}"/>
    <cellStyle name="Output 2 5 2 2 8 6" xfId="52286" xr:uid="{3F8B9B36-A444-4B15-A143-BC38E74BE989}"/>
    <cellStyle name="Output 2 5 2 2 9" xfId="6326" xr:uid="{00000000-0005-0000-0000-0000F6070000}"/>
    <cellStyle name="Output 2 5 2 2 9 2" xfId="18263" xr:uid="{D9D1DCF5-453C-469E-A97D-0DA9B8AF094A}"/>
    <cellStyle name="Output 2 5 2 2 9 2 2" xfId="40653" xr:uid="{480FAFB2-7A6F-4689-9C87-D8A787092606}"/>
    <cellStyle name="Output 2 5 2 2 9 2 3" xfId="29009" xr:uid="{E687F991-DA38-495B-96C4-9E6BF5E7A0C5}"/>
    <cellStyle name="Output 2 5 2 2 9 3" xfId="15353" xr:uid="{BFE8B44E-8DEB-46AB-85EF-27D04BBA9D6B}"/>
    <cellStyle name="Output 2 5 2 2 9 3 2" xfId="37784" xr:uid="{5E2BD80F-F7CC-44E1-B6E0-1BD5BC55B079}"/>
    <cellStyle name="Output 2 5 2 2 9 3 3" xfId="51616" xr:uid="{B6390778-436A-455B-87C1-E28B2E7E9085}"/>
    <cellStyle name="Output 2 5 2 2 9 4" xfId="22687" xr:uid="{34945745-8236-4DC4-9435-0BB811C7BDAA}"/>
    <cellStyle name="Output 2 5 2 2 9 4 2" xfId="43955" xr:uid="{ACC15077-FB84-44CC-A1A0-C294DB71E493}"/>
    <cellStyle name="Output 2 5 2 2 9 5" xfId="49522" xr:uid="{7E7F868B-7EFB-4FA3-9D67-5447005E9EB6}"/>
    <cellStyle name="Output 2 5 2 3" xfId="2748" xr:uid="{00000000-0005-0000-0000-0000F5070000}"/>
    <cellStyle name="Output 2 5 2 3 2" xfId="9657" xr:uid="{8A5E5631-2998-430D-B33A-A8079BE2F010}"/>
    <cellStyle name="Output 2 5 2 3 2 2" xfId="32205" xr:uid="{9F4F90AC-CEC8-4338-8281-F6D6B44C8FBC}"/>
    <cellStyle name="Output 2 5 2 3 2 3" xfId="43628" xr:uid="{AAB31A21-6E21-47A8-94EA-6D6003948BE5}"/>
    <cellStyle name="Output 2 5 2 3 3" xfId="15175" xr:uid="{59C1E56F-DB54-4F86-B64B-8338A346AB73}"/>
    <cellStyle name="Output 2 5 2 3 3 2" xfId="37615" xr:uid="{680C7168-3F75-4175-B6A4-E2D2B2CF479D}"/>
    <cellStyle name="Output 2 5 2 3 3 3" xfId="46830" xr:uid="{37B4F7AE-B6C7-40C8-93A9-648C1F489E72}"/>
    <cellStyle name="Output 2 5 2 3 4" xfId="15027" xr:uid="{F06890C1-B830-49CB-B9AF-E2A842D9E4EE}"/>
    <cellStyle name="Output 2 5 2 3 4 2" xfId="37476" xr:uid="{47F8FC47-D4E6-48E9-9AB5-52BE796F959E}"/>
    <cellStyle name="Output 2 5 2 3 4 3" xfId="29820" xr:uid="{1CD29C77-72E6-46A9-9992-915CCB093CC8}"/>
    <cellStyle name="Output 2 5 2 3 5" xfId="7277" xr:uid="{530A0E86-E662-458C-8336-D8A90769FEE9}"/>
    <cellStyle name="Output 2 5 2 3 5 2" xfId="48113" xr:uid="{BC48809B-9372-48C9-8253-F9957CC3E344}"/>
    <cellStyle name="Output 2 5 2 3 6" xfId="46314" xr:uid="{E52C4FAE-CA74-417E-9922-9C7616202987}"/>
    <cellStyle name="Output 2 5 2 4" xfId="4541" xr:uid="{00000000-0005-0000-0000-0000F5070000}"/>
    <cellStyle name="Output 2 5 2 4 2" xfId="11443" xr:uid="{E90334BD-2736-401D-A1BD-3025F3B6C40E}"/>
    <cellStyle name="Output 2 5 2 4 2 2" xfId="33929" xr:uid="{E18D6E63-D2EE-4162-B051-92E23E10EC33}"/>
    <cellStyle name="Output 2 5 2 4 2 3" xfId="28499" xr:uid="{538E2124-0619-410C-82F7-1269E31B5D11}"/>
    <cellStyle name="Output 2 5 2 4 3" xfId="16478" xr:uid="{C28177C0-B553-4363-A636-F6EE618B7F2D}"/>
    <cellStyle name="Output 2 5 2 4 3 2" xfId="38868" xr:uid="{F7479BAD-DEB2-4597-8B30-1F7C271BE99D}"/>
    <cellStyle name="Output 2 5 2 4 3 3" xfId="41896" xr:uid="{338973EF-A27E-4FE2-A726-D631211A13BC}"/>
    <cellStyle name="Output 2 5 2 4 4" xfId="19831" xr:uid="{6D08058F-5216-4172-BF57-27F51132B9DE}"/>
    <cellStyle name="Output 2 5 2 4 4 2" xfId="42167" xr:uid="{D2A9477A-7596-4191-A749-EAFF574AFA90}"/>
    <cellStyle name="Output 2 5 2 4 4 3" xfId="26642" xr:uid="{C082C99A-8AB8-4A41-8C9D-102F7DE0703A}"/>
    <cellStyle name="Output 2 5 2 4 5" xfId="20558" xr:uid="{A76C0546-364D-43A0-9250-B32DA931DDD1}"/>
    <cellStyle name="Output 2 5 2 4 5 2" xfId="49371" xr:uid="{2D371201-B2CD-4EA8-B898-A23C6F80F465}"/>
    <cellStyle name="Output 2 5 2 4 6" xfId="42818" xr:uid="{DF76F969-4119-49F2-8C32-10198959C5A6}"/>
    <cellStyle name="Output 2 5 2 5" xfId="5850" xr:uid="{00000000-0005-0000-0000-0000F5070000}"/>
    <cellStyle name="Output 2 5 2 5 2" xfId="12732" xr:uid="{63AC3221-35A3-4785-A6EB-A042F9A85FB6}"/>
    <cellStyle name="Output 2 5 2 5 2 2" xfId="35216" xr:uid="{16E79B78-E598-459E-86CB-195B11AC4DFD}"/>
    <cellStyle name="Output 2 5 2 5 2 3" xfId="26447" xr:uid="{695E3EC1-FB74-4CD3-87E9-C67AA5926DD6}"/>
    <cellStyle name="Output 2 5 2 5 3" xfId="17787" xr:uid="{E03E6E1E-9A72-4A3B-8224-4501A328AA9F}"/>
    <cellStyle name="Output 2 5 2 5 3 2" xfId="40177" xr:uid="{AC3B8CB5-182A-457B-9069-23D7EFFD6E68}"/>
    <cellStyle name="Output 2 5 2 5 3 3" xfId="42260" xr:uid="{B0CD3639-0079-4136-B7A0-AB5A8B25E42A}"/>
    <cellStyle name="Output 2 5 2 5 4" xfId="19534" xr:uid="{0A74987B-3BF4-41BE-A541-879E6BEAD002}"/>
    <cellStyle name="Output 2 5 2 5 4 2" xfId="41893" xr:uid="{4A0519B8-3F87-47B0-AECD-9E86269EA24E}"/>
    <cellStyle name="Output 2 5 2 5 4 3" xfId="24046" xr:uid="{B0EF8770-3193-42A5-B7D7-B63AD18B7F7D}"/>
    <cellStyle name="Output 2 5 2 5 5" xfId="22211" xr:uid="{25EA044E-E212-4B51-A3C9-66D689FADCFC}"/>
    <cellStyle name="Output 2 5 2 5 5 2" xfId="46219" xr:uid="{307A67D7-AEC8-4BBF-9C7C-32EE78EEEC9A}"/>
    <cellStyle name="Output 2 5 2 5 6" xfId="51965" xr:uid="{FD4C654D-10FF-435F-8C19-475BA8CFA8F9}"/>
    <cellStyle name="Output 2 5 2 6" xfId="4488" xr:uid="{00000000-0005-0000-0000-0000F5070000}"/>
    <cellStyle name="Output 2 5 2 6 2" xfId="11390" xr:uid="{271A552B-32F1-40FF-9AE3-0578A8468B5A}"/>
    <cellStyle name="Output 2 5 2 6 2 2" xfId="33876" xr:uid="{57E193D4-1DC6-4CAA-BE0E-C5A48F33C857}"/>
    <cellStyle name="Output 2 5 2 6 2 3" xfId="42483" xr:uid="{22A07032-88BE-4A31-AFEC-02C7F2AA6704}"/>
    <cellStyle name="Output 2 5 2 6 3" xfId="16425" xr:uid="{6D4B626A-91D2-456C-A75C-64311CA223DE}"/>
    <cellStyle name="Output 2 5 2 6 3 2" xfId="38815" xr:uid="{0E349CD0-B698-4E32-815F-39A3D1B2D68D}"/>
    <cellStyle name="Output 2 5 2 6 3 3" xfId="45671" xr:uid="{B3907686-2D07-4113-AC00-63D5DF4D3B79}"/>
    <cellStyle name="Output 2 5 2 6 4" xfId="16010" xr:uid="{4B3E9851-76BE-448F-B121-8508A50144DB}"/>
    <cellStyle name="Output 2 5 2 6 4 2" xfId="38411" xr:uid="{78DCB11C-426F-4422-AD23-7FE0AA6EF35F}"/>
    <cellStyle name="Output 2 5 2 6 4 3" xfId="53334" xr:uid="{FE141586-2C1D-478F-97E4-5DD0C881134D}"/>
    <cellStyle name="Output 2 5 2 6 5" xfId="15241" xr:uid="{9225C5DE-B34F-41B8-A42B-AE265EDFF839}"/>
    <cellStyle name="Output 2 5 2 6 5 2" xfId="48991" xr:uid="{FF2CC08E-446A-4884-9766-937BE873EBD6}"/>
    <cellStyle name="Output 2 5 2 6 6" xfId="51633" xr:uid="{CC190057-E1AC-4813-897F-6FE11EA92F03}"/>
    <cellStyle name="Output 2 5 2 7" xfId="2762" xr:uid="{00000000-0005-0000-0000-0000F5070000}"/>
    <cellStyle name="Output 2 5 2 7 2" xfId="9671" xr:uid="{1AD45069-0656-4558-A7D8-F302FA266953}"/>
    <cellStyle name="Output 2 5 2 7 2 2" xfId="32218" xr:uid="{ADB651E5-9EA1-483B-9931-66F6A1C34C46}"/>
    <cellStyle name="Output 2 5 2 7 2 3" xfId="49929" xr:uid="{ED17AC74-A942-40CF-A91F-236273E88FDA}"/>
    <cellStyle name="Output 2 5 2 7 3" xfId="15188" xr:uid="{1E1B1A4D-C269-4082-949D-2979EB31C44C}"/>
    <cellStyle name="Output 2 5 2 7 3 2" xfId="37628" xr:uid="{D42DBB8D-DAA5-4A86-87E9-987EC1EA9F1D}"/>
    <cellStyle name="Output 2 5 2 7 3 3" xfId="27205" xr:uid="{83BFDD8B-9188-4276-8E49-2EA0D7829818}"/>
    <cellStyle name="Output 2 5 2 7 4" xfId="19691" xr:uid="{4DE02594-489F-4255-ADAE-B46E13AD046A}"/>
    <cellStyle name="Output 2 5 2 7 4 2" xfId="42038" xr:uid="{C6DE0FED-A662-477A-B701-E8BAE94908E8}"/>
    <cellStyle name="Output 2 5 2 7 4 3" xfId="26237" xr:uid="{10294D7C-A536-49EF-A674-23CFB69BC43F}"/>
    <cellStyle name="Output 2 5 2 7 5" xfId="20232" xr:uid="{6F39C46A-D0A9-4F69-AF73-D36DE4DD89CC}"/>
    <cellStyle name="Output 2 5 2 7 5 2" xfId="38548" xr:uid="{805F945C-3A37-4792-84D9-60E0F7465699}"/>
    <cellStyle name="Output 2 5 2 7 6" xfId="50299" xr:uid="{9E869971-B02C-4F9F-86AF-4023A43227FC}"/>
    <cellStyle name="Output 2 5 2 8" xfId="7247" xr:uid="{136DC61E-4D28-4CBA-BA7C-271713B34F5D}"/>
    <cellStyle name="Output 2 5 2 8 2" xfId="29936" xr:uid="{6262CB55-C2F9-46FC-8070-F4BD1CF03C78}"/>
    <cellStyle name="Output 2 5 2 8 3" xfId="52618" xr:uid="{366AA6F4-BC99-462B-95F1-BBB9EB56837E}"/>
    <cellStyle name="Output 2 5 2 9" xfId="15288" xr:uid="{2AA53922-575E-447C-A2EF-6CC89CB1EEF1}"/>
    <cellStyle name="Output 2 5 2 9 2" xfId="37720" xr:uid="{946EA3F6-69B7-4AF7-BA71-970B11242214}"/>
    <cellStyle name="Output 2 5 2 9 3" xfId="29965" xr:uid="{763D528C-6735-491F-B9B7-BB2EFD84D698}"/>
    <cellStyle name="Output 2 5 3" xfId="849" xr:uid="{00000000-0005-0000-0000-0000F9070000}"/>
    <cellStyle name="Output 2 5 3 10" xfId="19854" xr:uid="{91F9A9EF-A17A-4CDF-BBD3-E0D7403412C0}"/>
    <cellStyle name="Output 2 5 3 10 2" xfId="25715" xr:uid="{9C514F68-3DBC-48AF-97D4-B227A1A773E5}"/>
    <cellStyle name="Output 2 5 3 11" xfId="44152" xr:uid="{E04A0F09-F4D7-4949-BBF5-0A4126E76AFD}"/>
    <cellStyle name="Output 2 5 3 2" xfId="1834" xr:uid="{00000000-0005-0000-0000-0000FA070000}"/>
    <cellStyle name="Output 2 5 3 2 10" xfId="14518" xr:uid="{136257AA-89EC-485B-8219-5D45491179D2}"/>
    <cellStyle name="Output 2 5 3 2 10 2" xfId="36979" xr:uid="{BFC1F09B-D8EE-4A2C-A321-88AEBFAB9C9E}"/>
    <cellStyle name="Output 2 5 3 2 10 3" xfId="47280" xr:uid="{E2E0C03C-1738-4DA1-808D-8E52955C6063}"/>
    <cellStyle name="Output 2 5 3 2 11" xfId="20387" xr:uid="{EBD7802A-57D8-4090-B27D-D81134F0F3F4}"/>
    <cellStyle name="Output 2 5 3 2 11 2" xfId="42682" xr:uid="{AD15AD79-7247-4BB4-AC6A-1FE48B5462A2}"/>
    <cellStyle name="Output 2 5 3 2 11 3" xfId="44784" xr:uid="{45DA5242-9B7C-489C-86D5-8CC7BF1A5FE0}"/>
    <cellStyle name="Output 2 5 3 2 12" xfId="7472" xr:uid="{B111D7AA-C274-4989-93E2-98A191901655}"/>
    <cellStyle name="Output 2 5 3 2 12 2" xfId="24110" xr:uid="{B5C3EA7F-B500-4076-8ABE-CC02CC17CAFF}"/>
    <cellStyle name="Output 2 5 3 2 13" xfId="52979" xr:uid="{DD84CD1F-1ED9-4FB5-BBEA-815C90B129D8}"/>
    <cellStyle name="Output 2 5 3 2 2" xfId="3932" xr:uid="{00000000-0005-0000-0000-0000F8070000}"/>
    <cellStyle name="Output 2 5 3 2 2 2" xfId="10836" xr:uid="{59185E3E-9B13-41DE-A4C9-BB97220ED41A}"/>
    <cellStyle name="Output 2 5 3 2 2 2 2" xfId="33322" xr:uid="{2BC7265C-8913-48B6-943C-1E4A8F3D04B9}"/>
    <cellStyle name="Output 2 5 3 2 2 2 3" xfId="53019" xr:uid="{C71E4C82-B63B-4386-9455-709DC1D0627B}"/>
    <cellStyle name="Output 2 5 3 2 2 3" xfId="15974" xr:uid="{90B963E0-44A1-458A-A3FC-301E30A1994C}"/>
    <cellStyle name="Output 2 5 3 2 2 3 2" xfId="38377" xr:uid="{B659315D-733E-402A-AD77-4C5AD7B2A493}"/>
    <cellStyle name="Output 2 5 3 2 2 3 3" xfId="30849" xr:uid="{EE067BDA-B589-4E59-8296-49AC70A5CAB6}"/>
    <cellStyle name="Output 2 5 3 2 2 4" xfId="21211" xr:uid="{D3F1456C-7965-4FC0-973D-BFBF049952CC}"/>
    <cellStyle name="Output 2 5 3 2 2 4 2" xfId="43450" xr:uid="{499F498C-ECEB-424D-8CE7-87B3F71C7096}"/>
    <cellStyle name="Output 2 5 3 2 2 4 3" xfId="48631" xr:uid="{45973223-37C1-48E2-B316-E24F2FA82C95}"/>
    <cellStyle name="Output 2 5 3 2 2 5" xfId="21081" xr:uid="{9A7E7BC1-DD8D-40A4-A151-ECB2B1343A76}"/>
    <cellStyle name="Output 2 5 3 2 2 5 2" xfId="50467" xr:uid="{BE1ED3AD-C38D-4F41-85EE-FF7FBB70DF4E}"/>
    <cellStyle name="Output 2 5 3 2 2 6" xfId="50166" xr:uid="{875C09E4-8555-4B98-9EA4-2931407A544D}"/>
    <cellStyle name="Output 2 5 3 2 3" xfId="5327" xr:uid="{00000000-0005-0000-0000-0000F8070000}"/>
    <cellStyle name="Output 2 5 3 2 3 2" xfId="12219" xr:uid="{C3887EA2-4BE8-47B6-A65B-2DAAD4064FB6}"/>
    <cellStyle name="Output 2 5 3 2 3 2 2" xfId="34704" xr:uid="{4FC17061-4904-4505-92EF-6716BA77B908}"/>
    <cellStyle name="Output 2 5 3 2 3 2 3" xfId="26034" xr:uid="{CE1DFB70-8B6F-4DCE-8D2B-C446DC2A654E}"/>
    <cellStyle name="Output 2 5 3 2 3 3" xfId="17264" xr:uid="{5B21DF12-1F92-4B37-AE73-538954468F4A}"/>
    <cellStyle name="Output 2 5 3 2 3 3 2" xfId="39654" xr:uid="{D72E2526-1530-4D72-9B85-FF37E5204D44}"/>
    <cellStyle name="Output 2 5 3 2 3 3 3" xfId="30948" xr:uid="{A3F9008E-DD58-41AC-9702-870DA08A80D0}"/>
    <cellStyle name="Output 2 5 3 2 3 4" xfId="15777" xr:uid="{6D3274CC-E42F-432F-BE9B-9283F2F2E1C8}"/>
    <cellStyle name="Output 2 5 3 2 3 4 2" xfId="38187" xr:uid="{725AD143-62F1-4886-AD76-7D9E74CBD64D}"/>
    <cellStyle name="Output 2 5 3 2 3 4 3" xfId="42916" xr:uid="{83DD8B99-AB91-4AC6-8334-9A2499AEC5FE}"/>
    <cellStyle name="Output 2 5 3 2 3 5" xfId="21688" xr:uid="{F91489F8-272A-4DA9-8CEC-50AACD2E253F}"/>
    <cellStyle name="Output 2 5 3 2 3 5 2" xfId="53823" xr:uid="{0140869C-B81C-4452-8D01-3209E5785BFC}"/>
    <cellStyle name="Output 2 5 3 2 3 6" xfId="46834" xr:uid="{F76D61CE-5E2B-4DBC-8516-EAFD0FC6D557}"/>
    <cellStyle name="Output 2 5 3 2 4" xfId="5737" xr:uid="{00000000-0005-0000-0000-0000F8070000}"/>
    <cellStyle name="Output 2 5 3 2 4 2" xfId="12621" xr:uid="{63905F05-3307-4C86-B980-21727B487361}"/>
    <cellStyle name="Output 2 5 3 2 4 2 2" xfId="35106" xr:uid="{8378AAA4-87A2-43BF-9376-5ED98EDB96B1}"/>
    <cellStyle name="Output 2 5 3 2 4 2 3" xfId="43126" xr:uid="{8A11A49D-2CB4-45C2-B39E-9480EDE58633}"/>
    <cellStyle name="Output 2 5 3 2 4 3" xfId="17674" xr:uid="{222C9FED-FBBD-47E5-AA6A-8E2A15BD146F}"/>
    <cellStyle name="Output 2 5 3 2 4 3 2" xfId="40064" xr:uid="{42D429D9-95FB-49FE-ACAB-7FE46CB8A1CE}"/>
    <cellStyle name="Output 2 5 3 2 4 3 3" xfId="27819" xr:uid="{F8B7D375-A232-41E7-92FB-E46E921B19E6}"/>
    <cellStyle name="Output 2 5 3 2 4 4" xfId="15495" xr:uid="{D6EE91B7-FBFD-4F44-B2F2-F402754E8A25}"/>
    <cellStyle name="Output 2 5 3 2 4 4 2" xfId="37917" xr:uid="{AF8A58E2-A8A1-4885-9C11-2E25667AF309}"/>
    <cellStyle name="Output 2 5 3 2 4 4 3" xfId="51390" xr:uid="{13BFED4D-1E36-4AE1-8328-A510313D673C}"/>
    <cellStyle name="Output 2 5 3 2 4 5" xfId="22098" xr:uid="{8D06846F-ABDE-402A-B53F-711F4E5CC1F8}"/>
    <cellStyle name="Output 2 5 3 2 4 5 2" xfId="42971" xr:uid="{2B4FEBF1-CCD4-41F8-9E78-043A3457510E}"/>
    <cellStyle name="Output 2 5 3 2 4 6" xfId="52379" xr:uid="{EEAA005C-157E-4733-9133-3F0AD341FD07}"/>
    <cellStyle name="Output 2 5 3 2 5" xfId="6091" xr:uid="{00000000-0005-0000-0000-0000F8070000}"/>
    <cellStyle name="Output 2 5 3 2 5 2" xfId="12969" xr:uid="{5DE6B23F-D1F5-4FC1-BEDF-E52EF77B4B65}"/>
    <cellStyle name="Output 2 5 3 2 5 2 2" xfId="35453" xr:uid="{2308F756-96CB-4309-A78A-F437158ED2CC}"/>
    <cellStyle name="Output 2 5 3 2 5 2 3" xfId="29546" xr:uid="{76406E3B-1880-4DA3-AD77-F5284E3702C9}"/>
    <cellStyle name="Output 2 5 3 2 5 3" xfId="18028" xr:uid="{9781F29D-7D15-4879-ABBF-25E36CBF589F}"/>
    <cellStyle name="Output 2 5 3 2 5 3 2" xfId="40418" xr:uid="{FB345280-EE59-4E0B-8794-9A5E2D10DE72}"/>
    <cellStyle name="Output 2 5 3 2 5 3 3" xfId="29232" xr:uid="{863B56A8-F743-4271-BBD0-2137A9486B9C}"/>
    <cellStyle name="Output 2 5 3 2 5 4" xfId="14299" xr:uid="{2720DC7D-C0B2-400B-A07C-EC5B143742C2}"/>
    <cellStyle name="Output 2 5 3 2 5 4 2" xfId="36768" xr:uid="{213A2568-49CD-442C-B024-5877B220B4F4}"/>
    <cellStyle name="Output 2 5 3 2 5 4 3" xfId="28634" xr:uid="{0A88BA86-7C7C-4BB7-B31F-B03A60AAB590}"/>
    <cellStyle name="Output 2 5 3 2 5 5" xfId="22452" xr:uid="{6C7A1835-1D43-472D-A557-888F6BA42235}"/>
    <cellStyle name="Output 2 5 3 2 5 5 2" xfId="43138" xr:uid="{F5827C5F-4071-49B8-8E01-D7496B45DC53}"/>
    <cellStyle name="Output 2 5 3 2 5 6" xfId="44902" xr:uid="{257A4488-860E-4D25-898C-E06712F6867D}"/>
    <cellStyle name="Output 2 5 3 2 6" xfId="6466" xr:uid="{00000000-0005-0000-0000-0000F8070000}"/>
    <cellStyle name="Output 2 5 3 2 6 2" xfId="13336" xr:uid="{C6235570-6389-4802-90B8-3DCB311FB078}"/>
    <cellStyle name="Output 2 5 3 2 6 2 2" xfId="35820" xr:uid="{CC543DD3-ACD3-4369-AC9F-DC5F02DFC5D2}"/>
    <cellStyle name="Output 2 5 3 2 6 2 3" xfId="53655" xr:uid="{90574D92-D4AA-493D-8954-B2120D21F6C7}"/>
    <cellStyle name="Output 2 5 3 2 6 3" xfId="18403" xr:uid="{56D718A4-D208-4B4B-961F-CA8630EFBA2B}"/>
    <cellStyle name="Output 2 5 3 2 6 3 2" xfId="40793" xr:uid="{45CF07ED-BC93-4EB5-B39E-A5C1F0C132C3}"/>
    <cellStyle name="Output 2 5 3 2 6 3 3" xfId="26639" xr:uid="{4AABA879-BD08-477C-9619-67CF95336422}"/>
    <cellStyle name="Output 2 5 3 2 6 4" xfId="20015" xr:uid="{40E08AA5-411C-47B3-8104-D551D9155414}"/>
    <cellStyle name="Output 2 5 3 2 6 4 2" xfId="42340" xr:uid="{0F2D8792-F351-4ED6-9EDB-A4CA147A9CBC}"/>
    <cellStyle name="Output 2 5 3 2 6 4 3" xfId="44403" xr:uid="{2BDF18E0-7B7D-46D3-8CD3-F255B543D36D}"/>
    <cellStyle name="Output 2 5 3 2 6 5" xfId="22827" xr:uid="{B219C0D6-9994-486B-8932-FAF886CF81E6}"/>
    <cellStyle name="Output 2 5 3 2 6 5 2" xfId="47708" xr:uid="{1CED9563-741D-4D9E-BE63-155234B38CFC}"/>
    <cellStyle name="Output 2 5 3 2 6 6" xfId="53699" xr:uid="{5C332975-DDEE-4126-B4F4-7623766F33BF}"/>
    <cellStyle name="Output 2 5 3 2 7" xfId="6766" xr:uid="{00000000-0005-0000-0000-0000F8070000}"/>
    <cellStyle name="Output 2 5 3 2 7 2" xfId="13618" xr:uid="{58A1F887-AA57-4DE2-8E73-95B7969CB608}"/>
    <cellStyle name="Output 2 5 3 2 7 2 2" xfId="36102" xr:uid="{EE801049-230A-46C5-AC62-06097B969CD7}"/>
    <cellStyle name="Output 2 5 3 2 7 2 3" xfId="27761" xr:uid="{0D47F8CE-4901-4807-8559-06217A80BAB1}"/>
    <cellStyle name="Output 2 5 3 2 7 3" xfId="18703" xr:uid="{33E6C22A-A5F1-4289-970E-CA564954FAA0}"/>
    <cellStyle name="Output 2 5 3 2 7 3 2" xfId="41093" xr:uid="{1C089C43-A561-443E-844E-53EFB58B5BEA}"/>
    <cellStyle name="Output 2 5 3 2 7 3 3" xfId="26892" xr:uid="{578E05C1-E255-48AE-95C7-009E6D959355}"/>
    <cellStyle name="Output 2 5 3 2 7 4" xfId="20814" xr:uid="{E8FDBEDF-7FF7-4BAA-965C-E52893FFD32F}"/>
    <cellStyle name="Output 2 5 3 2 7 4 2" xfId="43080" xr:uid="{41B7C5F5-3866-4E0C-AE97-79E9F4D14306}"/>
    <cellStyle name="Output 2 5 3 2 7 4 3" xfId="47358" xr:uid="{DA991670-C792-4D29-9178-E341900CE401}"/>
    <cellStyle name="Output 2 5 3 2 7 5" xfId="23127" xr:uid="{C044A836-0F31-4506-B19C-DFD05F06598B}"/>
    <cellStyle name="Output 2 5 3 2 7 5 2" xfId="50097" xr:uid="{C102953B-FA7C-4F7D-8628-FCF026024FCB}"/>
    <cellStyle name="Output 2 5 3 2 7 6" xfId="49121" xr:uid="{E1EEE0F4-49CB-4BA0-A26B-750DAB0B7C5F}"/>
    <cellStyle name="Output 2 5 3 2 8" xfId="6966" xr:uid="{00000000-0005-0000-0000-0000F8070000}"/>
    <cellStyle name="Output 2 5 3 2 8 2" xfId="13803" xr:uid="{12582E17-04EF-435F-AF01-3269D1CF6D15}"/>
    <cellStyle name="Output 2 5 3 2 8 2 2" xfId="36287" xr:uid="{614D65CC-58B7-4F06-8DB9-08FF8D353D1F}"/>
    <cellStyle name="Output 2 5 3 2 8 2 3" xfId="32454" xr:uid="{96883123-0CFE-4CEE-8519-CCF6C1D5ED28}"/>
    <cellStyle name="Output 2 5 3 2 8 3" xfId="18903" xr:uid="{71BAB4F5-C5A0-43C5-ACA1-469D9A408ECF}"/>
    <cellStyle name="Output 2 5 3 2 8 3 2" xfId="41293" xr:uid="{621D8834-02F9-4680-BD64-CB75A0A38140}"/>
    <cellStyle name="Output 2 5 3 2 8 3 3" xfId="41596" xr:uid="{1BA084A6-BA03-4072-8C57-6B1D3ED24DDD}"/>
    <cellStyle name="Output 2 5 3 2 8 4" xfId="14704" xr:uid="{9CF88183-6FBD-40D9-9002-9AC4C6BE8F40}"/>
    <cellStyle name="Output 2 5 3 2 8 4 2" xfId="37162" xr:uid="{D80A11E7-6234-459A-89DC-114A7C0C4B23}"/>
    <cellStyle name="Output 2 5 3 2 8 4 3" xfId="44826" xr:uid="{C3F8748A-1FD0-4AB7-B471-688FF7C96F07}"/>
    <cellStyle name="Output 2 5 3 2 8 5" xfId="23327" xr:uid="{7B06392A-DFFD-4219-8772-F65787A9132A}"/>
    <cellStyle name="Output 2 5 3 2 8 5 2" xfId="48052" xr:uid="{52B6F4C0-C343-4561-ACD7-FEC358A2299D}"/>
    <cellStyle name="Output 2 5 3 2 8 6" xfId="48109" xr:uid="{816CC1DD-AF3B-4639-B3A6-0DABE03DD9FE}"/>
    <cellStyle name="Output 2 5 3 2 9" xfId="5577" xr:uid="{00000000-0005-0000-0000-0000F8070000}"/>
    <cellStyle name="Output 2 5 3 2 9 2" xfId="17514" xr:uid="{5E8FA7BA-4CD8-4F64-979F-86A2DE44095B}"/>
    <cellStyle name="Output 2 5 3 2 9 2 2" xfId="39904" xr:uid="{AAB0AE3F-D469-45B7-A054-D4282BD9CFED}"/>
    <cellStyle name="Output 2 5 3 2 9 2 3" xfId="29631" xr:uid="{E16DEC75-9524-4B78-A44E-B83A4BA4733F}"/>
    <cellStyle name="Output 2 5 3 2 9 3" xfId="14992" xr:uid="{1178177A-3815-4358-9C10-45559DB69828}"/>
    <cellStyle name="Output 2 5 3 2 9 3 2" xfId="37443" xr:uid="{F45A00D2-11AB-4B44-BC41-D933A1CD0932}"/>
    <cellStyle name="Output 2 5 3 2 9 3 3" xfId="53490" xr:uid="{2C8AEF31-CC1D-4C34-B034-D7B0C2C77445}"/>
    <cellStyle name="Output 2 5 3 2 9 4" xfId="21938" xr:uid="{60B346A4-D271-4C8E-987C-5232798071B1}"/>
    <cellStyle name="Output 2 5 3 2 9 4 2" xfId="50453" xr:uid="{55300014-91FD-4011-8166-C73EA4E1D930}"/>
    <cellStyle name="Output 2 5 3 2 9 5" xfId="45168" xr:uid="{AC2E1F38-A192-4980-B483-45EEDAD87850}"/>
    <cellStyle name="Output 2 5 3 3" xfId="2981" xr:uid="{00000000-0005-0000-0000-0000F7070000}"/>
    <cellStyle name="Output 2 5 3 3 2" xfId="9890" xr:uid="{EEB63B30-E4AB-4175-9DAD-A8EB76DCE728}"/>
    <cellStyle name="Output 2 5 3 3 2 2" xfId="32413" xr:uid="{09C382A4-C95D-4211-9634-CCF605BC3894}"/>
    <cellStyle name="Output 2 5 3 3 2 3" xfId="52936" xr:uid="{A7D84B91-82DE-432F-B11F-DF05BD7625AD}"/>
    <cellStyle name="Output 2 5 3 3 3" xfId="15328" xr:uid="{A03B13F6-3443-4F5B-A422-3FBA8D547E86}"/>
    <cellStyle name="Output 2 5 3 3 3 2" xfId="37760" xr:uid="{77B3D134-F0C4-4CFF-8B35-C406EF7EB38A}"/>
    <cellStyle name="Output 2 5 3 3 3 3" xfId="47467" xr:uid="{AE2DE9E2-4719-4B86-9317-68BBFE72FC22}"/>
    <cellStyle name="Output 2 5 3 3 4" xfId="19510" xr:uid="{86AD02A2-F487-4AA4-BE13-677D60896ACE}"/>
    <cellStyle name="Output 2 5 3 3 4 2" xfId="41873" xr:uid="{E323C8FF-9238-43FC-9CDC-FEE2203F31A7}"/>
    <cellStyle name="Output 2 5 3 3 4 3" xfId="38645" xr:uid="{10F1E0A6-7E72-4221-9288-902C3045B449}"/>
    <cellStyle name="Output 2 5 3 3 5" xfId="21006" xr:uid="{0361BE76-F152-4714-A35D-D518744CBC13}"/>
    <cellStyle name="Output 2 5 3 3 5 2" xfId="43195" xr:uid="{05DAA21B-6ED1-4FAE-890D-ABCBFD01ED32}"/>
    <cellStyle name="Output 2 5 3 3 6" xfId="52787" xr:uid="{183A6950-AB69-47B1-8F4F-BA8F619E45C0}"/>
    <cellStyle name="Output 2 5 3 4" xfId="4693" xr:uid="{00000000-0005-0000-0000-0000F7070000}"/>
    <cellStyle name="Output 2 5 3 4 2" xfId="11591" xr:uid="{73AA6B20-56B0-4FFF-B5FD-A977F9A9DDA8}"/>
    <cellStyle name="Output 2 5 3 4 2 2" xfId="34077" xr:uid="{507E4C83-E5BA-4CD1-A5FD-B896278CF4C7}"/>
    <cellStyle name="Output 2 5 3 4 2 3" xfId="28442" xr:uid="{BD6B7BCD-AF46-4B34-AFA9-FB68C1697A52}"/>
    <cellStyle name="Output 2 5 3 4 3" xfId="16630" xr:uid="{4C6D5A1B-B225-411E-8D2D-FC48EB07430A}"/>
    <cellStyle name="Output 2 5 3 4 3 2" xfId="39020" xr:uid="{00ED1777-4A56-42FB-8B5E-5A2B39A3D7FD}"/>
    <cellStyle name="Output 2 5 3 4 3 3" xfId="37831" xr:uid="{96929426-45FD-4592-B55C-354E9D913969}"/>
    <cellStyle name="Output 2 5 3 4 4" xfId="19260" xr:uid="{419FFFD2-D90A-463A-B600-11300C18E537}"/>
    <cellStyle name="Output 2 5 3 4 4 2" xfId="41643" xr:uid="{115A6659-F4BC-4DB6-9B93-EEE8EDF360BF}"/>
    <cellStyle name="Output 2 5 3 4 4 3" xfId="44157" xr:uid="{E70A0BFA-56F3-448C-B4AB-B0EF08F85415}"/>
    <cellStyle name="Output 2 5 3 4 5" xfId="19507" xr:uid="{3180DE93-D8F7-47BC-AD07-D1C9900129AA}"/>
    <cellStyle name="Output 2 5 3 4 5 2" xfId="42103" xr:uid="{DC92F03F-D688-4032-9478-67C54CE7AE61}"/>
    <cellStyle name="Output 2 5 3 4 6" xfId="48233" xr:uid="{567D1D59-58F5-40FA-AA32-9BA4730B30FB}"/>
    <cellStyle name="Output 2 5 3 5" xfId="5344" xr:uid="{00000000-0005-0000-0000-0000F7070000}"/>
    <cellStyle name="Output 2 5 3 5 2" xfId="12236" xr:uid="{8B8BFCCB-512B-41F1-8810-D98991043722}"/>
    <cellStyle name="Output 2 5 3 5 2 2" xfId="34721" xr:uid="{D7EF7A48-174C-451F-8598-942BE122A228}"/>
    <cellStyle name="Output 2 5 3 5 2 3" xfId="24387" xr:uid="{2BFA6FEB-36F7-4965-B04E-EC389927E4FC}"/>
    <cellStyle name="Output 2 5 3 5 3" xfId="17281" xr:uid="{61231703-B686-48EE-BE2E-FEFB5CC8760B}"/>
    <cellStyle name="Output 2 5 3 5 3 2" xfId="39671" xr:uid="{FC9EA2DB-756E-4BE3-99E1-907C4C459057}"/>
    <cellStyle name="Output 2 5 3 5 3 3" xfId="28230" xr:uid="{7E5EC518-9AC5-4E08-9125-696FEC6BACD4}"/>
    <cellStyle name="Output 2 5 3 5 4" xfId="15793" xr:uid="{657D35AA-CD29-4999-B08D-98014D1F45F9}"/>
    <cellStyle name="Output 2 5 3 5 4 2" xfId="38202" xr:uid="{D756173E-29A9-4602-96E9-8AD048F082DE}"/>
    <cellStyle name="Output 2 5 3 5 4 3" xfId="28470" xr:uid="{3FD16515-1B25-4F79-A471-AD33E45BEE85}"/>
    <cellStyle name="Output 2 5 3 5 5" xfId="21705" xr:uid="{8285FEB7-DB39-44FA-8E34-E1770B4661B5}"/>
    <cellStyle name="Output 2 5 3 5 5 2" xfId="46428" xr:uid="{38A807D1-92B2-4BC6-8526-904AA5C35C24}"/>
    <cellStyle name="Output 2 5 3 5 6" xfId="41898" xr:uid="{EC4882D5-8A11-423D-A8E0-9F49A6C4C67E}"/>
    <cellStyle name="Output 2 5 3 6" xfId="5154" xr:uid="{00000000-0005-0000-0000-0000F7070000}"/>
    <cellStyle name="Output 2 5 3 6 2" xfId="12047" xr:uid="{F620C3BC-C5D1-44F8-84A4-BA8F56F97683}"/>
    <cellStyle name="Output 2 5 3 6 2 2" xfId="34533" xr:uid="{0FBA8F6A-8C97-4FBB-A7AC-60C183CC7A8D}"/>
    <cellStyle name="Output 2 5 3 6 2 3" xfId="30489" xr:uid="{F4ED89D5-5194-4D9C-BF65-D9B9D8FC05D2}"/>
    <cellStyle name="Output 2 5 3 6 3" xfId="17091" xr:uid="{8FE8A760-C062-4D6B-94B0-E6920106157D}"/>
    <cellStyle name="Output 2 5 3 6 3 2" xfId="39481" xr:uid="{163C44E2-4540-4F91-B47B-F685F95037CC}"/>
    <cellStyle name="Output 2 5 3 6 3 3" xfId="29473" xr:uid="{CDF5634F-AC4F-48E0-9255-A3C0A4F8A13C}"/>
    <cellStyle name="Output 2 5 3 6 4" xfId="16229" xr:uid="{BC7F40C8-43AC-4689-8B79-8133D4B6067F}"/>
    <cellStyle name="Output 2 5 3 6 4 2" xfId="38626" xr:uid="{591CCD5B-8D59-4E1B-B830-101A18499AB2}"/>
    <cellStyle name="Output 2 5 3 6 4 3" xfId="25243" xr:uid="{850DA54C-6C80-4DBC-A037-F23BA39A2844}"/>
    <cellStyle name="Output 2 5 3 6 5" xfId="21515" xr:uid="{AA931CD4-99A5-45E1-8BF4-5A064845E247}"/>
    <cellStyle name="Output 2 5 3 6 5 2" xfId="26644" xr:uid="{C33E066D-37A0-4391-9DD2-DC96B3958073}"/>
    <cellStyle name="Output 2 5 3 6 6" xfId="29682" xr:uid="{B0BA3D11-7E1A-426E-88EA-1EE36B1AA9BB}"/>
    <cellStyle name="Output 2 5 3 7" xfId="6604" xr:uid="{00000000-0005-0000-0000-0000F7070000}"/>
    <cellStyle name="Output 2 5 3 7 2" xfId="13470" xr:uid="{024A3361-686A-472D-955C-A4F79E38F43A}"/>
    <cellStyle name="Output 2 5 3 7 2 2" xfId="35954" xr:uid="{86780473-3CCB-40D7-9DA9-1CC17DB9AF03}"/>
    <cellStyle name="Output 2 5 3 7 2 3" xfId="51715" xr:uid="{66B7E196-E831-4798-9AE6-D9B1C38F7C3B}"/>
    <cellStyle name="Output 2 5 3 7 3" xfId="18541" xr:uid="{F6BE1EFE-3B81-47A9-A334-9087904EB390}"/>
    <cellStyle name="Output 2 5 3 7 3 2" xfId="40931" xr:uid="{8D8B6987-2380-4FD7-A0CA-D3AB23897D45}"/>
    <cellStyle name="Output 2 5 3 7 3 3" xfId="45614" xr:uid="{952BC7B9-BE9B-4FB2-95C8-749B642E876B}"/>
    <cellStyle name="Output 2 5 3 7 4" xfId="19712" xr:uid="{B860AC0E-304D-44A1-A9CD-0829C4F7FA12}"/>
    <cellStyle name="Output 2 5 3 7 4 2" xfId="42059" xr:uid="{7856CE8D-4AB1-454D-ADA8-610E78BEAA5F}"/>
    <cellStyle name="Output 2 5 3 7 4 3" xfId="30164" xr:uid="{01BD9663-A38E-4193-9AFC-ECFA87B9568F}"/>
    <cellStyle name="Output 2 5 3 7 5" xfId="22965" xr:uid="{623B748B-C5DB-4F0A-89CD-0B71D7C4D7D5}"/>
    <cellStyle name="Output 2 5 3 7 5 2" xfId="46597" xr:uid="{21231E2C-455F-47C5-BCC2-DC5F5BC43394}"/>
    <cellStyle name="Output 2 5 3 7 6" xfId="26659" xr:uid="{3B4E9E67-84A0-4C6F-808D-80FFC2CF9DDD}"/>
    <cellStyle name="Output 2 5 3 8" xfId="7337" xr:uid="{D9D5DA61-BC13-41E8-BCD0-084BD8738B13}"/>
    <cellStyle name="Output 2 5 3 8 2" xfId="30025" xr:uid="{B2897B57-8B0D-4E2E-BA2F-2B322867E0DC}"/>
    <cellStyle name="Output 2 5 3 8 3" xfId="32129" xr:uid="{5E68CB85-2C00-4F3B-B731-BE572A7F37C6}"/>
    <cellStyle name="Output 2 5 3 9" xfId="15248" xr:uid="{12A38884-54AC-4A19-A49D-602078120904}"/>
    <cellStyle name="Output 2 5 3 9 2" xfId="37683" xr:uid="{AB8FB169-FB97-4894-A772-741500A61605}"/>
    <cellStyle name="Output 2 5 3 9 3" xfId="23764" xr:uid="{BF5E58F3-53A0-4338-A6BF-52AAA93B4581}"/>
    <cellStyle name="Output 2 5 4" xfId="1036" xr:uid="{00000000-0005-0000-0000-0000FB070000}"/>
    <cellStyle name="Output 2 5 4 10" xfId="20047" xr:uid="{EABF3181-A5DB-4364-BE86-DD2E9073F70A}"/>
    <cellStyle name="Output 2 5 4 10 2" xfId="30349" xr:uid="{B7628534-5BE4-46FC-A2FB-5DA921A95947}"/>
    <cellStyle name="Output 2 5 4 11" xfId="42124" xr:uid="{BF561F73-EED2-4E38-B01C-123E07B3B64A}"/>
    <cellStyle name="Output 2 5 4 2" xfId="1926" xr:uid="{00000000-0005-0000-0000-0000FC070000}"/>
    <cellStyle name="Output 2 5 4 2 10" xfId="14596" xr:uid="{BA26746E-FB11-4E5A-8562-4684CB1802FB}"/>
    <cellStyle name="Output 2 5 4 2 10 2" xfId="37057" xr:uid="{2A869CA0-6A6D-4A00-B435-7F738FF808D4}"/>
    <cellStyle name="Output 2 5 4 2 10 3" xfId="41725" xr:uid="{92AEECDA-1B9E-4F4A-A619-A4535FD6E53E}"/>
    <cellStyle name="Output 2 5 4 2 11" xfId="20455" xr:uid="{3180010A-9E13-4161-93E1-EEF0627BC93F}"/>
    <cellStyle name="Output 2 5 4 2 11 2" xfId="42746" xr:uid="{50834262-AF4E-4F6B-929D-671152860676}"/>
    <cellStyle name="Output 2 5 4 2 11 3" xfId="50801" xr:uid="{2FA81F54-28BA-4C7D-BDB9-A46211D0F058}"/>
    <cellStyle name="Output 2 5 4 2 12" xfId="14129" xr:uid="{0F522487-532D-4F85-A680-EC7A7E6561C9}"/>
    <cellStyle name="Output 2 5 4 2 12 2" xfId="52129" xr:uid="{50A72041-CF9E-4C28-8A90-703AB747930E}"/>
    <cellStyle name="Output 2 5 4 2 13" xfId="50121" xr:uid="{8FD1CF53-C18D-4FA3-8922-258974D0F174}"/>
    <cellStyle name="Output 2 5 4 2 2" xfId="4023" xr:uid="{00000000-0005-0000-0000-0000FA070000}"/>
    <cellStyle name="Output 2 5 4 2 2 2" xfId="10927" xr:uid="{2F86F5EC-9C90-4ECE-A8C0-8F0B64BD9B2A}"/>
    <cellStyle name="Output 2 5 4 2 2 2 2" xfId="33413" xr:uid="{33817908-EDCE-4478-9D73-357CD0FBA832}"/>
    <cellStyle name="Output 2 5 4 2 2 2 3" xfId="51119" xr:uid="{692C32CE-99DD-4B4A-BC9A-2A51D3D0783F}"/>
    <cellStyle name="Output 2 5 4 2 2 3" xfId="16047" xr:uid="{4AB88A0A-652E-4763-ACE7-A7F7E8FD17A3}"/>
    <cellStyle name="Output 2 5 4 2 2 3 2" xfId="38448" xr:uid="{F01536CB-05E7-4FCC-9EF7-46626D815892}"/>
    <cellStyle name="Output 2 5 4 2 2 3 3" xfId="48290" xr:uid="{BD941A16-E68E-4D1C-9A72-9F934BFC6530}"/>
    <cellStyle name="Output 2 5 4 2 2 4" xfId="19392" xr:uid="{13B0267A-3C9F-40DA-BEA6-95FCA5A8ADEE}"/>
    <cellStyle name="Output 2 5 4 2 2 4 2" xfId="41765" xr:uid="{C423788F-3C12-4CDE-9E80-40B1C8AA855E}"/>
    <cellStyle name="Output 2 5 4 2 2 4 3" xfId="45357" xr:uid="{473031DF-798E-404B-BAFD-0C50970BD9EF}"/>
    <cellStyle name="Output 2 5 4 2 2 5" xfId="20924" xr:uid="{FD517C2B-6E5C-4088-AE61-022A09451EFC}"/>
    <cellStyle name="Output 2 5 4 2 2 5 2" xfId="47604" xr:uid="{337C47DE-2C62-4DF0-AC7D-A3EC0668EFAB}"/>
    <cellStyle name="Output 2 5 4 2 2 6" xfId="43943" xr:uid="{3F09167A-3E9B-4CC0-9A5C-C1CF7359F907}"/>
    <cellStyle name="Output 2 5 4 2 3" xfId="5398" xr:uid="{00000000-0005-0000-0000-0000FA070000}"/>
    <cellStyle name="Output 2 5 4 2 3 2" xfId="12289" xr:uid="{FD9AF369-1A01-48B5-82E7-8D1FA44AB838}"/>
    <cellStyle name="Output 2 5 4 2 3 2 2" xfId="34774" xr:uid="{B98973FD-14D5-4A4D-97EF-7FC04BBA1BB7}"/>
    <cellStyle name="Output 2 5 4 2 3 2 3" xfId="28704" xr:uid="{CCC7C5CD-695C-4E80-A2D0-70A4E3D2BF1A}"/>
    <cellStyle name="Output 2 5 4 2 3 3" xfId="17335" xr:uid="{B2641FEC-DCAD-40CE-857C-AD14EFD3CBE4}"/>
    <cellStyle name="Output 2 5 4 2 3 3 2" xfId="39725" xr:uid="{C3B4627A-D206-4CDE-A269-F978CCC8AA30}"/>
    <cellStyle name="Output 2 5 4 2 3 3 3" xfId="26011" xr:uid="{2EA32CDD-2D87-43F8-AE4F-452E308F94B4}"/>
    <cellStyle name="Output 2 5 4 2 3 4" xfId="8154" xr:uid="{56501931-3A2C-4FD0-B94B-3E4EA3F5F9FA}"/>
    <cellStyle name="Output 2 5 4 2 3 4 2" xfId="30766" xr:uid="{23F52BEB-A34F-45E8-A798-2FF89356C0D6}"/>
    <cellStyle name="Output 2 5 4 2 3 4 3" xfId="49166" xr:uid="{E3851C94-F9C7-4C5A-ADC1-DB5989800157}"/>
    <cellStyle name="Output 2 5 4 2 3 5" xfId="21759" xr:uid="{F3689ED0-5B42-4C55-9168-B61DB6C16B8C}"/>
    <cellStyle name="Output 2 5 4 2 3 5 2" xfId="45218" xr:uid="{3F432C31-CCEB-4D7F-8AC0-2E7A8F26C144}"/>
    <cellStyle name="Output 2 5 4 2 3 6" xfId="50143" xr:uid="{A9C20388-D244-40F9-B7DC-7846DFF4BA9D}"/>
    <cellStyle name="Output 2 5 4 2 4" xfId="5811" xr:uid="{00000000-0005-0000-0000-0000FA070000}"/>
    <cellStyle name="Output 2 5 4 2 4 2" xfId="12694" xr:uid="{9D367085-4FFA-4F57-A8CD-78604CB65864}"/>
    <cellStyle name="Output 2 5 4 2 4 2 2" xfId="35179" xr:uid="{FF1B4B59-9271-4C2C-8332-97FF78647534}"/>
    <cellStyle name="Output 2 5 4 2 4 2 3" xfId="44167" xr:uid="{AB211F9C-F6A7-4DD2-AE21-45DBC4C73FA4}"/>
    <cellStyle name="Output 2 5 4 2 4 3" xfId="17748" xr:uid="{FFB2681F-DF4B-4E84-8D2E-60CC1A0B4FA7}"/>
    <cellStyle name="Output 2 5 4 2 4 3 2" xfId="40138" xr:uid="{CAE2A2A6-1407-43DC-921F-541FA8D307BB}"/>
    <cellStyle name="Output 2 5 4 2 4 3 3" xfId="26120" xr:uid="{89137118-5164-47E5-BD49-6482B4D67232}"/>
    <cellStyle name="Output 2 5 4 2 4 4" xfId="15388" xr:uid="{81E2D6D1-0B97-4376-9FCE-BAC2EFBA8C11}"/>
    <cellStyle name="Output 2 5 4 2 4 4 2" xfId="37815" xr:uid="{98BC3E86-AB0F-4512-ADD6-C46D7951E31C}"/>
    <cellStyle name="Output 2 5 4 2 4 4 3" xfId="44450" xr:uid="{88E96B86-1BC9-4161-A506-EA73220339B2}"/>
    <cellStyle name="Output 2 5 4 2 4 5" xfId="22172" xr:uid="{59ABE671-3B16-4FF9-A990-8714DA51ED15}"/>
    <cellStyle name="Output 2 5 4 2 4 5 2" xfId="29385" xr:uid="{08E4B758-9916-4E4A-A6C0-8BA6E243B39B}"/>
    <cellStyle name="Output 2 5 4 2 4 6" xfId="47584" xr:uid="{ABA3C83A-909F-46F9-AF5F-21FB9411E1AE}"/>
    <cellStyle name="Output 2 5 4 2 5" xfId="6155" xr:uid="{00000000-0005-0000-0000-0000FA070000}"/>
    <cellStyle name="Output 2 5 4 2 5 2" xfId="13032" xr:uid="{04ED04A1-C9D9-4D9D-A392-A718E5D86B13}"/>
    <cellStyle name="Output 2 5 4 2 5 2 2" xfId="35516" xr:uid="{705087EF-41C2-4493-B1A3-F2D14AC2E8D7}"/>
    <cellStyle name="Output 2 5 4 2 5 2 3" xfId="23965" xr:uid="{6ABAB53F-6EB1-4E6F-9A06-A825A8FD496B}"/>
    <cellStyle name="Output 2 5 4 2 5 3" xfId="18092" xr:uid="{D4EA9AC9-A2DD-4F81-AFDD-C24B43792893}"/>
    <cellStyle name="Output 2 5 4 2 5 3 2" xfId="40482" xr:uid="{CF65C0F8-429D-42DD-8A07-1A3F5C729FAE}"/>
    <cellStyle name="Output 2 5 4 2 5 3 3" xfId="26698" xr:uid="{D25DC6B0-9822-4E23-9AB5-0AEE06582031}"/>
    <cellStyle name="Output 2 5 4 2 5 4" xfId="14045" xr:uid="{64496309-CBDD-470B-8A47-6B5CDB7D7959}"/>
    <cellStyle name="Output 2 5 4 2 5 4 2" xfId="36525" xr:uid="{BAFD1B7C-C1BA-4785-A791-A017E34A4243}"/>
    <cellStyle name="Output 2 5 4 2 5 4 3" xfId="50744" xr:uid="{6F5DA94A-E644-4325-BD82-978CC017A792}"/>
    <cellStyle name="Output 2 5 4 2 5 5" xfId="22516" xr:uid="{ADC8A364-637C-46F3-85F5-4099F8842E7E}"/>
    <cellStyle name="Output 2 5 4 2 5 5 2" xfId="51097" xr:uid="{13A796FB-616D-473E-A735-99402E89FB18}"/>
    <cellStyle name="Output 2 5 4 2 5 6" xfId="51285" xr:uid="{B65768EE-D22C-4097-BC28-6CE5A6CCFC3D}"/>
    <cellStyle name="Output 2 5 4 2 6" xfId="6528" xr:uid="{00000000-0005-0000-0000-0000FA070000}"/>
    <cellStyle name="Output 2 5 4 2 6 2" xfId="13397" xr:uid="{BF3CE344-1C26-417B-8253-F1C0F2D29125}"/>
    <cellStyle name="Output 2 5 4 2 6 2 2" xfId="35881" xr:uid="{812B8CD7-C78D-49D4-A310-230ED410CE5A}"/>
    <cellStyle name="Output 2 5 4 2 6 2 3" xfId="47315" xr:uid="{3551091C-13CD-4F62-8FBF-F805D247FF30}"/>
    <cellStyle name="Output 2 5 4 2 6 3" xfId="18465" xr:uid="{930EEABC-0EBF-4582-9A65-FB6E90E34EF4}"/>
    <cellStyle name="Output 2 5 4 2 6 3 2" xfId="40855" xr:uid="{666F52EF-7E74-479F-86CF-97E44DEC8A17}"/>
    <cellStyle name="Output 2 5 4 2 6 3 3" xfId="44805" xr:uid="{C53F97AD-A75A-4A0E-8EAC-68DE49311889}"/>
    <cellStyle name="Output 2 5 4 2 6 4" xfId="20372" xr:uid="{EC3CB2F0-06A8-4CE2-9689-948A24AC16BE}"/>
    <cellStyle name="Output 2 5 4 2 6 4 2" xfId="42669" xr:uid="{55AAD023-C5AB-4C7F-9DA9-F7CEB95415FB}"/>
    <cellStyle name="Output 2 5 4 2 6 4 3" xfId="53546" xr:uid="{A7469CE3-CB1F-4F2E-9F0C-BD4927B95626}"/>
    <cellStyle name="Output 2 5 4 2 6 5" xfId="22889" xr:uid="{75F79100-7D89-478D-A06B-8A9B6E89AF02}"/>
    <cellStyle name="Output 2 5 4 2 6 5 2" xfId="49524" xr:uid="{59066F3A-AE45-41C7-8F39-8EED8E9A7662}"/>
    <cellStyle name="Output 2 5 4 2 6 6" xfId="53989" xr:uid="{0EF191B5-B1B0-4F07-9DAD-F147F35266F5}"/>
    <cellStyle name="Output 2 5 4 2 7" xfId="2265" xr:uid="{00000000-0005-0000-0000-0000FA070000}"/>
    <cellStyle name="Output 2 5 4 2 7 2" xfId="9177" xr:uid="{85A15F22-C422-4E69-83DC-BFB38A183A93}"/>
    <cellStyle name="Output 2 5 4 2 7 2 2" xfId="31752" xr:uid="{42BE285D-0742-44B7-BF34-8A34992AA2A7}"/>
    <cellStyle name="Output 2 5 4 2 7 2 3" xfId="46684" xr:uid="{96F5D341-23BC-4325-912D-F44FFA49B9A2}"/>
    <cellStyle name="Output 2 5 4 2 7 3" xfId="14835" xr:uid="{F8FE0002-43D8-476C-BD86-55B893C89723}"/>
    <cellStyle name="Output 2 5 4 2 7 3 2" xfId="37289" xr:uid="{B98518A5-638A-48A6-A8E9-6CCD801DE53A}"/>
    <cellStyle name="Output 2 5 4 2 7 3 3" xfId="51685" xr:uid="{AAEED4BF-29DE-47A4-B072-6F6532EF8D11}"/>
    <cellStyle name="Output 2 5 4 2 7 4" xfId="20859" xr:uid="{F2273D72-C2E2-4845-942E-5F542557C7FD}"/>
    <cellStyle name="Output 2 5 4 2 7 4 2" xfId="43124" xr:uid="{64CEF1DC-941A-4D17-8235-F9149F6E9C24}"/>
    <cellStyle name="Output 2 5 4 2 7 4 3" xfId="28196" xr:uid="{A4989969-1DB4-42E5-B1CD-11499FE0A5E4}"/>
    <cellStyle name="Output 2 5 4 2 7 5" xfId="15356" xr:uid="{5700BDCB-E748-47F0-8A48-EE1B5DA3DCC1}"/>
    <cellStyle name="Output 2 5 4 2 7 5 2" xfId="44986" xr:uid="{34611D3D-ED23-4B4A-820B-BCE9E1C07212}"/>
    <cellStyle name="Output 2 5 4 2 7 6" xfId="43442" xr:uid="{17D144E1-7CEE-46FB-BCF1-4BFA7504E7B1}"/>
    <cellStyle name="Output 2 5 4 2 8" xfId="7012" xr:uid="{00000000-0005-0000-0000-0000FA070000}"/>
    <cellStyle name="Output 2 5 4 2 8 2" xfId="13849" xr:uid="{70F238E6-E72D-4C09-B49C-32EC8A167D18}"/>
    <cellStyle name="Output 2 5 4 2 8 2 2" xfId="36333" xr:uid="{827F5052-94E1-4759-90EE-4007276C2F63}"/>
    <cellStyle name="Output 2 5 4 2 8 2 3" xfId="29369" xr:uid="{7A3BD1C2-822E-46BB-AC13-FF7513942572}"/>
    <cellStyle name="Output 2 5 4 2 8 3" xfId="18949" xr:uid="{19A2FC26-572A-48BF-AC15-11B01988710A}"/>
    <cellStyle name="Output 2 5 4 2 8 3 2" xfId="41339" xr:uid="{C57F50A2-599B-494D-A5D3-BB1649B74DEA}"/>
    <cellStyle name="Output 2 5 4 2 8 3 3" xfId="29550" xr:uid="{48AEF969-81C0-4686-9DA1-66B8B290FEBC}"/>
    <cellStyle name="Output 2 5 4 2 8 4" xfId="20285" xr:uid="{C7E1B52F-D9C6-440C-B3E2-225D1997BBED}"/>
    <cellStyle name="Output 2 5 4 2 8 4 2" xfId="42585" xr:uid="{9CA38742-EF57-4C8A-8AD6-DD33F1737F5D}"/>
    <cellStyle name="Output 2 5 4 2 8 4 3" xfId="44491" xr:uid="{4B2D06D7-BDBF-4AA8-B518-B01113D8FB37}"/>
    <cellStyle name="Output 2 5 4 2 8 5" xfId="23373" xr:uid="{FE4FA151-D44D-49FC-9143-05EB73DEC8BA}"/>
    <cellStyle name="Output 2 5 4 2 8 5 2" xfId="50260" xr:uid="{AC5F1245-6E51-45FA-976E-97713A05A635}"/>
    <cellStyle name="Output 2 5 4 2 8 6" xfId="27760" xr:uid="{06D716ED-9963-49C4-8DA2-B4AECE32B3E1}"/>
    <cellStyle name="Output 2 5 4 2 9" xfId="7128" xr:uid="{00000000-0005-0000-0000-0000FA070000}"/>
    <cellStyle name="Output 2 5 4 2 9 2" xfId="19065" xr:uid="{33DF506A-1548-4BFA-8F3F-0EA07D62BBC0}"/>
    <cellStyle name="Output 2 5 4 2 9 2 2" xfId="41455" xr:uid="{B09B77CA-EDAB-48DB-A0FE-92B49464A736}"/>
    <cellStyle name="Output 2 5 4 2 9 2 3" xfId="30613" xr:uid="{83810C19-9077-4864-96FC-8813CFCD2AE3}"/>
    <cellStyle name="Output 2 5 4 2 9 3" xfId="21045" xr:uid="{DA7A9312-B37D-436A-B3CC-A73C633F3891}"/>
    <cellStyle name="Output 2 5 4 2 9 3 2" xfId="43293" xr:uid="{76617907-B9C0-4039-9514-A0A54F100C15}"/>
    <cellStyle name="Output 2 5 4 2 9 3 3" xfId="50952" xr:uid="{ED736059-AA4D-4631-B1EB-F93A0C11B1A4}"/>
    <cellStyle name="Output 2 5 4 2 9 4" xfId="23489" xr:uid="{F384B5E6-5E60-4195-B218-5CC3AB2FA07D}"/>
    <cellStyle name="Output 2 5 4 2 9 4 2" xfId="29606" xr:uid="{CF887100-C615-42DD-A677-78007E7D4778}"/>
    <cellStyle name="Output 2 5 4 2 9 5" xfId="41625" xr:uid="{174091BE-F38E-4AE4-99F4-F637D1E6A64F}"/>
    <cellStyle name="Output 2 5 4 3" xfId="3159" xr:uid="{00000000-0005-0000-0000-0000F9070000}"/>
    <cellStyle name="Output 2 5 4 3 2" xfId="10068" xr:uid="{64825944-3921-467A-B11F-20802DA06BD6}"/>
    <cellStyle name="Output 2 5 4 3 2 2" xfId="32575" xr:uid="{93D3B72A-77B6-47EB-99CE-336BD95B0A2F}"/>
    <cellStyle name="Output 2 5 4 3 2 3" xfId="48320" xr:uid="{A59FE9F0-5E51-4A98-AA8D-AB6EF36CDAB4}"/>
    <cellStyle name="Output 2 5 4 3 3" xfId="15446" xr:uid="{9472B0E0-561B-44A4-B044-6C2635CC2695}"/>
    <cellStyle name="Output 2 5 4 3 3 2" xfId="37872" xr:uid="{79A90D6B-7C7F-4D97-8776-55A8EAE3D49D}"/>
    <cellStyle name="Output 2 5 4 3 3 3" xfId="47525" xr:uid="{0983899A-DA73-41A2-9228-714E2BF07B87}"/>
    <cellStyle name="Output 2 5 4 3 4" xfId="15917" xr:uid="{5C61E814-D619-4D80-9022-2CF2F3BC2B35}"/>
    <cellStyle name="Output 2 5 4 3 4 2" xfId="38323" xr:uid="{B1DB48DF-893E-4EDC-B612-E9EA220AB65A}"/>
    <cellStyle name="Output 2 5 4 3 4 3" xfId="50626" xr:uid="{65C5FBE2-AF9A-4D7B-8EB4-ED67CD3F1DF6}"/>
    <cellStyle name="Output 2 5 4 3 5" xfId="14796" xr:uid="{853689A7-B7D7-4CCF-B7B8-3351BF7A74AB}"/>
    <cellStyle name="Output 2 5 4 3 5 2" xfId="51463" xr:uid="{F80FBB77-BDC7-41B0-8DBD-DB41BB6E36F2}"/>
    <cellStyle name="Output 2 5 4 3 6" xfId="47969" xr:uid="{A3049B51-3C4F-4440-AAE6-F68D94C536DD}"/>
    <cellStyle name="Output 2 5 4 4" xfId="4810" xr:uid="{00000000-0005-0000-0000-0000F9070000}"/>
    <cellStyle name="Output 2 5 4 4 2" xfId="11707" xr:uid="{A527C62A-7185-4DCB-850E-D141E6C16DF4}"/>
    <cellStyle name="Output 2 5 4 4 2 2" xfId="34193" xr:uid="{4620518C-C590-44D4-BA67-54ADF6411EC4}"/>
    <cellStyle name="Output 2 5 4 4 2 3" xfId="28437" xr:uid="{0F2898E6-9EFF-4EB8-877E-802CC64A3299}"/>
    <cellStyle name="Output 2 5 4 4 3" xfId="16747" xr:uid="{A1A6C992-78A2-40F4-936B-EE98DAF5D3DE}"/>
    <cellStyle name="Output 2 5 4 4 3 2" xfId="39137" xr:uid="{1AC4ED09-3C58-4593-8755-614654F1180B}"/>
    <cellStyle name="Output 2 5 4 4 3 3" xfId="29419" xr:uid="{25BD5EB4-2EE9-4E65-B6E7-2B8127FB0F13}"/>
    <cellStyle name="Output 2 5 4 4 4" xfId="15802" xr:uid="{E80F146A-DA46-48CA-8538-9818B9F09966}"/>
    <cellStyle name="Output 2 5 4 4 4 2" xfId="38210" xr:uid="{8281ECB4-B3D0-470A-8504-2D92E6F8C7F0}"/>
    <cellStyle name="Output 2 5 4 4 4 3" xfId="52906" xr:uid="{7CC2CE1E-EEAE-4142-A7B3-404A4F800623}"/>
    <cellStyle name="Output 2 5 4 4 5" xfId="20559" xr:uid="{AC2C8320-D192-4BD6-B1D9-2146973B3CE1}"/>
    <cellStyle name="Output 2 5 4 4 5 2" xfId="46024" xr:uid="{6C3157CF-C432-4561-BA6B-A345F2EA6970}"/>
    <cellStyle name="Output 2 5 4 4 6" xfId="53649" xr:uid="{D3FD01B5-CE75-4C82-9127-87AE18131EBF}"/>
    <cellStyle name="Output 2 5 4 5" xfId="4575" xr:uid="{00000000-0005-0000-0000-0000F9070000}"/>
    <cellStyle name="Output 2 5 4 5 2" xfId="11477" xr:uid="{B20B4400-526C-4C20-AE18-D49129EF507B}"/>
    <cellStyle name="Output 2 5 4 5 2 2" xfId="33963" xr:uid="{41B28950-096B-4422-A80A-0329F606C21E}"/>
    <cellStyle name="Output 2 5 4 5 2 3" xfId="45575" xr:uid="{20209428-ED24-4776-B30B-D9653BD1B2E1}"/>
    <cellStyle name="Output 2 5 4 5 3" xfId="16512" xr:uid="{315964A7-E3C9-4E0D-A67C-16383BBD283D}"/>
    <cellStyle name="Output 2 5 4 5 3 2" xfId="38902" xr:uid="{03627A7F-26AA-4DB7-9A58-1576FB44B4F2}"/>
    <cellStyle name="Output 2 5 4 5 3 3" xfId="24708" xr:uid="{AB9EC24C-8474-431C-B1F0-364C50C61208}"/>
    <cellStyle name="Output 2 5 4 5 4" xfId="14334" xr:uid="{3FFE0960-B8C2-4644-BC23-21970E2C33E5}"/>
    <cellStyle name="Output 2 5 4 5 4 2" xfId="36803" xr:uid="{88A1B8E1-0135-42E3-ACB2-ED8BF4121C6B}"/>
    <cellStyle name="Output 2 5 4 5 4 3" xfId="30171" xr:uid="{2AEDC64E-88C3-45EA-9805-65AA4CF53B17}"/>
    <cellStyle name="Output 2 5 4 5 5" xfId="7273" xr:uid="{DC5FD259-1F76-4F47-BD6D-E50DC58F6232}"/>
    <cellStyle name="Output 2 5 4 5 5 2" xfId="50805" xr:uid="{5F757B42-A676-444F-890A-58B7A747076F}"/>
    <cellStyle name="Output 2 5 4 5 6" xfId="45956" xr:uid="{9B24056F-98C1-4DB5-90CC-1BA1A5522B8D}"/>
    <cellStyle name="Output 2 5 4 6" xfId="5559" xr:uid="{00000000-0005-0000-0000-0000F9070000}"/>
    <cellStyle name="Output 2 5 4 6 2" xfId="12446" xr:uid="{5CD8E124-FAB0-4EDA-A40B-0950EF94982E}"/>
    <cellStyle name="Output 2 5 4 6 2 2" xfId="34931" xr:uid="{3C5C6D71-486F-4523-AE2F-CE7338A6C0A2}"/>
    <cellStyle name="Output 2 5 4 6 2 3" xfId="45161" xr:uid="{5DA99811-132B-4827-B191-D5D91C962D5B}"/>
    <cellStyle name="Output 2 5 4 6 3" xfId="17496" xr:uid="{D0B77087-21C3-4A24-9774-02C9057A4B0F}"/>
    <cellStyle name="Output 2 5 4 6 3 2" xfId="39886" xr:uid="{5EABBBF1-810A-4508-8E32-FE5D5120A635}"/>
    <cellStyle name="Output 2 5 4 6 3 3" xfId="26706" xr:uid="{AEAFDEDD-52CA-4493-90D0-07FD3B1ED455}"/>
    <cellStyle name="Output 2 5 4 6 4" xfId="15242" xr:uid="{8C539C2B-C093-4B7A-BB94-74D31537DB87}"/>
    <cellStyle name="Output 2 5 4 6 4 2" xfId="37678" xr:uid="{0A0250FB-3DAF-42B8-8E6F-B5ADBF3519C9}"/>
    <cellStyle name="Output 2 5 4 6 4 3" xfId="23649" xr:uid="{B97B6CA7-BAEA-44A4-BE29-07BD5ED64A34}"/>
    <cellStyle name="Output 2 5 4 6 5" xfId="21920" xr:uid="{43408E71-8E5A-4E19-ABB3-0905F17AE77A}"/>
    <cellStyle name="Output 2 5 4 6 5 2" xfId="28750" xr:uid="{E578DA15-5044-44C6-B2E9-F32189F7DC18}"/>
    <cellStyle name="Output 2 5 4 6 6" xfId="52476" xr:uid="{786CDA54-0EBB-440E-8F17-054249710975}"/>
    <cellStyle name="Output 2 5 4 7" xfId="5125" xr:uid="{00000000-0005-0000-0000-0000F9070000}"/>
    <cellStyle name="Output 2 5 4 7 2" xfId="12018" xr:uid="{A52E1C56-4995-48FC-A960-C658B9B5EB23}"/>
    <cellStyle name="Output 2 5 4 7 2 2" xfId="34504" xr:uid="{90A4D43A-9AE3-430B-9565-09A7F0199258}"/>
    <cellStyle name="Output 2 5 4 7 2 3" xfId="31542" xr:uid="{E1D4C5A5-8CCF-491F-BFB9-C3BE3F9282F5}"/>
    <cellStyle name="Output 2 5 4 7 3" xfId="17062" xr:uid="{0D41E5A1-6D79-4A8D-8F95-518A4EF2EC87}"/>
    <cellStyle name="Output 2 5 4 7 3 2" xfId="39452" xr:uid="{29A9467F-EC3D-4E22-8EA2-7136A9B13460}"/>
    <cellStyle name="Output 2 5 4 7 3 3" xfId="44744" xr:uid="{57AD022F-61A7-4148-8A26-79A607D62C0D}"/>
    <cellStyle name="Output 2 5 4 7 4" xfId="15612" xr:uid="{CEB86519-D128-4D76-9DC2-96A252FB5E4B}"/>
    <cellStyle name="Output 2 5 4 7 4 2" xfId="38028" xr:uid="{CC7361C1-8B16-4FB7-9003-23C5445A662C}"/>
    <cellStyle name="Output 2 5 4 7 4 3" xfId="43938" xr:uid="{7D6D687D-EF19-492E-9CED-2227761CFB14}"/>
    <cellStyle name="Output 2 5 4 7 5" xfId="21486" xr:uid="{B773B296-9832-43DA-85D5-A85F048C068B}"/>
    <cellStyle name="Output 2 5 4 7 5 2" xfId="36489" xr:uid="{326A16D3-7D8E-43B3-B604-1478F6CFA7EC}"/>
    <cellStyle name="Output 2 5 4 7 6" xfId="48234" xr:uid="{CA797052-E0CC-465E-B59A-EA7C969720E6}"/>
    <cellStyle name="Output 2 5 4 8" xfId="8667" xr:uid="{87AA34AB-48B9-4B9F-B72D-83B9A0E182CD}"/>
    <cellStyle name="Output 2 5 4 8 2" xfId="31253" xr:uid="{8B18D652-69F9-4AF9-B19C-26E0E7E9B1EE}"/>
    <cellStyle name="Output 2 5 4 8 3" xfId="30979" xr:uid="{8C142894-0556-409A-9173-2B4274D86B41}"/>
    <cellStyle name="Output 2 5 4 9" xfId="20981" xr:uid="{DB60AC0B-32A6-49A5-9AAE-309546EFA8BC}"/>
    <cellStyle name="Output 2 5 4 9 2" xfId="43235" xr:uid="{8AA96D64-2912-4464-B0A5-4D750E5FA3EF}"/>
    <cellStyle name="Output 2 5 4 9 3" xfId="49321" xr:uid="{C6EEA385-FC57-4233-83CC-CA91469A650A}"/>
    <cellStyle name="Output 2 5 5" xfId="1220" xr:uid="{00000000-0005-0000-0000-0000FD070000}"/>
    <cellStyle name="Output 2 5 5 10" xfId="20905" xr:uid="{3374643C-CEE8-41C3-AD8D-283B58EA7664}"/>
    <cellStyle name="Output 2 5 5 10 2" xfId="45910" xr:uid="{ECE87B70-1BA1-4100-B6BA-0B9A08929DDC}"/>
    <cellStyle name="Output 2 5 5 11" xfId="51402" xr:uid="{E71DC083-1E52-4462-B5C0-7BC65C56ABF1}"/>
    <cellStyle name="Output 2 5 5 2" xfId="2020" xr:uid="{00000000-0005-0000-0000-0000FE070000}"/>
    <cellStyle name="Output 2 5 5 2 10" xfId="14668" xr:uid="{CF67BEF4-4D5F-4BEB-8F0C-7494DBFC680D}"/>
    <cellStyle name="Output 2 5 5 2 10 2" xfId="37128" xr:uid="{68FB9FA1-63F2-442D-B851-0AE2E1395540}"/>
    <cellStyle name="Output 2 5 5 2 10 3" xfId="46750" xr:uid="{C2105BF3-115E-4020-A7AE-9B46BAE60F99}"/>
    <cellStyle name="Output 2 5 5 2 11" xfId="21057" xr:uid="{EEC164AB-1FC8-433E-8DD1-A165DCB8F3DA}"/>
    <cellStyle name="Output 2 5 5 2 11 2" xfId="43305" xr:uid="{25E3C4CB-2556-461C-BCC3-948F36026988}"/>
    <cellStyle name="Output 2 5 5 2 11 3" xfId="50363" xr:uid="{77660A46-3F7A-4AD6-9E08-CE8C9AEB740E}"/>
    <cellStyle name="Output 2 5 5 2 12" xfId="20894" xr:uid="{88E22F3E-D1F4-4F01-B27F-A49A21D2CE7D}"/>
    <cellStyle name="Output 2 5 5 2 12 2" xfId="28968" xr:uid="{9C93C406-E038-4FCA-B240-C67ECC7D3E24}"/>
    <cellStyle name="Output 2 5 5 2 13" xfId="28748" xr:uid="{4D3D63B8-CC7D-40A5-AF89-3AC3EEC2F036}"/>
    <cellStyle name="Output 2 5 5 2 2" xfId="4115" xr:uid="{00000000-0005-0000-0000-0000FC070000}"/>
    <cellStyle name="Output 2 5 5 2 2 2" xfId="11019" xr:uid="{55DBAA94-3693-4556-A16B-81097F5E4330}"/>
    <cellStyle name="Output 2 5 5 2 2 2 2" xfId="33505" xr:uid="{CA0B03F4-72E3-4687-8493-9226AEEE97B2}"/>
    <cellStyle name="Output 2 5 5 2 2 2 3" xfId="47013" xr:uid="{97D34C43-C462-45AD-A856-685E600D0D5F}"/>
    <cellStyle name="Output 2 5 5 2 2 3" xfId="16119" xr:uid="{D62E63B3-EE81-4307-91AE-F4FFD1E52ACA}"/>
    <cellStyle name="Output 2 5 5 2 2 3 2" xfId="38519" xr:uid="{5D487780-3B64-4844-B9F3-B79FAF25B3B2}"/>
    <cellStyle name="Output 2 5 5 2 2 3 3" xfId="45164" xr:uid="{4F64AB2D-B7CF-4CBD-92FD-BC9D41FC10F7}"/>
    <cellStyle name="Output 2 5 5 2 2 4" xfId="21227" xr:uid="{34DE4B7D-A307-47CA-ADCD-EDB551739B7C}"/>
    <cellStyle name="Output 2 5 5 2 2 4 2" xfId="43466" xr:uid="{E050C67F-09F8-46D9-84DF-6E221A93DC56}"/>
    <cellStyle name="Output 2 5 5 2 2 4 3" xfId="47322" xr:uid="{186CF8CC-742B-4C86-89D0-DE651FC5EE7F}"/>
    <cellStyle name="Output 2 5 5 2 2 5" xfId="15494" xr:uid="{70286F93-5778-4FD2-BF75-F6B679840B77}"/>
    <cellStyle name="Output 2 5 5 2 2 5 2" xfId="43175" xr:uid="{3E0F7942-B1C7-4C17-AA68-5C543AE11A0C}"/>
    <cellStyle name="Output 2 5 5 2 2 6" xfId="43631" xr:uid="{E5AAF4F3-9C21-41F7-9978-F47F0A12745C}"/>
    <cellStyle name="Output 2 5 5 2 3" xfId="5461" xr:uid="{00000000-0005-0000-0000-0000FC070000}"/>
    <cellStyle name="Output 2 5 5 2 3 2" xfId="12350" xr:uid="{4825D1F4-57D4-448F-A712-24F3411DCD25}"/>
    <cellStyle name="Output 2 5 5 2 3 2 2" xfId="34835" xr:uid="{BC00F388-CACE-4B06-B872-EE5027745EAD}"/>
    <cellStyle name="Output 2 5 5 2 3 2 3" xfId="28574" xr:uid="{7F4D03C0-567F-4451-B77D-BE2F0DAEC4D7}"/>
    <cellStyle name="Output 2 5 5 2 3 3" xfId="17398" xr:uid="{BB57846F-A628-49FA-8411-3FE1BF58EE3E}"/>
    <cellStyle name="Output 2 5 5 2 3 3 2" xfId="39788" xr:uid="{E81B810F-9B06-4595-936F-13BBE12AA30A}"/>
    <cellStyle name="Output 2 5 5 2 3 3 3" xfId="36511" xr:uid="{04D46ABF-1138-4CD9-A4BF-829C5B7D429F}"/>
    <cellStyle name="Output 2 5 5 2 3 4" xfId="15755" xr:uid="{8302AAC4-9C81-4668-B88E-C0E621686BEA}"/>
    <cellStyle name="Output 2 5 5 2 3 4 2" xfId="38167" xr:uid="{2D5B9062-B892-4508-AF71-FC2737B1A7F7}"/>
    <cellStyle name="Output 2 5 5 2 3 4 3" xfId="51873" xr:uid="{37114E6B-D570-4FA9-B511-2C8CD9BC60FE}"/>
    <cellStyle name="Output 2 5 5 2 3 5" xfId="21822" xr:uid="{1964CB8F-6EC5-457A-82F9-1FE509B1BA22}"/>
    <cellStyle name="Output 2 5 5 2 3 5 2" xfId="45054" xr:uid="{B0FD0DFA-6B9B-4B72-A29C-F926CE2A568A}"/>
    <cellStyle name="Output 2 5 5 2 3 6" xfId="32288" xr:uid="{7E453FCB-114F-44CB-94B8-44FE9E0C9A9F}"/>
    <cellStyle name="Output 2 5 5 2 4" xfId="5884" xr:uid="{00000000-0005-0000-0000-0000FC070000}"/>
    <cellStyle name="Output 2 5 5 2 4 2" xfId="12766" xr:uid="{86D5A0C7-5656-4BDA-9F70-890055337D1C}"/>
    <cellStyle name="Output 2 5 5 2 4 2 2" xfId="35250" xr:uid="{82444C5A-DBC7-4A27-BED8-D5A1C800855D}"/>
    <cellStyle name="Output 2 5 5 2 4 2 3" xfId="29498" xr:uid="{F80BCB97-50E9-4896-907B-4C87E267E614}"/>
    <cellStyle name="Output 2 5 5 2 4 3" xfId="17821" xr:uid="{1F2FAC7F-DAEA-4B4C-BD3D-7AAEA84027E0}"/>
    <cellStyle name="Output 2 5 5 2 4 3 2" xfId="40211" xr:uid="{8781BE74-D112-41F8-A1F8-3FE08C26C713}"/>
    <cellStyle name="Output 2 5 5 2 4 3 3" xfId="30290" xr:uid="{80407971-22EA-4BFB-86A0-E7B0C62F177E}"/>
    <cellStyle name="Output 2 5 5 2 4 4" xfId="16160" xr:uid="{CA0FBFCA-308A-4D5D-BD63-0110CD37A12D}"/>
    <cellStyle name="Output 2 5 5 2 4 4 2" xfId="38559" xr:uid="{FFD7F2EB-EF67-4BD2-8AF6-F75918A4EF28}"/>
    <cellStyle name="Output 2 5 5 2 4 4 3" xfId="45723" xr:uid="{6D7B1F59-618D-43BE-A37A-58EA572F8A0B}"/>
    <cellStyle name="Output 2 5 5 2 4 5" xfId="22245" xr:uid="{FE752122-CD3A-4420-85A3-5C63068E16CF}"/>
    <cellStyle name="Output 2 5 5 2 4 5 2" xfId="49091" xr:uid="{4C6ED0CF-D6B3-42B5-A71A-942A72A3308C}"/>
    <cellStyle name="Output 2 5 5 2 4 6" xfId="50758" xr:uid="{C8946E0B-9575-4290-AFC2-01B871817BAC}"/>
    <cellStyle name="Output 2 5 5 2 5" xfId="6222" xr:uid="{00000000-0005-0000-0000-0000FC070000}"/>
    <cellStyle name="Output 2 5 5 2 5 2" xfId="13097" xr:uid="{D4D4C5CA-8315-49DD-8EA6-03D914C8D4E6}"/>
    <cellStyle name="Output 2 5 5 2 5 2 2" xfId="35581" xr:uid="{ABBEA3B4-F697-47FD-B72A-BC9EF05A5E41}"/>
    <cellStyle name="Output 2 5 5 2 5 2 3" xfId="50179" xr:uid="{C9BD1B09-FDD4-44D7-8524-3180B4704BBF}"/>
    <cellStyle name="Output 2 5 5 2 5 3" xfId="18159" xr:uid="{BA67A481-87E0-4052-BDFE-0E8AEABD09F0}"/>
    <cellStyle name="Output 2 5 5 2 5 3 2" xfId="40549" xr:uid="{AA8958B1-5898-4C7A-A748-540C196B67A3}"/>
    <cellStyle name="Output 2 5 5 2 5 3 3" xfId="43439" xr:uid="{123EE939-044B-436E-8BA6-DCBE1533C8EE}"/>
    <cellStyle name="Output 2 5 5 2 5 4" xfId="14769" xr:uid="{C6ABDB83-CBB9-4B30-A5E3-73B4C4DD2D6B}"/>
    <cellStyle name="Output 2 5 5 2 5 4 2" xfId="37226" xr:uid="{2D3FBE31-518C-4D44-B96F-E4D591D91FC6}"/>
    <cellStyle name="Output 2 5 5 2 5 4 3" xfId="49095" xr:uid="{7F97701C-CF83-4C0D-B7C5-B51F2227140C}"/>
    <cellStyle name="Output 2 5 5 2 5 5" xfId="22583" xr:uid="{B3382FA5-2A8C-415D-B00F-134D1326F913}"/>
    <cellStyle name="Output 2 5 5 2 5 5 2" xfId="50726" xr:uid="{81EDCC56-193B-48AF-809F-B9CE228515AB}"/>
    <cellStyle name="Output 2 5 5 2 5 6" xfId="51459" xr:uid="{F3FE61C8-A805-42F3-9804-4CBE8F212A70}"/>
    <cellStyle name="Output 2 5 5 2 6" xfId="6588" xr:uid="{00000000-0005-0000-0000-0000FC070000}"/>
    <cellStyle name="Output 2 5 5 2 6 2" xfId="13454" xr:uid="{BF064416-B9A4-4C09-8436-BC3504259DC7}"/>
    <cellStyle name="Output 2 5 5 2 6 2 2" xfId="35938" xr:uid="{A8F43854-9673-40BF-8BFA-875CB3C831B5}"/>
    <cellStyle name="Output 2 5 5 2 6 2 3" xfId="53573" xr:uid="{9A460D04-88F0-48F4-8E0F-CEBA57EBC613}"/>
    <cellStyle name="Output 2 5 5 2 6 3" xfId="18525" xr:uid="{A5A2470C-C53A-4A63-857A-346FEA59CD47}"/>
    <cellStyle name="Output 2 5 5 2 6 3 2" xfId="40915" xr:uid="{2D1CFF10-6AE7-4FDD-AFE1-857B925A9A09}"/>
    <cellStyle name="Output 2 5 5 2 6 3 3" xfId="45758" xr:uid="{B449B03E-C07A-4CB5-810D-16A935EEA470}"/>
    <cellStyle name="Output 2 5 5 2 6 4" xfId="20432" xr:uid="{4149492D-7F27-49FB-906E-E8E7ED7B50BC}"/>
    <cellStyle name="Output 2 5 5 2 6 4 2" xfId="42724" xr:uid="{84738DDB-5339-43EA-A668-5F14672B2E18}"/>
    <cellStyle name="Output 2 5 5 2 6 4 3" xfId="50274" xr:uid="{40A870AC-69A9-44EC-BE7A-A2B04A3CE015}"/>
    <cellStyle name="Output 2 5 5 2 6 5" xfId="22949" xr:uid="{BEB2CDC2-ADBC-4831-8C14-C2B600C5FF91}"/>
    <cellStyle name="Output 2 5 5 2 6 5 2" xfId="46670" xr:uid="{D51FBA10-828C-4C6C-8B58-7D0B708890F3}"/>
    <cellStyle name="Output 2 5 5 2 6 6" xfId="49495" xr:uid="{4CBE7E13-0F83-45DB-ADEE-858F908562D1}"/>
    <cellStyle name="Output 2 5 5 2 7" xfId="5294" xr:uid="{00000000-0005-0000-0000-0000FC070000}"/>
    <cellStyle name="Output 2 5 5 2 7 2" xfId="12186" xr:uid="{A89AFEA4-C3CD-4140-A803-1D924CCD30B1}"/>
    <cellStyle name="Output 2 5 5 2 7 2 2" xfId="34671" xr:uid="{062DD417-C6AE-4137-A14B-A1981EFBE39F}"/>
    <cellStyle name="Output 2 5 5 2 7 2 3" xfId="23679" xr:uid="{90ED5BE9-121B-49AD-9E23-E0089BE8824B}"/>
    <cellStyle name="Output 2 5 5 2 7 3" xfId="17231" xr:uid="{1B981D8D-CF13-4F31-8A8D-87AE24163066}"/>
    <cellStyle name="Output 2 5 5 2 7 3 2" xfId="39621" xr:uid="{A9F2041E-DF48-4D75-9AEA-B9806EC90F3E}"/>
    <cellStyle name="Output 2 5 5 2 7 3 3" xfId="29001" xr:uid="{05F36AE7-1D53-4831-8D37-4B196A079E6C}"/>
    <cellStyle name="Output 2 5 5 2 7 4" xfId="12848" xr:uid="{34FF9AA4-3D6C-4D07-83B8-2E3637EE344A}"/>
    <cellStyle name="Output 2 5 5 2 7 4 2" xfId="35332" xr:uid="{5C5A78B9-EBA2-474E-A12E-0A9E9EE5EA9A}"/>
    <cellStyle name="Output 2 5 5 2 7 4 3" xfId="25616" xr:uid="{C4C9D625-61CF-4773-BFFC-FD47CFFD9F46}"/>
    <cellStyle name="Output 2 5 5 2 7 5" xfId="21655" xr:uid="{F272CB83-4562-4884-A5C2-D6E0832EC2C3}"/>
    <cellStyle name="Output 2 5 5 2 7 5 2" xfId="48988" xr:uid="{79EECD70-715B-4537-97DE-9FD647C09781}"/>
    <cellStyle name="Output 2 5 5 2 7 6" xfId="29637" xr:uid="{E33CF422-E83A-4205-BE24-51D92CD9CBE3}"/>
    <cellStyle name="Output 2 5 5 2 8" xfId="7058" xr:uid="{00000000-0005-0000-0000-0000FC070000}"/>
    <cellStyle name="Output 2 5 5 2 8 2" xfId="13894" xr:uid="{58B82222-841F-485D-A8C2-C84EF48D73FB}"/>
    <cellStyle name="Output 2 5 5 2 8 2 2" xfId="36378" xr:uid="{F61601BC-80B4-4402-AF11-9C596C63295F}"/>
    <cellStyle name="Output 2 5 5 2 8 2 3" xfId="47900" xr:uid="{1E6CCECA-606F-4480-8EAD-E91B92B9F6E5}"/>
    <cellStyle name="Output 2 5 5 2 8 3" xfId="18995" xr:uid="{A6E57155-66D1-4B9A-83C2-D2D3D75D63DC}"/>
    <cellStyle name="Output 2 5 5 2 8 3 2" xfId="41385" xr:uid="{1603A33A-F731-41D0-AC89-62D596533BDF}"/>
    <cellStyle name="Output 2 5 5 2 8 3 3" xfId="30224" xr:uid="{F8710518-A592-459D-B31C-3773F6D328E1}"/>
    <cellStyle name="Output 2 5 5 2 8 4" xfId="7304" xr:uid="{A3408371-22F6-404A-9B31-F2EB67AC8630}"/>
    <cellStyle name="Output 2 5 5 2 8 4 2" xfId="29992" xr:uid="{73B1242D-3E7B-4760-BF20-C032CBF71DB9}"/>
    <cellStyle name="Output 2 5 5 2 8 4 3" xfId="47864" xr:uid="{B48DFE52-ED2D-4704-8824-17B736BFE31F}"/>
    <cellStyle name="Output 2 5 5 2 8 5" xfId="23419" xr:uid="{B2E02442-1E88-45EE-BD09-A835F137AE6D}"/>
    <cellStyle name="Output 2 5 5 2 8 5 2" xfId="53384" xr:uid="{24313F5B-FFBB-407E-96DE-FDFBC0F8CBF4}"/>
    <cellStyle name="Output 2 5 5 2 8 6" xfId="48166" xr:uid="{77A59781-4347-4583-BAE3-80CDA6240238}"/>
    <cellStyle name="Output 2 5 5 2 9" xfId="7173" xr:uid="{00000000-0005-0000-0000-0000FC070000}"/>
    <cellStyle name="Output 2 5 5 2 9 2" xfId="19110" xr:uid="{B13D788A-CE5E-4BB9-98D8-7404F34803BC}"/>
    <cellStyle name="Output 2 5 5 2 9 2 2" xfId="41500" xr:uid="{0095CA26-C45B-402A-9B3E-7DD43084359F}"/>
    <cellStyle name="Output 2 5 5 2 9 2 3" xfId="25763" xr:uid="{344C6459-A4B7-4056-B116-2AC6FC3A9AD6}"/>
    <cellStyle name="Output 2 5 5 2 9 3" xfId="20930" xr:uid="{29EE532F-845D-4692-AF15-4DEFE4FB4D76}"/>
    <cellStyle name="Output 2 5 5 2 9 3 2" xfId="43189" xr:uid="{E9331978-9F76-41A1-9356-38E107DBA819}"/>
    <cellStyle name="Output 2 5 5 2 9 3 3" xfId="53579" xr:uid="{9674E93F-49F0-42B7-9C76-E958A1CDC88E}"/>
    <cellStyle name="Output 2 5 5 2 9 4" xfId="23534" xr:uid="{0C7A8DA8-EBD1-439A-91DE-FC21D8AB6ACD}"/>
    <cellStyle name="Output 2 5 5 2 9 4 2" xfId="50715" xr:uid="{DD14A420-5215-4241-9A04-896DA36DF08E}"/>
    <cellStyle name="Output 2 5 5 2 9 5" xfId="51304" xr:uid="{DFFCAACB-D357-4DFD-A5F8-10D2C5103BE2}"/>
    <cellStyle name="Output 2 5 5 3" xfId="3333" xr:uid="{00000000-0005-0000-0000-0000FB070000}"/>
    <cellStyle name="Output 2 5 5 3 2" xfId="10241" xr:uid="{AA591561-3609-4985-B0C4-C43875537BDD}"/>
    <cellStyle name="Output 2 5 5 3 2 2" xfId="32735" xr:uid="{1AF22015-B87C-4E25-8C82-6375C9B315BB}"/>
    <cellStyle name="Output 2 5 5 3 2 3" xfId="49671" xr:uid="{744BF898-4165-401D-9160-46C563530F06}"/>
    <cellStyle name="Output 2 5 5 3 3" xfId="15559" xr:uid="{C7B1EA8F-0F37-4C1A-91E2-0BB052839CD5}"/>
    <cellStyle name="Output 2 5 5 3 3 2" xfId="37978" xr:uid="{FA15136E-E8A0-4E36-8AF0-E683AAEADFDF}"/>
    <cellStyle name="Output 2 5 5 3 3 3" xfId="29330" xr:uid="{6127EBB0-73D7-4D0B-BF5A-4F881F705BED}"/>
    <cellStyle name="Output 2 5 5 3 4" xfId="19514" xr:uid="{19C8B473-6343-4F63-8B0F-C787C96C81F3}"/>
    <cellStyle name="Output 2 5 5 3 4 2" xfId="41876" xr:uid="{51C27949-C57B-4D91-9A75-42DA4E0172A4}"/>
    <cellStyle name="Output 2 5 5 3 4 3" xfId="43956" xr:uid="{CE703A43-D02F-4841-A357-822AA8CB1072}"/>
    <cellStyle name="Output 2 5 5 3 5" xfId="20732" xr:uid="{4A87A325-D82C-421B-BE82-101CC43DDC44}"/>
    <cellStyle name="Output 2 5 5 3 5 2" xfId="46588" xr:uid="{24852486-B917-4E02-95AE-57B45E45F473}"/>
    <cellStyle name="Output 2 5 5 3 6" xfId="25217" xr:uid="{AD3192E3-C11F-4947-91D4-9123683742B2}"/>
    <cellStyle name="Output 2 5 5 4" xfId="4920" xr:uid="{00000000-0005-0000-0000-0000FB070000}"/>
    <cellStyle name="Output 2 5 5 4 2" xfId="11815" xr:uid="{2FADB32D-40C5-4416-A8A0-48E93C2BF503}"/>
    <cellStyle name="Output 2 5 5 4 2 2" xfId="34301" xr:uid="{8AE0D95A-0E07-49E3-AB75-58CDB19A4E14}"/>
    <cellStyle name="Output 2 5 5 4 2 3" xfId="27730" xr:uid="{1C4654AF-5907-45B4-990A-E5B19D310FD1}"/>
    <cellStyle name="Output 2 5 5 4 3" xfId="16857" xr:uid="{8D1A1828-0DFA-4983-BEC3-5082E515CD16}"/>
    <cellStyle name="Output 2 5 5 4 3 2" xfId="39247" xr:uid="{0243FF07-EEE4-4088-B5DC-7288C2316155}"/>
    <cellStyle name="Output 2 5 5 4 3 3" xfId="45745" xr:uid="{A03FA953-E65C-4734-AD65-FBF8F96D225E}"/>
    <cellStyle name="Output 2 5 5 4 4" xfId="15191" xr:uid="{716422B6-E3C6-4E5E-8444-F2EF4B373094}"/>
    <cellStyle name="Output 2 5 5 4 4 2" xfId="37631" xr:uid="{5C7ADF45-6209-4C85-9297-2004EAAD4FEC}"/>
    <cellStyle name="Output 2 5 5 4 4 3" xfId="52501" xr:uid="{324FD43B-2E8A-452B-91A9-629121E1B125}"/>
    <cellStyle name="Output 2 5 5 4 5" xfId="19711" xr:uid="{D76DCF12-41E3-475C-89A3-853336B31E36}"/>
    <cellStyle name="Output 2 5 5 4 5 2" xfId="37301" xr:uid="{A8007CB2-6C53-404B-ABAE-807D74E0699A}"/>
    <cellStyle name="Output 2 5 5 4 6" xfId="30346" xr:uid="{D1C5CF8A-429D-4405-BA85-5742922C5A1D}"/>
    <cellStyle name="Output 2 5 5 5" xfId="2262" xr:uid="{00000000-0005-0000-0000-0000FB070000}"/>
    <cellStyle name="Output 2 5 5 5 2" xfId="9174" xr:uid="{09277626-4ED0-456B-9ABC-7DAA15EE79EB}"/>
    <cellStyle name="Output 2 5 5 5 2 2" xfId="31749" xr:uid="{8D1AE3DB-E828-4CFA-8D44-83410FE0BB3F}"/>
    <cellStyle name="Output 2 5 5 5 2 3" xfId="36505" xr:uid="{F8741EE9-50B9-4103-B807-08102F5A7185}"/>
    <cellStyle name="Output 2 5 5 5 3" xfId="14832" xr:uid="{2C62A027-16FB-4413-B1A5-FCE3207450EA}"/>
    <cellStyle name="Output 2 5 5 5 3 2" xfId="37286" xr:uid="{43B8DB0D-9F6F-4191-8507-F825400865F5}"/>
    <cellStyle name="Output 2 5 5 5 3 3" xfId="52466" xr:uid="{C336569B-27FD-4754-B686-75EB14D12C87}"/>
    <cellStyle name="Output 2 5 5 5 4" xfId="19799" xr:uid="{2AFE4B68-21F0-4BE1-9FC6-C7D54A6F529D}"/>
    <cellStyle name="Output 2 5 5 5 4 2" xfId="42137" xr:uid="{7281F24A-E5E0-4856-95EF-67CEDFEC065E}"/>
    <cellStyle name="Output 2 5 5 5 4 3" xfId="30191" xr:uid="{79DCA195-761A-4B4E-A8F4-C6495FDF2E1D}"/>
    <cellStyle name="Output 2 5 5 5 5" xfId="19918" xr:uid="{BB4E96A4-A173-45D1-8F6A-5A396C164F7C}"/>
    <cellStyle name="Output 2 5 5 5 5 2" xfId="41689" xr:uid="{A51F3734-25D7-4F6A-89FF-8AA612E54181}"/>
    <cellStyle name="Output 2 5 5 5 6" xfId="48676" xr:uid="{E27006E7-A484-4C07-A4B9-094EB946DDA8}"/>
    <cellStyle name="Output 2 5 5 6" xfId="5048" xr:uid="{00000000-0005-0000-0000-0000FB070000}"/>
    <cellStyle name="Output 2 5 5 6 2" xfId="11942" xr:uid="{9168A840-E0C6-4135-9EA0-BDD116EF42EA}"/>
    <cellStyle name="Output 2 5 5 6 2 2" xfId="34428" xr:uid="{582D3A13-9207-4794-BD77-B3329C9E2EF7}"/>
    <cellStyle name="Output 2 5 5 6 2 3" xfId="29624" xr:uid="{BBAB806D-EB63-4D43-8B06-004E3B94CB69}"/>
    <cellStyle name="Output 2 5 5 6 3" xfId="16985" xr:uid="{A9C11055-1776-4D53-A4D0-4C06BA25CA5A}"/>
    <cellStyle name="Output 2 5 5 6 3 2" xfId="39375" xr:uid="{253017D7-1646-49C5-85AD-BB18B9F440EF}"/>
    <cellStyle name="Output 2 5 5 6 3 3" xfId="45870" xr:uid="{BFED3FBD-5C96-4867-852D-F516413A9F4A}"/>
    <cellStyle name="Output 2 5 5 6 4" xfId="15736" xr:uid="{15FEF6E7-E234-496E-AD64-C9FA7735EAB2}"/>
    <cellStyle name="Output 2 5 5 6 4 2" xfId="38149" xr:uid="{0763D332-E098-462F-B4C7-0CB028CCAE7F}"/>
    <cellStyle name="Output 2 5 5 6 4 3" xfId="43677" xr:uid="{B73F1F14-CA92-40CF-A626-FBF8163943A9}"/>
    <cellStyle name="Output 2 5 5 6 5" xfId="21409" xr:uid="{F78E5D5D-1275-43C4-966D-1F61F9C83D35}"/>
    <cellStyle name="Output 2 5 5 6 5 2" xfId="43785" xr:uid="{F90B8191-A5D5-4AD6-9AEC-10A4DDB49A15}"/>
    <cellStyle name="Output 2 5 5 6 6" xfId="32812" xr:uid="{49BAB2B8-8974-46AB-A9CF-9B7D1F61530A}"/>
    <cellStyle name="Output 2 5 5 7" xfId="5135" xr:uid="{00000000-0005-0000-0000-0000FB070000}"/>
    <cellStyle name="Output 2 5 5 7 2" xfId="12028" xr:uid="{0EB4A9D0-571C-4652-8EB7-4B6F9EB3CB33}"/>
    <cellStyle name="Output 2 5 5 7 2 2" xfId="34514" xr:uid="{6B0D0D59-8DB0-4AE2-B622-08D1A52236F6}"/>
    <cellStyle name="Output 2 5 5 7 2 3" xfId="32836" xr:uid="{EDA7F0E2-7886-4175-A4D4-FE47ABB56270}"/>
    <cellStyle name="Output 2 5 5 7 3" xfId="17072" xr:uid="{884FAF88-966E-474A-84D4-928ECBDC1D09}"/>
    <cellStyle name="Output 2 5 5 7 3 2" xfId="39462" xr:uid="{C77D6635-272D-415F-AFB8-C6D51CB5625E}"/>
    <cellStyle name="Output 2 5 5 7 3 3" xfId="26295" xr:uid="{5A71A576-FC4A-4D14-9956-0EAECA2AA3E7}"/>
    <cellStyle name="Output 2 5 5 7 4" xfId="15935" xr:uid="{D78CD5BE-42F4-46D1-90B2-B06E2B409E0B}"/>
    <cellStyle name="Output 2 5 5 7 4 2" xfId="38339" xr:uid="{92DC92FB-9A86-4949-802A-91E4E08F1A7E}"/>
    <cellStyle name="Output 2 5 5 7 4 3" xfId="42072" xr:uid="{F13FFF1F-A81E-4235-8BB9-D7696042149A}"/>
    <cellStyle name="Output 2 5 5 7 5" xfId="21496" xr:uid="{C4F5A2B1-4284-4E3A-BC61-6FFCED1FEACD}"/>
    <cellStyle name="Output 2 5 5 7 5 2" xfId="26825" xr:uid="{7A483974-7DC7-4471-92B2-3F52ED89B451}"/>
    <cellStyle name="Output 2 5 5 7 6" xfId="43491" xr:uid="{B8254B46-8952-4DEC-8B26-5A0B002B1FF2}"/>
    <cellStyle name="Output 2 5 5 8" xfId="14095" xr:uid="{C79452CC-E792-482B-9C89-36CD32575FFE}"/>
    <cellStyle name="Output 2 5 5 8 2" xfId="36573" xr:uid="{F7A4E7F4-D3C1-4903-80C2-12B396B96B51}"/>
    <cellStyle name="Output 2 5 5 8 3" xfId="53963" xr:uid="{7A10E869-4335-4A6F-9B0D-A9AEEF6FD2E3}"/>
    <cellStyle name="Output 2 5 5 9" xfId="19745" xr:uid="{C52EC46F-6CAB-4CD8-90E4-E105E31AF6FC}"/>
    <cellStyle name="Output 2 5 5 9 2" xfId="42088" xr:uid="{4F5B75E8-A7CD-42D7-8731-2A82AE41F83D}"/>
    <cellStyle name="Output 2 5 5 9 3" xfId="32696" xr:uid="{77ADA9A8-2CA3-453D-AC5A-A2B52B46252D}"/>
    <cellStyle name="Output 2 5 6" xfId="1382" xr:uid="{00000000-0005-0000-0000-0000FF070000}"/>
    <cellStyle name="Output 2 5 6 10" xfId="15504" xr:uid="{6F10B184-0FE2-4F45-88CF-7668DA2AE2D8}"/>
    <cellStyle name="Output 2 5 6 10 2" xfId="50988" xr:uid="{37248206-8A43-4870-9470-E30394A124D2}"/>
    <cellStyle name="Output 2 5 6 11" xfId="51847" xr:uid="{413F0218-0470-44BF-B831-7994AA7D699E}"/>
    <cellStyle name="Output 2 5 6 2" xfId="2111" xr:uid="{00000000-0005-0000-0000-000000080000}"/>
    <cellStyle name="Output 2 5 6 2 10" xfId="14740" xr:uid="{0F0AA18C-3C8F-4C3E-BC6F-FF8BE34F5AF5}"/>
    <cellStyle name="Output 2 5 6 2 10 2" xfId="37198" xr:uid="{24F59D09-3DBD-4900-ADB3-4379A4D02929}"/>
    <cellStyle name="Output 2 5 6 2 10 3" xfId="25899" xr:uid="{6F2174BB-424F-4794-8EE2-7E9919AC52B8}"/>
    <cellStyle name="Output 2 5 6 2 11" xfId="14283" xr:uid="{B21195CD-DFFD-4AD4-9D46-30F26C0CF746}"/>
    <cellStyle name="Output 2 5 6 2 11 2" xfId="36752" xr:uid="{F73FB9A4-C5EA-4424-B65D-EEE6498ACF8B}"/>
    <cellStyle name="Output 2 5 6 2 11 3" xfId="44164" xr:uid="{08F60159-F4E2-45DD-9B66-D9248AA0905B}"/>
    <cellStyle name="Output 2 5 6 2 12" xfId="21257" xr:uid="{C18C050E-031F-41B8-ADAB-E93EA9BFF48C}"/>
    <cellStyle name="Output 2 5 6 2 12 2" xfId="48426" xr:uid="{6CDBB881-4401-4277-B03D-97FD10F3597A}"/>
    <cellStyle name="Output 2 5 6 2 13" xfId="41798" xr:uid="{87470EDC-5E20-4FC3-9032-D0E83F6515B1}"/>
    <cellStyle name="Output 2 5 6 2 2" xfId="4204" xr:uid="{00000000-0005-0000-0000-0000FE070000}"/>
    <cellStyle name="Output 2 5 6 2 2 2" xfId="11108" xr:uid="{348A4EC2-2824-484E-B52D-B7E0C32B9A91}"/>
    <cellStyle name="Output 2 5 6 2 2 2 2" xfId="33594" xr:uid="{60E3C267-E762-4C32-8A5E-45E83A234CD9}"/>
    <cellStyle name="Output 2 5 6 2 2 2 3" xfId="50165" xr:uid="{BB9D3596-40C1-4289-8929-8C77113053EC}"/>
    <cellStyle name="Output 2 5 6 2 2 3" xfId="16197" xr:uid="{A6FB6C72-4E6C-4FEC-B380-5CA579C11DC3}"/>
    <cellStyle name="Output 2 5 6 2 2 3 2" xfId="38596" xr:uid="{AEE550A6-FBB1-4402-A6D9-367199ECBE81}"/>
    <cellStyle name="Output 2 5 6 2 2 3 3" xfId="37704" xr:uid="{160EFB9A-7D2D-4DBB-BF50-A33118E914AE}"/>
    <cellStyle name="Output 2 5 6 2 2 4" xfId="21147" xr:uid="{32FD8A1C-5584-411E-8B62-61BF9C50B57B}"/>
    <cellStyle name="Output 2 5 6 2 2 4 2" xfId="43391" xr:uid="{18465A2F-5BB6-4C5D-AB76-8A9A90A51A80}"/>
    <cellStyle name="Output 2 5 6 2 2 4 3" xfId="48749" xr:uid="{C91094E5-B416-4865-B448-33199444C56C}"/>
    <cellStyle name="Output 2 5 6 2 2 5" xfId="13225" xr:uid="{C2DBF9A7-82F9-4334-9AB5-BCC299EA416C}"/>
    <cellStyle name="Output 2 5 6 2 2 5 2" xfId="27638" xr:uid="{10785646-0363-4B14-9E67-4999B5C01553}"/>
    <cellStyle name="Output 2 5 6 2 2 6" xfId="45009" xr:uid="{8061A3D5-CE0F-426D-92E8-FEBA0C1924D0}"/>
    <cellStyle name="Output 2 5 6 2 3" xfId="5530" xr:uid="{00000000-0005-0000-0000-0000FE070000}"/>
    <cellStyle name="Output 2 5 6 2 3 2" xfId="12419" xr:uid="{5BBE5B06-341E-4A4F-815F-805ECC09C7CD}"/>
    <cellStyle name="Output 2 5 6 2 3 2 2" xfId="34904" xr:uid="{A3C5FB1A-7A8D-4B56-A1CB-72000FE1E12A}"/>
    <cellStyle name="Output 2 5 6 2 3 2 3" xfId="45385" xr:uid="{1964BB09-DD0F-4E4B-B261-809F9A90DA02}"/>
    <cellStyle name="Output 2 5 6 2 3 3" xfId="17467" xr:uid="{48B49A9A-0C7A-4BCE-874A-0B23937340CA}"/>
    <cellStyle name="Output 2 5 6 2 3 3 2" xfId="39857" xr:uid="{36B8C6C4-3FC8-4AB8-A129-C2A59CE6BBB5}"/>
    <cellStyle name="Output 2 5 6 2 3 3 3" xfId="25972" xr:uid="{669B3A30-BA38-4CE3-921D-33784CC66273}"/>
    <cellStyle name="Output 2 5 6 2 3 4" xfId="15413" xr:uid="{105342B8-C5F5-4595-96DC-45092717B3E6}"/>
    <cellStyle name="Output 2 5 6 2 3 4 2" xfId="37839" xr:uid="{E5B86778-8851-4D54-9C70-1E3CEC6D2984}"/>
    <cellStyle name="Output 2 5 6 2 3 4 3" xfId="50755" xr:uid="{ABF43647-C49E-420F-83AE-016D6A0F204D}"/>
    <cellStyle name="Output 2 5 6 2 3 5" xfId="21891" xr:uid="{9F6A9482-0D8D-47FC-8691-4486FC5DDB06}"/>
    <cellStyle name="Output 2 5 6 2 3 5 2" xfId="49106" xr:uid="{5CE2268B-E936-4365-BAA2-4E2A853295E2}"/>
    <cellStyle name="Output 2 5 6 2 3 6" xfId="53720" xr:uid="{543A2D0C-6232-4511-A7F7-2E405761772B}"/>
    <cellStyle name="Output 2 5 6 2 4" xfId="5952" xr:uid="{00000000-0005-0000-0000-0000FE070000}"/>
    <cellStyle name="Output 2 5 6 2 4 2" xfId="12833" xr:uid="{CE2F02AC-7989-4B7C-AAFD-C06B0EC02358}"/>
    <cellStyle name="Output 2 5 6 2 4 2 2" xfId="35317" xr:uid="{4FCA9848-EB2A-491D-BE10-2828F0251EFA}"/>
    <cellStyle name="Output 2 5 6 2 4 2 3" xfId="53321" xr:uid="{5C47D86A-E578-4126-91C5-B10B6DBA1B7D}"/>
    <cellStyle name="Output 2 5 6 2 4 3" xfId="17889" xr:uid="{5DEF2627-DBD0-4EAB-8E2C-5DD239EE9BC2}"/>
    <cellStyle name="Output 2 5 6 2 4 3 2" xfId="40279" xr:uid="{8BD41C87-0B1A-4B54-B188-8567BA7CE08A}"/>
    <cellStyle name="Output 2 5 6 2 4 3 3" xfId="29630" xr:uid="{807353E6-2311-4800-8E67-AF1CDEE20109}"/>
    <cellStyle name="Output 2 5 6 2 4 4" xfId="19268" xr:uid="{CBA52E7C-C94F-4B3C-943D-F16D243F0348}"/>
    <cellStyle name="Output 2 5 6 2 4 4 2" xfId="41651" xr:uid="{73719184-E5A4-490B-A17C-9E005A640DC8}"/>
    <cellStyle name="Output 2 5 6 2 4 4 3" xfId="28086" xr:uid="{D109417E-A192-4EBE-8513-096BE94E4317}"/>
    <cellStyle name="Output 2 5 6 2 4 5" xfId="22313" xr:uid="{958650C6-75C9-472E-88F2-736D2BCE05E8}"/>
    <cellStyle name="Output 2 5 6 2 4 5 2" xfId="52207" xr:uid="{FF462EE4-0AC1-4CD5-8FDB-A27B1079712E}"/>
    <cellStyle name="Output 2 5 6 2 4 6" xfId="54048" xr:uid="{8F3F184F-9A9B-44F3-A872-1EAFE2D7F324}"/>
    <cellStyle name="Output 2 5 6 2 5" xfId="6292" xr:uid="{00000000-0005-0000-0000-0000FE070000}"/>
    <cellStyle name="Output 2 5 6 2 5 2" xfId="13164" xr:uid="{F36CF049-6FF4-47B4-8CD6-4B32D96C5BB0}"/>
    <cellStyle name="Output 2 5 6 2 5 2 2" xfId="35648" xr:uid="{74AB3FFE-C105-47B8-870A-516A2EACEA22}"/>
    <cellStyle name="Output 2 5 6 2 5 2 3" xfId="38102" xr:uid="{09003057-85B1-443E-A836-7C02AE92B060}"/>
    <cellStyle name="Output 2 5 6 2 5 3" xfId="18229" xr:uid="{77ED30E6-BF73-4483-9A28-E9D69CFC6520}"/>
    <cellStyle name="Output 2 5 6 2 5 3 2" xfId="40619" xr:uid="{E3731F98-955F-43F7-A452-1DC350C8E828}"/>
    <cellStyle name="Output 2 5 6 2 5 3 3" xfId="32012" xr:uid="{EBD106FA-12AC-4360-AB7F-F4203D7087E5}"/>
    <cellStyle name="Output 2 5 6 2 5 4" xfId="19178" xr:uid="{7399D473-ADE7-420D-8E39-9FA8B4458015}"/>
    <cellStyle name="Output 2 5 6 2 5 4 2" xfId="41568" xr:uid="{85724581-CECD-4055-B892-CCE0D3040DB5}"/>
    <cellStyle name="Output 2 5 6 2 5 4 3" xfId="28221" xr:uid="{92A917C2-6038-4E77-9291-93D8846A2C34}"/>
    <cellStyle name="Output 2 5 6 2 5 5" xfId="22653" xr:uid="{FF7242E7-D2BF-459F-8897-48B2E8398E54}"/>
    <cellStyle name="Output 2 5 6 2 5 5 2" xfId="52835" xr:uid="{239C12B8-F82A-42EF-9CC8-24B7C1D821EC}"/>
    <cellStyle name="Output 2 5 6 2 5 6" xfId="46630" xr:uid="{4226FF1A-DD63-4C0C-AE72-AC675FAC0E02}"/>
    <cellStyle name="Output 2 5 6 2 6" xfId="6647" xr:uid="{00000000-0005-0000-0000-0000FE070000}"/>
    <cellStyle name="Output 2 5 6 2 6 2" xfId="13513" xr:uid="{C04CB514-B17F-41E7-A8C7-DB98B6CB93F9}"/>
    <cellStyle name="Output 2 5 6 2 6 2 2" xfId="35997" xr:uid="{E9EA359D-6020-430D-9F9C-E60FE586D4A1}"/>
    <cellStyle name="Output 2 5 6 2 6 2 3" xfId="46595" xr:uid="{6EC18BFB-C85B-47B4-AF38-88CA4E248104}"/>
    <cellStyle name="Output 2 5 6 2 6 3" xfId="18584" xr:uid="{70B9CCA3-956B-4CCC-8896-B7AD8EB17E02}"/>
    <cellStyle name="Output 2 5 6 2 6 3 2" xfId="40974" xr:uid="{4AC3BA06-5304-4788-AF55-BD562220018B}"/>
    <cellStyle name="Output 2 5 6 2 6 3 3" xfId="27518" xr:uid="{9463A09B-4E88-4338-9AE4-01B7BBD66A7F}"/>
    <cellStyle name="Output 2 5 6 2 6 4" xfId="20439" xr:uid="{A85DFA84-5E38-4860-B64A-09B59C306651}"/>
    <cellStyle name="Output 2 5 6 2 6 4 2" xfId="42731" xr:uid="{7CD3762A-FBE6-45AF-822A-C6E18871A28A}"/>
    <cellStyle name="Output 2 5 6 2 6 4 3" xfId="48901" xr:uid="{9BA5EF2A-F689-4853-A09C-8C51251735D8}"/>
    <cellStyle name="Output 2 5 6 2 6 5" xfId="23008" xr:uid="{78A52E2C-E534-472C-9F4D-93FFBE87AD18}"/>
    <cellStyle name="Output 2 5 6 2 6 5 2" xfId="47367" xr:uid="{F41CDD5A-703F-4763-9EB5-6541986317B8}"/>
    <cellStyle name="Output 2 5 6 2 6 6" xfId="24372" xr:uid="{7A260B1A-B8A0-4AE1-BA37-67970A40F7B6}"/>
    <cellStyle name="Output 2 5 6 2 7" xfId="6840" xr:uid="{00000000-0005-0000-0000-0000FE070000}"/>
    <cellStyle name="Output 2 5 6 2 7 2" xfId="13684" xr:uid="{E8BABE51-F876-437B-950A-EE6EEB3CFD9A}"/>
    <cellStyle name="Output 2 5 6 2 7 2 2" xfId="36168" xr:uid="{AE31B088-B7A7-47CA-ACA9-286A4620A135}"/>
    <cellStyle name="Output 2 5 6 2 7 2 3" xfId="47654" xr:uid="{5ADFA18C-32E2-4072-AF4D-E330D7E2A220}"/>
    <cellStyle name="Output 2 5 6 2 7 3" xfId="18777" xr:uid="{338DF8B8-AAC3-493A-B547-F7A48307CE3C}"/>
    <cellStyle name="Output 2 5 6 2 7 3 2" xfId="41167" xr:uid="{91BF0A83-2192-4CCE-9D5A-3E93B3D2116C}"/>
    <cellStyle name="Output 2 5 6 2 7 3 3" xfId="44523" xr:uid="{4E881538-21EE-44E4-AACC-54B3C5AC21F6}"/>
    <cellStyle name="Output 2 5 6 2 7 4" xfId="21013" xr:uid="{70BD8A53-72CF-4B08-90CE-888216392CEA}"/>
    <cellStyle name="Output 2 5 6 2 7 4 2" xfId="43264" xr:uid="{3CE33916-6FDF-4F91-A9EC-842C008E9532}"/>
    <cellStyle name="Output 2 5 6 2 7 4 3" xfId="47996" xr:uid="{1DA2D259-CC9A-4276-A44F-0B460A4DD2E8}"/>
    <cellStyle name="Output 2 5 6 2 7 5" xfId="23201" xr:uid="{2056CCA1-0FBD-44FF-A22B-6A2B16DD73EA}"/>
    <cellStyle name="Output 2 5 6 2 7 5 2" xfId="46733" xr:uid="{84DF4B00-628E-4488-971A-829B3FDCE43F}"/>
    <cellStyle name="Output 2 5 6 2 7 6" xfId="36939" xr:uid="{83E62406-F2B1-4BA8-8532-83A1A802094A}"/>
    <cellStyle name="Output 2 5 6 2 8" xfId="7102" xr:uid="{00000000-0005-0000-0000-0000FE070000}"/>
    <cellStyle name="Output 2 5 6 2 8 2" xfId="13938" xr:uid="{C6456E10-150F-4947-807E-E2C3FE4A1440}"/>
    <cellStyle name="Output 2 5 6 2 8 2 2" xfId="36422" xr:uid="{1F6D6A27-D656-46C6-AC85-A26EA5AA8623}"/>
    <cellStyle name="Output 2 5 6 2 8 2 3" xfId="52984" xr:uid="{CA25438A-BAB1-4093-B8B3-59F5900F6AF2}"/>
    <cellStyle name="Output 2 5 6 2 8 3" xfId="19039" xr:uid="{4D9D703F-05A5-426E-99AB-1C7CD24E4CC4}"/>
    <cellStyle name="Output 2 5 6 2 8 3 2" xfId="41429" xr:uid="{B5BE0EB3-2536-4676-AF5E-A86F25F69883}"/>
    <cellStyle name="Output 2 5 6 2 8 3 3" xfId="38633" xr:uid="{A61BE2A4-F8C0-4A9D-80A4-6624166A08F9}"/>
    <cellStyle name="Output 2 5 6 2 8 4" xfId="20257" xr:uid="{D7943E53-4FF6-4A34-83F2-CF5391F871BD}"/>
    <cellStyle name="Output 2 5 6 2 8 4 2" xfId="42559" xr:uid="{5BC30B37-AA2E-4033-AD4A-C5F2615376AF}"/>
    <cellStyle name="Output 2 5 6 2 8 4 3" xfId="44803" xr:uid="{066BFAF4-BBA0-43F7-85E8-5AA8106A077B}"/>
    <cellStyle name="Output 2 5 6 2 8 5" xfId="23463" xr:uid="{850C23A8-0A21-4485-B26F-43372451CC6F}"/>
    <cellStyle name="Output 2 5 6 2 8 5 2" xfId="52307" xr:uid="{E845E0FC-AB72-4F09-9235-5CD474E84BD5}"/>
    <cellStyle name="Output 2 5 6 2 8 6" xfId="50938" xr:uid="{7189AB0B-0E85-4A0F-ADD1-D0CF9F2E2DE8}"/>
    <cellStyle name="Output 2 5 6 2 9" xfId="7217" xr:uid="{00000000-0005-0000-0000-0000FE070000}"/>
    <cellStyle name="Output 2 5 6 2 9 2" xfId="19154" xr:uid="{3F3852FD-3E41-4F39-ABEB-E895B7F6B36A}"/>
    <cellStyle name="Output 2 5 6 2 9 2 2" xfId="41544" xr:uid="{49B736D4-728F-4520-9CC0-1B7020BC824D}"/>
    <cellStyle name="Output 2 5 6 2 9 2 3" xfId="43725" xr:uid="{2545CADA-8B05-4364-8657-FB5CA4BA87E7}"/>
    <cellStyle name="Output 2 5 6 2 9 3" xfId="8730" xr:uid="{107AD8F4-DF9A-4147-A22D-9CEBB0000EA5}"/>
    <cellStyle name="Output 2 5 6 2 9 3 2" xfId="31313" xr:uid="{AC70057B-A2A6-4153-B494-49F9C1AA4EDC}"/>
    <cellStyle name="Output 2 5 6 2 9 3 3" xfId="42695" xr:uid="{8C5311E9-6D34-40C0-BE12-77089D467251}"/>
    <cellStyle name="Output 2 5 6 2 9 4" xfId="23578" xr:uid="{FD98229B-DB59-4D16-9CE7-07ADDB44D141}"/>
    <cellStyle name="Output 2 5 6 2 9 4 2" xfId="26570" xr:uid="{14599A94-93A2-4BED-809C-C47622EA4674}"/>
    <cellStyle name="Output 2 5 6 2 9 5" xfId="23858" xr:uid="{98041ED8-6123-4B3E-AEEB-742669F41AD6}"/>
    <cellStyle name="Output 2 5 6 3" xfId="3486" xr:uid="{00000000-0005-0000-0000-0000FD070000}"/>
    <cellStyle name="Output 2 5 6 3 2" xfId="10393" xr:uid="{41FAA7AD-ADF8-4B89-8DED-39B248A6A70D}"/>
    <cellStyle name="Output 2 5 6 3 2 2" xfId="32880" xr:uid="{5A0A93C7-765E-46BA-AA17-1D11FED2F5D8}"/>
    <cellStyle name="Output 2 5 6 3 2 3" xfId="48013" xr:uid="{476141E6-E490-45E8-8AB5-26B18D051D40}"/>
    <cellStyle name="Output 2 5 6 3 3" xfId="15664" xr:uid="{F3A9C572-8B6B-4AF3-A6B8-7E4A978D2565}"/>
    <cellStyle name="Output 2 5 6 3 3 2" xfId="38080" xr:uid="{F38250F0-4CAB-4A4D-937C-03C54B7FF805}"/>
    <cellStyle name="Output 2 5 6 3 3 3" xfId="45928" xr:uid="{0525A0E5-6221-4576-A222-F0B5B8C1EDAB}"/>
    <cellStyle name="Output 2 5 6 3 4" xfId="20679" xr:uid="{09BC2236-2413-4D89-B321-6BD081B2053B}"/>
    <cellStyle name="Output 2 5 6 3 4 2" xfId="42953" xr:uid="{AA733A8E-BBBD-482A-9A1F-79086272886D}"/>
    <cellStyle name="Output 2 5 6 3 4 3" xfId="48167" xr:uid="{07B0C13F-DEB7-4753-98EC-ACA473B066FA}"/>
    <cellStyle name="Output 2 5 6 3 5" xfId="19811" xr:uid="{FA9D8891-4DFA-48A7-B044-4D8639871243}"/>
    <cellStyle name="Output 2 5 6 3 5 2" xfId="41622" xr:uid="{6864B2BB-FD8B-4252-9A82-8EFA6B1F3C30}"/>
    <cellStyle name="Output 2 5 6 3 6" xfId="48575" xr:uid="{43CDB21D-97F8-4BF8-9C51-C84B58367C5A}"/>
    <cellStyle name="Output 2 5 6 4" xfId="5019" xr:uid="{00000000-0005-0000-0000-0000FD070000}"/>
    <cellStyle name="Output 2 5 6 4 2" xfId="11913" xr:uid="{B4123A2D-7FF2-43D8-9DC8-AB36F12E77AD}"/>
    <cellStyle name="Output 2 5 6 4 2 2" xfId="34399" xr:uid="{83C52918-B580-41A3-82DE-017F10DB6483}"/>
    <cellStyle name="Output 2 5 6 4 2 3" xfId="45576" xr:uid="{536A85ED-E072-4839-B615-E5587C87C6D0}"/>
    <cellStyle name="Output 2 5 6 4 3" xfId="16956" xr:uid="{5E4BAC13-3947-4E9C-94D6-6E53801AD7A0}"/>
    <cellStyle name="Output 2 5 6 4 3 2" xfId="39346" xr:uid="{CD0E186E-C6BF-4FBD-A475-52C9F5F7E968}"/>
    <cellStyle name="Output 2 5 6 4 3 3" xfId="44975" xr:uid="{17DF6B9C-ABFC-4BB5-AFF6-BD09B704B45E}"/>
    <cellStyle name="Output 2 5 6 4 4" xfId="9038" xr:uid="{E4A74F8C-603B-4841-A70F-C713D594C90D}"/>
    <cellStyle name="Output 2 5 6 4 4 2" xfId="31614" xr:uid="{57EBE709-A478-4C27-9EF0-9BF9CB0BD8F5}"/>
    <cellStyle name="Output 2 5 6 4 4 3" xfId="47866" xr:uid="{6DE674B3-4084-4B62-90FD-C9D732BD0AB7}"/>
    <cellStyle name="Output 2 5 6 4 5" xfId="21380" xr:uid="{96BB511B-0AB2-467A-B392-AD7EC19541B0}"/>
    <cellStyle name="Output 2 5 6 4 5 2" xfId="50327" xr:uid="{217F6F7C-16F6-4125-8506-A6F80226F22B}"/>
    <cellStyle name="Output 2 5 6 4 6" xfId="48116" xr:uid="{DF8C3BB2-F96E-4A3E-B8DD-F30EE4509EF2}"/>
    <cellStyle name="Output 2 5 6 5" xfId="4658" xr:uid="{00000000-0005-0000-0000-0000FD070000}"/>
    <cellStyle name="Output 2 5 6 5 2" xfId="11556" xr:uid="{15299E50-14CB-4971-91D6-9420B8F4CC5C}"/>
    <cellStyle name="Output 2 5 6 5 2 2" xfId="34042" xr:uid="{FAF5632A-0F86-4FD1-857D-28B78D43B0CE}"/>
    <cellStyle name="Output 2 5 6 5 2 3" xfId="37438" xr:uid="{086224C0-00BF-471B-BFE8-B7DCE88240DE}"/>
    <cellStyle name="Output 2 5 6 5 3" xfId="16595" xr:uid="{1F08C477-B94A-4B70-B956-151C2DDED1C4}"/>
    <cellStyle name="Output 2 5 6 5 3 2" xfId="38985" xr:uid="{15163547-DB2D-4AC7-89D9-1BFFC8CAE553}"/>
    <cellStyle name="Output 2 5 6 5 3 3" xfId="23672" xr:uid="{865AC058-57E5-4F35-B59E-EBD978A9994D}"/>
    <cellStyle name="Output 2 5 6 5 4" xfId="19730" xr:uid="{1F8CB10D-B20A-43E2-9689-70687B5AA9F3}"/>
    <cellStyle name="Output 2 5 6 5 4 2" xfId="42076" xr:uid="{5733AF01-114C-48D4-9708-10369102E835}"/>
    <cellStyle name="Output 2 5 6 5 4 3" xfId="29389" xr:uid="{805B8362-4B68-4DBD-A52C-8F3168767BC4}"/>
    <cellStyle name="Output 2 5 6 5 5" xfId="15505" xr:uid="{101A8861-B345-4AF6-8910-0ACBE7916AB1}"/>
    <cellStyle name="Output 2 5 6 5 5 2" xfId="47573" xr:uid="{7DB1DB9B-FD17-4624-9ECD-2E7C13D914B1}"/>
    <cellStyle name="Output 2 5 6 5 6" xfId="51133" xr:uid="{FF27CF0C-EB8F-4934-ABD8-38B423BE2ACC}"/>
    <cellStyle name="Output 2 5 6 6" xfId="6333" xr:uid="{00000000-0005-0000-0000-0000FD070000}"/>
    <cellStyle name="Output 2 5 6 6 2" xfId="13205" xr:uid="{06E3CDD5-0CB3-41FD-B078-6FC058104180}"/>
    <cellStyle name="Output 2 5 6 6 2 2" xfId="35689" xr:uid="{75D2C12F-FC2A-4069-8FA5-13156173BE30}"/>
    <cellStyle name="Output 2 5 6 6 2 3" xfId="44853" xr:uid="{4D0EFF53-87CC-41AC-A386-9C69C343A5DC}"/>
    <cellStyle name="Output 2 5 6 6 3" xfId="18270" xr:uid="{0FDB9C4D-E7D7-4638-8974-441F4F7E7770}"/>
    <cellStyle name="Output 2 5 6 6 3 2" xfId="40660" xr:uid="{AF32C0E8-8A5B-41AE-96EB-605C5E69FEC7}"/>
    <cellStyle name="Output 2 5 6 6 3 3" xfId="45277" xr:uid="{710158BA-1503-4630-A469-AE4DA739A304}"/>
    <cellStyle name="Output 2 5 6 6 4" xfId="8737" xr:uid="{B0A4A065-2D06-4CF0-99DE-52D3B84475B1}"/>
    <cellStyle name="Output 2 5 6 6 4 2" xfId="31320" xr:uid="{E0DC0A57-D817-40D6-A678-EBF79F7E298B}"/>
    <cellStyle name="Output 2 5 6 6 4 3" xfId="46521" xr:uid="{E53B1404-91CE-4EA5-8CEF-B61E985AF0FB}"/>
    <cellStyle name="Output 2 5 6 6 5" xfId="22694" xr:uid="{C5581F4C-FAA9-4A92-9237-4547A88AE770}"/>
    <cellStyle name="Output 2 5 6 6 5 2" xfId="47587" xr:uid="{EFDCD69A-5278-403F-ABC1-32274E78535A}"/>
    <cellStyle name="Output 2 5 6 6 6" xfId="43523" xr:uid="{59A881D4-FE87-4C91-B96E-A438701A8CE2}"/>
    <cellStyle name="Output 2 5 6 7" xfId="5553" xr:uid="{00000000-0005-0000-0000-0000FD070000}"/>
    <cellStyle name="Output 2 5 6 7 2" xfId="12441" xr:uid="{A7D9A0CE-D7EC-4240-A596-1D33AA59A956}"/>
    <cellStyle name="Output 2 5 6 7 2 2" xfId="34926" xr:uid="{50891F0D-7B9E-4EC1-8C6D-C9C3936B8CDC}"/>
    <cellStyle name="Output 2 5 6 7 2 3" xfId="38624" xr:uid="{076056D4-1B59-4C21-B3B5-24F285B8D904}"/>
    <cellStyle name="Output 2 5 6 7 3" xfId="17490" xr:uid="{45073B48-43E4-44A9-BFEA-B8C789E08CE5}"/>
    <cellStyle name="Output 2 5 6 7 3 2" xfId="39880" xr:uid="{7977AFC9-1ED4-4A42-B619-A31C5F48E735}"/>
    <cellStyle name="Output 2 5 6 7 3 3" xfId="29066" xr:uid="{FEEC8266-77E4-4095-81A4-67CA17DCD327}"/>
    <cellStyle name="Output 2 5 6 7 4" xfId="8819" xr:uid="{C133900E-636A-493F-892E-42EFBDCC5E69}"/>
    <cellStyle name="Output 2 5 6 7 4 2" xfId="31400" xr:uid="{6599E659-630B-4FDA-BBCC-501B2F8BA851}"/>
    <cellStyle name="Output 2 5 6 7 4 3" xfId="49712" xr:uid="{AEF8A836-FA78-4D8D-BDE8-8CA1E485CAAC}"/>
    <cellStyle name="Output 2 5 6 7 5" xfId="21914" xr:uid="{2BF06507-8BE7-45F7-9069-9E4FEEE33E9A}"/>
    <cellStyle name="Output 2 5 6 7 5 2" xfId="26465" xr:uid="{CB54FF79-483B-4B2E-8134-4C01023EC30D}"/>
    <cellStyle name="Output 2 5 6 7 6" xfId="45765" xr:uid="{BBE6D9AA-C2FC-4E66-B5BC-C8202CDD7F7C}"/>
    <cellStyle name="Output 2 5 6 8" xfId="14201" xr:uid="{5937D048-F8DE-43AF-ABF8-01ED1A8CDA96}"/>
    <cellStyle name="Output 2 5 6 8 2" xfId="36676" xr:uid="{8D6027D8-C488-44F8-AC07-5EC95575B2AB}"/>
    <cellStyle name="Output 2 5 6 8 3" xfId="46743" xr:uid="{B4C52282-E8D8-4836-9D20-2AC1B7A12808}"/>
    <cellStyle name="Output 2 5 6 9" xfId="20846" xr:uid="{7165E979-9F9C-4915-B503-5EFAA56D0077}"/>
    <cellStyle name="Output 2 5 6 9 2" xfId="43111" xr:uid="{819D44BC-586F-4BB9-92BB-E234189A78B8}"/>
    <cellStyle name="Output 2 5 6 9 3" xfId="24493" xr:uid="{542CC3B4-D80F-44C7-833C-24A136CB3F33}"/>
    <cellStyle name="Output 2 5 7" xfId="1654" xr:uid="{00000000-0005-0000-0000-000001080000}"/>
    <cellStyle name="Output 2 5 7 10" xfId="14368" xr:uid="{80184E48-4FB1-430D-80D1-044AD1EB285F}"/>
    <cellStyle name="Output 2 5 7 10 2" xfId="36836" xr:uid="{0D8F30CD-D95A-4511-B562-2B65018DCD25}"/>
    <cellStyle name="Output 2 5 7 10 3" xfId="48758" xr:uid="{5D0527B7-C194-49C7-A8EF-4FA408513E3B}"/>
    <cellStyle name="Output 2 5 7 11" xfId="21032" xr:uid="{FF7CB244-7C3A-4E76-B1B2-D5D70559367B}"/>
    <cellStyle name="Output 2 5 7 11 2" xfId="43282" xr:uid="{15C06129-EC5C-4039-A666-53605A37D4E4}"/>
    <cellStyle name="Output 2 5 7 11 3" xfId="42449" xr:uid="{0D100E2E-0566-43A2-B5CE-F9B35C791100}"/>
    <cellStyle name="Output 2 5 7 12" xfId="20862" xr:uid="{8CDEA653-5CB6-41B1-A791-955D75F7E6E3}"/>
    <cellStyle name="Output 2 5 7 12 2" xfId="44193" xr:uid="{67B963E2-20F3-4BC8-B78E-5CC10AA3D16E}"/>
    <cellStyle name="Output 2 5 7 13" xfId="46045" xr:uid="{B4650FA6-41A6-4A03-8AB1-DBC419AE7168}"/>
    <cellStyle name="Output 2 5 7 2" xfId="3752" xr:uid="{00000000-0005-0000-0000-0000FF070000}"/>
    <cellStyle name="Output 2 5 7 2 2" xfId="10656" xr:uid="{5BC610E7-6447-4762-8DC1-F03AB21ADB23}"/>
    <cellStyle name="Output 2 5 7 2 2 2" xfId="33142" xr:uid="{B77F225A-9916-4A56-ADD5-2C24083AACFE}"/>
    <cellStyle name="Output 2 5 7 2 2 3" xfId="50860" xr:uid="{5E70F62D-FC5F-49C9-978E-63F063BE9796}"/>
    <cellStyle name="Output 2 5 7 2 3" xfId="15833" xr:uid="{581F7F1A-1034-4745-A0F2-4548537D62FB}"/>
    <cellStyle name="Output 2 5 7 2 3 2" xfId="38241" xr:uid="{405FC4F2-75E2-4A4E-8930-D3AD96FBDC41}"/>
    <cellStyle name="Output 2 5 7 2 3 3" xfId="53463" xr:uid="{7ABE0051-7D71-4144-BCBD-282FEC184F95}"/>
    <cellStyle name="Output 2 5 7 2 4" xfId="21218" xr:uid="{8F079B1C-F4EC-4019-8C69-4209731B12AB}"/>
    <cellStyle name="Output 2 5 7 2 4 2" xfId="43457" xr:uid="{9270FE26-E8FC-46BB-ADC7-AD1D93E1243C}"/>
    <cellStyle name="Output 2 5 7 2 4 3" xfId="51056" xr:uid="{8E6E24A7-6F4D-4F44-878B-2451AC54D8E6}"/>
    <cellStyle name="Output 2 5 7 2 5" xfId="19716" xr:uid="{7A5106B9-50CF-4B48-B765-4FD61FBBC561}"/>
    <cellStyle name="Output 2 5 7 2 5 2" xfId="33731" xr:uid="{3E96B4EA-BD56-443D-A394-31E71E30E867}"/>
    <cellStyle name="Output 2 5 7 2 6" xfId="51768" xr:uid="{DDAA8D4E-9DAF-49F9-A2C0-B496D10AE195}"/>
    <cellStyle name="Output 2 5 7 3" xfId="5187" xr:uid="{00000000-0005-0000-0000-0000FF070000}"/>
    <cellStyle name="Output 2 5 7 3 2" xfId="12080" xr:uid="{4A873E13-E848-4965-9A47-CFB01CCE5EED}"/>
    <cellStyle name="Output 2 5 7 3 2 2" xfId="34566" xr:uid="{0B626959-0384-44E5-A6B8-E8FE613E9C55}"/>
    <cellStyle name="Output 2 5 7 3 2 3" xfId="45743" xr:uid="{50ACB338-499C-44D4-95FD-B026E30214C5}"/>
    <cellStyle name="Output 2 5 7 3 3" xfId="17124" xr:uid="{3DB66707-46F9-445E-94D0-858DA8E27261}"/>
    <cellStyle name="Output 2 5 7 3 3 2" xfId="39514" xr:uid="{310C2AF9-1A0D-426C-9799-DEAD90F6F6CF}"/>
    <cellStyle name="Output 2 5 7 3 3 3" xfId="28869" xr:uid="{4292456C-FBAB-47F3-A04A-DEFCC8FEC7EB}"/>
    <cellStyle name="Output 2 5 7 3 4" xfId="19192" xr:uid="{B605E6EE-0900-4DD9-8A6D-5E4B9C545611}"/>
    <cellStyle name="Output 2 5 7 3 4 2" xfId="41581" xr:uid="{9C556685-A03A-4E15-B0AB-DB4A2F5CE794}"/>
    <cellStyle name="Output 2 5 7 3 4 3" xfId="45033" xr:uid="{D40C4F7E-811B-486A-81CC-5901403F595C}"/>
    <cellStyle name="Output 2 5 7 3 5" xfId="21548" xr:uid="{2383243A-7001-4705-9746-35FEE3BCF6AB}"/>
    <cellStyle name="Output 2 5 7 3 5 2" xfId="52600" xr:uid="{94ACEB19-DC44-43C0-8999-16C8DD862367}"/>
    <cellStyle name="Output 2 5 7 3 6" xfId="50006" xr:uid="{08318C33-C2AD-4A98-B9A3-C7911C740934}"/>
    <cellStyle name="Output 2 5 7 4" xfId="4348" xr:uid="{00000000-0005-0000-0000-0000FF070000}"/>
    <cellStyle name="Output 2 5 7 4 2" xfId="11251" xr:uid="{572827D7-7387-490E-90BD-6EC01B5A84A6}"/>
    <cellStyle name="Output 2 5 7 4 2 2" xfId="33737" xr:uid="{C201B57A-E4B9-42DA-845B-E2F1D4B92BF5}"/>
    <cellStyle name="Output 2 5 7 4 2 3" xfId="29249" xr:uid="{CA5851F5-8E99-4530-83AF-6B708B59D1CA}"/>
    <cellStyle name="Output 2 5 7 4 3" xfId="16285" xr:uid="{3AAF47B7-3A75-4725-94E7-74F4B1DB316C}"/>
    <cellStyle name="Output 2 5 7 4 3 2" xfId="38675" xr:uid="{4B9448D7-B7B7-4D4E-A259-CF89D3B8D1A5}"/>
    <cellStyle name="Output 2 5 7 4 3 3" xfId="25897" xr:uid="{934155F6-3404-4E38-901C-B891A64BD286}"/>
    <cellStyle name="Output 2 5 7 4 4" xfId="8746" xr:uid="{008EC69C-90AF-4C74-B847-10EBC4B85EF1}"/>
    <cellStyle name="Output 2 5 7 4 4 2" xfId="31329" xr:uid="{9B525066-4D86-45D4-ACFE-C6E7DD318968}"/>
    <cellStyle name="Output 2 5 7 4 4 3" xfId="29293" xr:uid="{E231DD1F-4174-4E75-992D-500DA9778155}"/>
    <cellStyle name="Output 2 5 7 4 5" xfId="21268" xr:uid="{A5592FCF-D6F1-4085-8038-7F8B3164C0B1}"/>
    <cellStyle name="Output 2 5 7 4 5 2" xfId="30758" xr:uid="{A23D78A6-DF8C-41E5-94AC-D901D60991EC}"/>
    <cellStyle name="Output 2 5 7 4 6" xfId="44850" xr:uid="{E2C7CABF-89F0-4450-A169-320F058E6698}"/>
    <cellStyle name="Output 2 5 7 5" xfId="2293" xr:uid="{00000000-0005-0000-0000-0000FF070000}"/>
    <cellStyle name="Output 2 5 7 5 2" xfId="9204" xr:uid="{3165B49B-995B-48BF-86EB-3AB0B1081FCB}"/>
    <cellStyle name="Output 2 5 7 5 2 2" xfId="31779" xr:uid="{77B5F217-79B1-46E1-AEE6-7B96767EBC5D}"/>
    <cellStyle name="Output 2 5 7 5 2 3" xfId="49633" xr:uid="{73E15D92-9BDB-4FCB-B461-0781AEE6BA49}"/>
    <cellStyle name="Output 2 5 7 5 3" xfId="14860" xr:uid="{05F7A30D-F081-4F5B-A539-49D5A997CE4E}"/>
    <cellStyle name="Output 2 5 7 5 3 2" xfId="37314" xr:uid="{815E54CB-6DF3-4401-9525-3B95E03020A8}"/>
    <cellStyle name="Output 2 5 7 5 3 3" xfId="50750" xr:uid="{2396C0BE-B361-4974-8535-5D7AB7BF54D1}"/>
    <cellStyle name="Output 2 5 7 5 4" xfId="20124" xr:uid="{3D132502-B22E-498A-B995-D52F1183DCCB}"/>
    <cellStyle name="Output 2 5 7 5 4 2" xfId="42438" xr:uid="{25A50A96-259B-4EDE-A291-1B380068EAC3}"/>
    <cellStyle name="Output 2 5 7 5 4 3" xfId="30156" xr:uid="{A50CC328-2DAF-43E7-A4CD-9599BAB81479}"/>
    <cellStyle name="Output 2 5 7 5 5" xfId="20608" xr:uid="{5FD1FFAE-0233-46F4-A355-138CA6D8EF49}"/>
    <cellStyle name="Output 2 5 7 5 5 2" xfId="30219" xr:uid="{56DAED09-3035-436D-8CF8-C59C4B3018A2}"/>
    <cellStyle name="Output 2 5 7 5 6" xfId="29102" xr:uid="{BC290CEC-563C-493F-B069-A9CE6BF79346}"/>
    <cellStyle name="Output 2 5 7 6" xfId="4869" xr:uid="{00000000-0005-0000-0000-0000FF070000}"/>
    <cellStyle name="Output 2 5 7 6 2" xfId="11765" xr:uid="{C10C3CB1-19F9-4378-83FA-AEB524602065}"/>
    <cellStyle name="Output 2 5 7 6 2 2" xfId="34251" xr:uid="{5651F8A3-F2A9-47CD-BA15-380E5FF8E7D2}"/>
    <cellStyle name="Output 2 5 7 6 2 3" xfId="25820" xr:uid="{82581578-31FE-4A47-AC6F-B16C240D99A1}"/>
    <cellStyle name="Output 2 5 7 6 3" xfId="16806" xr:uid="{751B45BA-F284-4544-AEBD-6CAC23AFC08F}"/>
    <cellStyle name="Output 2 5 7 6 3 2" xfId="39196" xr:uid="{2320822D-60E3-43BB-B4FE-47557376E4A0}"/>
    <cellStyle name="Output 2 5 7 6 3 3" xfId="29337" xr:uid="{5B666195-E902-46DD-B353-01A2E44DE234}"/>
    <cellStyle name="Output 2 5 7 6 4" xfId="15710" xr:uid="{78EFA8C7-4A46-49EA-BD91-624A654DD16D}"/>
    <cellStyle name="Output 2 5 7 6 4 2" xfId="38123" xr:uid="{E5C00985-8CAB-44BC-9BD7-FC9A264AEA3E}"/>
    <cellStyle name="Output 2 5 7 6 4 3" xfId="45256" xr:uid="{18363471-5CA0-4841-AC46-936810F13478}"/>
    <cellStyle name="Output 2 5 7 6 5" xfId="20361" xr:uid="{B67A5FB4-2B76-484D-A912-E34C409CC77A}"/>
    <cellStyle name="Output 2 5 7 6 5 2" xfId="51945" xr:uid="{DF64172C-533E-453B-86E4-A0DE65DCF317}"/>
    <cellStyle name="Output 2 5 7 6 6" xfId="52442" xr:uid="{4FDDC64C-1E05-4736-ADB6-60CE85532738}"/>
    <cellStyle name="Output 2 5 7 7" xfId="6829" xr:uid="{00000000-0005-0000-0000-0000FF070000}"/>
    <cellStyle name="Output 2 5 7 7 2" xfId="13674" xr:uid="{18DE4220-D941-4E7B-AD26-63D3AA38242E}"/>
    <cellStyle name="Output 2 5 7 7 2 2" xfId="36158" xr:uid="{29D2320B-B580-4DAA-A3E8-840BF3D5B342}"/>
    <cellStyle name="Output 2 5 7 7 2 3" xfId="45442" xr:uid="{43A6F517-AB5B-473D-8CB2-06B126EE724C}"/>
    <cellStyle name="Output 2 5 7 7 3" xfId="18766" xr:uid="{34D191B9-5D29-40CB-A6BB-E2D625F70093}"/>
    <cellStyle name="Output 2 5 7 7 3 2" xfId="41156" xr:uid="{BE9BA1E8-8CB7-40D3-9940-850A89F19F92}"/>
    <cellStyle name="Output 2 5 7 7 3 3" xfId="45541" xr:uid="{9059C95E-38FE-4130-96AC-A5C8E356A4CB}"/>
    <cellStyle name="Output 2 5 7 7 4" xfId="20294" xr:uid="{086B829E-CCBE-4F40-9EF4-48D07896A92B}"/>
    <cellStyle name="Output 2 5 7 7 4 2" xfId="42594" xr:uid="{9BDAF27B-4B9B-49EB-8C72-F384CEA48CD1}"/>
    <cellStyle name="Output 2 5 7 7 4 3" xfId="42046" xr:uid="{282307BA-275E-448A-AF47-5950C22AA569}"/>
    <cellStyle name="Output 2 5 7 7 5" xfId="23190" xr:uid="{43E7A2E6-E28B-4E67-8AF3-299B40827D33}"/>
    <cellStyle name="Output 2 5 7 7 5 2" xfId="25678" xr:uid="{7B027097-11B5-4463-B1CF-8CD5A9BBB8FA}"/>
    <cellStyle name="Output 2 5 7 7 6" xfId="47426" xr:uid="{FC888C52-039F-4EC2-BF86-C96FD93D1E25}"/>
    <cellStyle name="Output 2 5 7 8" xfId="6554" xr:uid="{00000000-0005-0000-0000-0000FF070000}"/>
    <cellStyle name="Output 2 5 7 8 2" xfId="13421" xr:uid="{79F6551B-A30D-4755-AFBA-E55961703529}"/>
    <cellStyle name="Output 2 5 7 8 2 2" xfId="35905" xr:uid="{F99EAE19-8868-4BE9-945D-0084AB67ED8E}"/>
    <cellStyle name="Output 2 5 7 8 2 3" xfId="52487" xr:uid="{3C3D729B-2370-4239-88D2-057925A2D477}"/>
    <cellStyle name="Output 2 5 7 8 3" xfId="18491" xr:uid="{26151003-7B4F-447A-8BEA-2CA730807576}"/>
    <cellStyle name="Output 2 5 7 8 3 2" xfId="40881" xr:uid="{B0370D32-7F34-4DD5-8BCB-003CC5341D69}"/>
    <cellStyle name="Output 2 5 7 8 3 3" xfId="44874" xr:uid="{8476BB83-31BE-48D4-84A5-169D5A7BC51D}"/>
    <cellStyle name="Output 2 5 7 8 4" xfId="14702" xr:uid="{D4DED22C-FC3A-4DA5-940F-F7560F824ECA}"/>
    <cellStyle name="Output 2 5 7 8 4 2" xfId="37160" xr:uid="{921FE462-60C4-489A-ADF0-36CB4576EC43}"/>
    <cellStyle name="Output 2 5 7 8 4 3" xfId="50302" xr:uid="{035DC1C0-3390-4534-BB3B-1DB93889373B}"/>
    <cellStyle name="Output 2 5 7 8 5" xfId="22915" xr:uid="{10581AD3-4584-484F-919B-1776D05B395B}"/>
    <cellStyle name="Output 2 5 7 8 5 2" xfId="44867" xr:uid="{CB66DBBD-A002-476C-98DF-8CBACC0D294B}"/>
    <cellStyle name="Output 2 5 7 8 6" xfId="48160" xr:uid="{A92387E4-6663-4D66-A8D7-FC39C24C072F}"/>
    <cellStyle name="Output 2 5 7 9" xfId="4871" xr:uid="{00000000-0005-0000-0000-0000FF070000}"/>
    <cellStyle name="Output 2 5 7 9 2" xfId="16808" xr:uid="{52B6DACE-C377-414E-B8D6-3DEFCF725725}"/>
    <cellStyle name="Output 2 5 7 9 2 2" xfId="39198" xr:uid="{605E34AD-F647-4495-BD72-78104CC3A620}"/>
    <cellStyle name="Output 2 5 7 9 2 3" xfId="30297" xr:uid="{C37D40E1-4036-43D4-84E3-4039CEECB2C6}"/>
    <cellStyle name="Output 2 5 7 9 3" xfId="15283" xr:uid="{7782F0B2-37DE-4950-A389-0BD90406746A}"/>
    <cellStyle name="Output 2 5 7 9 3 2" xfId="37716" xr:uid="{E6C43B3B-6D12-41AA-BD5B-24087D30C720}"/>
    <cellStyle name="Output 2 5 7 9 3 3" xfId="45942" xr:uid="{D7168DF2-A5ED-462B-9F7B-B1E260ABC114}"/>
    <cellStyle name="Output 2 5 7 9 4" xfId="21220" xr:uid="{64E8BA75-F42E-4843-A489-463D0DE8A45C}"/>
    <cellStyle name="Output 2 5 7 9 4 2" xfId="26363" xr:uid="{DB59DFA7-36EF-489D-9E12-61B17970BA70}"/>
    <cellStyle name="Output 2 5 7 9 5" xfId="37231" xr:uid="{6E0BCF8D-1719-4E88-BFFB-1E6D3B64F7EA}"/>
    <cellStyle name="Output 2 5 8" xfId="2602" xr:uid="{00000000-0005-0000-0000-0000F4070000}"/>
    <cellStyle name="Output 2 5 8 2" xfId="9511" xr:uid="{E1BA7236-E8DF-4F0F-9016-184256369E9C}"/>
    <cellStyle name="Output 2 5 8 2 2" xfId="32063" xr:uid="{CE4FDF91-5282-46AE-958F-D43E7C805A31}"/>
    <cellStyle name="Output 2 5 8 2 3" xfId="45782" xr:uid="{AA957206-2AAC-443C-8C32-993A0870D130}"/>
    <cellStyle name="Output 2 5 8 3" xfId="15080" xr:uid="{B472BFCD-91FF-4318-BEE0-69810FF25FE7}"/>
    <cellStyle name="Output 2 5 8 3 2" xfId="37525" xr:uid="{4A7F5AE0-2151-477B-B822-CA92C7682283}"/>
    <cellStyle name="Output 2 5 8 3 3" xfId="49465" xr:uid="{F10533F5-A931-4B97-83A1-5F31702017CA}"/>
    <cellStyle name="Output 2 5 8 4" xfId="8286" xr:uid="{2ED92127-D988-4488-975B-55202CA0421F}"/>
    <cellStyle name="Output 2 5 8 4 2" xfId="30886" xr:uid="{72B107BA-91A9-4BD9-8740-8AF6A70605D8}"/>
    <cellStyle name="Output 2 5 8 4 3" xfId="36096" xr:uid="{904F8DCB-299F-4170-BA54-0CCBA7FA6A29}"/>
    <cellStyle name="Output 2 5 8 5" xfId="19218" xr:uid="{F75310F9-54DE-4605-B852-136A072A4C7E}"/>
    <cellStyle name="Output 2 5 8 5 2" xfId="45222" xr:uid="{0AB46C85-B574-4B25-838F-EBA015E1E0E7}"/>
    <cellStyle name="Output 2 5 8 6" xfId="37491" xr:uid="{2384A68D-90E7-448A-AB7E-ADA51C7897BB}"/>
    <cellStyle name="Output 2 5 9" xfId="4432" xr:uid="{00000000-0005-0000-0000-0000F4070000}"/>
    <cellStyle name="Output 2 5 9 2" xfId="11334" xr:uid="{44EDE1D0-809A-4638-BBD5-E6C2C4F17120}"/>
    <cellStyle name="Output 2 5 9 2 2" xfId="33820" xr:uid="{186D5B60-A1BF-4DB1-9A5A-BA973C1C38B5}"/>
    <cellStyle name="Output 2 5 9 2 3" xfId="29182" xr:uid="{9E23E2CD-3691-4965-8DF1-ECDE42DDA868}"/>
    <cellStyle name="Output 2 5 9 3" xfId="16369" xr:uid="{CD515499-7A03-414F-B2AA-D7ECA0ED12D0}"/>
    <cellStyle name="Output 2 5 9 3 2" xfId="38759" xr:uid="{B4BB9F41-3149-4BCB-BDF3-E7E4D936D9FA}"/>
    <cellStyle name="Output 2 5 9 3 3" xfId="45533" xr:uid="{73A90FA7-DDB7-497E-8EAD-227F1D919157}"/>
    <cellStyle name="Output 2 5 9 4" xfId="14034" xr:uid="{7EBF94C1-3EF0-43A6-9D17-9A11C36A9391}"/>
    <cellStyle name="Output 2 5 9 4 2" xfId="36516" xr:uid="{E4764CAB-2F1B-499F-875D-E710CEABE13E}"/>
    <cellStyle name="Output 2 5 9 4 3" xfId="51163" xr:uid="{2EFBC0A1-A03C-4A84-98A5-45A0C1FFFEC4}"/>
    <cellStyle name="Output 2 5 9 5" xfId="8662" xr:uid="{39520ACE-6BCF-4C17-A6D2-74820DDD1AEC}"/>
    <cellStyle name="Output 2 5 9 5 2" xfId="47631" xr:uid="{5B3B40B4-AC03-4608-A18A-4EBB93169E2A}"/>
    <cellStyle name="Output 2 5 9 6" xfId="47935" xr:uid="{0A8F855F-8CC0-4686-885E-BAB61712203C}"/>
    <cellStyle name="Output 2 6" xfId="426" xr:uid="{00000000-0005-0000-0000-000002080000}"/>
    <cellStyle name="Output 2 6 10" xfId="4640" xr:uid="{00000000-0005-0000-0000-000000080000}"/>
    <cellStyle name="Output 2 6 10 2" xfId="11540" xr:uid="{B13DF1EE-FAAC-49F8-933B-0FE3F4B2CEBA}"/>
    <cellStyle name="Output 2 6 10 2 2" xfId="34026" xr:uid="{CF32D0AA-D54F-4115-8F09-9604CC9D99AA}"/>
    <cellStyle name="Output 2 6 10 2 3" xfId="29355" xr:uid="{0083DD32-6A67-4C29-86D6-8318BD6F7123}"/>
    <cellStyle name="Output 2 6 10 3" xfId="16577" xr:uid="{199522F6-0F6D-42BC-A815-DFE134100ECD}"/>
    <cellStyle name="Output 2 6 10 3 2" xfId="38967" xr:uid="{2E6CB739-792F-44FB-A06D-4CDCD31C2C63}"/>
    <cellStyle name="Output 2 6 10 3 3" xfId="45588" xr:uid="{5CE22C3D-AF1E-4BE7-A2B1-7E2862342222}"/>
    <cellStyle name="Output 2 6 10 4" xfId="15701" xr:uid="{E1F1B11F-8848-4340-A462-6C1ED1CEE3BC}"/>
    <cellStyle name="Output 2 6 10 4 2" xfId="38115" xr:uid="{EE262863-196C-4F70-AF86-E6EF03C5D144}"/>
    <cellStyle name="Output 2 6 10 4 3" xfId="51231" xr:uid="{587AADA1-4B9E-436F-A4DB-8B6A6F1C3C22}"/>
    <cellStyle name="Output 2 6 10 5" xfId="7375" xr:uid="{FC06CBCF-264A-4C38-B4FB-78A4B2AEF1F3}"/>
    <cellStyle name="Output 2 6 10 5 2" xfId="24759" xr:uid="{42A5EF64-E7C5-46E7-89A5-7FBA4FC88284}"/>
    <cellStyle name="Output 2 6 10 6" xfId="46090" xr:uid="{8E5CA95B-E699-460B-A482-21EB21425179}"/>
    <cellStyle name="Output 2 6 11" xfId="5904" xr:uid="{00000000-0005-0000-0000-000000080000}"/>
    <cellStyle name="Output 2 6 11 2" xfId="12785" xr:uid="{615E2F66-29D0-404D-891D-956007E0FD85}"/>
    <cellStyle name="Output 2 6 11 2 2" xfId="35269" xr:uid="{322BC2C8-78F0-40BC-B241-04790C2A481A}"/>
    <cellStyle name="Output 2 6 11 2 3" xfId="23673" xr:uid="{4D09618C-5FB6-4914-8C0A-C0CD955C7116}"/>
    <cellStyle name="Output 2 6 11 3" xfId="17841" xr:uid="{A288F6C1-EE7C-4D25-84A6-8671FFF4C9FF}"/>
    <cellStyle name="Output 2 6 11 3 2" xfId="40231" xr:uid="{D008D1A5-8C6B-461D-AAC4-ACE65D59ADA8}"/>
    <cellStyle name="Output 2 6 11 3 3" xfId="29809" xr:uid="{971AD970-BCEF-4CB5-B210-A7C95055EEF9}"/>
    <cellStyle name="Output 2 6 11 4" xfId="12987" xr:uid="{8ECFC0F5-3E4D-4165-973D-6B4661896E2B}"/>
    <cellStyle name="Output 2 6 11 4 2" xfId="35471" xr:uid="{502C7566-B321-4762-897B-083D05A64B03}"/>
    <cellStyle name="Output 2 6 11 4 3" xfId="50474" xr:uid="{B9188C9F-38F2-420A-854D-BC2E9F0E0704}"/>
    <cellStyle name="Output 2 6 11 5" xfId="22265" xr:uid="{822B037A-0735-4F08-8719-A47D36A63A57}"/>
    <cellStyle name="Output 2 6 11 5 2" xfId="48364" xr:uid="{4E77A84C-D9F3-4165-9942-23F679D7C02F}"/>
    <cellStyle name="Output 2 6 11 6" xfId="49252" xr:uid="{3033DC60-F682-4533-A677-B9E3DD3DA496}"/>
    <cellStyle name="Output 2 6 12" xfId="6787" xr:uid="{00000000-0005-0000-0000-000000080000}"/>
    <cellStyle name="Output 2 6 12 2" xfId="13637" xr:uid="{84F03EC7-CE09-4A83-8226-43F2F66A503C}"/>
    <cellStyle name="Output 2 6 12 2 2" xfId="36121" xr:uid="{D9C50488-2878-4464-97BF-19639800D4A0}"/>
    <cellStyle name="Output 2 6 12 2 3" xfId="47146" xr:uid="{39E2B89E-CFD2-4B1D-BCB8-559AFCA1CA69}"/>
    <cellStyle name="Output 2 6 12 3" xfId="18724" xr:uid="{70551302-CAF2-4F58-BA3E-B8D45F979D9D}"/>
    <cellStyle name="Output 2 6 12 3 2" xfId="41114" xr:uid="{BA3B9698-A1D5-4807-BF84-95E46579209C}"/>
    <cellStyle name="Output 2 6 12 3 3" xfId="41704" xr:uid="{75C67D8E-9F45-472C-A1AA-4352BE4F84FB}"/>
    <cellStyle name="Output 2 6 12 4" xfId="21103" xr:uid="{4A378892-60B4-44F5-9153-12F9E564C64C}"/>
    <cellStyle name="Output 2 6 12 4 2" xfId="43350" xr:uid="{2CDCDDBE-574B-4E16-8967-72848A0D698C}"/>
    <cellStyle name="Output 2 6 12 4 3" xfId="52700" xr:uid="{96DBF9E5-4AD5-430B-923C-4C66296A649A}"/>
    <cellStyle name="Output 2 6 12 5" xfId="23148" xr:uid="{B758CC83-62FC-41C2-B63E-7F4EF97AC659}"/>
    <cellStyle name="Output 2 6 12 5 2" xfId="24886" xr:uid="{F0973C57-50F8-487F-ABE7-B1C8588E296B}"/>
    <cellStyle name="Output 2 6 12 6" xfId="53757" xr:uid="{35662A97-DEA4-4CEC-BC19-6E020FD546E1}"/>
    <cellStyle name="Output 2 6 13" xfId="8108" xr:uid="{B83740B9-7523-4B65-8B64-6E185B05229A}"/>
    <cellStyle name="Output 2 6 13 2" xfId="30721" xr:uid="{24BCC33E-8219-4E86-802A-9978C5422DA9}"/>
    <cellStyle name="Output 2 6 13 3" xfId="53675" xr:uid="{083D4B5B-A0EC-4F11-B24C-A29BC6094897}"/>
    <cellStyle name="Output 2 6 14" xfId="20369" xr:uid="{68341DD8-A53A-4B40-9E0C-1A3C5B05CF97}"/>
    <cellStyle name="Output 2 6 14 2" xfId="42666" xr:uid="{C700CB2C-E94C-4301-8906-1067870B0B0A}"/>
    <cellStyle name="Output 2 6 14 3" xfId="50970" xr:uid="{C886C528-3DBD-415D-B823-D2A1355CC041}"/>
    <cellStyle name="Output 2 6 15" xfId="19643" xr:uid="{9AC19DDD-BE85-4925-AE27-E93EC1637FAE}"/>
    <cellStyle name="Output 2 6 15 2" xfId="43556" xr:uid="{01F57111-30FC-49F7-9F02-848E9B4CAF1D}"/>
    <cellStyle name="Output 2 6 16" xfId="46375" xr:uid="{FAED9564-A1F3-4B85-AC8F-26FB8304FA4A}"/>
    <cellStyle name="Output 2 6 2" xfId="581" xr:uid="{00000000-0005-0000-0000-000003080000}"/>
    <cellStyle name="Output 2 6 2 10" xfId="19761" xr:uid="{36F5AEC6-374D-47CA-98F2-CB474D730274}"/>
    <cellStyle name="Output 2 6 2 10 2" xfId="44074" xr:uid="{4EAFBBEC-EED9-4110-96AC-763791538D37}"/>
    <cellStyle name="Output 2 6 2 11" xfId="54095" xr:uid="{49D08022-16CC-45DD-937B-6E1325243D9D}"/>
    <cellStyle name="Output 2 6 2 2" xfId="1715" xr:uid="{00000000-0005-0000-0000-000004080000}"/>
    <cellStyle name="Output 2 6 2 2 10" xfId="14416" xr:uid="{35DBB8BE-9C03-4D45-B985-3A75215AE503}"/>
    <cellStyle name="Output 2 6 2 2 10 2" xfId="36882" xr:uid="{089BC3B2-7087-4ECF-90C8-4D31908CC4B0}"/>
    <cellStyle name="Output 2 6 2 2 10 3" xfId="45637" xr:uid="{0343BC16-2A42-4157-8959-F8C46848280F}"/>
    <cellStyle name="Output 2 6 2 2 11" xfId="20726" xr:uid="{EA75D862-D136-47B0-B2BD-91A1FAC50FA9}"/>
    <cellStyle name="Output 2 6 2 2 11 2" xfId="42997" xr:uid="{B135CDDB-B16A-4C73-8267-3973F3D83BF9}"/>
    <cellStyle name="Output 2 6 2 2 11 3" xfId="53427" xr:uid="{593B7F5F-A8C8-4B00-BDDA-B88579403C3A}"/>
    <cellStyle name="Output 2 6 2 2 12" xfId="19875" xr:uid="{6AED1F1F-C0AA-49CE-933B-AF95AED60D53}"/>
    <cellStyle name="Output 2 6 2 2 12 2" xfId="27918" xr:uid="{6C860C4B-F93C-465E-BEB6-E26FE37FF803}"/>
    <cellStyle name="Output 2 6 2 2 13" xfId="47912" xr:uid="{0D8578BD-F6CB-43A7-ACE7-CC7C280B80AC}"/>
    <cellStyle name="Output 2 6 2 2 2" xfId="3813" xr:uid="{00000000-0005-0000-0000-000002080000}"/>
    <cellStyle name="Output 2 6 2 2 2 2" xfId="10717" xr:uid="{DBBF7AA2-FFCD-4874-BB3C-DD3E7F4218A7}"/>
    <cellStyle name="Output 2 6 2 2 2 2 2" xfId="33203" xr:uid="{A3774F43-A6D9-475B-9D39-678082C30E5F}"/>
    <cellStyle name="Output 2 6 2 2 2 2 3" xfId="24639" xr:uid="{0B61A744-7BA9-472A-86B9-441559F3FA72}"/>
    <cellStyle name="Output 2 6 2 2 2 3" xfId="15873" xr:uid="{9C43AEA6-6C37-4C83-A5C6-D7E64E93DEBC}"/>
    <cellStyle name="Output 2 6 2 2 2 3 2" xfId="38279" xr:uid="{90C6015D-0931-4580-90A5-3873C538021A}"/>
    <cellStyle name="Output 2 6 2 2 2 3 3" xfId="52130" xr:uid="{3EB13923-90B0-458E-AAFE-5B9E3AB1C2F9}"/>
    <cellStyle name="Output 2 6 2 2 2 4" xfId="20382" xr:uid="{B2FF956A-E991-4580-81BF-C7FA0694833F}"/>
    <cellStyle name="Output 2 6 2 2 2 4 2" xfId="42678" xr:uid="{12079067-B75B-4B2F-A96F-8A156F9390FF}"/>
    <cellStyle name="Output 2 6 2 2 2 4 3" xfId="46281" xr:uid="{42078E34-7B9A-46B7-BACB-35EF85F87C14}"/>
    <cellStyle name="Output 2 6 2 2 2 5" xfId="20486" xr:uid="{F3E243F7-9CF6-4638-BA08-F33AD5655F47}"/>
    <cellStyle name="Output 2 6 2 2 2 5 2" xfId="53489" xr:uid="{4BAC3F43-C227-4235-A63A-754F78DE238B}"/>
    <cellStyle name="Output 2 6 2 2 2 6" xfId="28768" xr:uid="{75FD2B76-BB9B-4F53-928A-0DE332CBAF64}"/>
    <cellStyle name="Output 2 6 2 2 3" xfId="5229" xr:uid="{00000000-0005-0000-0000-000002080000}"/>
    <cellStyle name="Output 2 6 2 2 3 2" xfId="12121" xr:uid="{38E4F2A0-719E-4169-8B23-497498832103}"/>
    <cellStyle name="Output 2 6 2 2 3 2 2" xfId="34606" xr:uid="{60B8F2C6-C5F9-4E05-B7AD-9383E0595E7B}"/>
    <cellStyle name="Output 2 6 2 2 3 2 3" xfId="27619" xr:uid="{103D727A-2514-4B4E-9D71-814D9765B4B5}"/>
    <cellStyle name="Output 2 6 2 2 3 3" xfId="17166" xr:uid="{4ED54DCD-BBD4-4157-A064-C9B33706A5A5}"/>
    <cellStyle name="Output 2 6 2 2 3 3 2" xfId="39556" xr:uid="{4BE1ADBB-BF79-4CB2-B878-7A3B38DB2D09}"/>
    <cellStyle name="Output 2 6 2 2 3 3 3" xfId="27531" xr:uid="{50195005-DBC2-474B-B805-14F137DDF8DC}"/>
    <cellStyle name="Output 2 6 2 2 3 4" xfId="16087" xr:uid="{B897E333-6441-43D1-A835-CCC1F15755BE}"/>
    <cellStyle name="Output 2 6 2 2 3 4 2" xfId="38487" xr:uid="{A220445C-1368-44B8-AAA4-511FB504A57F}"/>
    <cellStyle name="Output 2 6 2 2 3 4 3" xfId="47958" xr:uid="{9E1C22EC-417F-4C6F-AC4A-7E145D21C05E}"/>
    <cellStyle name="Output 2 6 2 2 3 5" xfId="21590" xr:uid="{ED8D0273-56F1-414D-9867-A3169C4D5FB9}"/>
    <cellStyle name="Output 2 6 2 2 3 5 2" xfId="26062" xr:uid="{AD208671-9612-47CE-93F3-E73483A38AD4}"/>
    <cellStyle name="Output 2 6 2 2 3 6" xfId="51713" xr:uid="{A9EF5E13-C54D-4BB8-8E69-6A400B48FBE1}"/>
    <cellStyle name="Output 2 6 2 2 4" xfId="5641" xr:uid="{00000000-0005-0000-0000-000002080000}"/>
    <cellStyle name="Output 2 6 2 2 4 2" xfId="12525" xr:uid="{C98228CF-F1B6-4335-BD23-B0750BA65A1E}"/>
    <cellStyle name="Output 2 6 2 2 4 2 2" xfId="35010" xr:uid="{3CA6784E-9B6E-47EA-A4A3-96D3ADFA7FD3}"/>
    <cellStyle name="Output 2 6 2 2 4 2 3" xfId="43607" xr:uid="{0C6CDDFC-C1FB-4F1E-A388-B13308E61A8E}"/>
    <cellStyle name="Output 2 6 2 2 4 3" xfId="17578" xr:uid="{8F6ECF95-B39A-4827-8FC1-E3D56A5FEBF5}"/>
    <cellStyle name="Output 2 6 2 2 4 3 2" xfId="39968" xr:uid="{5EE59FFA-9AA2-4EC1-853D-CD2527650E35}"/>
    <cellStyle name="Output 2 6 2 2 4 3 3" xfId="25759" xr:uid="{58A3BD5F-D1B3-497B-B609-95B3CBFF1457}"/>
    <cellStyle name="Output 2 6 2 2 4 4" xfId="19573" xr:uid="{968A0CF0-E36A-4016-B037-1009C06C8C5D}"/>
    <cellStyle name="Output 2 6 2 2 4 4 2" xfId="41930" xr:uid="{4796BE2C-62BA-43D0-ACD1-7AD37242B3D8}"/>
    <cellStyle name="Output 2 6 2 2 4 4 3" xfId="44865" xr:uid="{9C697457-3893-4F6A-89A1-B790651C1314}"/>
    <cellStyle name="Output 2 6 2 2 4 5" xfId="22002" xr:uid="{19F85A7A-560B-497C-B766-FA8D571BAD6D}"/>
    <cellStyle name="Output 2 6 2 2 4 5 2" xfId="46796" xr:uid="{BFD5BF2D-6ABB-4285-B6EE-67429D752DE3}"/>
    <cellStyle name="Output 2 6 2 2 4 6" xfId="48115" xr:uid="{7FB2B8E9-859C-4901-9A3E-29A3DF8B7AEF}"/>
    <cellStyle name="Output 2 6 2 2 5" xfId="5573" xr:uid="{00000000-0005-0000-0000-000002080000}"/>
    <cellStyle name="Output 2 6 2 2 5 2" xfId="12458" xr:uid="{47C4A330-AE91-4AE4-AE65-8592E5718418}"/>
    <cellStyle name="Output 2 6 2 2 5 2 2" xfId="34943" xr:uid="{9B31CFF7-5535-42D0-9AFC-BBB951DDE7A7}"/>
    <cellStyle name="Output 2 6 2 2 5 2 3" xfId="27540" xr:uid="{4B62FA41-F25A-42C2-9510-7092B98D8D0D}"/>
    <cellStyle name="Output 2 6 2 2 5 3" xfId="17510" xr:uid="{65558DDE-FBB0-4EE6-B7F3-83535DABDCEE}"/>
    <cellStyle name="Output 2 6 2 2 5 3 2" xfId="39900" xr:uid="{B7E35CE2-EFA7-4243-8A79-CF25E6123D6A}"/>
    <cellStyle name="Output 2 6 2 2 5 3 3" xfId="43279" xr:uid="{B4D9D47A-2FED-438F-A070-118CF668BCC7}"/>
    <cellStyle name="Output 2 6 2 2 5 4" xfId="15497" xr:uid="{189E6DF6-A2F1-4537-AED9-87A2B5391D31}"/>
    <cellStyle name="Output 2 6 2 2 5 4 2" xfId="37919" xr:uid="{A9253947-DE77-49CC-BC7E-D663CEAE7A12}"/>
    <cellStyle name="Output 2 6 2 2 5 4 3" xfId="48123" xr:uid="{98BB10AA-2CC1-450A-9B46-E06A9D1A1C49}"/>
    <cellStyle name="Output 2 6 2 2 5 5" xfId="21934" xr:uid="{3908FB77-3AFD-4742-810C-AE2500ADD93A}"/>
    <cellStyle name="Output 2 6 2 2 5 5 2" xfId="50708" xr:uid="{B74D3561-2070-4B77-8AC3-CE48BFDCD8E7}"/>
    <cellStyle name="Output 2 6 2 2 5 6" xfId="53040" xr:uid="{0DD4B701-AA45-4D4A-AA17-C7DD6A70F290}"/>
    <cellStyle name="Output 2 6 2 2 6" xfId="6380" xr:uid="{00000000-0005-0000-0000-000002080000}"/>
    <cellStyle name="Output 2 6 2 2 6 2" xfId="13252" xr:uid="{DE15E779-70A6-4351-8AAF-8B003C462E9C}"/>
    <cellStyle name="Output 2 6 2 2 6 2 2" xfId="35736" xr:uid="{5EDD354D-DD14-4865-937E-825E4BD8B81C}"/>
    <cellStyle name="Output 2 6 2 2 6 2 3" xfId="46963" xr:uid="{82EFE003-0DE8-409E-ACF8-8627C3EBFA39}"/>
    <cellStyle name="Output 2 6 2 2 6 3" xfId="18317" xr:uid="{A1C613BB-3F76-4D6E-BF4A-7810D8746A11}"/>
    <cellStyle name="Output 2 6 2 2 6 3 2" xfId="40707" xr:uid="{4189E13A-984C-43AC-BBB7-F77424EAD8C4}"/>
    <cellStyle name="Output 2 6 2 2 6 3 3" xfId="28167" xr:uid="{F0962F22-5407-4814-A31C-7AF2C922D0C1}"/>
    <cellStyle name="Output 2 6 2 2 6 4" xfId="19554" xr:uid="{51552914-DC11-403F-91E1-8B84EA62925F}"/>
    <cellStyle name="Output 2 6 2 2 6 4 2" xfId="41913" xr:uid="{E7779EC4-5E85-481C-938A-B388D56AD68C}"/>
    <cellStyle name="Output 2 6 2 2 6 4 3" xfId="24255" xr:uid="{A03A212A-A86A-4176-AAEB-08593FF75AF0}"/>
    <cellStyle name="Output 2 6 2 2 6 5" xfId="22741" xr:uid="{C9148AFA-659E-48F4-886C-F71A7AA0588C}"/>
    <cellStyle name="Output 2 6 2 2 6 5 2" xfId="44921" xr:uid="{61574CCF-098A-45FF-8EAD-CA59F6FF690A}"/>
    <cellStyle name="Output 2 6 2 2 6 6" xfId="54129" xr:uid="{D7B506A5-C174-4429-ABB0-567272B025D0}"/>
    <cellStyle name="Output 2 6 2 2 7" xfId="6751" xr:uid="{00000000-0005-0000-0000-000002080000}"/>
    <cellStyle name="Output 2 6 2 2 7 2" xfId="13607" xr:uid="{7D270490-F5C4-43B0-987B-FAD75F74203F}"/>
    <cellStyle name="Output 2 6 2 2 7 2 2" xfId="36091" xr:uid="{BD10E5B3-0EC2-4EFB-A7B0-078A9C0AC7BD}"/>
    <cellStyle name="Output 2 6 2 2 7 2 3" xfId="26834" xr:uid="{81EFD80F-1B6F-4826-B76B-66105C085921}"/>
    <cellStyle name="Output 2 6 2 2 7 3" xfId="18688" xr:uid="{5787E215-2CCE-4982-87FD-A229991A5B10}"/>
    <cellStyle name="Output 2 6 2 2 7 3 2" xfId="41078" xr:uid="{8BAD9A42-D07D-4E6A-B2F6-A259ABB65AB0}"/>
    <cellStyle name="Output 2 6 2 2 7 3 3" xfId="42982" xr:uid="{A257BA4E-B1C4-410A-9F9D-041D2455BD4C}"/>
    <cellStyle name="Output 2 6 2 2 7 4" xfId="20849" xr:uid="{589FAC5E-686E-4369-9EB9-16741274C6FC}"/>
    <cellStyle name="Output 2 6 2 2 7 4 2" xfId="43114" xr:uid="{B75F8489-D012-4A62-B581-636811EA7470}"/>
    <cellStyle name="Output 2 6 2 2 7 4 3" xfId="48382" xr:uid="{250B74BF-C8BE-493E-91C5-1465D2B930B2}"/>
    <cellStyle name="Output 2 6 2 2 7 5" xfId="23112" xr:uid="{DBF04C15-57A3-42C5-B67C-14F4194F4A19}"/>
    <cellStyle name="Output 2 6 2 2 7 5 2" xfId="48558" xr:uid="{BCBACFDD-6ABF-4705-8BDD-111B92CAA69B}"/>
    <cellStyle name="Output 2 6 2 2 7 6" xfId="53898" xr:uid="{C54134F2-A14B-4473-BFDD-50A6EA55A9B1}"/>
    <cellStyle name="Output 2 6 2 2 8" xfId="6897" xr:uid="{00000000-0005-0000-0000-000002080000}"/>
    <cellStyle name="Output 2 6 2 2 8 2" xfId="13735" xr:uid="{AB4D16EF-B3A1-499A-B1D8-0F2951D67227}"/>
    <cellStyle name="Output 2 6 2 2 8 2 2" xfId="36219" xr:uid="{FA040D13-F750-44C8-B3ED-840CE72AD1DE}"/>
    <cellStyle name="Output 2 6 2 2 8 2 3" xfId="48615" xr:uid="{7590A959-2F50-46A9-8C86-37ED415FBC2F}"/>
    <cellStyle name="Output 2 6 2 2 8 3" xfId="18834" xr:uid="{D8DAA8F9-4B08-4B59-8BF2-9C24A494431B}"/>
    <cellStyle name="Output 2 6 2 2 8 3 2" xfId="41224" xr:uid="{E4135A7F-4869-4ACA-909E-CA2C87C2D048}"/>
    <cellStyle name="Output 2 6 2 2 8 3 3" xfId="26461" xr:uid="{FDC2548F-333E-4AE3-BAF7-F1532825A9EC}"/>
    <cellStyle name="Output 2 6 2 2 8 4" xfId="14383" xr:uid="{F39342A1-5CE1-4F8A-BC6D-BC95BA909DCF}"/>
    <cellStyle name="Output 2 6 2 2 8 4 2" xfId="36851" xr:uid="{FCB881E4-F471-4D73-A52F-BFE30F9ACBC9}"/>
    <cellStyle name="Output 2 6 2 2 8 4 3" xfId="52277" xr:uid="{327F314C-E87B-4CBE-BBBA-34DE5743EA1B}"/>
    <cellStyle name="Output 2 6 2 2 8 5" xfId="23258" xr:uid="{4155FAD8-8502-4254-BF93-3A6BCCE6A59C}"/>
    <cellStyle name="Output 2 6 2 2 8 5 2" xfId="53016" xr:uid="{857E9C57-9FCB-4FB5-8428-792187B10905}"/>
    <cellStyle name="Output 2 6 2 2 8 6" xfId="36789" xr:uid="{9BF55410-34D1-4161-BFAD-00747A5129EA}"/>
    <cellStyle name="Output 2 6 2 2 9" xfId="4632" xr:uid="{00000000-0005-0000-0000-000002080000}"/>
    <cellStyle name="Output 2 6 2 2 9 2" xfId="16569" xr:uid="{A8B536C8-1B72-46AB-9C1C-B9AA0F56DEED}"/>
    <cellStyle name="Output 2 6 2 2 9 2 2" xfId="38959" xr:uid="{9D3FC6FB-AB7C-4DD2-94D2-6F6EB8ED3DB5}"/>
    <cellStyle name="Output 2 6 2 2 9 2 3" xfId="45661" xr:uid="{15B3D8C7-0FB6-4FF6-8794-7B833FCD008D}"/>
    <cellStyle name="Output 2 6 2 2 9 3" xfId="14216" xr:uid="{F44F53C2-0713-4CD5-B03E-70C843F3F54D}"/>
    <cellStyle name="Output 2 6 2 2 9 3 2" xfId="36691" xr:uid="{869DDB51-335A-47A6-B1D4-D850A4AD8B77}"/>
    <cellStyle name="Output 2 6 2 2 9 3 3" xfId="50910" xr:uid="{C13B4D3A-9729-471A-AD6C-76C90056F050}"/>
    <cellStyle name="Output 2 6 2 2 9 4" xfId="20326" xr:uid="{4E00AB04-04D4-48D7-8F80-0C0E3AB97615}"/>
    <cellStyle name="Output 2 6 2 2 9 4 2" xfId="48840" xr:uid="{75EF4021-1C09-4EAC-A908-C023AF4B9874}"/>
    <cellStyle name="Output 2 6 2 2 9 5" xfId="52764" xr:uid="{CDFEBCB3-9E1A-45C1-8FB4-1493D9CCC71B}"/>
    <cellStyle name="Output 2 6 2 3" xfId="2729" xr:uid="{00000000-0005-0000-0000-000001080000}"/>
    <cellStyle name="Output 2 6 2 3 2" xfId="9638" xr:uid="{E54D8739-2EB7-4491-B000-5519D938C71E}"/>
    <cellStyle name="Output 2 6 2 3 2 2" xfId="32186" xr:uid="{DD4EFF96-3585-41B2-A090-EA5EE11BA3FA}"/>
    <cellStyle name="Output 2 6 2 3 2 3" xfId="28723" xr:uid="{793F2886-0FF4-4E4A-825A-7DBD1960B3E5}"/>
    <cellStyle name="Output 2 6 2 3 3" xfId="15156" xr:uid="{5401FF5B-9BE5-4FBD-9C2D-9033C192CDBF}"/>
    <cellStyle name="Output 2 6 2 3 3 2" xfId="37596" xr:uid="{C9C37A25-21D0-4983-8CCF-F23D592F34DA}"/>
    <cellStyle name="Output 2 6 2 3 3 3" xfId="43158" xr:uid="{491193C8-FF6B-4509-9AF5-F5E7B663872F}"/>
    <cellStyle name="Output 2 6 2 3 4" xfId="15487" xr:uid="{D502FD6E-9F7D-4A69-A083-4CA6A4C21282}"/>
    <cellStyle name="Output 2 6 2 3 4 2" xfId="37910" xr:uid="{D8DC5884-5842-45F3-9F2A-59760CEDBEBE}"/>
    <cellStyle name="Output 2 6 2 3 4 3" xfId="52870" xr:uid="{82A6575E-03E0-4A21-946F-BE0C8C0FCC37}"/>
    <cellStyle name="Output 2 6 2 3 5" xfId="20885" xr:uid="{FEBC2BD6-AE2E-4AA3-9E98-209FC1C4E51D}"/>
    <cellStyle name="Output 2 6 2 3 5 2" xfId="46577" xr:uid="{9B34C03A-912D-46E8-84B6-C4A54C03ACA8}"/>
    <cellStyle name="Output 2 6 2 3 6" xfId="46291" xr:uid="{7DA63F98-76F3-4371-9B45-0C30FEBF15B7}"/>
    <cellStyle name="Output 2 6 2 4" xfId="4520" xr:uid="{00000000-0005-0000-0000-000001080000}"/>
    <cellStyle name="Output 2 6 2 4 2" xfId="11422" xr:uid="{DC080CB5-0566-4956-9C75-D3AD882F5F43}"/>
    <cellStyle name="Output 2 6 2 4 2 2" xfId="33908" xr:uid="{DBCCB78F-80BC-44D6-82E0-CD1FDD9F661A}"/>
    <cellStyle name="Output 2 6 2 4 2 3" xfId="42691" xr:uid="{46ED7EF3-2E83-4860-9B32-2C296C9E4C71}"/>
    <cellStyle name="Output 2 6 2 4 3" xfId="16457" xr:uid="{720951E3-375B-4651-A709-6586F3023E7F}"/>
    <cellStyle name="Output 2 6 2 4 3 2" xfId="38847" xr:uid="{E4A76E24-6518-4C00-8539-30D0A0C335E7}"/>
    <cellStyle name="Output 2 6 2 4 3 3" xfId="37538" xr:uid="{5DB8E3FF-C7D7-480B-B453-C4F786645B68}"/>
    <cellStyle name="Output 2 6 2 4 4" xfId="12997" xr:uid="{926ECA6D-01CA-4EAF-8E60-83907084DAAF}"/>
    <cellStyle name="Output 2 6 2 4 4 2" xfId="35481" xr:uid="{D20FC439-6C5B-4979-970F-39EC80C5A1F3}"/>
    <cellStyle name="Output 2 6 2 4 4 3" xfId="25145" xr:uid="{21149FAE-5823-4C8F-871D-F2086E5C4424}"/>
    <cellStyle name="Output 2 6 2 4 5" xfId="19870" xr:uid="{0F754991-1B83-4264-A931-B69F92FCF119}"/>
    <cellStyle name="Output 2 6 2 4 5 2" xfId="28468" xr:uid="{762ACB2C-21A9-4753-A571-27E500518DCE}"/>
    <cellStyle name="Output 2 6 2 4 6" xfId="47516" xr:uid="{BEA9C9B8-28A2-4891-B675-9D92F021A2A3}"/>
    <cellStyle name="Output 2 6 2 5" xfId="4376" xr:uid="{00000000-0005-0000-0000-000001080000}"/>
    <cellStyle name="Output 2 6 2 5 2" xfId="11278" xr:uid="{3642B92E-C679-4C3A-BA86-15796B69C746}"/>
    <cellStyle name="Output 2 6 2 5 2 2" xfId="33764" xr:uid="{ED2816C8-990B-41D8-9E8A-398082F43528}"/>
    <cellStyle name="Output 2 6 2 5 2 3" xfId="45382" xr:uid="{1FAB41F6-EA0D-4DF8-9A9D-A603717D50EC}"/>
    <cellStyle name="Output 2 6 2 5 3" xfId="16313" xr:uid="{2DBE0B9F-AC99-4FC7-ABF7-D798A1DB1763}"/>
    <cellStyle name="Output 2 6 2 5 3 2" xfId="38703" xr:uid="{C61C9B13-C364-459E-8A44-36B7BDFC847A}"/>
    <cellStyle name="Output 2 6 2 5 3 3" xfId="43825" xr:uid="{E4059542-D2F1-4860-A86A-4DAA07068D5D}"/>
    <cellStyle name="Output 2 6 2 5 4" xfId="16211" xr:uid="{1758C52A-B542-4340-9793-2D28A5DA0BCD}"/>
    <cellStyle name="Output 2 6 2 5 4 2" xfId="38610" xr:uid="{BC0C3700-F56D-4F4E-927E-CCE33378684C}"/>
    <cellStyle name="Output 2 6 2 5 4 3" xfId="45294" xr:uid="{4B0645EE-7857-4B4A-B365-104973822604}"/>
    <cellStyle name="Output 2 6 2 5 5" xfId="19461" xr:uid="{F4494E30-5F55-4647-9F9D-57F75288DF84}"/>
    <cellStyle name="Output 2 6 2 5 5 2" xfId="44368" xr:uid="{8B83366A-D869-486A-B7C7-4E2BCEEADBC8}"/>
    <cellStyle name="Output 2 6 2 5 6" xfId="46008" xr:uid="{F0C0D33D-C4EB-4860-BFB1-B9DEEA6FFA34}"/>
    <cellStyle name="Output 2 6 2 6" xfId="5148" xr:uid="{00000000-0005-0000-0000-000001080000}"/>
    <cellStyle name="Output 2 6 2 6 2" xfId="12041" xr:uid="{90B8FF96-F8C9-4F7E-8492-25E2B523DCD7}"/>
    <cellStyle name="Output 2 6 2 6 2 2" xfId="34527" xr:uid="{770A602C-3C79-42B1-8BB4-351075AF8DA2}"/>
    <cellStyle name="Output 2 6 2 6 2 3" xfId="27204" xr:uid="{60D5C1BA-A048-4DA4-A9F4-96678DB4684F}"/>
    <cellStyle name="Output 2 6 2 6 3" xfId="17085" xr:uid="{A4544AB5-5F41-4669-BD86-F0A7A65868CC}"/>
    <cellStyle name="Output 2 6 2 6 3 2" xfId="39475" xr:uid="{B0086639-5E60-477F-89B2-81FE5B38A239}"/>
    <cellStyle name="Output 2 6 2 6 3 3" xfId="26601" xr:uid="{9CB8A37E-1C7D-42CC-AED3-8420BBEE2D29}"/>
    <cellStyle name="Output 2 6 2 6 4" xfId="14807" xr:uid="{B20D51EC-D3FE-4995-9E3C-42A453A80FF2}"/>
    <cellStyle name="Output 2 6 2 6 4 2" xfId="37262" xr:uid="{05E166FD-2342-4ED6-874D-5A45139FCC34}"/>
    <cellStyle name="Output 2 6 2 6 4 3" xfId="49244" xr:uid="{FC3F5951-2EF5-45B5-B5EA-F31AB8D3D40A}"/>
    <cellStyle name="Output 2 6 2 6 5" xfId="21509" xr:uid="{F2AD6B68-1997-4A93-BE0B-3D659D8A49FC}"/>
    <cellStyle name="Output 2 6 2 6 5 2" xfId="53024" xr:uid="{E8A90C84-E0E5-4980-9D7F-AA005DDE1F75}"/>
    <cellStyle name="Output 2 6 2 6 6" xfId="49646" xr:uid="{047AEDA6-A2F3-471B-8EEF-A4803EF11649}"/>
    <cellStyle name="Output 2 6 2 7" xfId="6739" xr:uid="{00000000-0005-0000-0000-000001080000}"/>
    <cellStyle name="Output 2 6 2 7 2" xfId="13598" xr:uid="{18931C5E-337E-4ABE-8AAE-665C17A845FB}"/>
    <cellStyle name="Output 2 6 2 7 2 2" xfId="36082" xr:uid="{C5AB7252-1D41-4CC0-8F89-DAC2E46C1F3F}"/>
    <cellStyle name="Output 2 6 2 7 2 3" xfId="52401" xr:uid="{D399DAD4-059C-4843-A79B-24261EBAC4AE}"/>
    <cellStyle name="Output 2 6 2 7 3" xfId="18676" xr:uid="{FDC30A27-02F8-48F8-AF2E-D7FD43748009}"/>
    <cellStyle name="Output 2 6 2 7 3 2" xfId="41066" xr:uid="{65AA7FB1-4F7A-4A59-9DB4-536766FE0D6B}"/>
    <cellStyle name="Output 2 6 2 7 3 3" xfId="24438" xr:uid="{15D79CB9-C795-4971-AE31-3569AFB02B4A}"/>
    <cellStyle name="Output 2 6 2 7 4" xfId="20308" xr:uid="{B81F196F-AB68-4FCA-9CC1-66313BEB1898}"/>
    <cellStyle name="Output 2 6 2 7 4 2" xfId="42607" xr:uid="{0E040F4F-7EDF-4752-8920-A3BF4C664A79}"/>
    <cellStyle name="Output 2 6 2 7 4 3" xfId="47879" xr:uid="{9EDAF0C1-3AFD-4627-819E-4AF1A55E3D65}"/>
    <cellStyle name="Output 2 6 2 7 5" xfId="23100" xr:uid="{840A4F10-CC5F-41F3-A90B-243510117E56}"/>
    <cellStyle name="Output 2 6 2 7 5 2" xfId="46861" xr:uid="{E6326250-5D0B-4ED5-9B52-548950F78655}"/>
    <cellStyle name="Output 2 6 2 7 6" xfId="48450" xr:uid="{D3088647-C625-437F-BDD7-84C3146D6239}"/>
    <cellStyle name="Output 2 6 2 8" xfId="8092" xr:uid="{7D48F392-C2D0-4ADE-927F-F9ADD15D315C}"/>
    <cellStyle name="Output 2 6 2 8 2" xfId="30707" xr:uid="{0A304F5C-5A77-4CE5-8A17-1768149F4DA4}"/>
    <cellStyle name="Output 2 6 2 8 3" xfId="28268" xr:uid="{6367D9E7-BC6D-4B33-83A5-3FF3E03B3256}"/>
    <cellStyle name="Output 2 6 2 9" xfId="20489" xr:uid="{0C673C92-477B-4D3A-86CA-E881047A2C7E}"/>
    <cellStyle name="Output 2 6 2 9 2" xfId="42777" xr:uid="{2E06F57B-8100-4B5B-B1A0-D0A373773286}"/>
    <cellStyle name="Output 2 6 2 9 3" xfId="27021" xr:uid="{C0B317AE-5ED6-4495-A9FA-5BBA38D20B2C}"/>
    <cellStyle name="Output 2 6 3" xfId="827" xr:uid="{00000000-0005-0000-0000-000005080000}"/>
    <cellStyle name="Output 2 6 3 10" xfId="20246" xr:uid="{C4F671B0-EDB2-424C-BB4D-DB25D8008D17}"/>
    <cellStyle name="Output 2 6 3 10 2" xfId="45791" xr:uid="{37263451-0D02-4995-BCF2-1196CE0457B5}"/>
    <cellStyle name="Output 2 6 3 11" xfId="47870" xr:uid="{36AF08D9-969B-4D26-B5CD-E3299D1A07DD}"/>
    <cellStyle name="Output 2 6 3 2" xfId="1813" xr:uid="{00000000-0005-0000-0000-000006080000}"/>
    <cellStyle name="Output 2 6 3 2 10" xfId="14497" xr:uid="{155201A7-5C41-49A7-A224-4E77B96D66BF}"/>
    <cellStyle name="Output 2 6 3 2 10 2" xfId="36958" xr:uid="{8902C0EB-2962-4A5A-AFCC-560C6F19690D}"/>
    <cellStyle name="Output 2 6 3 2 10 3" xfId="48822" xr:uid="{FCF79068-6D88-4C7F-8F05-8996901BAA4B}"/>
    <cellStyle name="Output 2 6 3 2 11" xfId="20527" xr:uid="{F3FABA27-EE3F-41FD-B135-3995821C5D27}"/>
    <cellStyle name="Output 2 6 3 2 11 2" xfId="42813" xr:uid="{4B5EA21A-8E40-4517-B334-4EB8468F2498}"/>
    <cellStyle name="Output 2 6 3 2 11 3" xfId="46824" xr:uid="{14EF8370-0B9D-41C8-BFC7-4A15043096E8}"/>
    <cellStyle name="Output 2 6 3 2 12" xfId="14969" xr:uid="{CB214036-33D9-46B7-A9C9-5E0F86F9B6C1}"/>
    <cellStyle name="Output 2 6 3 2 12 2" xfId="52627" xr:uid="{18BED049-5BFE-4545-AAF4-8EDDF7F764F4}"/>
    <cellStyle name="Output 2 6 3 2 13" xfId="23627" xr:uid="{FF79C129-998A-4E38-95F9-C0897BF48ACA}"/>
    <cellStyle name="Output 2 6 3 2 2" xfId="3911" xr:uid="{00000000-0005-0000-0000-000004080000}"/>
    <cellStyle name="Output 2 6 3 2 2 2" xfId="10815" xr:uid="{5B03DD84-29BB-4B53-972E-B73844CB23D1}"/>
    <cellStyle name="Output 2 6 3 2 2 2 2" xfId="33301" xr:uid="{EA220083-E5AB-4FEA-AC52-222AF347E9FB}"/>
    <cellStyle name="Output 2 6 3 2 2 2 3" xfId="31974" xr:uid="{A97A274F-D9C2-418A-B62C-005F68367E24}"/>
    <cellStyle name="Output 2 6 3 2 2 3" xfId="15953" xr:uid="{B07B2472-4923-4F8B-AEDC-79F3AD6BDF0B}"/>
    <cellStyle name="Output 2 6 3 2 2 3 2" xfId="38356" xr:uid="{D899380E-6ACA-4888-9809-2BC5E184A904}"/>
    <cellStyle name="Output 2 6 3 2 2 3 3" xfId="47086" xr:uid="{889F7D33-70DC-4418-8971-C35B4B1200CF}"/>
    <cellStyle name="Output 2 6 3 2 2 4" xfId="20908" xr:uid="{50036E12-9453-4ED5-867F-201627275234}"/>
    <cellStyle name="Output 2 6 3 2 2 4 2" xfId="43169" xr:uid="{424F53D8-0B1A-4248-9CE1-3CA1C0DEAAEB}"/>
    <cellStyle name="Output 2 6 3 2 2 4 3" xfId="49402" xr:uid="{0472F4A0-F63A-42AD-B1EE-23E46AC687BC}"/>
    <cellStyle name="Output 2 6 3 2 2 5" xfId="19517" xr:uid="{94233569-DC18-4764-9275-2A7567E8137F}"/>
    <cellStyle name="Output 2 6 3 2 2 5 2" xfId="26537" xr:uid="{5663CB10-AC38-4B48-A217-1244DF404377}"/>
    <cellStyle name="Output 2 6 3 2 2 6" xfId="24576" xr:uid="{87DB0706-3BD0-4D7D-8A0D-9263D5D86805}"/>
    <cellStyle name="Output 2 6 3 2 3" xfId="5306" xr:uid="{00000000-0005-0000-0000-000004080000}"/>
    <cellStyle name="Output 2 6 3 2 3 2" xfId="12198" xr:uid="{3919D9B8-DF77-4776-8B80-FB14A29E0C10}"/>
    <cellStyle name="Output 2 6 3 2 3 2 2" xfId="34683" xr:uid="{F0D34562-6F3C-47DC-8B72-B4FA10D58922}"/>
    <cellStyle name="Output 2 6 3 2 3 2 3" xfId="44539" xr:uid="{C8623D21-58F4-4992-BC68-669842B485BE}"/>
    <cellStyle name="Output 2 6 3 2 3 3" xfId="17243" xr:uid="{187ADCFC-DB53-439D-959B-1C41326422B6}"/>
    <cellStyle name="Output 2 6 3 2 3 3 2" xfId="39633" xr:uid="{D7C08A48-B72D-4E7B-91BF-A67704111AB5}"/>
    <cellStyle name="Output 2 6 3 2 3 3 3" xfId="26538" xr:uid="{5D7D77ED-59B0-4454-A9EC-254E100B2D1E}"/>
    <cellStyle name="Output 2 6 3 2 3 4" xfId="14152" xr:uid="{349B0F14-3F25-4534-87DD-6575E44A95F6}"/>
    <cellStyle name="Output 2 6 3 2 3 4 2" xfId="36628" xr:uid="{ABC97D2E-106F-4A5A-82A4-45DAC4FEBDBB}"/>
    <cellStyle name="Output 2 6 3 2 3 4 3" xfId="50878" xr:uid="{A9E761C3-849F-4DFB-9B80-7EF93D064495}"/>
    <cellStyle name="Output 2 6 3 2 3 5" xfId="21667" xr:uid="{6E7ED442-9B1D-4B91-BB4C-D3250B677BDD}"/>
    <cellStyle name="Output 2 6 3 2 3 5 2" xfId="53812" xr:uid="{BA606F7F-564B-41B9-8C32-C778F7F0B19A}"/>
    <cellStyle name="Output 2 6 3 2 3 6" xfId="51044" xr:uid="{20055F71-B01D-4192-8A9A-EA2326854840}"/>
    <cellStyle name="Output 2 6 3 2 4" xfId="5716" xr:uid="{00000000-0005-0000-0000-000004080000}"/>
    <cellStyle name="Output 2 6 3 2 4 2" xfId="12600" xr:uid="{1C765C14-C8C1-443B-98FA-8E2FF86641B1}"/>
    <cellStyle name="Output 2 6 3 2 4 2 2" xfId="35085" xr:uid="{005C0A6C-6BDB-4EF3-84C8-2332DF4063FF}"/>
    <cellStyle name="Output 2 6 3 2 4 2 3" xfId="44468" xr:uid="{8196084B-F56F-4CB4-BE91-21935EF192C9}"/>
    <cellStyle name="Output 2 6 3 2 4 3" xfId="17653" xr:uid="{F46BF202-C1D2-4BF6-91E2-494E2DC1F266}"/>
    <cellStyle name="Output 2 6 3 2 4 3 2" xfId="40043" xr:uid="{E7431D8C-3A12-4D01-9AFD-F9F6FFEE066E}"/>
    <cellStyle name="Output 2 6 3 2 4 3 3" xfId="24694" xr:uid="{538691F4-044B-440E-A334-65F4B2263738}"/>
    <cellStyle name="Output 2 6 3 2 4 4" xfId="15128" xr:uid="{0FDFFADE-CA58-4A9E-B58C-4D4BA7513982}"/>
    <cellStyle name="Output 2 6 3 2 4 4 2" xfId="37570" xr:uid="{4ABF76A1-2731-443C-AFDA-0F01B2991825}"/>
    <cellStyle name="Output 2 6 3 2 4 4 3" xfId="48132" xr:uid="{455418CF-C3A4-4DC8-A390-C0448071B1A1}"/>
    <cellStyle name="Output 2 6 3 2 4 5" xfId="22077" xr:uid="{2E54193F-0E87-42E5-99C3-383B9240FDCD}"/>
    <cellStyle name="Output 2 6 3 2 4 5 2" xfId="51758" xr:uid="{910DF64A-7B0E-4EE5-AEA2-EED5A1251BB0}"/>
    <cellStyle name="Output 2 6 3 2 4 6" xfId="28536" xr:uid="{8CD2E69F-7E98-4614-B352-1DAC76525870}"/>
    <cellStyle name="Output 2 6 3 2 5" xfId="6070" xr:uid="{00000000-0005-0000-0000-000004080000}"/>
    <cellStyle name="Output 2 6 3 2 5 2" xfId="12948" xr:uid="{71070D63-2F96-4421-8704-7B0AE41EB502}"/>
    <cellStyle name="Output 2 6 3 2 5 2 2" xfId="35432" xr:uid="{F0EB7366-AABD-47F1-AA67-CE07C6818DF5}"/>
    <cellStyle name="Output 2 6 3 2 5 2 3" xfId="27965" xr:uid="{F9622B2C-A76A-44C9-BBD1-786CD76557CB}"/>
    <cellStyle name="Output 2 6 3 2 5 3" xfId="18007" xr:uid="{8489F888-3173-4C57-ABA6-60B49374A042}"/>
    <cellStyle name="Output 2 6 3 2 5 3 2" xfId="40397" xr:uid="{4CABEBDD-496F-457F-9132-E6A15D9F4487}"/>
    <cellStyle name="Output 2 6 3 2 5 3 3" xfId="42287" xr:uid="{9A6C4550-8BA8-47EE-9CAF-A8158EE29814}"/>
    <cellStyle name="Output 2 6 3 2 5 4" xfId="16071" xr:uid="{50CE94D0-423B-48A0-B702-67D02DFC0506}"/>
    <cellStyle name="Output 2 6 3 2 5 4 2" xfId="38471" xr:uid="{E91DDF6E-49A1-4185-BF87-4A22F4F47C42}"/>
    <cellStyle name="Output 2 6 3 2 5 4 3" xfId="46259" xr:uid="{1C970ACE-EEC2-444F-9627-75759F65C149}"/>
    <cellStyle name="Output 2 6 3 2 5 5" xfId="22431" xr:uid="{FE079820-7BF5-401C-B666-5664AEA92933}"/>
    <cellStyle name="Output 2 6 3 2 5 5 2" xfId="51688" xr:uid="{35971090-2131-4F27-B663-B0BF89DE34D5}"/>
    <cellStyle name="Output 2 6 3 2 5 6" xfId="46436" xr:uid="{D3995E04-26E7-430A-9F2A-A7CB0E47641E}"/>
    <cellStyle name="Output 2 6 3 2 6" xfId="6445" xr:uid="{00000000-0005-0000-0000-000004080000}"/>
    <cellStyle name="Output 2 6 3 2 6 2" xfId="13315" xr:uid="{FD75DC8B-3FE9-444F-A9E9-35E4A31D70F0}"/>
    <cellStyle name="Output 2 6 3 2 6 2 2" xfId="35799" xr:uid="{0C52B5AC-763E-43A0-8E27-E0CEF92E0007}"/>
    <cellStyle name="Output 2 6 3 2 6 2 3" xfId="46319" xr:uid="{2E2BC209-1329-4B34-BFFF-57B6D6DC14AC}"/>
    <cellStyle name="Output 2 6 3 2 6 3" xfId="18382" xr:uid="{352F8F9C-2232-4909-871B-E359780C6DD0}"/>
    <cellStyle name="Output 2 6 3 2 6 3 2" xfId="40772" xr:uid="{35082C24-72FB-4334-8329-E8A3F3852819}"/>
    <cellStyle name="Output 2 6 3 2 6 3 3" xfId="26323" xr:uid="{3A0C87AF-D1B2-48C2-B320-3FF7D663E807}"/>
    <cellStyle name="Output 2 6 3 2 6 4" xfId="19975" xr:uid="{DD3FB3BE-B496-4965-A214-188CEBF12B86}"/>
    <cellStyle name="Output 2 6 3 2 6 4 2" xfId="42301" xr:uid="{56A4C8F0-6FD4-425F-B09E-292180735F11}"/>
    <cellStyle name="Output 2 6 3 2 6 4 3" xfId="31972" xr:uid="{40E8276D-DF0A-4B31-81FC-350C3A3ADD65}"/>
    <cellStyle name="Output 2 6 3 2 6 5" xfId="22806" xr:uid="{7B482480-BB0A-4160-A599-7512F4039608}"/>
    <cellStyle name="Output 2 6 3 2 6 5 2" xfId="53422" xr:uid="{17BA99B8-F462-4A8D-87AB-DCE72EE3A8B9}"/>
    <cellStyle name="Output 2 6 3 2 6 6" xfId="46301" xr:uid="{26301A84-A717-4493-87DD-A03B21A77C49}"/>
    <cellStyle name="Output 2 6 3 2 7" xfId="5144" xr:uid="{00000000-0005-0000-0000-000004080000}"/>
    <cellStyle name="Output 2 6 3 2 7 2" xfId="12037" xr:uid="{20C410D7-2DD2-46E0-B866-A26605039720}"/>
    <cellStyle name="Output 2 6 3 2 7 2 2" xfId="34523" xr:uid="{04857452-8B13-4360-9760-2F43D3811778}"/>
    <cellStyle name="Output 2 6 3 2 7 2 3" xfId="28484" xr:uid="{D1617978-D2A5-4ECC-9874-337217BAED98}"/>
    <cellStyle name="Output 2 6 3 2 7 3" xfId="17081" xr:uid="{264120D7-3876-41CA-B0B2-92EC5D8B5984}"/>
    <cellStyle name="Output 2 6 3 2 7 3 2" xfId="39471" xr:uid="{9EB03E21-32EB-442F-AB19-6754757A6BE1}"/>
    <cellStyle name="Output 2 6 3 2 7 3 3" xfId="45659" xr:uid="{C5C75A58-23F9-417C-A240-23BE97D9B413}"/>
    <cellStyle name="Output 2 6 3 2 7 4" xfId="14687" xr:uid="{B2A74A27-DCFC-465E-AF3F-425E526AE220}"/>
    <cellStyle name="Output 2 6 3 2 7 4 2" xfId="37147" xr:uid="{E9CABC68-6109-472E-92D9-C2BDD63B749C}"/>
    <cellStyle name="Output 2 6 3 2 7 4 3" xfId="47692" xr:uid="{52CF12CB-56D9-4348-889D-B4BD2DD02AC5}"/>
    <cellStyle name="Output 2 6 3 2 7 5" xfId="21505" xr:uid="{CF503014-5547-468D-8164-982A29A4DA8E}"/>
    <cellStyle name="Output 2 6 3 2 7 5 2" xfId="51649" xr:uid="{5410EEA0-6A79-421E-B92A-72CC4452D4D9}"/>
    <cellStyle name="Output 2 6 3 2 7 6" xfId="46544" xr:uid="{CB118FD7-0631-4CD7-91F9-B4A74CA3DFF4}"/>
    <cellStyle name="Output 2 6 3 2 8" xfId="6945" xr:uid="{00000000-0005-0000-0000-000004080000}"/>
    <cellStyle name="Output 2 6 3 2 8 2" xfId="13782" xr:uid="{E971B389-C4A4-457D-AC8E-53A56CD519C9}"/>
    <cellStyle name="Output 2 6 3 2 8 2 2" xfId="36266" xr:uid="{DFBF11D9-785F-4594-8D66-9BE1C0BCEC38}"/>
    <cellStyle name="Output 2 6 3 2 8 2 3" xfId="49881" xr:uid="{82708F52-6ECA-499D-B324-217B5D84A482}"/>
    <cellStyle name="Output 2 6 3 2 8 3" xfId="18882" xr:uid="{03027C26-6DA6-4556-A303-D3DE3F203AEB}"/>
    <cellStyle name="Output 2 6 3 2 8 3 2" xfId="41272" xr:uid="{24F4ACFC-98C2-47DB-A97F-C493B5FA0AF7}"/>
    <cellStyle name="Output 2 6 3 2 8 3 3" xfId="30956" xr:uid="{9B016FA1-8FB0-4068-B0BE-89717CF49E07}"/>
    <cellStyle name="Output 2 6 3 2 8 4" xfId="20978" xr:uid="{51680CC8-559B-485F-8A24-0A8FF4319E35}"/>
    <cellStyle name="Output 2 6 3 2 8 4 2" xfId="43232" xr:uid="{BFC5826E-F403-4960-9D81-BDE0F6934C8A}"/>
    <cellStyle name="Output 2 6 3 2 8 4 3" xfId="28681" xr:uid="{DF2FAA89-D6CB-4023-9881-4966D1E33B1D}"/>
    <cellStyle name="Output 2 6 3 2 8 5" xfId="23306" xr:uid="{BDAAE0AA-3494-4D2B-B070-CA44E9F1EE22}"/>
    <cellStyle name="Output 2 6 3 2 8 5 2" xfId="50669" xr:uid="{85E9CF66-2768-49EC-9603-F0FFF2B07A4F}"/>
    <cellStyle name="Output 2 6 3 2 8 6" xfId="42348" xr:uid="{E23C8780-8D47-436B-8111-F4A94F85DBAD}"/>
    <cellStyle name="Output 2 6 3 2 9" xfId="5443" xr:uid="{00000000-0005-0000-0000-000004080000}"/>
    <cellStyle name="Output 2 6 3 2 9 2" xfId="17380" xr:uid="{838604CC-5BD0-4D88-9ABF-3AD3D4ACA02A}"/>
    <cellStyle name="Output 2 6 3 2 9 2 2" xfId="39770" xr:uid="{13B4C61F-42B7-4B5A-8311-014AA0D04CEB}"/>
    <cellStyle name="Output 2 6 3 2 9 2 3" xfId="27304" xr:uid="{F161C20B-7557-4F62-893B-81B05C775463}"/>
    <cellStyle name="Output 2 6 3 2 9 3" xfId="16212" xr:uid="{643948B0-7DDE-4078-9483-875A8E185E52}"/>
    <cellStyle name="Output 2 6 3 2 9 3 2" xfId="38611" xr:uid="{451CFC69-0AFB-4128-B6B4-09033DB60CED}"/>
    <cellStyle name="Output 2 6 3 2 9 3 3" xfId="32678" xr:uid="{324DE67D-2A80-40B7-AB99-679ED8148AF6}"/>
    <cellStyle name="Output 2 6 3 2 9 4" xfId="21804" xr:uid="{2C2A6A49-AD45-422D-AD42-5653C2B30097}"/>
    <cellStyle name="Output 2 6 3 2 9 4 2" xfId="54107" xr:uid="{7C6C8509-5038-416F-A8B3-CA94E5948AC7}"/>
    <cellStyle name="Output 2 6 3 2 9 5" xfId="48442" xr:uid="{72CAD61C-D92D-4031-BA84-8CA20042BBC0}"/>
    <cellStyle name="Output 2 6 3 3" xfId="2961" xr:uid="{00000000-0005-0000-0000-000003080000}"/>
    <cellStyle name="Output 2 6 3 3 2" xfId="9870" xr:uid="{61F2A17F-0F8F-459E-8C50-555D71616938}"/>
    <cellStyle name="Output 2 6 3 3 2 2" xfId="32393" xr:uid="{C7019F32-A25A-4971-94A8-3E82E83529AA}"/>
    <cellStyle name="Output 2 6 3 3 2 3" xfId="54023" xr:uid="{4123CB37-449A-481F-8B01-363F68E73A02}"/>
    <cellStyle name="Output 2 6 3 3 3" xfId="15309" xr:uid="{3683B044-4A1A-4342-9A0B-5DB4DFF66002}"/>
    <cellStyle name="Output 2 6 3 3 3 2" xfId="37741" xr:uid="{D04926A5-32D6-4CFB-91EA-EEE6FD70E560}"/>
    <cellStyle name="Output 2 6 3 3 3 3" xfId="49363" xr:uid="{30EF60A6-9800-491E-ABFA-389D9E0C9DC2}"/>
    <cellStyle name="Output 2 6 3 3 4" xfId="19735" xr:uid="{8F797931-2F63-4A69-916F-5FAF5A11B112}"/>
    <cellStyle name="Output 2 6 3 3 4 2" xfId="42080" xr:uid="{C85F3362-5DAA-469F-93DB-D7AE3AEE2004}"/>
    <cellStyle name="Output 2 6 3 3 4 3" xfId="24803" xr:uid="{3F7CCA62-1BDB-4C3E-9D8C-83CAA5FFD508}"/>
    <cellStyle name="Output 2 6 3 3 5" xfId="19654" xr:uid="{DDB958FA-7C23-4051-993F-54A74C526C53}"/>
    <cellStyle name="Output 2 6 3 3 5 2" xfId="28498" xr:uid="{ECC05A24-7F1B-46C1-B9B2-41C3E1A7ECD4}"/>
    <cellStyle name="Output 2 6 3 3 6" xfId="53376" xr:uid="{4735B7F8-59A6-4462-A341-6FD154CF5432}"/>
    <cellStyle name="Output 2 6 3 4" xfId="4671" xr:uid="{00000000-0005-0000-0000-000003080000}"/>
    <cellStyle name="Output 2 6 3 4 2" xfId="11569" xr:uid="{A92E53A1-451F-47E7-99B0-B2E7EA2685DD}"/>
    <cellStyle name="Output 2 6 3 4 2 2" xfId="34055" xr:uid="{657C70EE-EF3F-43BD-BE8F-214E01E2D4F4}"/>
    <cellStyle name="Output 2 6 3 4 2 3" xfId="26888" xr:uid="{B0108E9F-90F4-48E3-ABF5-0AA19EA29494}"/>
    <cellStyle name="Output 2 6 3 4 3" xfId="16608" xr:uid="{FEC59065-31CD-47C1-88A8-D34EDF10DCCA}"/>
    <cellStyle name="Output 2 6 3 4 3 2" xfId="38998" xr:uid="{BE87080E-E08A-4804-9124-4176CA3CFD75}"/>
    <cellStyle name="Output 2 6 3 4 3 3" xfId="23894" xr:uid="{2CF5D3AA-1E59-479B-BBBF-4D0F9B1BDF57}"/>
    <cellStyle name="Output 2 6 3 4 4" xfId="15022" xr:uid="{CA1AA2D8-317D-40A6-8C49-51F3C0BF25E0}"/>
    <cellStyle name="Output 2 6 3 4 4 2" xfId="37472" xr:uid="{42B1FEF9-5E32-49E4-B6DA-9AAC97E83ABB}"/>
    <cellStyle name="Output 2 6 3 4 4 3" xfId="47246" xr:uid="{61E33CEB-890A-4B6D-BDC0-068B240766E8}"/>
    <cellStyle name="Output 2 6 3 4 5" xfId="20627" xr:uid="{EE6D8AB1-B30C-4042-8563-3EE8F487CD57}"/>
    <cellStyle name="Output 2 6 3 4 5 2" xfId="50985" xr:uid="{19F75CA7-ECBB-40E2-BEB2-02B3B28B8824}"/>
    <cellStyle name="Output 2 6 3 4 6" xfId="53493" xr:uid="{7F191247-09B5-4E94-AB9C-AE5B6EA84326}"/>
    <cellStyle name="Output 2 6 3 5" xfId="4572" xr:uid="{00000000-0005-0000-0000-000003080000}"/>
    <cellStyle name="Output 2 6 3 5 2" xfId="11474" xr:uid="{3C8998A0-34C1-49C7-97A5-D04289D8EBC0}"/>
    <cellStyle name="Output 2 6 3 5 2 2" xfId="33960" xr:uid="{BE03BC85-5657-422B-8EF7-2152193361A1}"/>
    <cellStyle name="Output 2 6 3 5 2 3" xfId="25156" xr:uid="{DEDA060B-66C7-478C-B921-A6B364301D7E}"/>
    <cellStyle name="Output 2 6 3 5 3" xfId="16509" xr:uid="{CE379D6F-FC9C-4B3D-8F33-AE33622F9DA0}"/>
    <cellStyle name="Output 2 6 3 5 3 2" xfId="38899" xr:uid="{BBAAF6D9-AFC9-44E4-A25D-AF638855C13B}"/>
    <cellStyle name="Output 2 6 3 5 3 3" xfId="24604" xr:uid="{3E9E25B2-DACD-41E5-8C5A-550631E3153B}"/>
    <cellStyle name="Output 2 6 3 5 4" xfId="15046" xr:uid="{E6DDE2DA-4E68-4BF0-B7C2-4ADD46ECD34D}"/>
    <cellStyle name="Output 2 6 3 5 4 2" xfId="37493" xr:uid="{ED972234-536B-4260-AD42-ED54BEFB4FE9}"/>
    <cellStyle name="Output 2 6 3 5 4 3" xfId="43905" xr:uid="{7EA48554-E9EB-4B6E-B0F6-A27AF4198B24}"/>
    <cellStyle name="Output 2 6 3 5 5" xfId="14689" xr:uid="{4B46EFA4-8522-49C8-9079-B5590958442D}"/>
    <cellStyle name="Output 2 6 3 5 5 2" xfId="52204" xr:uid="{CD5AD3CD-229B-49CE-9BD8-E03749288D4E}"/>
    <cellStyle name="Output 2 6 3 5 6" xfId="47783" xr:uid="{B87E4233-B0CA-4DA6-896F-C0B56116048F}"/>
    <cellStyle name="Output 2 6 3 6" xfId="4741" xr:uid="{00000000-0005-0000-0000-000003080000}"/>
    <cellStyle name="Output 2 6 3 6 2" xfId="11639" xr:uid="{8EAB52C5-1105-4B67-B036-EF6E5FC777B6}"/>
    <cellStyle name="Output 2 6 3 6 2 2" xfId="34125" xr:uid="{FE3F4AB4-3F92-4133-9E50-556FB0439D9C}"/>
    <cellStyle name="Output 2 6 3 6 2 3" xfId="27902" xr:uid="{59696B0A-BAE4-4240-BC83-2527D2606CC6}"/>
    <cellStyle name="Output 2 6 3 6 3" xfId="16678" xr:uid="{7E300D0A-B3D8-466E-B1BB-C48D761E9A1E}"/>
    <cellStyle name="Output 2 6 3 6 3 2" xfId="39068" xr:uid="{0EC6D944-AA23-491B-BA78-81F1CCBE2ED1}"/>
    <cellStyle name="Output 2 6 3 6 3 3" xfId="36944" xr:uid="{1928F125-0AED-409A-85F3-4001B48E4EC7}"/>
    <cellStyle name="Output 2 6 3 6 4" xfId="7394" xr:uid="{22FFBF48-56D4-4A0A-9375-B896FC199669}"/>
    <cellStyle name="Output 2 6 3 6 4 2" xfId="30078" xr:uid="{408CB5BB-2D14-427E-9673-ADDC4BC62D3D}"/>
    <cellStyle name="Output 2 6 3 6 4 3" xfId="46210" xr:uid="{8C981B47-6BF1-4B96-BCBF-9C0865AF89EC}"/>
    <cellStyle name="Output 2 6 3 6 5" xfId="20373" xr:uid="{A2340375-D2C1-4370-8241-F9D22509F3FE}"/>
    <cellStyle name="Output 2 6 3 6 5 2" xfId="50628" xr:uid="{E902C278-9224-4B78-8C66-2786DCDF4A7B}"/>
    <cellStyle name="Output 2 6 3 6 6" xfId="47386" xr:uid="{1F7736D0-3943-461C-85AC-65AC9266D7CD}"/>
    <cellStyle name="Output 2 6 3 7" xfId="5289" xr:uid="{00000000-0005-0000-0000-000003080000}"/>
    <cellStyle name="Output 2 6 3 7 2" xfId="12181" xr:uid="{2EDC5898-1AAA-47C4-9B3D-C258670723E3}"/>
    <cellStyle name="Output 2 6 3 7 2 2" xfId="34666" xr:uid="{FDDC052C-A3B6-48EA-B042-FFE1C8E8309D}"/>
    <cellStyle name="Output 2 6 3 7 2 3" xfId="27837" xr:uid="{B6AA9F86-5A93-4848-8823-3F051721739E}"/>
    <cellStyle name="Output 2 6 3 7 3" xfId="17226" xr:uid="{E7069C25-E2BD-405C-9B1C-A0A08AA5A53F}"/>
    <cellStyle name="Output 2 6 3 7 3 2" xfId="39616" xr:uid="{3CFCA9AD-6418-4BA2-9198-C41834DEF15F}"/>
    <cellStyle name="Output 2 6 3 7 3 3" xfId="24222" xr:uid="{78AFE3EA-4442-4950-AD53-5BC321883A4A}"/>
    <cellStyle name="Output 2 6 3 7 4" xfId="19278" xr:uid="{17BA1207-E08D-48F2-A58E-8284842AC69C}"/>
    <cellStyle name="Output 2 6 3 7 4 2" xfId="41661" xr:uid="{B0BCEEFA-500D-4FD9-AD42-E08D47FAFF66}"/>
    <cellStyle name="Output 2 6 3 7 4 3" xfId="24714" xr:uid="{50B96352-1969-4534-99E5-A4ACB69499F3}"/>
    <cellStyle name="Output 2 6 3 7 5" xfId="21650" xr:uid="{E5751449-BF66-4279-A3B5-F3E4ACE099B5}"/>
    <cellStyle name="Output 2 6 3 7 5 2" xfId="52780" xr:uid="{E904B978-8535-47F8-9DD5-78485BCF5722}"/>
    <cellStyle name="Output 2 6 3 7 6" xfId="43031" xr:uid="{FE326091-8991-47A7-9F54-0C258B9D2D6E}"/>
    <cellStyle name="Output 2 6 3 8" xfId="8422" xr:uid="{8009AAF2-39C5-4C27-912E-3BDE87F200F2}"/>
    <cellStyle name="Output 2 6 3 8 2" xfId="31010" xr:uid="{54863435-CFCA-437B-859B-C9A136ED310B}"/>
    <cellStyle name="Output 2 6 3 8 3" xfId="50760" xr:uid="{FB85427B-E83D-4C99-8D2B-8BB062EF97A0}"/>
    <cellStyle name="Output 2 6 3 9" xfId="14474" xr:uid="{77876BAB-9737-47C1-9750-F053F77EC738}"/>
    <cellStyle name="Output 2 6 3 9 2" xfId="36937" xr:uid="{0608CA17-A118-43B8-8A56-D0673A702364}"/>
    <cellStyle name="Output 2 6 3 9 3" xfId="49056" xr:uid="{A9867A72-208D-411F-A8CD-05DC4D1BA3D3}"/>
    <cellStyle name="Output 2 6 4" xfId="1013" xr:uid="{00000000-0005-0000-0000-000007080000}"/>
    <cellStyle name="Output 2 6 4 10" xfId="15032" xr:uid="{70888233-15B0-429A-B6E0-445A59F6AD02}"/>
    <cellStyle name="Output 2 6 4 10 2" xfId="48732" xr:uid="{F926D562-A3CF-4E88-AD6A-2B499026535E}"/>
    <cellStyle name="Output 2 6 4 11" xfId="54096" xr:uid="{F7BC16C4-6FCC-445A-9DAF-E3775ED1E3C2}"/>
    <cellStyle name="Output 2 6 4 2" xfId="1903" xr:uid="{00000000-0005-0000-0000-000008080000}"/>
    <cellStyle name="Output 2 6 4 2 10" xfId="14573" xr:uid="{96C0F2F6-021C-40EC-BAE2-3E68544A03EC}"/>
    <cellStyle name="Output 2 6 4 2 10 2" xfId="37034" xr:uid="{812B0948-3C61-4C6E-9C74-D00E4556C78C}"/>
    <cellStyle name="Output 2 6 4 2 10 3" xfId="53312" xr:uid="{A024589B-A46E-429B-A70B-15BD586DF24E}"/>
    <cellStyle name="Output 2 6 4 2 11" xfId="20121" xr:uid="{CFB28255-77BE-4F8C-9A9C-7C16C1F7CC90}"/>
    <cellStyle name="Output 2 6 4 2 11 2" xfId="42435" xr:uid="{1B7924AE-8A06-463A-9CDA-24C058BDB7AE}"/>
    <cellStyle name="Output 2 6 4 2 11 3" xfId="44336" xr:uid="{E1BF25FA-B996-41C7-BF27-E1B819DBFDF9}"/>
    <cellStyle name="Output 2 6 4 2 12" xfId="14540" xr:uid="{C0A683E5-2062-49AF-9A22-651410593DE7}"/>
    <cellStyle name="Output 2 6 4 2 12 2" xfId="48760" xr:uid="{7A263026-1082-4A2D-A052-BBDAED0A4DF5}"/>
    <cellStyle name="Output 2 6 4 2 13" xfId="50309" xr:uid="{EFC48099-8113-4ED2-B24D-DE8A9F1B264B}"/>
    <cellStyle name="Output 2 6 4 2 2" xfId="4001" xr:uid="{00000000-0005-0000-0000-000006080000}"/>
    <cellStyle name="Output 2 6 4 2 2 2" xfId="10905" xr:uid="{102E2774-A004-4631-8206-F978D2756CD4}"/>
    <cellStyle name="Output 2 6 4 2 2 2 2" xfId="33391" xr:uid="{5E55F377-BF01-40AD-8159-AF71527B7B61}"/>
    <cellStyle name="Output 2 6 4 2 2 2 3" xfId="51981" xr:uid="{2299D147-300F-4A97-8839-FF4948C98B1E}"/>
    <cellStyle name="Output 2 6 4 2 2 3" xfId="16025" xr:uid="{9CDFF9EC-5FCE-42AB-B845-AE503ED62AA0}"/>
    <cellStyle name="Output 2 6 4 2 2 3 2" xfId="38426" xr:uid="{8A61B47D-9752-4FD7-A42C-52C2E03371C5}"/>
    <cellStyle name="Output 2 6 4 2 2 3 3" xfId="29247" xr:uid="{C18D782F-4317-47BE-AA0F-F21930B610F3}"/>
    <cellStyle name="Output 2 6 4 2 2 4" xfId="20756" xr:uid="{BE369915-5691-423D-B67B-3F76F9794E87}"/>
    <cellStyle name="Output 2 6 4 2 2 4 2" xfId="43025" xr:uid="{55604CAE-CF00-4B48-93EC-A8154A66DE81}"/>
    <cellStyle name="Output 2 6 4 2 2 4 3" xfId="45403" xr:uid="{C6987376-DBA7-4419-8E31-E89D491EF6D1}"/>
    <cellStyle name="Output 2 6 4 2 2 5" xfId="13976" xr:uid="{00652066-FA81-4ADC-892F-6280A42FD5EE}"/>
    <cellStyle name="Output 2 6 4 2 2 5 2" xfId="32150" xr:uid="{026A512C-6FEE-464B-B693-1779BC1FAB22}"/>
    <cellStyle name="Output 2 6 4 2 2 6" xfId="44591" xr:uid="{D940023B-16C2-4411-9F6B-F498333E6AC4}"/>
    <cellStyle name="Output 2 6 4 2 3" xfId="5375" xr:uid="{00000000-0005-0000-0000-000006080000}"/>
    <cellStyle name="Output 2 6 4 2 3 2" xfId="12266" xr:uid="{36195FCB-F471-468D-82F4-BA0990DB8AB4}"/>
    <cellStyle name="Output 2 6 4 2 3 2 2" xfId="34751" xr:uid="{02ED9BC2-427C-4A1F-8157-76DEEAE2B259}"/>
    <cellStyle name="Output 2 6 4 2 3 2 3" xfId="41579" xr:uid="{12BF4BEB-14E2-48ED-B6A2-BC1F5FFEF3EE}"/>
    <cellStyle name="Output 2 6 4 2 3 3" xfId="17312" xr:uid="{996E62C4-5B08-4579-98F3-7F9D572C4391}"/>
    <cellStyle name="Output 2 6 4 2 3 3 2" xfId="39702" xr:uid="{225384B8-1E47-43EA-8A30-5BE397CFBAE2}"/>
    <cellStyle name="Output 2 6 4 2 3 3 3" xfId="27558" xr:uid="{E5E463BD-2859-47C8-A8A8-7015A44A0B7C}"/>
    <cellStyle name="Output 2 6 4 2 3 4" xfId="14541" xr:uid="{60D52663-FA00-433C-BD07-DF5A4A375D34}"/>
    <cellStyle name="Output 2 6 4 2 3 4 2" xfId="37002" xr:uid="{608E9E77-03F1-4812-85C0-8DC405A4F415}"/>
    <cellStyle name="Output 2 6 4 2 3 4 3" xfId="45334" xr:uid="{88D5CC60-8414-4460-9BF2-3D4E5E9DC2BB}"/>
    <cellStyle name="Output 2 6 4 2 3 5" xfId="21736" xr:uid="{98DFC64A-C625-4A39-BA24-231E2EBFA1EA}"/>
    <cellStyle name="Output 2 6 4 2 3 5 2" xfId="24243" xr:uid="{5C9F0AC9-AC8D-4F69-A031-2BF71F8FC5B6}"/>
    <cellStyle name="Output 2 6 4 2 3 6" xfId="45120" xr:uid="{E70C1FE8-C396-4C11-808F-C38BDB438A36}"/>
    <cellStyle name="Output 2 6 4 2 4" xfId="5789" xr:uid="{00000000-0005-0000-0000-000006080000}"/>
    <cellStyle name="Output 2 6 4 2 4 2" xfId="12672" xr:uid="{7D779EA2-B725-4A2A-8032-03E8D4FBCA38}"/>
    <cellStyle name="Output 2 6 4 2 4 2 2" xfId="35157" xr:uid="{7D0DD628-CAF5-4303-94B0-CE2FFAF327ED}"/>
    <cellStyle name="Output 2 6 4 2 4 2 3" xfId="29722" xr:uid="{FBCB04D6-DCE8-4385-92AB-6F73DC6A2F94}"/>
    <cellStyle name="Output 2 6 4 2 4 3" xfId="17726" xr:uid="{3009063A-2EB2-4438-B27B-0764A9D95C60}"/>
    <cellStyle name="Output 2 6 4 2 4 3 2" xfId="40116" xr:uid="{319B78BF-0875-47D0-803C-214C097C865D}"/>
    <cellStyle name="Output 2 6 4 2 4 3 3" xfId="29659" xr:uid="{993CB255-D88A-478A-96CD-558EF9FB699F}"/>
    <cellStyle name="Output 2 6 4 2 4 4" xfId="19427" xr:uid="{A55EADCB-7693-44FD-A827-DC5720AC6467}"/>
    <cellStyle name="Output 2 6 4 2 4 4 2" xfId="41796" xr:uid="{DFAAF3A7-FC4F-4F32-985B-A472C9860651}"/>
    <cellStyle name="Output 2 6 4 2 4 4 3" xfId="38620" xr:uid="{CC15B0BD-EF51-41F6-9246-1DC3F763E28F}"/>
    <cellStyle name="Output 2 6 4 2 4 5" xfId="22150" xr:uid="{C925E654-D0C1-4BED-91DE-8D9AFEAF9A27}"/>
    <cellStyle name="Output 2 6 4 2 4 5 2" xfId="51539" xr:uid="{AC533972-1AE5-419B-B5B0-E85C6AA5D5F9}"/>
    <cellStyle name="Output 2 6 4 2 4 6" xfId="51412" xr:uid="{75C4079D-0319-4872-83DD-4610F97CB6D1}"/>
    <cellStyle name="Output 2 6 4 2 5" xfId="6134" xr:uid="{00000000-0005-0000-0000-000006080000}"/>
    <cellStyle name="Output 2 6 4 2 5 2" xfId="13011" xr:uid="{50A7C13D-5725-4841-9B5A-81F6AD9BFE3D}"/>
    <cellStyle name="Output 2 6 4 2 5 2 2" xfId="35495" xr:uid="{248A8BE9-CC85-433B-8D2F-4D5674B9897B}"/>
    <cellStyle name="Output 2 6 4 2 5 2 3" xfId="50908" xr:uid="{A870ABA3-3C62-4223-ACC3-C5243270E710}"/>
    <cellStyle name="Output 2 6 4 2 5 3" xfId="18071" xr:uid="{B4B8C4B3-D05D-44E5-A421-20C5BC6DF721}"/>
    <cellStyle name="Output 2 6 4 2 5 3 2" xfId="40461" xr:uid="{44AD1402-7D2A-4390-80EA-5A70EDBE01BA}"/>
    <cellStyle name="Output 2 6 4 2 5 3 3" xfId="28554" xr:uid="{123025D1-AE6C-4DDC-B2AC-5EDE5D2B2D82}"/>
    <cellStyle name="Output 2 6 4 2 5 4" xfId="15006" xr:uid="{41BAE970-968A-42E6-9BA7-9116B2D0974D}"/>
    <cellStyle name="Output 2 6 4 2 5 4 2" xfId="37456" xr:uid="{A09D60AB-6B83-4A6F-B4B1-C961844B7705}"/>
    <cellStyle name="Output 2 6 4 2 5 4 3" xfId="45770" xr:uid="{D55971DF-BD18-4A62-986B-C6F67F2EBAE5}"/>
    <cellStyle name="Output 2 6 4 2 5 5" xfId="22495" xr:uid="{87E345BF-DB70-4162-9F2A-238FA74A0293}"/>
    <cellStyle name="Output 2 6 4 2 5 5 2" xfId="37149" xr:uid="{64C5A6AF-1D8A-4618-B6BA-5B56084397D4}"/>
    <cellStyle name="Output 2 6 4 2 5 6" xfId="29803" xr:uid="{7DEBDCA4-434B-47E5-8F52-C1986F7AB74F}"/>
    <cellStyle name="Output 2 6 4 2 6" xfId="6507" xr:uid="{00000000-0005-0000-0000-000006080000}"/>
    <cellStyle name="Output 2 6 4 2 6 2" xfId="13376" xr:uid="{EC3507CC-1BA4-4807-9CDF-E584164B0EDE}"/>
    <cellStyle name="Output 2 6 4 2 6 2 2" xfId="35860" xr:uid="{5F938EAD-661E-43C1-B648-338423EC23E1}"/>
    <cellStyle name="Output 2 6 4 2 6 2 3" xfId="51488" xr:uid="{040348A3-3975-4C3F-ACAC-5826E5F3AEBD}"/>
    <cellStyle name="Output 2 6 4 2 6 3" xfId="18444" xr:uid="{007AE189-8634-48CA-97C3-11D8D80620A5}"/>
    <cellStyle name="Output 2 6 4 2 6 3 2" xfId="40834" xr:uid="{7DD13A18-58A8-44E8-891A-7E8B23EF9838}"/>
    <cellStyle name="Output 2 6 4 2 6 3 3" xfId="28278" xr:uid="{3341B06C-F86D-4BA1-80B0-ECD5730FC0F1}"/>
    <cellStyle name="Output 2 6 4 2 6 4" xfId="21232" xr:uid="{D8CD3403-2157-45FD-9178-B6298737F608}"/>
    <cellStyle name="Output 2 6 4 2 6 4 2" xfId="43470" xr:uid="{0E551F67-084A-4C29-835B-A99BD0441206}"/>
    <cellStyle name="Output 2 6 4 2 6 4 3" xfId="29251" xr:uid="{AF2010CA-E75F-4338-A431-8B35F09CE870}"/>
    <cellStyle name="Output 2 6 4 2 6 5" xfId="22868" xr:uid="{17183470-8D3B-4DE2-8ED0-9C99DFEC42E2}"/>
    <cellStyle name="Output 2 6 4 2 6 5 2" xfId="42308" xr:uid="{A25C2EC1-169B-4636-A027-47DC764E1C25}"/>
    <cellStyle name="Output 2 6 4 2 6 6" xfId="46266" xr:uid="{1091FB17-EDD6-4F16-82B2-CA8CD67A0438}"/>
    <cellStyle name="Output 2 6 4 2 7" xfId="5139" xr:uid="{00000000-0005-0000-0000-000006080000}"/>
    <cellStyle name="Output 2 6 4 2 7 2" xfId="12032" xr:uid="{1EAB1AFC-BA18-4B07-8502-FC8ACDAD63AE}"/>
    <cellStyle name="Output 2 6 4 2 7 2 2" xfId="34518" xr:uid="{CDD5F6CC-FD41-4897-AE6D-EC89CFC518E7}"/>
    <cellStyle name="Output 2 6 4 2 7 2 3" xfId="45534" xr:uid="{D1389623-A924-4D1E-8450-C4624CA0D887}"/>
    <cellStyle name="Output 2 6 4 2 7 3" xfId="17076" xr:uid="{B322CF3E-97F3-4491-B4E6-9CADB022433D}"/>
    <cellStyle name="Output 2 6 4 2 7 3 2" xfId="39466" xr:uid="{7FFFF5A5-4D52-439D-A22F-77A24395782F}"/>
    <cellStyle name="Output 2 6 4 2 7 3 3" xfId="37027" xr:uid="{27D86EB8-F523-4C81-BD24-E21DADC64C09}"/>
    <cellStyle name="Output 2 6 4 2 7 4" xfId="14773" xr:uid="{97BFB60D-2840-457A-B750-C5E91C9CED76}"/>
    <cellStyle name="Output 2 6 4 2 7 4 2" xfId="37230" xr:uid="{26741E8F-3D1B-4BF2-B012-51CC754AC9BA}"/>
    <cellStyle name="Output 2 6 4 2 7 4 3" xfId="51980" xr:uid="{1DCB22A3-3691-47F2-9AE7-5A67B279E556}"/>
    <cellStyle name="Output 2 6 4 2 7 5" xfId="21500" xr:uid="{A55CDE74-279B-4C59-B3B3-807E4C2B0B5F}"/>
    <cellStyle name="Output 2 6 4 2 7 5 2" xfId="24494" xr:uid="{3F38B627-7C8E-401F-BF9D-5B483475D65B}"/>
    <cellStyle name="Output 2 6 4 2 7 6" xfId="47137" xr:uid="{1AA9F73E-A324-4C7E-945E-DB559035D1C1}"/>
    <cellStyle name="Output 2 6 4 2 8" xfId="6991" xr:uid="{00000000-0005-0000-0000-000006080000}"/>
    <cellStyle name="Output 2 6 4 2 8 2" xfId="13828" xr:uid="{449E16F9-1304-4D02-91B1-17E392F8749A}"/>
    <cellStyle name="Output 2 6 4 2 8 2 2" xfId="36312" xr:uid="{14F48203-D9A4-4A18-A74D-166666B11E01}"/>
    <cellStyle name="Output 2 6 4 2 8 2 3" xfId="52119" xr:uid="{701A4A94-DF7C-4AB0-A131-48C218137770}"/>
    <cellStyle name="Output 2 6 4 2 8 3" xfId="18928" xr:uid="{1AA6083F-EEFE-4865-8A93-5905AB6D74E8}"/>
    <cellStyle name="Output 2 6 4 2 8 3 2" xfId="41318" xr:uid="{36B446D8-AE7B-4778-A1EB-AAC94886A935}"/>
    <cellStyle name="Output 2 6 4 2 8 3 3" xfId="25405" xr:uid="{25F03B43-4B25-45BD-9555-DDF06CBAF0BF}"/>
    <cellStyle name="Output 2 6 4 2 8 4" xfId="20133" xr:uid="{BA75EFFB-1C1E-4580-B680-ADF74871E61D}"/>
    <cellStyle name="Output 2 6 4 2 8 4 2" xfId="42447" xr:uid="{66416F41-7F46-4D4B-AD8B-6F5972E252B3}"/>
    <cellStyle name="Output 2 6 4 2 8 4 3" xfId="30655" xr:uid="{1A9E1D78-0884-4ACC-A897-8CA378CAC3B6}"/>
    <cellStyle name="Output 2 6 4 2 8 5" xfId="23352" xr:uid="{D7ACA642-40C6-48E1-BB7D-2DA06321F4AB}"/>
    <cellStyle name="Output 2 6 4 2 8 5 2" xfId="43676" xr:uid="{E62EB1CB-B219-4ACF-A3E7-371D9A87CE5C}"/>
    <cellStyle name="Output 2 6 4 2 8 6" xfId="52424" xr:uid="{F69F977A-7189-4FF2-A0B0-A9A9236BF2FC}"/>
    <cellStyle name="Output 2 6 4 2 9" xfId="6828" xr:uid="{00000000-0005-0000-0000-000006080000}"/>
    <cellStyle name="Output 2 6 4 2 9 2" xfId="18765" xr:uid="{BB9DBC8D-4887-4909-9607-B12F6FE5FB13}"/>
    <cellStyle name="Output 2 6 4 2 9 2 2" xfId="41155" xr:uid="{AD35991D-D849-46C4-844B-190D303FE8C2}"/>
    <cellStyle name="Output 2 6 4 2 9 2 3" xfId="31963" xr:uid="{01A77E21-F36A-4EFD-AAD2-2F62EA16DCD4}"/>
    <cellStyle name="Output 2 6 4 2 9 3" xfId="19956" xr:uid="{DF4B3A97-7DF0-497E-9494-E16008B69C27}"/>
    <cellStyle name="Output 2 6 4 2 9 3 2" xfId="42285" xr:uid="{FE40897A-DBEE-41C8-A694-C747AAD2D811}"/>
    <cellStyle name="Output 2 6 4 2 9 3 3" xfId="28387" xr:uid="{C46119A2-568F-4332-8B9F-99688D20E758}"/>
    <cellStyle name="Output 2 6 4 2 9 4" xfId="23189" xr:uid="{C8587AB0-AB36-4602-ABC7-0ACFFCA303DE}"/>
    <cellStyle name="Output 2 6 4 2 9 4 2" xfId="47456" xr:uid="{8853469B-DEFC-4911-AB2E-20FE64FEFF7C}"/>
    <cellStyle name="Output 2 6 4 2 9 5" xfId="50814" xr:uid="{C424284F-1554-4B5C-B952-F80BDC9C2FDD}"/>
    <cellStyle name="Output 2 6 4 3" xfId="3140" xr:uid="{00000000-0005-0000-0000-000005080000}"/>
    <cellStyle name="Output 2 6 4 3 2" xfId="10049" xr:uid="{39A100BA-D516-42AF-B4DD-D4769079C469}"/>
    <cellStyle name="Output 2 6 4 3 2 2" xfId="32556" xr:uid="{84D3E39C-D66C-4102-9DB1-7DB6BC4C121F}"/>
    <cellStyle name="Output 2 6 4 3 2 3" xfId="46315" xr:uid="{103EB3A6-111B-4045-8EBC-43561100720C}"/>
    <cellStyle name="Output 2 6 4 3 3" xfId="15427" xr:uid="{21E0D580-4690-4B52-9FE5-B57F400A1BA9}"/>
    <cellStyle name="Output 2 6 4 3 3 2" xfId="37853" xr:uid="{99033132-142B-47E4-8696-62242952AAF3}"/>
    <cellStyle name="Output 2 6 4 3 3 3" xfId="36506" xr:uid="{FD3B9BDB-F54A-4FA9-86BB-3C84DF1104C7}"/>
    <cellStyle name="Output 2 6 4 3 4" xfId="15352" xr:uid="{46ECF90C-B070-41F7-82D9-0EEA130F5216}"/>
    <cellStyle name="Output 2 6 4 3 4 2" xfId="37783" xr:uid="{F46FE9BC-0B75-4B6E-87CD-148A50916D76}"/>
    <cellStyle name="Output 2 6 4 3 4 3" xfId="32458" xr:uid="{0BE5AE3B-196D-4B5C-80F1-82A81CE2E8F5}"/>
    <cellStyle name="Output 2 6 4 3 5" xfId="20956" xr:uid="{C3ED0878-33A6-4724-BE6F-257BB82748D6}"/>
    <cellStyle name="Output 2 6 4 3 5 2" xfId="48602" xr:uid="{10582A04-1D9A-4DEE-9453-E2B1A336E476}"/>
    <cellStyle name="Output 2 6 4 3 6" xfId="50338" xr:uid="{E9B96E91-DEF8-4A01-90FC-0C879217579F}"/>
    <cellStyle name="Output 2 6 4 4" xfId="4788" xr:uid="{00000000-0005-0000-0000-000005080000}"/>
    <cellStyle name="Output 2 6 4 4 2" xfId="11685" xr:uid="{5B7890B2-97CB-4CA6-B7F8-F45DC35E44F1}"/>
    <cellStyle name="Output 2 6 4 4 2 2" xfId="34171" xr:uid="{CF5BF1F8-2E88-4857-8266-3BAF9BFF62A3}"/>
    <cellStyle name="Output 2 6 4 4 2 3" xfId="32470" xr:uid="{F2D48505-C3DB-4A22-AE33-B8700FFF5446}"/>
    <cellStyle name="Output 2 6 4 4 3" xfId="16725" xr:uid="{483B510F-25E6-45D4-979C-8326284D355D}"/>
    <cellStyle name="Output 2 6 4 4 3 2" xfId="39115" xr:uid="{0CC9D00D-A82C-4277-B79A-A95097DF8C75}"/>
    <cellStyle name="Output 2 6 4 4 3 3" xfId="45190" xr:uid="{E9145011-3E8C-41A2-AEFD-1426F1505765}"/>
    <cellStyle name="Output 2 6 4 4 4" xfId="15093" xr:uid="{328D9560-FB48-459C-BE8C-FD6A8D6D2857}"/>
    <cellStyle name="Output 2 6 4 4 4 2" xfId="37537" xr:uid="{20B0C97E-F31B-4CB8-988B-9A03F3FA2D05}"/>
    <cellStyle name="Output 2 6 4 4 4 3" xfId="28139" xr:uid="{BE0706AA-D14A-49DB-9C6F-56CAF8D024AC}"/>
    <cellStyle name="Output 2 6 4 4 5" xfId="12036" xr:uid="{D6FEC10C-F8BA-4475-868A-2BF34604D47A}"/>
    <cellStyle name="Output 2 6 4 4 5 2" xfId="26115" xr:uid="{6CFB06B9-9D33-4FB0-9713-DDA6C9E7CADD}"/>
    <cellStyle name="Output 2 6 4 4 6" xfId="49576" xr:uid="{52580A08-8307-46BC-BF77-92B4601C94B2}"/>
    <cellStyle name="Output 2 6 4 5" xfId="2358" xr:uid="{00000000-0005-0000-0000-000005080000}"/>
    <cellStyle name="Output 2 6 4 5 2" xfId="9267" xr:uid="{BFAF277C-489E-46F9-9632-F2DF90BBE98B}"/>
    <cellStyle name="Output 2 6 4 5 2 2" xfId="31842" xr:uid="{22492DFF-8C81-48FE-924E-7CCE79FA5829}"/>
    <cellStyle name="Output 2 6 4 5 2 3" xfId="47648" xr:uid="{323894E9-55B3-41DA-BE23-E0CAC2D1DA55}"/>
    <cellStyle name="Output 2 6 4 5 3" xfId="14913" xr:uid="{A3FDAE17-1AC3-4801-9B36-6DFEDBA548B3}"/>
    <cellStyle name="Output 2 6 4 5 3 2" xfId="37367" xr:uid="{D5ED4CAF-B54C-4E36-A2EC-FF12722A3550}"/>
    <cellStyle name="Output 2 6 4 5 3 3" xfId="49296" xr:uid="{CBD7D6F9-F3A5-4807-B8EF-E98D3E14A958}"/>
    <cellStyle name="Output 2 6 4 5 4" xfId="20972" xr:uid="{88D86D12-A096-4B8A-A3AD-C0E353B92991}"/>
    <cellStyle name="Output 2 6 4 5 4 2" xfId="43226" xr:uid="{CABC3CEF-7B9B-4AA2-A7B1-F0245FD7ABAE}"/>
    <cellStyle name="Output 2 6 4 5 4 3" xfId="51250" xr:uid="{2F2677A5-CE97-43B1-8463-DD2500E80254}"/>
    <cellStyle name="Output 2 6 4 5 5" xfId="20413" xr:uid="{D216C95D-4F86-42DF-A0EE-98CB38694B8F}"/>
    <cellStyle name="Output 2 6 4 5 5 2" xfId="46638" xr:uid="{BCBB982A-6E11-4D0F-9AC0-872AA7242618}"/>
    <cellStyle name="Output 2 6 4 5 6" xfId="49434" xr:uid="{9E661E21-C9AF-4763-A02B-E18125810934}"/>
    <cellStyle name="Output 2 6 4 6" xfId="5852" xr:uid="{00000000-0005-0000-0000-000005080000}"/>
    <cellStyle name="Output 2 6 4 6 2" xfId="12734" xr:uid="{DAB54D5E-C03A-48A4-AD2E-350A298E1B8F}"/>
    <cellStyle name="Output 2 6 4 6 2 2" xfId="35218" xr:uid="{B0B65E12-9C36-4A34-84E2-B30C8792CBB4}"/>
    <cellStyle name="Output 2 6 4 6 2 3" xfId="28170" xr:uid="{372CDE9A-6D49-4B21-8832-8A8E3BEB662A}"/>
    <cellStyle name="Output 2 6 4 6 3" xfId="17789" xr:uid="{6A0FAD40-5DCD-47D4-8754-37D05D6CB31A}"/>
    <cellStyle name="Output 2 6 4 6 3 2" xfId="40179" xr:uid="{EA8B2C7B-B328-4DC6-A6BC-C5644B77B2F4}"/>
    <cellStyle name="Output 2 6 4 6 3 3" xfId="25799" xr:uid="{847F4C41-483F-49B0-A28C-C475D3861EC0}"/>
    <cellStyle name="Output 2 6 4 6 4" xfId="14550" xr:uid="{00216641-9335-4906-B9AF-57E2BAF8D7F4}"/>
    <cellStyle name="Output 2 6 4 6 4 2" xfId="37011" xr:uid="{2A3FF37B-7417-4EB6-82E5-821E516ADA68}"/>
    <cellStyle name="Output 2 6 4 6 4 3" xfId="50079" xr:uid="{5C3A637C-A9DF-4510-9DBC-41C784CB7CE7}"/>
    <cellStyle name="Output 2 6 4 6 5" xfId="22213" xr:uid="{3D5F85DC-9AB5-4099-BFB1-D26151B87923}"/>
    <cellStyle name="Output 2 6 4 6 5 2" xfId="30629" xr:uid="{073DFB6F-5066-4844-8A73-61D1F26A8B2D}"/>
    <cellStyle name="Output 2 6 4 6 6" xfId="53825" xr:uid="{5635BB8E-E2D2-4727-AFC4-B65EAE6044E5}"/>
    <cellStyle name="Output 2 6 4 7" xfId="6487" xr:uid="{00000000-0005-0000-0000-000005080000}"/>
    <cellStyle name="Output 2 6 4 7 2" xfId="13357" xr:uid="{F97C0ECE-8FE5-4829-83DF-8CD9FF39CD4F}"/>
    <cellStyle name="Output 2 6 4 7 2 2" xfId="35841" xr:uid="{D2B24478-BAFB-4DBE-8EE5-BBCF9760A74B}"/>
    <cellStyle name="Output 2 6 4 7 2 3" xfId="52171" xr:uid="{282BBFDF-5DF4-4F25-9C0F-4BBAFDE983A6}"/>
    <cellStyle name="Output 2 6 4 7 3" xfId="18424" xr:uid="{5EBF9220-A463-4CF0-A870-5758C3A40A50}"/>
    <cellStyle name="Output 2 6 4 7 3 2" xfId="40814" xr:uid="{28D084A2-7974-4FB7-AF85-E35970A705DF}"/>
    <cellStyle name="Output 2 6 4 7 3 3" xfId="25730" xr:uid="{E01C10C5-CFC5-476F-BA14-CE2EF025B506}"/>
    <cellStyle name="Output 2 6 4 7 4" xfId="20061" xr:uid="{E6B48905-5750-4032-91DF-D9C6D36EC126}"/>
    <cellStyle name="Output 2 6 4 7 4 2" xfId="42382" xr:uid="{02D359BE-16A2-41D8-AF3D-B3DB4DD7E189}"/>
    <cellStyle name="Output 2 6 4 7 4 3" xfId="42170" xr:uid="{5DB61C2C-891C-432D-A6AE-0302E1AF2BFC}"/>
    <cellStyle name="Output 2 6 4 7 5" xfId="22848" xr:uid="{8D091B61-7FDB-4B51-BEDB-91A4500C365C}"/>
    <cellStyle name="Output 2 6 4 7 5 2" xfId="44170" xr:uid="{40BAB075-FCDA-42BD-9E05-2935206A52F5}"/>
    <cellStyle name="Output 2 6 4 7 6" xfId="52430" xr:uid="{FA2150D9-6D2F-4A76-88EC-656205B7EAC4}"/>
    <cellStyle name="Output 2 6 4 8" xfId="13046" xr:uid="{6A6B0ABE-146A-4B34-806A-093915AA09CB}"/>
    <cellStyle name="Output 2 6 4 8 2" xfId="35530" xr:uid="{36D101C7-9F24-40E8-81C4-DF8D755730E8}"/>
    <cellStyle name="Output 2 6 4 8 3" xfId="50433" xr:uid="{05FD8F9B-D0CE-4D72-88FF-44CAD51E08F8}"/>
    <cellStyle name="Output 2 6 4 9" xfId="20311" xr:uid="{4CAC46BD-68A7-443C-9B16-C6BBB5103B60}"/>
    <cellStyle name="Output 2 6 4 9 2" xfId="42610" xr:uid="{0686CBB6-3437-4BA6-BB71-8DA583FA5D36}"/>
    <cellStyle name="Output 2 6 4 9 3" xfId="46407" xr:uid="{5B238F81-0279-4DF8-9375-F1415E987B29}"/>
    <cellStyle name="Output 2 6 5" xfId="1197" xr:uid="{00000000-0005-0000-0000-000009080000}"/>
    <cellStyle name="Output 2 6 5 10" xfId="20965" xr:uid="{3F241405-FCF9-4F87-BA73-30CD15238B8D}"/>
    <cellStyle name="Output 2 6 5 10 2" xfId="47214" xr:uid="{30B8E716-1E77-4E7F-957B-FFDC12DD3B84}"/>
    <cellStyle name="Output 2 6 5 11" xfId="51922" xr:uid="{0983DAC3-45D4-44D1-A721-4141950EC2AF}"/>
    <cellStyle name="Output 2 6 5 2" xfId="1997" xr:uid="{00000000-0005-0000-0000-00000A080000}"/>
    <cellStyle name="Output 2 6 5 2 10" xfId="14645" xr:uid="{8BB77E53-F83C-4072-B186-E9364ABFCE12}"/>
    <cellStyle name="Output 2 6 5 2 10 2" xfId="37105" xr:uid="{D083C23D-3184-4601-B562-3973101D9548}"/>
    <cellStyle name="Output 2 6 5 2 10 3" xfId="43740" xr:uid="{157D84D8-69F4-4E1B-902C-A0390E3D9DB6}"/>
    <cellStyle name="Output 2 6 5 2 11" xfId="20287" xr:uid="{A6339C52-7237-4011-82F9-675B85627135}"/>
    <cellStyle name="Output 2 6 5 2 11 2" xfId="42587" xr:uid="{5897829A-6F68-40D1-8947-FDCEE9465A7C}"/>
    <cellStyle name="Output 2 6 5 2 11 3" xfId="49163" xr:uid="{0637BF7C-4670-4269-929D-D3274889F1AF}"/>
    <cellStyle name="Output 2 6 5 2 12" xfId="19428" xr:uid="{6E40980C-E4A3-428C-B867-E9645CC6B7DC}"/>
    <cellStyle name="Output 2 6 5 2 12 2" xfId="44680" xr:uid="{E51DB72F-D858-458F-B4D2-0399409B44D8}"/>
    <cellStyle name="Output 2 6 5 2 13" xfId="52090" xr:uid="{D7ACCD08-0102-415E-8188-230348608AF3}"/>
    <cellStyle name="Output 2 6 5 2 2" xfId="4093" xr:uid="{00000000-0005-0000-0000-000008080000}"/>
    <cellStyle name="Output 2 6 5 2 2 2" xfId="10997" xr:uid="{52963C7B-F2E3-4973-B5BF-99A5B21795DE}"/>
    <cellStyle name="Output 2 6 5 2 2 2 2" xfId="33483" xr:uid="{2A61C586-E2AC-4132-9F52-11EC346166C1}"/>
    <cellStyle name="Output 2 6 5 2 2 2 3" xfId="53186" xr:uid="{61A3B810-D42B-46E7-9532-5BE567FE5881}"/>
    <cellStyle name="Output 2 6 5 2 2 3" xfId="16097" xr:uid="{C3661A2A-6140-45FC-B5E9-2B2AB2E77742}"/>
    <cellStyle name="Output 2 6 5 2 2 3 2" xfId="38497" xr:uid="{4F3D7701-8397-4E63-BBAD-873266E3EFEE}"/>
    <cellStyle name="Output 2 6 5 2 2 3 3" xfId="42168" xr:uid="{23F61F75-74A6-41D7-8314-D3F7A5F6BC1E}"/>
    <cellStyle name="Output 2 6 5 2 2 4" xfId="14396" xr:uid="{72A9F465-9C6C-4DB2-A221-253EF09C6D60}"/>
    <cellStyle name="Output 2 6 5 2 2 4 2" xfId="36862" xr:uid="{811F7C42-D19F-47FB-94D0-AC23A4348C6B}"/>
    <cellStyle name="Output 2 6 5 2 2 4 3" xfId="47236" xr:uid="{C8305FD4-5553-45AF-91E1-9FBC7C862B8B}"/>
    <cellStyle name="Output 2 6 5 2 2 5" xfId="19520" xr:uid="{33B9967D-72C3-4EB7-A773-2AB279FED455}"/>
    <cellStyle name="Output 2 6 5 2 2 5 2" xfId="29075" xr:uid="{38532D00-C9A3-4A9F-8839-E67847EC9A8C}"/>
    <cellStyle name="Output 2 6 5 2 2 6" xfId="23659" xr:uid="{7EEBA991-E5CF-4F25-8E4D-B1F352AE0B7E}"/>
    <cellStyle name="Output 2 6 5 2 3" xfId="5438" xr:uid="{00000000-0005-0000-0000-000008080000}"/>
    <cellStyle name="Output 2 6 5 2 3 2" xfId="12328" xr:uid="{87500201-263B-4BAF-B3F3-C10AC70D6F89}"/>
    <cellStyle name="Output 2 6 5 2 3 2 2" xfId="34813" xr:uid="{A71596A8-3B48-4DA0-A19B-A70D1CB959EF}"/>
    <cellStyle name="Output 2 6 5 2 3 2 3" xfId="44072" xr:uid="{F017E158-35C2-40B7-9A3E-84086640FF57}"/>
    <cellStyle name="Output 2 6 5 2 3 3" xfId="17375" xr:uid="{B0B37EAF-E873-4A7D-AFEE-2B3B84FC876E}"/>
    <cellStyle name="Output 2 6 5 2 3 3 2" xfId="39765" xr:uid="{1B0A9F91-EE9A-4CB3-AB0A-AF1B25FA76B6}"/>
    <cellStyle name="Output 2 6 5 2 3 3 3" xfId="24188" xr:uid="{E3BCD070-D487-47CE-A9FD-A0B79B17B65D}"/>
    <cellStyle name="Output 2 6 5 2 3 4" xfId="14134" xr:uid="{EE3B04A1-EBE6-4CE8-A9B8-1A665874B27A}"/>
    <cellStyle name="Output 2 6 5 2 3 4 2" xfId="36611" xr:uid="{27A38EC0-F7F4-48A8-9B11-5D1EB0563419}"/>
    <cellStyle name="Output 2 6 5 2 3 4 3" xfId="29176" xr:uid="{A0E086E4-D456-4614-8E3B-F9F85A8CF660}"/>
    <cellStyle name="Output 2 6 5 2 3 5" xfId="21799" xr:uid="{8750F76A-D459-4077-A69F-D06ACE65F280}"/>
    <cellStyle name="Output 2 6 5 2 3 5 2" xfId="24007" xr:uid="{428040F8-AF73-4C44-81BE-C77D4434CED3}"/>
    <cellStyle name="Output 2 6 5 2 3 6" xfId="49290" xr:uid="{43CAE24D-8D22-4D2D-ADBA-8507CE1F9527}"/>
    <cellStyle name="Output 2 6 5 2 4" xfId="5861" xr:uid="{00000000-0005-0000-0000-000008080000}"/>
    <cellStyle name="Output 2 6 5 2 4 2" xfId="12743" xr:uid="{C1B0F420-9690-40BE-9C2F-5D4F11A1B3C3}"/>
    <cellStyle name="Output 2 6 5 2 4 2 2" xfId="35227" xr:uid="{530F6CE6-219D-49D9-B1BA-AF23FA28EE93}"/>
    <cellStyle name="Output 2 6 5 2 4 2 3" xfId="45318" xr:uid="{BEDB88C6-046D-4744-AF7B-EEF33679F72A}"/>
    <cellStyle name="Output 2 6 5 2 4 3" xfId="17798" xr:uid="{7FD1EEDB-835A-4B62-BB26-E13BAA546DB9}"/>
    <cellStyle name="Output 2 6 5 2 4 3 2" xfId="40188" xr:uid="{BEFE2C1B-8201-4D5F-8394-09102E8939D3}"/>
    <cellStyle name="Output 2 6 5 2 4 3 3" xfId="29734" xr:uid="{05406A66-19EE-4C1B-A28F-B691AAB72570}"/>
    <cellStyle name="Output 2 6 5 2 4 4" xfId="19837" xr:uid="{973C1A94-0304-44CE-9C89-135CB9EE32D9}"/>
    <cellStyle name="Output 2 6 5 2 4 4 2" xfId="42173" xr:uid="{7ADD1BAB-5781-4951-9B21-0A1500DCB424}"/>
    <cellStyle name="Output 2 6 5 2 4 4 3" xfId="29229" xr:uid="{D1021449-0BCE-4F5A-9BBE-A85D6D45E698}"/>
    <cellStyle name="Output 2 6 5 2 4 5" xfId="22222" xr:uid="{DE82F0C7-719C-4C52-8433-9365145D8F0D}"/>
    <cellStyle name="Output 2 6 5 2 4 5 2" xfId="47656" xr:uid="{81FDD3F7-77C5-444F-92FA-39D981191D6D}"/>
    <cellStyle name="Output 2 6 5 2 4 6" xfId="28349" xr:uid="{D682254F-70E3-47C5-827E-3097C7D903C8}"/>
    <cellStyle name="Output 2 6 5 2 5" xfId="6199" xr:uid="{00000000-0005-0000-0000-000008080000}"/>
    <cellStyle name="Output 2 6 5 2 5 2" xfId="13074" xr:uid="{E8D105BC-CC74-4B01-8A19-7396C7173F69}"/>
    <cellStyle name="Output 2 6 5 2 5 2 2" xfId="35558" xr:uid="{8E33E09E-270A-4624-87E5-922CE3FE5880}"/>
    <cellStyle name="Output 2 6 5 2 5 2 3" xfId="50419" xr:uid="{250015B2-7E17-4505-98D2-859E498D6DF9}"/>
    <cellStyle name="Output 2 6 5 2 5 3" xfId="18136" xr:uid="{8FA1FA5A-7276-4712-A612-77BBDAAF5334}"/>
    <cellStyle name="Output 2 6 5 2 5 3 2" xfId="40526" xr:uid="{FB69D4B2-7273-4B14-A033-EA2A3705EA1E}"/>
    <cellStyle name="Output 2 6 5 2 5 3 3" xfId="27283" xr:uid="{B4E49BA2-E189-45D9-9D0C-138B36139D3A}"/>
    <cellStyle name="Output 2 6 5 2 5 4" xfId="15619" xr:uid="{B9C15F8D-F278-4E82-93E7-BAB917B0503B}"/>
    <cellStyle name="Output 2 6 5 2 5 4 2" xfId="38035" xr:uid="{D89A623F-FCE5-4222-B3A3-8A3E0AB7B26F}"/>
    <cellStyle name="Output 2 6 5 2 5 4 3" xfId="52356" xr:uid="{808492EC-60E5-4AE9-9847-D65A439A01A9}"/>
    <cellStyle name="Output 2 6 5 2 5 5" xfId="22560" xr:uid="{D007362B-896D-4718-94E8-CCACBAFC721F}"/>
    <cellStyle name="Output 2 6 5 2 5 5 2" xfId="49511" xr:uid="{82EE5DD0-7BD6-4E19-B901-8FB1292E320C}"/>
    <cellStyle name="Output 2 6 5 2 5 6" xfId="52526" xr:uid="{AEE5D0C2-2F1D-4A31-836D-793F8D9C464C}"/>
    <cellStyle name="Output 2 6 5 2 6" xfId="6567" xr:uid="{00000000-0005-0000-0000-000008080000}"/>
    <cellStyle name="Output 2 6 5 2 6 2" xfId="13433" xr:uid="{83AA3085-DECD-4AF4-B44B-7F3FC4F9C3A6}"/>
    <cellStyle name="Output 2 6 5 2 6 2 2" xfId="35917" xr:uid="{63340459-7A65-464A-84B9-B8C31EDA3847}"/>
    <cellStyle name="Output 2 6 5 2 6 2 3" xfId="46497" xr:uid="{EC59D067-8BB2-4246-86CF-0BFE69E0140C}"/>
    <cellStyle name="Output 2 6 5 2 6 3" xfId="18504" xr:uid="{37E25B39-77DA-4D27-BD6C-C1D7F1C170C5}"/>
    <cellStyle name="Output 2 6 5 2 6 3 2" xfId="40894" xr:uid="{4112B696-7E8D-4E2C-B2E4-C73A5579BB22}"/>
    <cellStyle name="Output 2 6 5 2 6 3 3" xfId="29129" xr:uid="{7417A157-CC0A-4B16-A98E-DF61C3E9DFCB}"/>
    <cellStyle name="Output 2 6 5 2 6 4" xfId="21283" xr:uid="{B343F20C-C1A7-4C2E-8141-13AFC0552976}"/>
    <cellStyle name="Output 2 6 5 2 6 4 2" xfId="43517" xr:uid="{3D3456F4-4D7B-44F7-9154-F5E67336414C}"/>
    <cellStyle name="Output 2 6 5 2 6 4 3" xfId="28510" xr:uid="{BE33CC46-3F4D-4153-93FB-FDD5291A145D}"/>
    <cellStyle name="Output 2 6 5 2 6 5" xfId="22928" xr:uid="{5758FB7C-7779-4115-A524-9F938B9DCF43}"/>
    <cellStyle name="Output 2 6 5 2 6 5 2" xfId="51350" xr:uid="{E56E952B-09BF-4B76-A9D1-11843F63CBC1}"/>
    <cellStyle name="Output 2 6 5 2 6 6" xfId="52494" xr:uid="{02718CD0-87CA-48F1-A6B6-A9F645BB65F0}"/>
    <cellStyle name="Output 2 6 5 2 7" xfId="5701" xr:uid="{00000000-0005-0000-0000-000008080000}"/>
    <cellStyle name="Output 2 6 5 2 7 2" xfId="12585" xr:uid="{50D11172-9763-4C07-900A-BFDCE24FD76B}"/>
    <cellStyle name="Output 2 6 5 2 7 2 2" xfId="35070" xr:uid="{79B3F8EF-AE4B-420D-8507-6968A37DABA0}"/>
    <cellStyle name="Output 2 6 5 2 7 2 3" xfId="26593" xr:uid="{F6F8A371-168A-413C-9BFA-C02DB2AB99A1}"/>
    <cellStyle name="Output 2 6 5 2 7 3" xfId="17638" xr:uid="{F13EBF0C-5A54-4868-8D86-DBD6949C60E3}"/>
    <cellStyle name="Output 2 6 5 2 7 3 2" xfId="40028" xr:uid="{1A9027BA-995A-4970-BE0F-B5CF3A0D2C86}"/>
    <cellStyle name="Output 2 6 5 2 7 3 3" xfId="29099" xr:uid="{036E1B06-3A92-4F47-B81A-325992C2479B}"/>
    <cellStyle name="Output 2 6 5 2 7 4" xfId="15250" xr:uid="{5F3D666E-7674-455E-BC7C-3979A074807F}"/>
    <cellStyle name="Output 2 6 5 2 7 4 2" xfId="37685" xr:uid="{09F13549-E9F7-433D-8D04-FFD6BAFA2DBF}"/>
    <cellStyle name="Output 2 6 5 2 7 4 3" xfId="51444" xr:uid="{7C838E82-4038-4C3C-95E1-B8222F2E2724}"/>
    <cellStyle name="Output 2 6 5 2 7 5" xfId="22062" xr:uid="{78831EA8-29E4-473E-988A-DE8334821AC7}"/>
    <cellStyle name="Output 2 6 5 2 7 5 2" xfId="49343" xr:uid="{65805120-7169-4896-81B0-AA6A0D452AD6}"/>
    <cellStyle name="Output 2 6 5 2 7 6" xfId="48125" xr:uid="{27AA3530-C96B-446B-BE30-285BC72C1124}"/>
    <cellStyle name="Output 2 6 5 2 8" xfId="7037" xr:uid="{00000000-0005-0000-0000-000008080000}"/>
    <cellStyle name="Output 2 6 5 2 8 2" xfId="13873" xr:uid="{3A7FE771-26FB-47BC-85DF-A8E701BC726C}"/>
    <cellStyle name="Output 2 6 5 2 8 2 2" xfId="36357" xr:uid="{48F13FBE-7127-48C9-A38D-252A4B642BDA}"/>
    <cellStyle name="Output 2 6 5 2 8 2 3" xfId="52692" xr:uid="{CDFF0ED7-594E-4ADC-9EE4-14D7863B327F}"/>
    <cellStyle name="Output 2 6 5 2 8 3" xfId="18974" xr:uid="{CF871C50-EC2E-4566-9D7D-CCF858B94AF8}"/>
    <cellStyle name="Output 2 6 5 2 8 3 2" xfId="41364" xr:uid="{CA31C0F2-AC86-4AC9-8CE0-EEF05854C6EF}"/>
    <cellStyle name="Output 2 6 5 2 8 3 3" xfId="32315" xr:uid="{3A6B0108-BFE7-4107-A7BC-A6BAA4E7C6F3}"/>
    <cellStyle name="Output 2 6 5 2 8 4" xfId="20062" xr:uid="{67F7D292-73EF-4365-AA07-7414836B3460}"/>
    <cellStyle name="Output 2 6 5 2 8 4 2" xfId="42383" xr:uid="{646DD43A-1697-4738-B28F-1665630C4EF0}"/>
    <cellStyle name="Output 2 6 5 2 8 4 3" xfId="37280" xr:uid="{2795251E-073D-4C4F-9F7A-9E17A0442736}"/>
    <cellStyle name="Output 2 6 5 2 8 5" xfId="23398" xr:uid="{1FAD4E08-249F-430A-9AFA-7E1E6B62ACCE}"/>
    <cellStyle name="Output 2 6 5 2 8 5 2" xfId="45932" xr:uid="{F92D008B-4187-467A-8A26-35FD70BC7D79}"/>
    <cellStyle name="Output 2 6 5 2 8 6" xfId="53710" xr:uid="{69F2B61D-6A34-46C2-9F38-64122ECC2C39}"/>
    <cellStyle name="Output 2 6 5 2 9" xfId="7152" xr:uid="{00000000-0005-0000-0000-000008080000}"/>
    <cellStyle name="Output 2 6 5 2 9 2" xfId="19089" xr:uid="{B90A2682-C3CC-46BA-82C0-DF2499879CA5}"/>
    <cellStyle name="Output 2 6 5 2 9 2 2" xfId="41479" xr:uid="{47A26B3A-C862-4C10-AEEC-3F0CF8D3F053}"/>
    <cellStyle name="Output 2 6 5 2 9 2 3" xfId="27284" xr:uid="{D022D4BC-F43E-47F8-9B32-461747C3C437}"/>
    <cellStyle name="Output 2 6 5 2 9 3" xfId="19923" xr:uid="{898E9F72-C194-4A14-A941-918AF27152F5}"/>
    <cellStyle name="Output 2 6 5 2 9 3 2" xfId="42255" xr:uid="{E8E7E716-391C-49A1-9F3C-96218584E432}"/>
    <cellStyle name="Output 2 6 5 2 9 3 3" xfId="41978" xr:uid="{D0AFCDD0-454E-4E42-947C-7386EF8BABF2}"/>
    <cellStyle name="Output 2 6 5 2 9 4" xfId="23513" xr:uid="{CC4AA33C-D098-4864-ABE8-50AB1137B1D0}"/>
    <cellStyle name="Output 2 6 5 2 9 4 2" xfId="25995" xr:uid="{6001CB1B-906F-454C-9DC0-3AEE8EF50E59}"/>
    <cellStyle name="Output 2 6 5 2 9 5" xfId="29264" xr:uid="{1B6B49B6-7A6B-48C7-9B37-984370C94A43}"/>
    <cellStyle name="Output 2 6 5 3" xfId="3312" xr:uid="{00000000-0005-0000-0000-000007080000}"/>
    <cellStyle name="Output 2 6 5 3 2" xfId="10220" xr:uid="{5909FEE8-11F8-4963-9D75-469AF33B5A66}"/>
    <cellStyle name="Output 2 6 5 3 2 2" xfId="32714" xr:uid="{5178CE84-C62C-4343-9B50-E9B0D0A1AD73}"/>
    <cellStyle name="Output 2 6 5 3 2 3" xfId="52923" xr:uid="{BA77AD31-AC0F-4C66-A6B3-C81C30CD9015}"/>
    <cellStyle name="Output 2 6 5 3 3" xfId="15538" xr:uid="{59079EC7-6FF4-4828-81A1-E2AD78572DCD}"/>
    <cellStyle name="Output 2 6 5 3 3 2" xfId="37957" xr:uid="{9B136216-A565-4917-9FFE-D29C6F8129D0}"/>
    <cellStyle name="Output 2 6 5 3 3 3" xfId="53350" xr:uid="{E0777A57-2870-462F-BEF5-9E7D380F0373}"/>
    <cellStyle name="Output 2 6 5 3 4" xfId="19299" xr:uid="{36F3965C-7238-49F0-862D-9C505CEB858D}"/>
    <cellStyle name="Output 2 6 5 3 4 2" xfId="41679" xr:uid="{D02F438A-B1D5-4A50-8928-52624EA4C368}"/>
    <cellStyle name="Output 2 6 5 3 4 3" xfId="29643" xr:uid="{2D17C9C6-A270-4C00-8D12-9051DF033674}"/>
    <cellStyle name="Output 2 6 5 3 5" xfId="20172" xr:uid="{C36C09D8-10B8-4592-8EE5-C4CC758B7BE3}"/>
    <cellStyle name="Output 2 6 5 3 5 2" xfId="28243" xr:uid="{59FC209E-7DE6-482E-A453-EA23939A4137}"/>
    <cellStyle name="Output 2 6 5 3 6" xfId="49366" xr:uid="{9375646C-9C09-4457-84C0-D1641F6DBCEE}"/>
    <cellStyle name="Output 2 6 5 4" xfId="4898" xr:uid="{00000000-0005-0000-0000-000007080000}"/>
    <cellStyle name="Output 2 6 5 4 2" xfId="11793" xr:uid="{ADED4D40-F9D6-4A46-BAE7-C8FEF4E07597}"/>
    <cellStyle name="Output 2 6 5 4 2 2" xfId="34279" xr:uid="{2364BA48-1F48-4CA9-A76F-8043A444552A}"/>
    <cellStyle name="Output 2 6 5 4 2 3" xfId="44570" xr:uid="{02AB6EDF-41F2-4113-85DC-5D625A47197B}"/>
    <cellStyle name="Output 2 6 5 4 3" xfId="16835" xr:uid="{F29CCCBD-7A45-4E34-8B0D-085BD95470A3}"/>
    <cellStyle name="Output 2 6 5 4 3 2" xfId="39225" xr:uid="{0363DDC2-6699-4B31-8915-B89B6ECDF120}"/>
    <cellStyle name="Output 2 6 5 4 3 3" xfId="25416" xr:uid="{90BCB45D-FA85-4073-B9CC-D992A1FDF16A}"/>
    <cellStyle name="Output 2 6 5 4 4" xfId="7323" xr:uid="{720169DB-4192-44E8-BF93-94B194638358}"/>
    <cellStyle name="Output 2 6 5 4 4 2" xfId="30011" xr:uid="{347BE2A5-356F-4265-9BE2-F8AC14D2F8A3}"/>
    <cellStyle name="Output 2 6 5 4 4 3" xfId="24193" xr:uid="{35E87298-B633-4EB5-A2AB-D436EB287B25}"/>
    <cellStyle name="Output 2 6 5 4 5" xfId="19625" xr:uid="{A7DBB0AB-464B-4622-96F5-66CD51F666BD}"/>
    <cellStyle name="Output 2 6 5 4 5 2" xfId="32332" xr:uid="{718A81DE-8A74-4AF9-B32E-A9A0E4B64AAB}"/>
    <cellStyle name="Output 2 6 5 4 6" xfId="48068" xr:uid="{01A72B4D-DC24-43D3-8227-8EFA0FA18700}"/>
    <cellStyle name="Output 2 6 5 5" xfId="5619" xr:uid="{00000000-0005-0000-0000-000007080000}"/>
    <cellStyle name="Output 2 6 5 5 2" xfId="12503" xr:uid="{87632092-8E28-451D-A7F8-ABBCEEA86DEA}"/>
    <cellStyle name="Output 2 6 5 5 2 2" xfId="34988" xr:uid="{33E8F8A9-9C9A-47E7-8460-427107A3BA4E}"/>
    <cellStyle name="Output 2 6 5 5 2 3" xfId="44969" xr:uid="{2CFAA3EE-715D-4784-B256-B9FAB54461A1}"/>
    <cellStyle name="Output 2 6 5 5 3" xfId="17556" xr:uid="{771F0529-866B-4319-ABDB-6A17AF4B8678}"/>
    <cellStyle name="Output 2 6 5 5 3 2" xfId="39946" xr:uid="{EC428077-41AA-49A4-A4A0-5F0F4B71851E}"/>
    <cellStyle name="Output 2 6 5 5 3 3" xfId="44674" xr:uid="{0E5E6E6A-8007-48DB-92E3-5F22921C1B04}"/>
    <cellStyle name="Output 2 6 5 5 4" xfId="15624" xr:uid="{69B1AAAA-899F-48B2-B0EA-1D9C5BC3DD12}"/>
    <cellStyle name="Output 2 6 5 5 4 2" xfId="38040" xr:uid="{A724B2D7-4DC7-4D1D-B430-8618896C228F}"/>
    <cellStyle name="Output 2 6 5 5 4 3" xfId="46961" xr:uid="{16DFC9A0-276D-45DB-A96D-A406ABEA6688}"/>
    <cellStyle name="Output 2 6 5 5 5" xfId="21980" xr:uid="{C966A8E8-4556-42B7-864B-3723D061D3B9}"/>
    <cellStyle name="Output 2 6 5 5 5 2" xfId="45004" xr:uid="{F0E05481-16BD-4EAB-8652-0BAD044CAB4D}"/>
    <cellStyle name="Output 2 6 5 5 6" xfId="49994" xr:uid="{77E189C4-EE5C-4300-AD0D-B3AB20675FE3}"/>
    <cellStyle name="Output 2 6 5 6" xfId="4457" xr:uid="{00000000-0005-0000-0000-000007080000}"/>
    <cellStyle name="Output 2 6 5 6 2" xfId="11359" xr:uid="{E36C79ED-3544-49A9-9A9E-0A605A787834}"/>
    <cellStyle name="Output 2 6 5 6 2 2" xfId="33845" xr:uid="{19E1C149-9C32-4031-8319-3014197273CB}"/>
    <cellStyle name="Output 2 6 5 6 2 3" xfId="32232" xr:uid="{EA0604DC-4494-4899-B889-0F4E8B620B73}"/>
    <cellStyle name="Output 2 6 5 6 3" xfId="16394" xr:uid="{4E923E01-FA33-42D1-9DE7-C96FFFCF4834}"/>
    <cellStyle name="Output 2 6 5 6 3 2" xfId="38784" xr:uid="{8883B0A1-91EA-44FB-B2BA-2B5875533E5F}"/>
    <cellStyle name="Output 2 6 5 6 3 3" xfId="36998" xr:uid="{2C46462F-776C-4EA9-ABB3-DABE6155F1DE}"/>
    <cellStyle name="Output 2 6 5 6 4" xfId="15464" xr:uid="{343F6ABC-4593-46AB-9C5B-AC617DEC87B3}"/>
    <cellStyle name="Output 2 6 5 6 4 2" xfId="37890" xr:uid="{98F04B14-51E3-4DFF-9A0A-D113561D827C}"/>
    <cellStyle name="Output 2 6 5 6 4 3" xfId="53786" xr:uid="{250A79A0-C361-40DD-92BA-206C2C282F3D}"/>
    <cellStyle name="Output 2 6 5 6 5" xfId="15372" xr:uid="{CDEA90BF-C543-4C18-8E33-3065FF5C538E}"/>
    <cellStyle name="Output 2 6 5 6 5 2" xfId="28643" xr:uid="{FBCF9C29-042B-4138-83E1-33C41F772080}"/>
    <cellStyle name="Output 2 6 5 6 6" xfId="50443" xr:uid="{FCF1A3C3-5486-413D-AC51-FE460202F096}"/>
    <cellStyle name="Output 2 6 5 7" xfId="6823" xr:uid="{00000000-0005-0000-0000-000007080000}"/>
    <cellStyle name="Output 2 6 5 7 2" xfId="13669" xr:uid="{A9E1F048-2345-45FD-A997-A7D31201BD6B}"/>
    <cellStyle name="Output 2 6 5 7 2 2" xfId="36153" xr:uid="{20CD366F-702C-4F44-B421-6480A17A5472}"/>
    <cellStyle name="Output 2 6 5 7 2 3" xfId="46434" xr:uid="{C6664746-C3F4-4888-826D-4E428E7B594A}"/>
    <cellStyle name="Output 2 6 5 7 3" xfId="18760" xr:uid="{6C001889-979C-415E-B72A-6F965BE0675A}"/>
    <cellStyle name="Output 2 6 5 7 3 2" xfId="41150" xr:uid="{6A097A3A-2167-4C42-B423-D0D7E0BEE24B}"/>
    <cellStyle name="Output 2 6 5 7 3 3" xfId="28185" xr:uid="{02A34328-321C-409D-BCA7-4E3B56238390}"/>
    <cellStyle name="Output 2 6 5 7 4" xfId="21079" xr:uid="{C01ACA8F-5F30-4446-A0C1-170439356F6B}"/>
    <cellStyle name="Output 2 6 5 7 4 2" xfId="43326" xr:uid="{6692D5A8-45EC-47B7-B37D-2E773AFD0979}"/>
    <cellStyle name="Output 2 6 5 7 4 3" xfId="44608" xr:uid="{57EA1C66-7B8A-44E0-AF1C-656ED9566281}"/>
    <cellStyle name="Output 2 6 5 7 5" xfId="23184" xr:uid="{97DC7859-6824-4854-9FAD-E12BAA1C8B99}"/>
    <cellStyle name="Output 2 6 5 7 5 2" xfId="49731" xr:uid="{22FE80C1-29DE-4E22-A9E2-43B45279CCF2}"/>
    <cellStyle name="Output 2 6 5 7 6" xfId="50837" xr:uid="{624F2322-7414-4EA3-959E-818AC83680A8}"/>
    <cellStyle name="Output 2 6 5 8" xfId="14073" xr:uid="{4A7C7B9B-BD83-4908-8BBA-4B2ECB7138E6}"/>
    <cellStyle name="Output 2 6 5 8 2" xfId="36551" xr:uid="{D3D3BC87-2260-4371-8DF8-6DBDF45A0BEB}"/>
    <cellStyle name="Output 2 6 5 8 3" xfId="48472" xr:uid="{5429E1E1-7D44-4EA0-971D-5A0558272BEE}"/>
    <cellStyle name="Output 2 6 5 9" xfId="19395" xr:uid="{B03D0358-0E2D-4EC8-A858-5AF316262F26}"/>
    <cellStyle name="Output 2 6 5 9 2" xfId="41768" xr:uid="{75E3B260-A2C3-4DBA-8312-DE39AD0BA374}"/>
    <cellStyle name="Output 2 6 5 9 3" xfId="35789" xr:uid="{C242C8D6-7A88-40B3-BC8B-EF811BDB7E61}"/>
    <cellStyle name="Output 2 6 6" xfId="1359" xr:uid="{00000000-0005-0000-0000-00000B080000}"/>
    <cellStyle name="Output 2 6 6 10" xfId="21136" xr:uid="{8C6652EE-7DFC-4A25-8D47-33A5D6628F41}"/>
    <cellStyle name="Output 2 6 6 10 2" xfId="49548" xr:uid="{D04D6400-604F-4E9F-B7CF-9D225FCA136C}"/>
    <cellStyle name="Output 2 6 6 11" xfId="48912" xr:uid="{79A2BB26-1722-4B90-8BC0-020CC18CD6CD}"/>
    <cellStyle name="Output 2 6 6 2" xfId="2088" xr:uid="{00000000-0005-0000-0000-00000C080000}"/>
    <cellStyle name="Output 2 6 6 2 10" xfId="14718" xr:uid="{D0720E03-3A6A-4FB7-B06E-55E38AEAC255}"/>
    <cellStyle name="Output 2 6 6 2 10 2" xfId="37176" xr:uid="{51B08732-BBDB-4F6F-9113-28E65A727761}"/>
    <cellStyle name="Output 2 6 6 2 10 3" xfId="44497" xr:uid="{F6B5560A-CD32-49BE-B32B-ADFFFA1A0605}"/>
    <cellStyle name="Output 2 6 6 2 11" xfId="21278" xr:uid="{779C5B21-483D-42D7-A41D-3F1F0EB3E7C3}"/>
    <cellStyle name="Output 2 6 6 2 11 2" xfId="43513" xr:uid="{F9895E31-3B80-497E-B7AE-51B54A3F7B48}"/>
    <cellStyle name="Output 2 6 6 2 11 3" xfId="47606" xr:uid="{575515F1-99AA-4A39-B3A5-B17475C02A82}"/>
    <cellStyle name="Output 2 6 6 2 12" xfId="7803" xr:uid="{11BED8F6-4966-4AE1-98D9-AD0CD4B5F609}"/>
    <cellStyle name="Output 2 6 6 2 12 2" xfId="45717" xr:uid="{5462FEFD-8AD4-4354-9A4B-E5493131AE3C}"/>
    <cellStyle name="Output 2 6 6 2 13" xfId="52065" xr:uid="{084CBB5C-991F-4075-B8DA-49E6DCDAF241}"/>
    <cellStyle name="Output 2 6 6 2 2" xfId="4183" xr:uid="{00000000-0005-0000-0000-00000A080000}"/>
    <cellStyle name="Output 2 6 6 2 2 2" xfId="11087" xr:uid="{8C0F6965-B010-40F5-9243-1ABEC7D9ABAD}"/>
    <cellStyle name="Output 2 6 6 2 2 2 2" xfId="33573" xr:uid="{F7746B03-C752-44B8-B905-E025F96F869F}"/>
    <cellStyle name="Output 2 6 6 2 2 2 3" xfId="41799" xr:uid="{702BB191-EC23-466A-97FE-9C5B0D81E1E1}"/>
    <cellStyle name="Output 2 6 6 2 2 3" xfId="16176" xr:uid="{FCAA04D5-5D55-4A0C-B97A-D91FEEFE7092}"/>
    <cellStyle name="Output 2 6 6 2 2 3 2" xfId="38575" xr:uid="{1FF7B944-BC84-48B6-A1F9-31BB31AD80B5}"/>
    <cellStyle name="Output 2 6 6 2 2 3 3" xfId="45579" xr:uid="{A0D00E28-3B1D-4C34-905A-38D43BFC40B5}"/>
    <cellStyle name="Output 2 6 6 2 2 4" xfId="16241" xr:uid="{1829902C-AD53-4956-AE44-FFD3D32146E5}"/>
    <cellStyle name="Output 2 6 6 2 2 4 2" xfId="38635" xr:uid="{A4D9D1F1-EDB1-40F2-9C3D-189CA6A8ED01}"/>
    <cellStyle name="Output 2 6 6 2 2 4 3" xfId="43811" xr:uid="{2966267E-667E-47FC-AC50-F87BE6BF8B80}"/>
    <cellStyle name="Output 2 6 6 2 2 5" xfId="14392" xr:uid="{0C4C5695-7352-4005-BDFA-909C9D7688F0}"/>
    <cellStyle name="Output 2 6 6 2 2 5 2" xfId="47667" xr:uid="{79967AA9-EFD2-4C6D-89D7-46C02146603B}"/>
    <cellStyle name="Output 2 6 6 2 2 6" xfId="29591" xr:uid="{B3641D97-DF4F-4A04-81B3-063E1F2D05CC}"/>
    <cellStyle name="Output 2 6 6 2 3" xfId="5509" xr:uid="{00000000-0005-0000-0000-00000A080000}"/>
    <cellStyle name="Output 2 6 6 2 3 2" xfId="12398" xr:uid="{0A491615-AC65-459E-8101-1A4596D66674}"/>
    <cellStyle name="Output 2 6 6 2 3 2 2" xfId="34883" xr:uid="{06230A25-1604-486A-A6D6-9B15359160DF}"/>
    <cellStyle name="Output 2 6 6 2 3 2 3" xfId="32775" xr:uid="{125D8A59-38C7-43B4-A149-2162503D0314}"/>
    <cellStyle name="Output 2 6 6 2 3 3" xfId="17446" xr:uid="{D626D17A-ADDB-41E3-B922-FD8866E7A0C9}"/>
    <cellStyle name="Output 2 6 6 2 3 3 2" xfId="39836" xr:uid="{26318890-9F62-426E-8B37-87F02B5678CB}"/>
    <cellStyle name="Output 2 6 6 2 3 3 3" xfId="30285" xr:uid="{7F6D870B-4E9E-47AD-A49B-114047BD3E1B}"/>
    <cellStyle name="Output 2 6 6 2 3 4" xfId="15723" xr:uid="{81CC4FB2-121D-4025-979A-24791E4C7296}"/>
    <cellStyle name="Output 2 6 6 2 3 4 2" xfId="38136" xr:uid="{BBCF317B-B55B-490C-95C4-D525643F5E6A}"/>
    <cellStyle name="Output 2 6 6 2 3 4 3" xfId="53018" xr:uid="{AD895BB8-585F-4D0B-82C7-8F520451642C}"/>
    <cellStyle name="Output 2 6 6 2 3 5" xfId="21870" xr:uid="{E758E018-6171-445A-82B1-7250B60C58BF}"/>
    <cellStyle name="Output 2 6 6 2 3 5 2" xfId="48762" xr:uid="{0CED762E-43AB-4BDD-926A-024A4A38A02A}"/>
    <cellStyle name="Output 2 6 6 2 3 6" xfId="46350" xr:uid="{FAE2B99F-A99A-4682-8A52-1F88EB86D787}"/>
    <cellStyle name="Output 2 6 6 2 4" xfId="5929" xr:uid="{00000000-0005-0000-0000-00000A080000}"/>
    <cellStyle name="Output 2 6 6 2 4 2" xfId="12810" xr:uid="{DAA30A61-F408-43E5-8601-80C3D4F82400}"/>
    <cellStyle name="Output 2 6 6 2 4 2 2" xfId="35294" xr:uid="{FAD812C3-1CDC-485C-9067-6614097D62A1}"/>
    <cellStyle name="Output 2 6 6 2 4 2 3" xfId="29597" xr:uid="{5E9415F2-5480-4F41-98D5-9A69785173FF}"/>
    <cellStyle name="Output 2 6 6 2 4 3" xfId="17866" xr:uid="{73EF0ABF-794F-4512-AE22-C4E366B87AE3}"/>
    <cellStyle name="Output 2 6 6 2 4 3 2" xfId="40256" xr:uid="{0481E5D2-E3C9-4007-83E4-2F82FAADAC9E}"/>
    <cellStyle name="Output 2 6 6 2 4 3 3" xfId="43746" xr:uid="{7179D82A-AD3B-408D-A681-38ADD52DBEA7}"/>
    <cellStyle name="Output 2 6 6 2 4 4" xfId="16006" xr:uid="{9A95052B-D4FF-42D2-B57A-6D61593B9464}"/>
    <cellStyle name="Output 2 6 6 2 4 4 2" xfId="38407" xr:uid="{9FB5FE9E-D50C-4FFA-8801-6AEC27F88930}"/>
    <cellStyle name="Output 2 6 6 2 4 4 3" xfId="53588" xr:uid="{DF373BB9-AB49-4864-BE8A-401E8F373AA2}"/>
    <cellStyle name="Output 2 6 6 2 4 5" xfId="22290" xr:uid="{23824860-49A2-41DA-BEBA-EFF10DC8B3BE}"/>
    <cellStyle name="Output 2 6 6 2 4 5 2" xfId="29575" xr:uid="{5F2AB9FD-6B71-4FFB-893F-E459C82EA426}"/>
    <cellStyle name="Output 2 6 6 2 4 6" xfId="30671" xr:uid="{7D2FDB19-E63A-4C62-B1B2-5BB0111648AA}"/>
    <cellStyle name="Output 2 6 6 2 5" xfId="6269" xr:uid="{00000000-0005-0000-0000-00000A080000}"/>
    <cellStyle name="Output 2 6 6 2 5 2" xfId="13141" xr:uid="{2FBA5DBC-17E3-433F-B369-F2AB11A1E9A7}"/>
    <cellStyle name="Output 2 6 6 2 5 2 2" xfId="35625" xr:uid="{D0EDCCA6-6C93-41E3-B3EB-B9AA1E1F6A5E}"/>
    <cellStyle name="Output 2 6 6 2 5 2 3" xfId="41868" xr:uid="{A98A4BC6-A233-4908-9638-86994C847AA4}"/>
    <cellStyle name="Output 2 6 6 2 5 3" xfId="18206" xr:uid="{000BF9BE-99AE-4E69-BF19-0271B3E34BCF}"/>
    <cellStyle name="Output 2 6 6 2 5 3 2" xfId="40596" xr:uid="{4AE44343-2CE7-4523-86F0-43FF50F842CA}"/>
    <cellStyle name="Output 2 6 6 2 5 3 3" xfId="27929" xr:uid="{958654E3-882F-4FA6-A35B-D348D2895A7F}"/>
    <cellStyle name="Output 2 6 6 2 5 4" xfId="7291" xr:uid="{32CE8AD3-E01F-4A71-B298-AAD964026D1A}"/>
    <cellStyle name="Output 2 6 6 2 5 4 2" xfId="29979" xr:uid="{503AEEC4-DA7B-4C10-A085-E9A82FFBCF49}"/>
    <cellStyle name="Output 2 6 6 2 5 4 3" xfId="26187" xr:uid="{8D611678-CFF4-4B51-AA86-C157A2967122}"/>
    <cellStyle name="Output 2 6 6 2 5 5" xfId="22630" xr:uid="{F4C39654-3788-4A2F-8194-CD7284BEADDC}"/>
    <cellStyle name="Output 2 6 6 2 5 5 2" xfId="52525" xr:uid="{AC802E86-8D00-4437-BA71-68BA00DB9513}"/>
    <cellStyle name="Output 2 6 6 2 5 6" xfId="28854" xr:uid="{838F43D9-D389-4905-88F1-48203169C130}"/>
    <cellStyle name="Output 2 6 6 2 6" xfId="6626" xr:uid="{00000000-0005-0000-0000-00000A080000}"/>
    <cellStyle name="Output 2 6 6 2 6 2" xfId="13492" xr:uid="{70DBE5FD-56E1-412E-A855-65AB83841965}"/>
    <cellStyle name="Output 2 6 6 2 6 2 2" xfId="35976" xr:uid="{DE7A69AA-03D3-408C-B65E-25CF314377E1}"/>
    <cellStyle name="Output 2 6 6 2 6 2 3" xfId="49599" xr:uid="{6C88B9C3-E703-4816-8B27-9C3BC2CD49F7}"/>
    <cellStyle name="Output 2 6 6 2 6 3" xfId="18563" xr:uid="{CAAF897F-2EB5-4DD0-9BB4-06D5E06EE019}"/>
    <cellStyle name="Output 2 6 6 2 6 3 2" xfId="40953" xr:uid="{58BE01CB-7399-44AA-B46C-373D19550339}"/>
    <cellStyle name="Output 2 6 6 2 6 3 3" xfId="37677" xr:uid="{4A5F8B30-635D-4319-882B-30937FE1FF09}"/>
    <cellStyle name="Output 2 6 6 2 6 4" xfId="15521" xr:uid="{78239973-05C9-43ED-95ED-60B99A050E48}"/>
    <cellStyle name="Output 2 6 6 2 6 4 2" xfId="37942" xr:uid="{BD194F0B-8316-46F8-8D6C-449D53808BCA}"/>
    <cellStyle name="Output 2 6 6 2 6 4 3" xfId="31538" xr:uid="{E8CB037A-30BE-4552-9F32-4AB6BE13FA57}"/>
    <cellStyle name="Output 2 6 6 2 6 5" xfId="22987" xr:uid="{1206F16C-1B6D-42AB-B059-9AC3EF9AE87F}"/>
    <cellStyle name="Output 2 6 6 2 6 5 2" xfId="47956" xr:uid="{342BCB73-74D9-4B22-B3D0-1862D1F060F2}"/>
    <cellStyle name="Output 2 6 6 2 6 6" xfId="47936" xr:uid="{123FE0B1-E427-47FF-8CFA-CDE12E2F95B1}"/>
    <cellStyle name="Output 2 6 6 2 7" xfId="6672" xr:uid="{00000000-0005-0000-0000-00000A080000}"/>
    <cellStyle name="Output 2 6 6 2 7 2" xfId="13538" xr:uid="{5B8CD6D3-0CC8-4EB0-AACF-38287FE733CF}"/>
    <cellStyle name="Output 2 6 6 2 7 2 2" xfId="36022" xr:uid="{656BD2AF-DD44-40B3-B0EB-105CB2BA5D97}"/>
    <cellStyle name="Output 2 6 6 2 7 2 3" xfId="28754" xr:uid="{E173E6F2-77FF-4199-8611-21A31BBD8068}"/>
    <cellStyle name="Output 2 6 6 2 7 3" xfId="18609" xr:uid="{9B95D70F-22B6-4437-9229-1B55DDAA7A2D}"/>
    <cellStyle name="Output 2 6 6 2 7 3 2" xfId="40999" xr:uid="{35888932-94D9-40BE-8762-23538E3E7809}"/>
    <cellStyle name="Output 2 6 6 2 7 3 3" xfId="24681" xr:uid="{099B33E6-063E-4569-B28C-5086C1AF7130}"/>
    <cellStyle name="Output 2 6 6 2 7 4" xfId="21241" xr:uid="{B1EACC2A-84B0-43AB-A0D8-D72F08D250BA}"/>
    <cellStyle name="Output 2 6 6 2 7 4 2" xfId="43477" xr:uid="{F38BCBEA-DDAF-4549-BA0A-BA473FFC9CC3}"/>
    <cellStyle name="Output 2 6 6 2 7 4 3" xfId="52570" xr:uid="{AF2ABD0A-2471-49C3-A374-7C333153167D}"/>
    <cellStyle name="Output 2 6 6 2 7 5" xfId="23033" xr:uid="{AE36E16C-F48B-4752-BFD6-4B324C397BA3}"/>
    <cellStyle name="Output 2 6 6 2 7 5 2" xfId="45282" xr:uid="{B6B4E982-68DA-438A-B19B-CCF3E136B22A}"/>
    <cellStyle name="Output 2 6 6 2 7 6" xfId="53924" xr:uid="{6E6C224B-D2F2-4A81-ADDF-F16493621ECD}"/>
    <cellStyle name="Output 2 6 6 2 8" xfId="7081" xr:uid="{00000000-0005-0000-0000-00000A080000}"/>
    <cellStyle name="Output 2 6 6 2 8 2" xfId="13917" xr:uid="{F15FF7B2-F17D-4458-8C2E-4EC48B35A06D}"/>
    <cellStyle name="Output 2 6 6 2 8 2 2" xfId="36401" xr:uid="{F809A7B4-D65A-4C27-93B1-3AEC01AABE2B}"/>
    <cellStyle name="Output 2 6 6 2 8 2 3" xfId="24405" xr:uid="{47CEEABD-AEA9-4B73-9B39-2240E5F3119A}"/>
    <cellStyle name="Output 2 6 6 2 8 3" xfId="19018" xr:uid="{5BFFFDB9-5671-49DB-BC2F-4905989C6DAE}"/>
    <cellStyle name="Output 2 6 6 2 8 3 2" xfId="41408" xr:uid="{593787E9-1F21-4760-9C7D-9ACBCAFFB051}"/>
    <cellStyle name="Output 2 6 6 2 8 3 3" xfId="44917" xr:uid="{4D70C1CB-9BA1-4CBB-9D6B-796E5E190D3E}"/>
    <cellStyle name="Output 2 6 6 2 8 4" xfId="21130" xr:uid="{03804405-B85A-4E7E-AD52-2C795EE3C94F}"/>
    <cellStyle name="Output 2 6 6 2 8 4 2" xfId="43375" xr:uid="{CE2C998A-C05C-4751-98F5-48679A4C2842}"/>
    <cellStyle name="Output 2 6 6 2 8 4 3" xfId="25225" xr:uid="{627EE01E-32C2-40B1-B810-4AE91571AE90}"/>
    <cellStyle name="Output 2 6 6 2 8 5" xfId="23442" xr:uid="{8B6742DE-782F-46D1-A7B6-DC5043FD8407}"/>
    <cellStyle name="Output 2 6 6 2 8 5 2" xfId="25652" xr:uid="{06DFE13B-ACDE-4E74-AEF2-74C8D8420D69}"/>
    <cellStyle name="Output 2 6 6 2 8 6" xfId="51411" xr:uid="{BC76732A-5035-4202-AD80-E08E90FF2224}"/>
    <cellStyle name="Output 2 6 6 2 9" xfId="7196" xr:uid="{00000000-0005-0000-0000-00000A080000}"/>
    <cellStyle name="Output 2 6 6 2 9 2" xfId="19133" xr:uid="{70D4F611-0CA4-425E-B539-A4DA1889EFBC}"/>
    <cellStyle name="Output 2 6 6 2 9 2 2" xfId="41523" xr:uid="{F102A2E5-F0C9-4C15-AA73-023B777EE441}"/>
    <cellStyle name="Output 2 6 6 2 9 2 3" xfId="29872" xr:uid="{314A55DA-DB0A-4F61-AB93-8FA3DC5FCEBD}"/>
    <cellStyle name="Output 2 6 6 2 9 3" xfId="20482" xr:uid="{CDBF5B8C-76B2-4E2E-9111-1EC2A327A77D}"/>
    <cellStyle name="Output 2 6 6 2 9 3 2" xfId="42770" xr:uid="{B5D81F02-2141-423F-BD7E-0E189064DA0A}"/>
    <cellStyle name="Output 2 6 6 2 9 3 3" xfId="32224" xr:uid="{19C317D1-424A-4407-BDF5-13B6CF5C99F3}"/>
    <cellStyle name="Output 2 6 6 2 9 4" xfId="23557" xr:uid="{B7D1B97C-F731-4CBB-8F8D-DDEAFABF2AC9}"/>
    <cellStyle name="Output 2 6 6 2 9 4 2" xfId="52566" xr:uid="{15E94EB2-BD9D-4F84-A965-23A9218CE102}"/>
    <cellStyle name="Output 2 6 6 2 9 5" xfId="24745" xr:uid="{03058A9B-28D8-48F9-A886-B37288BE47D4}"/>
    <cellStyle name="Output 2 6 6 3" xfId="3464" xr:uid="{00000000-0005-0000-0000-000009080000}"/>
    <cellStyle name="Output 2 6 6 3 2" xfId="10372" xr:uid="{0D369E5C-3882-4F14-BC88-66B3A1FD7542}"/>
    <cellStyle name="Output 2 6 6 3 2 2" xfId="32859" xr:uid="{D8C1F199-A334-4910-9666-118DACDB27EC}"/>
    <cellStyle name="Output 2 6 6 3 2 3" xfId="28641" xr:uid="{0D962EBB-AD6A-4554-ABE5-EC58A7762C99}"/>
    <cellStyle name="Output 2 6 6 3 3" xfId="15642" xr:uid="{66A25D7C-868F-44EB-9C55-775AC520F29E}"/>
    <cellStyle name="Output 2 6 6 3 3 2" xfId="38058" xr:uid="{4CA4B775-3382-4B16-B1FF-1842B98BF06D}"/>
    <cellStyle name="Output 2 6 6 3 3 3" xfId="24786" xr:uid="{17AF995E-DE6C-4F6E-9925-E6D060F52341}"/>
    <cellStyle name="Output 2 6 6 3 4" xfId="16137" xr:uid="{9BE67F83-F730-4975-8B06-735043EF0AA0}"/>
    <cellStyle name="Output 2 6 6 3 4 2" xfId="38537" xr:uid="{02B351FB-56FE-4409-B772-FB539E6B7C40}"/>
    <cellStyle name="Output 2 6 6 3 4 3" xfId="43357" xr:uid="{E7484ABA-B4D1-4F6E-9145-D6B7E523496C}"/>
    <cellStyle name="Output 2 6 6 3 5" xfId="19404" xr:uid="{AF4142CE-0F4C-4406-BA99-95DDF1C95191}"/>
    <cellStyle name="Output 2 6 6 3 5 2" xfId="26052" xr:uid="{50C27B80-48AF-445A-9002-DDC3059F7BF6}"/>
    <cellStyle name="Output 2 6 6 3 6" xfId="25748" xr:uid="{BCCDCED6-3B60-4201-9A85-E4586FB52124}"/>
    <cellStyle name="Output 2 6 6 4" xfId="4997" xr:uid="{00000000-0005-0000-0000-000009080000}"/>
    <cellStyle name="Output 2 6 6 4 2" xfId="11891" xr:uid="{FB90BF0B-D9EE-43E1-A0A5-7A827AEE0DDF}"/>
    <cellStyle name="Output 2 6 6 4 2 2" xfId="34377" xr:uid="{E3AD57FB-B659-4BC0-A63D-718501C364DF}"/>
    <cellStyle name="Output 2 6 6 4 2 3" xfId="42827" xr:uid="{AF293F30-8C8B-4F6A-B33D-3104F369EB5B}"/>
    <cellStyle name="Output 2 6 6 4 3" xfId="16934" xr:uid="{0CCD7E12-B488-4881-9197-F25B618295E6}"/>
    <cellStyle name="Output 2 6 6 4 3 2" xfId="39324" xr:uid="{C334E657-062B-4EBB-9FFF-A88D35C63416}"/>
    <cellStyle name="Output 2 6 6 4 3 3" xfId="37723" xr:uid="{307A2B6F-6F29-42DE-AE3A-A450EFF17BCC}"/>
    <cellStyle name="Output 2 6 6 4 4" xfId="15040" xr:uid="{6A5642F9-1999-4B40-97D6-53F7722F71BE}"/>
    <cellStyle name="Output 2 6 6 4 4 2" xfId="37488" xr:uid="{739FBD78-A19C-4B26-8322-58E80B48868C}"/>
    <cellStyle name="Output 2 6 6 4 4 3" xfId="51099" xr:uid="{95679D4F-8F4A-4BA5-9035-D309206640C6}"/>
    <cellStyle name="Output 2 6 6 4 5" xfId="21358" xr:uid="{A4A6E6E9-5173-4443-9B1A-5685B5F5B5DA}"/>
    <cellStyle name="Output 2 6 6 4 5 2" xfId="49810" xr:uid="{37C4D839-33BE-4E5B-9B43-639AB3A39178}"/>
    <cellStyle name="Output 2 6 6 4 6" xfId="44981" xr:uid="{0A3655E4-A861-468A-95C6-833337186EC3}"/>
    <cellStyle name="Output 2 6 6 5" xfId="5981" xr:uid="{00000000-0005-0000-0000-000009080000}"/>
    <cellStyle name="Output 2 6 6 5 2" xfId="12862" xr:uid="{345BAF26-73F6-4986-81E9-DA9BFD43C81B}"/>
    <cellStyle name="Output 2 6 6 5 2 2" xfId="35346" xr:uid="{EAC43E73-DCA8-44DE-82F5-5D0E63D6103B}"/>
    <cellStyle name="Output 2 6 6 5 2 3" xfId="47230" xr:uid="{91647CE3-492F-425B-8F13-03A1AB7C4490}"/>
    <cellStyle name="Output 2 6 6 5 3" xfId="17918" xr:uid="{CC65F9C0-0766-4961-9C92-4BC5B24540FB}"/>
    <cellStyle name="Output 2 6 6 5 3 2" xfId="40308" xr:uid="{DA7E0B87-D564-4500-AA04-DF65020D0F4A}"/>
    <cellStyle name="Output 2 6 6 5 3 3" xfId="32650" xr:uid="{6BB51E65-D386-4B75-AD4A-4E4D5B5DD5B2}"/>
    <cellStyle name="Output 2 6 6 5 4" xfId="19185" xr:uid="{1224A1B3-03A0-4FCE-8199-0F8DF7F63836}"/>
    <cellStyle name="Output 2 6 6 5 4 2" xfId="41574" xr:uid="{FFB5ECAD-D46F-48BB-AAC7-393FBD689F75}"/>
    <cellStyle name="Output 2 6 6 5 4 3" xfId="26823" xr:uid="{E74C1989-EF90-4120-8D2E-6AC115DA4DC9}"/>
    <cellStyle name="Output 2 6 6 5 5" xfId="22342" xr:uid="{7064C11E-301B-493A-A0AF-379F2E7D841F}"/>
    <cellStyle name="Output 2 6 6 5 5 2" xfId="47968" xr:uid="{A0503A99-1392-48E2-BEBC-A2D4F10858C2}"/>
    <cellStyle name="Output 2 6 6 5 6" xfId="28927" xr:uid="{DB537401-C7FF-464E-BF0F-BB5D11642486}"/>
    <cellStyle name="Output 2 6 6 6" xfId="5616" xr:uid="{00000000-0005-0000-0000-000009080000}"/>
    <cellStyle name="Output 2 6 6 6 2" xfId="12500" xr:uid="{3F08728A-857D-41E3-A6E9-D8AB0070C783}"/>
    <cellStyle name="Output 2 6 6 6 2 2" xfId="34985" xr:uid="{DC978F94-3B2A-4E08-BA88-58B440C69FDA}"/>
    <cellStyle name="Output 2 6 6 6 2 3" xfId="29668" xr:uid="{F2B709E5-E88F-4A99-A204-B4267EC70BE0}"/>
    <cellStyle name="Output 2 6 6 6 3" xfId="17553" xr:uid="{09DF9F68-74CC-4EC8-9221-AA4B07CCA8DE}"/>
    <cellStyle name="Output 2 6 6 6 3 2" xfId="39943" xr:uid="{24036204-8551-464C-92AF-DAF659E39954}"/>
    <cellStyle name="Output 2 6 6 6 3 3" xfId="30851" xr:uid="{A7A0AA3A-8D49-4B18-8C31-224F85806A88}"/>
    <cellStyle name="Output 2 6 6 6 4" xfId="19456" xr:uid="{EAB4376B-51BB-4C14-8292-61409F13D6E7}"/>
    <cellStyle name="Output 2 6 6 6 4 2" xfId="41823" xr:uid="{91BCC992-7D9C-4062-86D5-1D139570C915}"/>
    <cellStyle name="Output 2 6 6 6 4 3" xfId="29149" xr:uid="{42E09E98-EAD4-4B59-839E-7923A8B4DEE6}"/>
    <cellStyle name="Output 2 6 6 6 5" xfId="21977" xr:uid="{92D35D46-37A9-47D1-8577-E5858E10445E}"/>
    <cellStyle name="Output 2 6 6 6 5 2" xfId="52195" xr:uid="{FDD447C3-3055-42A9-917A-FC6FA2ECD67E}"/>
    <cellStyle name="Output 2 6 6 6 6" xfId="36638" xr:uid="{B310E060-F9AC-43A0-9548-53379B8E9B7B}"/>
    <cellStyle name="Output 2 6 6 7" xfId="2298" xr:uid="{00000000-0005-0000-0000-000009080000}"/>
    <cellStyle name="Output 2 6 6 7 2" xfId="9208" xr:uid="{9B5D4D9C-ED9B-46C2-A968-DFCD10AA2FC5}"/>
    <cellStyle name="Output 2 6 6 7 2 2" xfId="31783" xr:uid="{BDBBF2C8-E9E8-41E5-8F41-DD6814E47D51}"/>
    <cellStyle name="Output 2 6 6 7 2 3" xfId="51171" xr:uid="{3C3DD7B5-A13B-4E33-BEF5-DAF0D4F765AF}"/>
    <cellStyle name="Output 2 6 6 7 3" xfId="14865" xr:uid="{7964A18F-C5FA-4018-87E9-2B87329060AD}"/>
    <cellStyle name="Output 2 6 6 7 3 2" xfId="37319" xr:uid="{417CE94C-FDD5-487E-870E-164430CB587A}"/>
    <cellStyle name="Output 2 6 6 7 3 3" xfId="32091" xr:uid="{E12C6400-76EF-45A1-9229-DD708D4BE26C}"/>
    <cellStyle name="Output 2 6 6 7 4" xfId="21155" xr:uid="{CEEE52A8-BCF3-460F-8135-15F47869EC3B}"/>
    <cellStyle name="Output 2 6 6 7 4 2" xfId="43398" xr:uid="{6DA8170F-65AC-4FCC-9DFB-2A5AE034BBAA}"/>
    <cellStyle name="Output 2 6 6 7 4 3" xfId="54072" xr:uid="{0F253881-3719-4818-BD33-98B1B42CA238}"/>
    <cellStyle name="Output 2 6 6 7 5" xfId="20357" xr:uid="{9162F2DA-A491-4614-967D-3E798C983D8A}"/>
    <cellStyle name="Output 2 6 6 7 5 2" xfId="49177" xr:uid="{0F0287C7-6C5C-419A-A348-0E58F30D7544}"/>
    <cellStyle name="Output 2 6 6 7 6" xfId="28173" xr:uid="{3C46076F-FC76-4BC7-89E5-8BF6B97CBCB9}"/>
    <cellStyle name="Output 2 6 6 8" xfId="14178" xr:uid="{81BA5DEB-666C-496E-9809-1688F59EAA83}"/>
    <cellStyle name="Output 2 6 6 8 2" xfId="36653" xr:uid="{FF9F6FF2-73B7-48BF-AF65-D75DE92ED00F}"/>
    <cellStyle name="Output 2 6 6 8 3" xfId="52539" xr:uid="{FC5FCE4C-B2C9-49F4-B6EB-47B5242DFBCF}"/>
    <cellStyle name="Output 2 6 6 9" xfId="20409" xr:uid="{C52E182E-0A36-4B57-A1EF-ACBDCEA08FC1}"/>
    <cellStyle name="Output 2 6 6 9 2" xfId="42703" xr:uid="{71AFDA87-1CF3-4CB6-BE28-F23CBCAF5541}"/>
    <cellStyle name="Output 2 6 6 9 3" xfId="46920" xr:uid="{93726D64-1BB2-405B-96C9-E4737C27EA7B}"/>
    <cellStyle name="Output 2 6 7" xfId="1631" xr:uid="{00000000-0005-0000-0000-00000D080000}"/>
    <cellStyle name="Output 2 6 7 10" xfId="14345" xr:uid="{4EDC5533-0327-4865-B0F0-0BDEBE497D1B}"/>
    <cellStyle name="Output 2 6 7 10 2" xfId="36813" xr:uid="{0453200A-FA90-4CA0-99FF-989B01FDB89A}"/>
    <cellStyle name="Output 2 6 7 10 3" xfId="47163" xr:uid="{425C74EB-9190-4463-83F6-ED0FBAE18856}"/>
    <cellStyle name="Output 2 6 7 11" xfId="20420" xr:uid="{55A12089-993D-4DA0-90D4-4AB6B326CA1B}"/>
    <cellStyle name="Output 2 6 7 11 2" xfId="42714" xr:uid="{B5DC164F-89DE-414A-BC39-DA0E6494FA58}"/>
    <cellStyle name="Output 2 6 7 11 3" xfId="51803" xr:uid="{DA8479E7-CE3A-4C93-8FDD-85E9A39C0782}"/>
    <cellStyle name="Output 2 6 7 12" xfId="20375" xr:uid="{ED99C954-1BAD-4317-AA95-418B47940CF2}"/>
    <cellStyle name="Output 2 6 7 12 2" xfId="29353" xr:uid="{56950B06-DCDE-4D4C-AC19-93926B7D7843}"/>
    <cellStyle name="Output 2 6 7 13" xfId="29274" xr:uid="{5CFCDEC2-8505-4AD3-95FE-FD2D3B42DDC3}"/>
    <cellStyle name="Output 2 6 7 2" xfId="3731" xr:uid="{00000000-0005-0000-0000-00000B080000}"/>
    <cellStyle name="Output 2 6 7 2 2" xfId="10635" xr:uid="{E5A0437C-6B17-4DDB-B92E-D2FAD5BABD92}"/>
    <cellStyle name="Output 2 6 7 2 2 2" xfId="33121" xr:uid="{E5E2ADCE-18ED-4977-BFA2-BDE308D6F76E}"/>
    <cellStyle name="Output 2 6 7 2 2 3" xfId="44925" xr:uid="{B4B6F92E-7205-4C0B-A346-9F9E3F287ED6}"/>
    <cellStyle name="Output 2 6 7 2 3" xfId="15812" xr:uid="{D9EA584A-92CA-459E-A36B-A21B27F2A1C6}"/>
    <cellStyle name="Output 2 6 7 2 3 2" xfId="38220" xr:uid="{A902CC69-D3CC-4289-9263-0ED5C8D18A1C}"/>
    <cellStyle name="Output 2 6 7 2 3 3" xfId="46310" xr:uid="{E87FA468-DC2A-46C1-BEA6-4DFBF8BF5D7B}"/>
    <cellStyle name="Output 2 6 7 2 4" xfId="20962" xr:uid="{19E88B20-779D-4B67-A9ED-7A9A18668FC5}"/>
    <cellStyle name="Output 2 6 7 2 4 2" xfId="43216" xr:uid="{7A8E837A-6E34-4B24-A9FC-F1E251E01D46}"/>
    <cellStyle name="Output 2 6 7 2 4 3" xfId="26552" xr:uid="{8C93344B-61BD-4B08-8D9F-CD399CEA7C56}"/>
    <cellStyle name="Output 2 6 7 2 5" xfId="8271" xr:uid="{71E9D108-9C29-4965-87C1-D29A8EBBB67E}"/>
    <cellStyle name="Output 2 6 7 2 5 2" xfId="43220" xr:uid="{9ADA31A2-37FF-46F5-BE27-125857938F38}"/>
    <cellStyle name="Output 2 6 7 2 6" xfId="48202" xr:uid="{79437F8B-FC52-43CB-AB0D-70576E4DC540}"/>
    <cellStyle name="Output 2 6 7 3" xfId="5164" xr:uid="{00000000-0005-0000-0000-00000B080000}"/>
    <cellStyle name="Output 2 6 7 3 2" xfId="12057" xr:uid="{4DFACCA2-B42E-4014-B8FB-1EE73213FA3E}"/>
    <cellStyle name="Output 2 6 7 3 2 2" xfId="34543" xr:uid="{E1F8B461-B31B-4C9B-818B-2B92EBD80730}"/>
    <cellStyle name="Output 2 6 7 3 2 3" xfId="25232" xr:uid="{131EBDBA-E4FF-4C1A-8F1E-49FE064A7AF1}"/>
    <cellStyle name="Output 2 6 7 3 3" xfId="17101" xr:uid="{4AC3EBE9-8FAF-4FB0-872C-7BABBBE0F152}"/>
    <cellStyle name="Output 2 6 7 3 3 2" xfId="39491" xr:uid="{A1F738D2-7C47-4929-AEC5-B8E594AFCA02}"/>
    <cellStyle name="Output 2 6 7 3 3 3" xfId="30942" xr:uid="{87D348B2-A482-400C-BD94-45632A54843F}"/>
    <cellStyle name="Output 2 6 7 3 4" xfId="8665" xr:uid="{196BE983-296E-4398-971B-E342C1A44C1B}"/>
    <cellStyle name="Output 2 6 7 3 4 2" xfId="31251" xr:uid="{7323B216-AA82-43EE-B1A9-6587A872F64C}"/>
    <cellStyle name="Output 2 6 7 3 4 3" xfId="50919" xr:uid="{CB7F4CC2-274F-41E7-BFE1-126B91C3DE38}"/>
    <cellStyle name="Output 2 6 7 3 5" xfId="21525" xr:uid="{DD74082A-853D-4C24-885C-655724B87760}"/>
    <cellStyle name="Output 2 6 7 3 5 2" xfId="50475" xr:uid="{135B9ABF-2509-4EE7-8C48-535CF5762675}"/>
    <cellStyle name="Output 2 6 7 3 6" xfId="24563" xr:uid="{394E58C7-7089-4304-A468-784D5F36A2C5}"/>
    <cellStyle name="Output 2 6 7 4" xfId="4641" xr:uid="{00000000-0005-0000-0000-00000B080000}"/>
    <cellStyle name="Output 2 6 7 4 2" xfId="11541" xr:uid="{23BB26C0-4C12-4C2B-B759-FFE36899862F}"/>
    <cellStyle name="Output 2 6 7 4 2 2" xfId="34027" xr:uid="{500111A7-D71A-4468-88DD-3E362437EB1B}"/>
    <cellStyle name="Output 2 6 7 4 2 3" xfId="23869" xr:uid="{609D5B33-E09A-4934-A533-B3704F442454}"/>
    <cellStyle name="Output 2 6 7 4 3" xfId="16578" xr:uid="{29975165-2460-447B-8F56-9221D9EA5582}"/>
    <cellStyle name="Output 2 6 7 4 3 2" xfId="38968" xr:uid="{8922D85F-AB42-49DB-89B6-4B8C77CBF5F4}"/>
    <cellStyle name="Output 2 6 7 4 3 3" xfId="25295" xr:uid="{150AA5B5-DD97-49FA-95AC-7062247E31F9}"/>
    <cellStyle name="Output 2 6 7 4 4" xfId="11533" xr:uid="{36629A58-2492-4FD2-86E0-5905C5F7F550}"/>
    <cellStyle name="Output 2 6 7 4 4 2" xfId="34019" xr:uid="{A7F5A466-2102-4A24-87B8-CCAA069BE137}"/>
    <cellStyle name="Output 2 6 7 4 4 3" xfId="23707" xr:uid="{D5AF88FE-F241-460C-86C9-2FAD77AB28F7}"/>
    <cellStyle name="Output 2 6 7 4 5" xfId="15923" xr:uid="{108C84D5-06A1-4195-B0CA-676851F03F54}"/>
    <cellStyle name="Output 2 6 7 4 5 2" xfId="42051" xr:uid="{E26E8B53-A7A3-4871-948F-C07C8671FC39}"/>
    <cellStyle name="Output 2 6 7 4 6" xfId="25377" xr:uid="{D57A45E7-E955-400E-954E-B6DBAEC4B171}"/>
    <cellStyle name="Output 2 6 7 5" xfId="3613" xr:uid="{00000000-0005-0000-0000-00000B080000}"/>
    <cellStyle name="Output 2 6 7 5 2" xfId="10517" xr:uid="{6772F5FB-DDFE-4B48-86A5-7B3D7F46E9A0}"/>
    <cellStyle name="Output 2 6 7 5 2 2" xfId="33003" xr:uid="{BBDAE51C-1513-456B-9C94-DBAB18988762}"/>
    <cellStyle name="Output 2 6 7 5 2 3" xfId="28160" xr:uid="{5A0F1C74-68B6-4B42-A12F-78DD4DF4752C}"/>
    <cellStyle name="Output 2 6 7 5 3" xfId="15739" xr:uid="{05BF58F6-5863-4575-97D4-FE9937E2758A}"/>
    <cellStyle name="Output 2 6 7 5 3 2" xfId="38151" xr:uid="{A259C858-ABF9-42C5-BE17-896238E8BF02}"/>
    <cellStyle name="Output 2 6 7 5 3 3" xfId="53751" xr:uid="{23C01ECD-0234-4CF7-B193-ACAFA798523B}"/>
    <cellStyle name="Output 2 6 7 5 4" xfId="20034" xr:uid="{3BED02F6-1C35-44B5-BF23-EB4BDEAAACF2}"/>
    <cellStyle name="Output 2 6 7 5 4 2" xfId="42356" xr:uid="{A04A16C1-076D-49A4-AB77-05050B081527}"/>
    <cellStyle name="Output 2 6 7 5 4 3" xfId="32642" xr:uid="{616CE269-3F37-4020-908F-70E96AA1DB2C}"/>
    <cellStyle name="Output 2 6 7 5 5" xfId="19221" xr:uid="{24A9D239-FDA8-4CDC-B132-726674AD2850}"/>
    <cellStyle name="Output 2 6 7 5 5 2" xfId="26957" xr:uid="{29E05A6F-C2EE-445F-ACAC-668ED222DBAA}"/>
    <cellStyle name="Output 2 6 7 5 6" xfId="51863" xr:uid="{D192F9A6-3BC7-4761-88FF-835314A6D9EF}"/>
    <cellStyle name="Output 2 6 7 6" xfId="5215" xr:uid="{00000000-0005-0000-0000-00000B080000}"/>
    <cellStyle name="Output 2 6 7 6 2" xfId="12108" xr:uid="{7467E8CA-3F95-4293-8CC0-644A3A99F151}"/>
    <cellStyle name="Output 2 6 7 6 2 2" xfId="34593" xr:uid="{5936AA1D-340C-4B8A-B006-F1E62EAC203D}"/>
    <cellStyle name="Output 2 6 7 6 2 3" xfId="25955" xr:uid="{6CBB50FC-9D56-414A-9A8A-6DD8B99F5019}"/>
    <cellStyle name="Output 2 6 7 6 3" xfId="17152" xr:uid="{9C309E0E-0326-400D-94AF-3ABA402D23B1}"/>
    <cellStyle name="Output 2 6 7 6 3 2" xfId="39542" xr:uid="{7BA75F5B-A20F-4018-986D-D2180777DB98}"/>
    <cellStyle name="Output 2 6 7 6 3 3" xfId="45644" xr:uid="{F7D5FD82-C164-469A-A08C-1D27E6FB5FAF}"/>
    <cellStyle name="Output 2 6 7 6 4" xfId="8417" xr:uid="{7DC1FFC5-36A4-460E-A12F-E0F5265A43E1}"/>
    <cellStyle name="Output 2 6 7 6 4 2" xfId="31005" xr:uid="{BE1AD9ED-00E9-4894-87FB-B13AA9604986}"/>
    <cellStyle name="Output 2 6 7 6 4 3" xfId="27557" xr:uid="{DEA0A7E9-81A8-4FA9-A631-BBEEBD8C885B}"/>
    <cellStyle name="Output 2 6 7 6 5" xfId="21576" xr:uid="{BC9FF445-BF54-4BBD-8E1D-AC23954B7FD7}"/>
    <cellStyle name="Output 2 6 7 6 5 2" xfId="49622" xr:uid="{25F3BAFD-1302-4D8E-98C0-E88BFC95DD45}"/>
    <cellStyle name="Output 2 6 7 6 6" xfId="49539" xr:uid="{5CE8C81D-A04A-4B3A-AB5B-67DA65773E3F}"/>
    <cellStyle name="Output 2 6 7 7" xfId="6437" xr:uid="{00000000-0005-0000-0000-00000B080000}"/>
    <cellStyle name="Output 2 6 7 7 2" xfId="13307" xr:uid="{0B475240-A309-4151-A21D-D54970F70121}"/>
    <cellStyle name="Output 2 6 7 7 2 2" xfId="35791" xr:uid="{4048391A-00A0-4BB2-9B1E-FE7F14F59E36}"/>
    <cellStyle name="Output 2 6 7 7 2 3" xfId="46860" xr:uid="{FF0FF2D8-50B5-480A-A5E1-91FB3EFA5D94}"/>
    <cellStyle name="Output 2 6 7 7 3" xfId="18374" xr:uid="{2B7157B9-E01D-4D82-B30A-3F7E5368810F}"/>
    <cellStyle name="Output 2 6 7 7 3 2" xfId="40764" xr:uid="{E94F0B6B-37E4-4A09-BE96-8AF7862AAFBC}"/>
    <cellStyle name="Output 2 6 7 7 3 3" xfId="28511" xr:uid="{6B760B31-3684-4067-A1C1-AA4E7A079DA3}"/>
    <cellStyle name="Output 2 6 7 7 4" xfId="20554" xr:uid="{8A3963F7-9E94-4972-AA35-DB94139F2471}"/>
    <cellStyle name="Output 2 6 7 7 4 2" xfId="42839" xr:uid="{DF2E5983-15EB-4289-91F6-C28604CB2A94}"/>
    <cellStyle name="Output 2 6 7 7 4 3" xfId="48372" xr:uid="{1F180178-D1A1-49B3-B26A-49B71CBC4098}"/>
    <cellStyle name="Output 2 6 7 7 5" xfId="22798" xr:uid="{526366D7-5292-40A5-A144-1AE23F699667}"/>
    <cellStyle name="Output 2 6 7 7 5 2" xfId="47971" xr:uid="{208BE220-6F52-4C81-8C9B-2CA3E1BD4F36}"/>
    <cellStyle name="Output 2 6 7 7 6" xfId="52702" xr:uid="{789857AB-5AD2-4FF6-A0D5-E69CC80D9A11}"/>
    <cellStyle name="Output 2 6 7 8" xfId="6820" xr:uid="{00000000-0005-0000-0000-00000B080000}"/>
    <cellStyle name="Output 2 6 7 8 2" xfId="13667" xr:uid="{6B7BB2CA-FCC7-43E7-9899-0C1B89214BBD}"/>
    <cellStyle name="Output 2 6 7 8 2 2" xfId="36151" xr:uid="{A4F5344B-B44A-43AF-B709-2D9614727717}"/>
    <cellStyle name="Output 2 6 7 8 2 3" xfId="52704" xr:uid="{6FA59581-0C98-42AC-8DA1-FC44DF038707}"/>
    <cellStyle name="Output 2 6 7 8 3" xfId="18757" xr:uid="{55E5382B-5477-41AB-902E-0D1CA132886E}"/>
    <cellStyle name="Output 2 6 7 8 3 2" xfId="41147" xr:uid="{D1D41BC3-8174-4149-A472-62753F9921CB}"/>
    <cellStyle name="Output 2 6 7 8 3 3" xfId="25785" xr:uid="{A13DC01D-3759-4447-ACE5-41F6AB681EDE}"/>
    <cellStyle name="Output 2 6 7 8 4" xfId="14241" xr:uid="{D3358D2F-597C-46A6-9D5C-7C0582B9A197}"/>
    <cellStyle name="Output 2 6 7 8 4 2" xfId="36714" xr:uid="{9DA63DCF-8160-46E9-B3B6-8F71C0E80688}"/>
    <cellStyle name="Output 2 6 7 8 4 3" xfId="29669" xr:uid="{03811547-2C9F-420F-BFEE-93D56D32B80E}"/>
    <cellStyle name="Output 2 6 7 8 5" xfId="23181" xr:uid="{BCF23320-2722-4703-A0CF-81C5E0F89C69}"/>
    <cellStyle name="Output 2 6 7 8 5 2" xfId="47739" xr:uid="{2DDC760F-121C-4E49-B523-E9117E14BC4B}"/>
    <cellStyle name="Output 2 6 7 8 6" xfId="23874" xr:uid="{01DD599A-442A-4060-B7C2-22F61F97F42B}"/>
    <cellStyle name="Output 2 6 7 9" xfId="6023" xr:uid="{00000000-0005-0000-0000-00000B080000}"/>
    <cellStyle name="Output 2 6 7 9 2" xfId="17960" xr:uid="{F84C0B7C-9794-4939-BB47-EF53976F474C}"/>
    <cellStyle name="Output 2 6 7 9 2 2" xfId="40350" xr:uid="{949370D3-6602-4DE9-BB83-ACA87CF0E774}"/>
    <cellStyle name="Output 2 6 7 9 2 3" xfId="29291" xr:uid="{F2E2FCC3-A13B-4E98-B027-4680F95274E3}"/>
    <cellStyle name="Output 2 6 7 9 3" xfId="15699" xr:uid="{301599B5-1DA7-44A0-B5BB-A190C2FDBB28}"/>
    <cellStyle name="Output 2 6 7 9 3 2" xfId="38113" xr:uid="{1B043A70-4353-4EE1-94E1-707A5E3804E4}"/>
    <cellStyle name="Output 2 6 7 9 3 3" xfId="44383" xr:uid="{9B90BC14-A52C-47C7-B4C8-F020EA2807FA}"/>
    <cellStyle name="Output 2 6 7 9 4" xfId="22384" xr:uid="{963468BA-9912-4DF7-8C11-AB9E3938140D}"/>
    <cellStyle name="Output 2 6 7 9 4 2" xfId="49559" xr:uid="{7918E9AE-0EF6-47A4-BB1A-D22A10330C3E}"/>
    <cellStyle name="Output 2 6 7 9 5" xfId="30682" xr:uid="{544B64DE-0AB1-40E0-B787-B85B4C3C13EE}"/>
    <cellStyle name="Output 2 6 8" xfId="2582" xr:uid="{00000000-0005-0000-0000-000000080000}"/>
    <cellStyle name="Output 2 6 8 2" xfId="9491" xr:uid="{A34CB3CF-A00C-422C-BC51-7CFDE3FD1C25}"/>
    <cellStyle name="Output 2 6 8 2 2" xfId="32043" xr:uid="{DA2E173D-F284-4998-B630-BBD1A7C69FD9}"/>
    <cellStyle name="Output 2 6 8 2 3" xfId="47546" xr:uid="{CCAF540A-E9E3-433A-87E4-5FAF7EADC969}"/>
    <cellStyle name="Output 2 6 8 3" xfId="15060" xr:uid="{81F8556A-0126-4D4C-B3F7-28BD5A37254F}"/>
    <cellStyle name="Output 2 6 8 3 2" xfId="37505" xr:uid="{600E99E5-5545-4588-A8E6-8D2D7D3B71AD}"/>
    <cellStyle name="Output 2 6 8 3 3" xfId="50001" xr:uid="{87542A13-CBE1-46A8-AB17-A8E85FCEA06D}"/>
    <cellStyle name="Output 2 6 8 4" xfId="7718" xr:uid="{693D7F4E-FC74-4AA7-A40B-D842E1EE379D}"/>
    <cellStyle name="Output 2 6 8 4 2" xfId="30367" xr:uid="{9A041CA4-12F9-45E4-912C-4D23E4CE2364}"/>
    <cellStyle name="Output 2 6 8 4 3" xfId="53288" xr:uid="{AC221C51-44FD-43EE-86AC-596734C22303}"/>
    <cellStyle name="Output 2 6 8 5" xfId="20692" xr:uid="{0F95D130-72CC-41F9-A2BE-523614B7EEC9}"/>
    <cellStyle name="Output 2 6 8 5 2" xfId="47408" xr:uid="{9DBAE554-890F-4983-BD50-30CC222D04C3}"/>
    <cellStyle name="Output 2 6 8 6" xfId="44653" xr:uid="{9E4F380B-27E9-4B46-9E61-58CA45B2BAA7}"/>
    <cellStyle name="Output 2 6 9" xfId="4409" xr:uid="{00000000-0005-0000-0000-000000080000}"/>
    <cellStyle name="Output 2 6 9 2" xfId="11311" xr:uid="{CB08426B-03C4-4F90-B0D8-2B1F1CF1E975}"/>
    <cellStyle name="Output 2 6 9 2 2" xfId="33797" xr:uid="{1400A65B-50DF-4ECF-B593-901C0496BFD4}"/>
    <cellStyle name="Output 2 6 9 2 3" xfId="30441" xr:uid="{4D90659F-B343-4FD6-A36E-EA2EAA8D41E0}"/>
    <cellStyle name="Output 2 6 9 3" xfId="16346" xr:uid="{D7B30D93-058F-4B86-864B-F6AB498B868F}"/>
    <cellStyle name="Output 2 6 9 3 2" xfId="38736" xr:uid="{EAA809E0-754D-4514-B84E-1546347E9E4D}"/>
    <cellStyle name="Output 2 6 9 3 3" xfId="24341" xr:uid="{5C17BFC5-45F0-4FD8-B077-0F35DE8B7518}"/>
    <cellStyle name="Output 2 6 9 4" xfId="14143" xr:uid="{2CA8E663-CF4A-4F9C-9D0E-EA078DE90819}"/>
    <cellStyle name="Output 2 6 9 4 2" xfId="36620" xr:uid="{40E7E530-6C07-4398-BC21-B769A3ADFE12}"/>
    <cellStyle name="Output 2 6 9 4 3" xfId="47932" xr:uid="{8DA391D1-A00B-4B66-899A-66EDEDBD35AA}"/>
    <cellStyle name="Output 2 6 9 5" xfId="8428" xr:uid="{C573607A-7562-465D-BFC2-6F0E5A099828}"/>
    <cellStyle name="Output 2 6 9 5 2" xfId="43558" xr:uid="{3DE4717E-95E6-4078-9B01-83160AC2B0D4}"/>
    <cellStyle name="Output 2 6 9 6" xfId="51653" xr:uid="{821C9F79-2C8C-4CF1-A7A5-04FAEC00C6C1}"/>
    <cellStyle name="Output 2 7" xfId="439" xr:uid="{00000000-0005-0000-0000-00000E080000}"/>
    <cellStyle name="Output 2 7 10" xfId="2258" xr:uid="{00000000-0005-0000-0000-00000C080000}"/>
    <cellStyle name="Output 2 7 10 2" xfId="9170" xr:uid="{BB6E077D-E339-4CEC-A2B2-EF622E6F902C}"/>
    <cellStyle name="Output 2 7 10 2 2" xfId="31745" xr:uid="{1335305B-7B55-46B2-9FC4-C7E050D15108}"/>
    <cellStyle name="Output 2 7 10 2 3" xfId="37823" xr:uid="{2959E63E-FD01-4449-B71F-9844BF3C7D9F}"/>
    <cellStyle name="Output 2 7 10 3" xfId="14828" xr:uid="{E8BA31C1-C51C-4F2C-881D-E3E66F776557}"/>
    <cellStyle name="Output 2 7 10 3 2" xfId="37282" xr:uid="{CB9E9B01-608A-43DC-8E6F-97E6B466D03F}"/>
    <cellStyle name="Output 2 7 10 3 3" xfId="49050" xr:uid="{E9BA25EF-D70D-4A88-B63D-17ABC1E3A89F}"/>
    <cellStyle name="Output 2 7 10 4" xfId="21014" xr:uid="{BFF72967-3E40-40B0-BE9F-C02B4CE51880}"/>
    <cellStyle name="Output 2 7 10 4 2" xfId="43265" xr:uid="{F9B0C5B0-2F9B-4D11-9A05-DD7DFC495799}"/>
    <cellStyle name="Output 2 7 10 4 3" xfId="38547" xr:uid="{D40A5E26-6434-4A22-86A5-5A5F8C0FB57F}"/>
    <cellStyle name="Output 2 7 10 5" xfId="21111" xr:uid="{605A69F5-E252-4431-8B03-C004DD6FA3FA}"/>
    <cellStyle name="Output 2 7 10 5 2" xfId="53460" xr:uid="{17177C25-F4C8-458B-A41F-53482DC5CB61}"/>
    <cellStyle name="Output 2 7 10 6" xfId="50354" xr:uid="{E8381521-DE77-47F4-98FE-0E792569602F}"/>
    <cellStyle name="Output 2 7 11" xfId="6061" xr:uid="{00000000-0005-0000-0000-00000C080000}"/>
    <cellStyle name="Output 2 7 11 2" xfId="12939" xr:uid="{EFFF5A50-0543-4222-B4B1-7725AA9E0CE6}"/>
    <cellStyle name="Output 2 7 11 2 2" xfId="35423" xr:uid="{E457000F-6636-4777-A76B-1844764E5B52}"/>
    <cellStyle name="Output 2 7 11 2 3" xfId="52241" xr:uid="{9356B501-FA16-426F-A28E-84F1DD49343E}"/>
    <cellStyle name="Output 2 7 11 3" xfId="17998" xr:uid="{685353A0-5056-4411-B536-D4BEF7744557}"/>
    <cellStyle name="Output 2 7 11 3 2" xfId="40388" xr:uid="{F4E8C379-6787-4A4E-BBEE-79BE7D9566D3}"/>
    <cellStyle name="Output 2 7 11 3 3" xfId="28028" xr:uid="{340831BD-7D11-482B-AF38-D0BBDAACD760}"/>
    <cellStyle name="Output 2 7 11 4" xfId="7978" xr:uid="{EFDB288F-710C-4A8A-A4F2-C5BE5D80BB34}"/>
    <cellStyle name="Output 2 7 11 4 2" xfId="30600" xr:uid="{33245136-CAFE-466C-A4F1-9C472B0FAE23}"/>
    <cellStyle name="Output 2 7 11 4 3" xfId="28942" xr:uid="{D78895A5-0D52-4C00-9C41-3C3C5EB2FDBA}"/>
    <cellStyle name="Output 2 7 11 5" xfId="22422" xr:uid="{C1062A68-3D6E-44DA-A0A1-D0B57408811C}"/>
    <cellStyle name="Output 2 7 11 5 2" xfId="36625" xr:uid="{E806949F-85F7-496A-88BB-D866C46C7514}"/>
    <cellStyle name="Output 2 7 11 6" xfId="48191" xr:uid="{EF4BDE3C-C864-4706-AB94-41435ACC3B2A}"/>
    <cellStyle name="Output 2 7 12" xfId="6234" xr:uid="{00000000-0005-0000-0000-00000C080000}"/>
    <cellStyle name="Output 2 7 12 2" xfId="13109" xr:uid="{852FBA3F-3ECD-4E52-9306-E0CEA5E2BDD2}"/>
    <cellStyle name="Output 2 7 12 2 2" xfId="35593" xr:uid="{DD32CECB-4CB2-4221-9D9F-7186CCCC6935}"/>
    <cellStyle name="Output 2 7 12 2 3" xfId="50133" xr:uid="{A34A8DF4-7EA2-47C1-B9F5-CDC7DD27CE48}"/>
    <cellStyle name="Output 2 7 12 3" xfId="18171" xr:uid="{2723980B-1306-4B4D-8BB1-99DA4C8BA582}"/>
    <cellStyle name="Output 2 7 12 3 2" xfId="40561" xr:uid="{0E22FF45-3F29-4925-8BCA-C483A6867702}"/>
    <cellStyle name="Output 2 7 12 3 3" xfId="28820" xr:uid="{03B120B8-90D4-485B-B2C6-14D1A43CC707}"/>
    <cellStyle name="Output 2 7 12 4" xfId="15259" xr:uid="{DABF5C9F-4F72-4EB7-8D09-3BB132CA7B2C}"/>
    <cellStyle name="Output 2 7 12 4 2" xfId="37693" xr:uid="{63136921-9BCC-49B9-A973-7722642382C3}"/>
    <cellStyle name="Output 2 7 12 4 3" xfId="47182" xr:uid="{BB8AC794-2485-424B-A73A-E536EDFB761A}"/>
    <cellStyle name="Output 2 7 12 5" xfId="22595" xr:uid="{99F854FC-E931-4A3F-BC63-D49FCEA9DFF5}"/>
    <cellStyle name="Output 2 7 12 5 2" xfId="49959" xr:uid="{98FD8B4D-F413-4E87-9390-4A9CAF1C7E8D}"/>
    <cellStyle name="Output 2 7 12 6" xfId="42202" xr:uid="{A6AB1C08-B53F-4C09-BA97-F931D81295BC}"/>
    <cellStyle name="Output 2 7 13" xfId="13998" xr:uid="{44367625-F705-444E-A5C4-95FB1BF37143}"/>
    <cellStyle name="Output 2 7 13 2" xfId="36481" xr:uid="{16DF9EF9-3121-4FD6-8A84-31857EE4F340}"/>
    <cellStyle name="Output 2 7 13 3" xfId="50016" xr:uid="{AEC28A05-BC63-4120-B000-5F5E7A7749D6}"/>
    <cellStyle name="Output 2 7 14" xfId="20053" xr:uid="{CAF6B928-375A-4868-B2E6-562B94DEF53A}"/>
    <cellStyle name="Output 2 7 14 2" xfId="42374" xr:uid="{F6D306D5-2822-425A-BB9D-16971BAAD4EA}"/>
    <cellStyle name="Output 2 7 14 3" xfId="28530" xr:uid="{75AD7213-B15B-44B3-B24F-6E3A2421F249}"/>
    <cellStyle name="Output 2 7 15" xfId="20452" xr:uid="{B02A1B4E-2C25-4C31-87F2-64386B2DA784}"/>
    <cellStyle name="Output 2 7 15 2" xfId="47649" xr:uid="{B3AE9680-1BED-4EF4-94B0-3E8F603F8A4C}"/>
    <cellStyle name="Output 2 7 16" xfId="51993" xr:uid="{587FC0A9-1B94-47FB-8B9F-A286FD6E57FF}"/>
    <cellStyle name="Output 2 7 2" xfId="592" xr:uid="{00000000-0005-0000-0000-00000F080000}"/>
    <cellStyle name="Output 2 7 2 10" xfId="19986" xr:uid="{565C8B9F-A995-4C9C-B348-692C16B361F3}"/>
    <cellStyle name="Output 2 7 2 10 2" xfId="28187" xr:uid="{E86D4F8D-31D3-42DF-8018-6A8808F06572}"/>
    <cellStyle name="Output 2 7 2 11" xfId="50024" xr:uid="{19F80340-07F5-4874-9DEF-9F590E808DDC}"/>
    <cellStyle name="Output 2 7 2 2" xfId="1726" xr:uid="{00000000-0005-0000-0000-000010080000}"/>
    <cellStyle name="Output 2 7 2 2 10" xfId="14427" xr:uid="{4E27C291-4D02-4B4C-8C6F-050DAA63F912}"/>
    <cellStyle name="Output 2 7 2 2 10 2" xfId="36893" xr:uid="{4A38FDE5-3227-4B9F-8C66-E0F2DCA6B883}"/>
    <cellStyle name="Output 2 7 2 2 10 3" xfId="50082" xr:uid="{B3117F46-C762-491F-829D-B7A8A1E5E581}"/>
    <cellStyle name="Output 2 7 2 2 11" xfId="20912" xr:uid="{4B84AEA1-FA81-46FB-87CA-B606A2371B39}"/>
    <cellStyle name="Output 2 7 2 2 11 2" xfId="43172" xr:uid="{1DAB2786-DDC2-4CEE-98DD-981D42155951}"/>
    <cellStyle name="Output 2 7 2 2 11 3" xfId="49392" xr:uid="{19978112-6B8A-4307-9173-9681F38860F7}"/>
    <cellStyle name="Output 2 7 2 2 12" xfId="14622" xr:uid="{241D7965-1B65-4E2C-A79A-89D3627EDB1F}"/>
    <cellStyle name="Output 2 7 2 2 12 2" xfId="44819" xr:uid="{26835E1C-98B7-4FF3-B57E-A5FE184342AE}"/>
    <cellStyle name="Output 2 7 2 2 13" xfId="51345" xr:uid="{DEE791EF-7B19-4155-8344-D0F5B4BDE944}"/>
    <cellStyle name="Output 2 7 2 2 2" xfId="3824" xr:uid="{00000000-0005-0000-0000-00000E080000}"/>
    <cellStyle name="Output 2 7 2 2 2 2" xfId="10728" xr:uid="{21D87610-C759-4FDD-9E80-78026131D1C7}"/>
    <cellStyle name="Output 2 7 2 2 2 2 2" xfId="33214" xr:uid="{7F525B4A-A678-4A54-AB59-B0B9FCE89AEC}"/>
    <cellStyle name="Output 2 7 2 2 2 2 3" xfId="46504" xr:uid="{80AD245B-90DB-4C30-BFED-F399E6EBCF36}"/>
    <cellStyle name="Output 2 7 2 2 2 3" xfId="15884" xr:uid="{D291A1AF-E1E9-4AA0-8DD3-1B06F2E48FAA}"/>
    <cellStyle name="Output 2 7 2 2 2 3 2" xfId="38290" xr:uid="{22844F4D-9F6A-4512-BB85-B9DA41634EF1}"/>
    <cellStyle name="Output 2 7 2 2 2 3 3" xfId="53345" xr:uid="{EE779243-A695-48F7-B097-9A78AB51DE5C}"/>
    <cellStyle name="Output 2 7 2 2 2 4" xfId="14290" xr:uid="{8ECE43AE-3538-4D6D-9E5C-42697C993410}"/>
    <cellStyle name="Output 2 7 2 2 2 4 2" xfId="36759" xr:uid="{65AA0701-2964-4486-BC27-DED1EE563F57}"/>
    <cellStyle name="Output 2 7 2 2 2 4 3" xfId="46989" xr:uid="{46C6AB89-32FE-4CA4-ADBA-85469C3C85A7}"/>
    <cellStyle name="Output 2 7 2 2 2 5" xfId="20702" xr:uid="{C85444DF-ABB7-4A1B-B95D-9A1E4E3BC75F}"/>
    <cellStyle name="Output 2 7 2 2 2 5 2" xfId="53279" xr:uid="{5EB1AE15-76F2-4BE5-BDE3-FAAA00F7FD55}"/>
    <cellStyle name="Output 2 7 2 2 2 6" xfId="51244" xr:uid="{4CAAF546-9117-4270-82B6-9B0508E7CE70}"/>
    <cellStyle name="Output 2 7 2 2 3" xfId="5240" xr:uid="{00000000-0005-0000-0000-00000E080000}"/>
    <cellStyle name="Output 2 7 2 2 3 2" xfId="12132" xr:uid="{5A7C3FEF-2FC8-48C6-89A4-4B3A698E1056}"/>
    <cellStyle name="Output 2 7 2 2 3 2 2" xfId="34617" xr:uid="{7672DF7D-4C3E-43CF-ADEC-F3CD07A65EB2}"/>
    <cellStyle name="Output 2 7 2 2 3 2 3" xfId="32805" xr:uid="{A6390A01-62FC-4C12-ACA8-C3E0D672258F}"/>
    <cellStyle name="Output 2 7 2 2 3 3" xfId="17177" xr:uid="{B022C668-4E6E-4FE8-84CD-0F9E6D096C0E}"/>
    <cellStyle name="Output 2 7 2 2 3 3 2" xfId="39567" xr:uid="{63F3A49E-DC0D-4285-B5EB-FEA67F81B944}"/>
    <cellStyle name="Output 2 7 2 2 3 3 3" xfId="30499" xr:uid="{3A2E73E2-1386-45E9-A73C-C8A9B2607A45}"/>
    <cellStyle name="Output 2 7 2 2 3 4" xfId="8291" xr:uid="{93E56009-F54F-482A-93C4-3CE737CA4BB9}"/>
    <cellStyle name="Output 2 7 2 2 3 4 2" xfId="30891" xr:uid="{6AC8EAB2-1167-4200-8866-911EE5550533}"/>
    <cellStyle name="Output 2 7 2 2 3 4 3" xfId="53175" xr:uid="{B65E1A56-42FA-4BCB-A770-4FD4830A9B78}"/>
    <cellStyle name="Output 2 7 2 2 3 5" xfId="21601" xr:uid="{7D7F49FB-90C7-4552-A42E-9DB423CDD1A4}"/>
    <cellStyle name="Output 2 7 2 2 3 5 2" xfId="48080" xr:uid="{90AC927A-C120-48BB-8A18-F5CDB7A7F43E}"/>
    <cellStyle name="Output 2 7 2 2 3 6" xfId="46081" xr:uid="{F1CF0D5D-C3DB-4042-8F45-A73910362E2F}"/>
    <cellStyle name="Output 2 7 2 2 4" xfId="5652" xr:uid="{00000000-0005-0000-0000-00000E080000}"/>
    <cellStyle name="Output 2 7 2 2 4 2" xfId="12536" xr:uid="{A01315D1-785A-4640-8AF7-4E06E98B42F3}"/>
    <cellStyle name="Output 2 7 2 2 4 2 2" xfId="35021" xr:uid="{647955F8-31DB-4749-8D53-8E6427C850B7}"/>
    <cellStyle name="Output 2 7 2 2 4 2 3" xfId="26116" xr:uid="{D0C43F5D-48C4-4F7C-9C29-0A69F6A8B5AD}"/>
    <cellStyle name="Output 2 7 2 2 4 3" xfId="17589" xr:uid="{A1F48858-F896-4D2C-9CB6-514FB01ADE21}"/>
    <cellStyle name="Output 2 7 2 2 4 3 2" xfId="39979" xr:uid="{41DDFEF3-48EC-49EC-9258-F43CABF8319B}"/>
    <cellStyle name="Output 2 7 2 2 4 3 3" xfId="45302" xr:uid="{F5ADDE85-122F-44E9-8D4C-539A4F1CA93D}"/>
    <cellStyle name="Output 2 7 2 2 4 4" xfId="19332" xr:uid="{6AA95027-5BE9-4AB6-8A06-E7F8DA5C2421}"/>
    <cellStyle name="Output 2 7 2 2 4 4 2" xfId="41709" xr:uid="{F53F7FF0-5422-4245-AE62-49D05D50A366}"/>
    <cellStyle name="Output 2 7 2 2 4 4 3" xfId="42352" xr:uid="{962F86B6-CC07-4710-8EA4-6AD619FFAE55}"/>
    <cellStyle name="Output 2 7 2 2 4 5" xfId="22013" xr:uid="{A618E60D-2F2B-4E16-AE83-7780A3941DF5}"/>
    <cellStyle name="Output 2 7 2 2 4 5 2" xfId="48383" xr:uid="{2D27EAFA-9D40-4FD7-94B7-8F1B9201D9D0}"/>
    <cellStyle name="Output 2 7 2 2 4 6" xfId="49567" xr:uid="{9CD944F5-6013-43DE-AB4F-25624244A09B}"/>
    <cellStyle name="Output 2 7 2 2 5" xfId="5560" xr:uid="{00000000-0005-0000-0000-00000E080000}"/>
    <cellStyle name="Output 2 7 2 2 5 2" xfId="12447" xr:uid="{FD1557C2-2AF3-46F4-B9B6-F64207ADB0AC}"/>
    <cellStyle name="Output 2 7 2 2 5 2 2" xfId="34932" xr:uid="{FE3F22EF-AD0C-4FB0-877C-41B6F4C9FC60}"/>
    <cellStyle name="Output 2 7 2 2 5 2 3" xfId="27016" xr:uid="{1B5A3733-8911-40A8-9A7F-102D3DE707DB}"/>
    <cellStyle name="Output 2 7 2 2 5 3" xfId="17497" xr:uid="{BF58BBEE-287A-4F6C-AA42-9B9A5B4A15D2}"/>
    <cellStyle name="Output 2 7 2 2 5 3 2" xfId="39887" xr:uid="{58236228-D891-4313-ACF3-CF4C2A4C8821}"/>
    <cellStyle name="Output 2 7 2 2 5 3 3" xfId="30813" xr:uid="{DF62DF21-D944-4DFC-9CD6-04E6B7F506A7}"/>
    <cellStyle name="Output 2 7 2 2 5 4" xfId="19679" xr:uid="{F5418DB7-5D41-4105-9EFD-CC9F85C657E9}"/>
    <cellStyle name="Output 2 7 2 2 5 4 2" xfId="42027" xr:uid="{37C35A47-6F0C-4F1C-8264-B579295B3ECC}"/>
    <cellStyle name="Output 2 7 2 2 5 4 3" xfId="32143" xr:uid="{6C2E2696-4D07-44AF-972F-4D3704C235A2}"/>
    <cellStyle name="Output 2 7 2 2 5 5" xfId="21921" xr:uid="{B85DA233-F328-416C-A7C3-9705C886A872}"/>
    <cellStyle name="Output 2 7 2 2 5 5 2" xfId="37580" xr:uid="{B70C7EFE-5ED2-45B4-9E54-17F58D0C8845}"/>
    <cellStyle name="Output 2 7 2 2 5 6" xfId="26391" xr:uid="{8A2B9DDC-E221-43F5-B1A7-B1999461B5EF}"/>
    <cellStyle name="Output 2 7 2 2 6" xfId="6391" xr:uid="{00000000-0005-0000-0000-00000E080000}"/>
    <cellStyle name="Output 2 7 2 2 6 2" xfId="13263" xr:uid="{9391EB30-E263-435A-8A89-C66C886D7C5B}"/>
    <cellStyle name="Output 2 7 2 2 6 2 2" xfId="35747" xr:uid="{3B03D770-64E1-455F-8B1E-102C55F943ED}"/>
    <cellStyle name="Output 2 7 2 2 6 2 3" xfId="48790" xr:uid="{DCE1D4BF-7343-437A-9B93-4DE025D700FA}"/>
    <cellStyle name="Output 2 7 2 2 6 3" xfId="18328" xr:uid="{5F9D6AFA-D7A6-436B-84DE-1E7E8F3AB27A}"/>
    <cellStyle name="Output 2 7 2 2 6 3 2" xfId="40718" xr:uid="{4D502260-9763-4F32-B620-0A296B227358}"/>
    <cellStyle name="Output 2 7 2 2 6 3 3" xfId="24709" xr:uid="{0BE548EB-7F45-4821-81E4-A7E5C994E36B}"/>
    <cellStyle name="Output 2 7 2 2 6 4" xfId="20832" xr:uid="{925229EC-A8BA-4A62-B07C-AA4052EAEDB8}"/>
    <cellStyle name="Output 2 7 2 2 6 4 2" xfId="43097" xr:uid="{47416662-EDC4-43F3-A1E5-1B8B0EFA7BB6}"/>
    <cellStyle name="Output 2 7 2 2 6 4 3" xfId="51405" xr:uid="{52CEA733-4558-4F74-87B3-6A17DC65638A}"/>
    <cellStyle name="Output 2 7 2 2 6 5" xfId="22752" xr:uid="{CA5AC484-1C88-4AB3-9041-FA39D3B29407}"/>
    <cellStyle name="Output 2 7 2 2 6 5 2" xfId="44325" xr:uid="{CFA04830-5224-436F-B9CA-09D8628190BD}"/>
    <cellStyle name="Output 2 7 2 2 6 6" xfId="50958" xr:uid="{D370B2B7-734C-4089-A6D6-58A9AC74412B}"/>
    <cellStyle name="Output 2 7 2 2 7" xfId="2287" xr:uid="{00000000-0005-0000-0000-00000E080000}"/>
    <cellStyle name="Output 2 7 2 2 7 2" xfId="9198" xr:uid="{3E8275DE-EC49-4ACB-B675-AB01045FA38A}"/>
    <cellStyle name="Output 2 7 2 2 7 2 2" xfId="31773" xr:uid="{93BFCB03-25F1-4BE4-8F58-B70AD389F53A}"/>
    <cellStyle name="Output 2 7 2 2 7 2 3" xfId="27271" xr:uid="{6FDAED5F-FDDA-4EBE-B9F2-E11ED40434AF}"/>
    <cellStyle name="Output 2 7 2 2 7 3" xfId="14854" xr:uid="{FB6B514F-59A8-4F2B-8CC1-73CA62BAA885}"/>
    <cellStyle name="Output 2 7 2 2 7 3 2" xfId="37308" xr:uid="{4AE9DA5B-3FEE-4541-A67E-F0A85BBBDD86}"/>
    <cellStyle name="Output 2 7 2 2 7 3 3" xfId="41633" xr:uid="{E20D721B-5707-41B7-BECF-3D7159A07E7C}"/>
    <cellStyle name="Output 2 7 2 2 7 4" xfId="20770" xr:uid="{7EFE1869-40F2-473F-A3F3-152BBD5D0FDF}"/>
    <cellStyle name="Output 2 7 2 2 7 4 2" xfId="43038" xr:uid="{E4ECD2E0-39FE-4EE6-AC28-52EA5661F3D2}"/>
    <cellStyle name="Output 2 7 2 2 7 4 3" xfId="49147" xr:uid="{35256E2E-3FB9-436B-8052-74BB44FB8D38}"/>
    <cellStyle name="Output 2 7 2 2 7 5" xfId="15692" xr:uid="{6A21B527-8B47-4BE8-B28C-64FEAAF6CE4F}"/>
    <cellStyle name="Output 2 7 2 2 7 5 2" xfId="52667" xr:uid="{D09B2B9B-B588-4E28-93AC-DBA082B08F93}"/>
    <cellStyle name="Output 2 7 2 2 7 6" xfId="46107" xr:uid="{4722F375-C2A1-4D9D-BB94-EF113EB35307}"/>
    <cellStyle name="Output 2 7 2 2 8" xfId="6908" xr:uid="{00000000-0005-0000-0000-00000E080000}"/>
    <cellStyle name="Output 2 7 2 2 8 2" xfId="13746" xr:uid="{2675D35C-1CA4-42BC-B6BF-4026E85D944D}"/>
    <cellStyle name="Output 2 7 2 2 8 2 2" xfId="36230" xr:uid="{0BE037F4-BDFB-4AE7-A197-7F10F4183BDB}"/>
    <cellStyle name="Output 2 7 2 2 8 2 3" xfId="49544" xr:uid="{B5C259C4-3B8A-469A-8E97-9FA7B318AA61}"/>
    <cellStyle name="Output 2 7 2 2 8 3" xfId="18845" xr:uid="{24378644-21D6-4B6A-A54E-6B03304BB3D3}"/>
    <cellStyle name="Output 2 7 2 2 8 3 2" xfId="41235" xr:uid="{1A6DCCEB-31A2-4738-8884-BDA9F4B01191}"/>
    <cellStyle name="Output 2 7 2 2 8 3 3" xfId="25870" xr:uid="{B7747451-5222-427E-9EA8-85908C2A7991}"/>
    <cellStyle name="Output 2 7 2 2 8 4" xfId="20656" xr:uid="{70C0B89E-40C1-49D7-9864-BCF0BAB44C19}"/>
    <cellStyle name="Output 2 7 2 2 8 4 2" xfId="42933" xr:uid="{DAF9690D-02EE-4C1B-B930-927D3BA9B4F0}"/>
    <cellStyle name="Output 2 7 2 2 8 4 3" xfId="29070" xr:uid="{AEAA599D-8D01-457F-B3F1-C2E2AE83424C}"/>
    <cellStyle name="Output 2 7 2 2 8 5" xfId="23269" xr:uid="{4C0D614E-1775-4487-A451-D8AF3408D6B9}"/>
    <cellStyle name="Output 2 7 2 2 8 5 2" xfId="41727" xr:uid="{C67609C0-4D15-44A0-B9CC-8E490FB85F28}"/>
    <cellStyle name="Output 2 7 2 2 8 6" xfId="53221" xr:uid="{9E9DF5E8-1764-4163-9F61-58108487E20D}"/>
    <cellStyle name="Output 2 7 2 2 9" xfId="6436" xr:uid="{00000000-0005-0000-0000-00000E080000}"/>
    <cellStyle name="Output 2 7 2 2 9 2" xfId="18373" xr:uid="{54380D90-4A03-4858-8152-ADED61A06A8A}"/>
    <cellStyle name="Output 2 7 2 2 9 2 2" xfId="40763" xr:uid="{CD712787-DF31-4094-98A2-2831F7651CC2}"/>
    <cellStyle name="Output 2 7 2 2 9 2 3" xfId="26528" xr:uid="{6F3A57E2-78CB-4B6E-ADBC-9C112F10D7C5}"/>
    <cellStyle name="Output 2 7 2 2 9 3" xfId="20739" xr:uid="{7C0AF672-1C40-42A9-AD0C-84D9F7ABB86D}"/>
    <cellStyle name="Output 2 7 2 2 9 3 2" xfId="43009" xr:uid="{E052DF8E-31C3-48B1-A71A-FA2A6E5E1CCC}"/>
    <cellStyle name="Output 2 7 2 2 9 3 3" xfId="48795" xr:uid="{E016DB2B-638C-4D4E-AF5D-999F62E947A9}"/>
    <cellStyle name="Output 2 7 2 2 9 4" xfId="22797" xr:uid="{6D13B13F-1162-41F6-BAD1-30CFE848532D}"/>
    <cellStyle name="Output 2 7 2 2 9 4 2" xfId="52312" xr:uid="{CF51DC12-0073-4B36-814E-CA493699E04A}"/>
    <cellStyle name="Output 2 7 2 2 9 5" xfId="45408" xr:uid="{5FE541AE-BB28-4C0D-9A2B-9F8069432C28}"/>
    <cellStyle name="Output 2 7 2 3" xfId="2739" xr:uid="{00000000-0005-0000-0000-00000D080000}"/>
    <cellStyle name="Output 2 7 2 3 2" xfId="9648" xr:uid="{7F270AE0-3423-4A0D-B987-00697340A794}"/>
    <cellStyle name="Output 2 7 2 3 2 2" xfId="32196" xr:uid="{D3CB06B3-E7B3-48E1-9A8B-AD49F74FA56D}"/>
    <cellStyle name="Output 2 7 2 3 2 3" xfId="50522" xr:uid="{DC3BA39A-8CC3-4130-9F61-0C4256D35C54}"/>
    <cellStyle name="Output 2 7 2 3 3" xfId="15166" xr:uid="{432255DB-63D2-4C1D-9FD8-786017CBDB99}"/>
    <cellStyle name="Output 2 7 2 3 3 2" xfId="37606" xr:uid="{6DE5A728-263A-4300-B595-28CAECFF5DF6}"/>
    <cellStyle name="Output 2 7 2 3 3 3" xfId="50692" xr:uid="{55AC2871-C63E-48FC-A1E2-9046BD2DA19A}"/>
    <cellStyle name="Output 2 7 2 3 4" xfId="15588" xr:uid="{1E1006B3-DB14-4BDC-978D-7DCF0C68F346}"/>
    <cellStyle name="Output 2 7 2 3 4 2" xfId="38007" xr:uid="{24B06D1D-BED2-4035-892F-A219DC8D7B2A}"/>
    <cellStyle name="Output 2 7 2 3 4 3" xfId="23708" xr:uid="{F63C594A-6157-46DE-AA7E-8B0A9FF21796}"/>
    <cellStyle name="Output 2 7 2 3 5" xfId="20606" xr:uid="{184EEE07-DCD9-4F59-A8CC-69D29070B9C2}"/>
    <cellStyle name="Output 2 7 2 3 5 2" xfId="50935" xr:uid="{1C5B90E1-D5FD-4ED3-A355-E000E5235B82}"/>
    <cellStyle name="Output 2 7 2 3 6" xfId="32021" xr:uid="{2C162D19-DACD-4A96-BC52-1C6A6D1FD5D1}"/>
    <cellStyle name="Output 2 7 2 4" xfId="4531" xr:uid="{00000000-0005-0000-0000-00000D080000}"/>
    <cellStyle name="Output 2 7 2 4 2" xfId="11433" xr:uid="{8E98FBB2-C06A-4B74-A25D-3E33F48D9ADE}"/>
    <cellStyle name="Output 2 7 2 4 2 2" xfId="33919" xr:uid="{2DDCD815-451F-4A3D-A193-004722C2AE2A}"/>
    <cellStyle name="Output 2 7 2 4 2 3" xfId="29662" xr:uid="{13DF4545-4428-4646-AF4F-BABF7747EC4C}"/>
    <cellStyle name="Output 2 7 2 4 3" xfId="16468" xr:uid="{28D0F654-600F-4EB8-BE95-EEC76541ED26}"/>
    <cellStyle name="Output 2 7 2 4 3 2" xfId="38858" xr:uid="{A7D3BC41-E6D8-46E3-98F1-4B267CA0F6DD}"/>
    <cellStyle name="Output 2 7 2 4 3 3" xfId="27042" xr:uid="{64E8194F-9137-4174-81F1-E80B6F57D270}"/>
    <cellStyle name="Output 2 7 2 4 4" xfId="12461" xr:uid="{C302685C-5C80-4F2A-804F-CF4B3CBBDA9B}"/>
    <cellStyle name="Output 2 7 2 4 4 2" xfId="34946" xr:uid="{F84C7FFF-64B4-48ED-90ED-6DC904E6B50B}"/>
    <cellStyle name="Output 2 7 2 4 4 3" xfId="29171" xr:uid="{657BFCC0-6F77-46E0-B0D8-99EBD88D21D6}"/>
    <cellStyle name="Output 2 7 2 4 5" xfId="15415" xr:uid="{DD206CD7-13F6-4D89-9885-624B08339EF8}"/>
    <cellStyle name="Output 2 7 2 4 5 2" xfId="27403" xr:uid="{E4BE53D9-938A-4AD0-BF63-D80C871F4D63}"/>
    <cellStyle name="Output 2 7 2 4 6" xfId="28158" xr:uid="{D2E3B769-7252-4EDD-9091-D70A03C73881}"/>
    <cellStyle name="Output 2 7 2 5" xfId="4980" xr:uid="{00000000-0005-0000-0000-00000D080000}"/>
    <cellStyle name="Output 2 7 2 5 2" xfId="11875" xr:uid="{E7C76806-CE1F-453F-B0F1-A1F8FBD38E2E}"/>
    <cellStyle name="Output 2 7 2 5 2 2" xfId="34361" xr:uid="{AFA9EFA0-B5E1-46BB-BC15-6D5E40BCFBF7}"/>
    <cellStyle name="Output 2 7 2 5 2 3" xfId="42741" xr:uid="{37B68B05-2EE7-4BCD-B3F7-FE37F2794563}"/>
    <cellStyle name="Output 2 7 2 5 3" xfId="16917" xr:uid="{7FADB6E0-EAF1-4A57-BD45-49CDB375949E}"/>
    <cellStyle name="Output 2 7 2 5 3 2" xfId="39307" xr:uid="{5FFBC420-A3F1-4A08-9100-4ECBBABE13EA}"/>
    <cellStyle name="Output 2 7 2 5 3 3" xfId="32364" xr:uid="{D17C860F-8679-4E67-A0A9-DF5BA5F5D607}"/>
    <cellStyle name="Output 2 7 2 5 4" xfId="19181" xr:uid="{1FF82782-7E76-45E4-BB7A-5A17C634222B}"/>
    <cellStyle name="Output 2 7 2 5 4 2" xfId="41571" xr:uid="{70859393-1475-4AD3-887A-54723F96E779}"/>
    <cellStyle name="Output 2 7 2 5 4 3" xfId="28152" xr:uid="{BDE46C7F-9CE3-422D-977F-6343FCDEEB7E}"/>
    <cellStyle name="Output 2 7 2 5 5" xfId="21341" xr:uid="{27D25FB2-C33A-4514-B4F9-0FD1FC49DE9F}"/>
    <cellStyle name="Output 2 7 2 5 5 2" xfId="53100" xr:uid="{AC352958-A483-4A02-9847-CD572E223A30}"/>
    <cellStyle name="Output 2 7 2 5 6" xfId="49029" xr:uid="{BB423D81-C90C-4493-A1EB-14774123AA0E}"/>
    <cellStyle name="Output 2 7 2 6" xfId="4903" xr:uid="{00000000-0005-0000-0000-00000D080000}"/>
    <cellStyle name="Output 2 7 2 6 2" xfId="11798" xr:uid="{5FBAA2F9-9120-4BC3-951E-AF76223BD9BA}"/>
    <cellStyle name="Output 2 7 2 6 2 2" xfId="34284" xr:uid="{C9D6A8E9-0877-4AF0-B21E-B6FFB622E62B}"/>
    <cellStyle name="Output 2 7 2 6 2 3" xfId="28863" xr:uid="{86BFF5D7-80DB-4621-87AE-42BECDE3B0A3}"/>
    <cellStyle name="Output 2 7 2 6 3" xfId="16840" xr:uid="{91927E6A-C067-4B92-B9C1-BE54DA7F781E}"/>
    <cellStyle name="Output 2 7 2 6 3 2" xfId="39230" xr:uid="{D8D936BE-1BE4-4D24-85E7-A00ED5D737A6}"/>
    <cellStyle name="Output 2 7 2 6 3 3" xfId="27189" xr:uid="{71719BF8-64EC-4A55-8818-B01057E7B69B}"/>
    <cellStyle name="Output 2 7 2 6 4" xfId="13970" xr:uid="{664EF20B-5437-4020-BD43-22A6014B14E6}"/>
    <cellStyle name="Output 2 7 2 6 4 2" xfId="36454" xr:uid="{C5D22124-C8F0-4589-A446-E742DA953465}"/>
    <cellStyle name="Output 2 7 2 6 4 3" xfId="52242" xr:uid="{487705ED-8106-4079-B798-639313EC9230}"/>
    <cellStyle name="Output 2 7 2 6 5" xfId="7991" xr:uid="{E5FCBE1D-3931-4C9B-91CC-DA588F14E2BE}"/>
    <cellStyle name="Output 2 7 2 6 5 2" xfId="53834" xr:uid="{FBFE1BCA-2CCB-4CB9-A767-E706C181A860}"/>
    <cellStyle name="Output 2 7 2 6 6" xfId="51845" xr:uid="{F3A4A396-BB56-457F-BD2E-17985DA9E9AA}"/>
    <cellStyle name="Output 2 7 2 7" xfId="5070" xr:uid="{00000000-0005-0000-0000-00000D080000}"/>
    <cellStyle name="Output 2 7 2 7 2" xfId="11963" xr:uid="{51911570-55D0-465D-BE36-B26F02BC5E46}"/>
    <cellStyle name="Output 2 7 2 7 2 2" xfId="34449" xr:uid="{BDDD5DCC-A663-4F32-8536-EFB29E320AF3}"/>
    <cellStyle name="Output 2 7 2 7 2 3" xfId="44706" xr:uid="{68778F22-3A7D-4206-B76E-EAB7B7BB69B8}"/>
    <cellStyle name="Output 2 7 2 7 3" xfId="17007" xr:uid="{F83B191C-EB30-4E75-BB1F-A356A3D93586}"/>
    <cellStyle name="Output 2 7 2 7 3 2" xfId="39397" xr:uid="{2FF462FB-CC71-4887-A5E3-83AB2367EE36}"/>
    <cellStyle name="Output 2 7 2 7 3 3" xfId="27308" xr:uid="{0519271A-340A-4C61-A50C-CA925C8A5679}"/>
    <cellStyle name="Output 2 7 2 7 4" xfId="7977" xr:uid="{9108A24E-21E2-4330-8CE6-04035683D64B}"/>
    <cellStyle name="Output 2 7 2 7 4 2" xfId="30599" xr:uid="{0F1C87FE-136E-4F9D-88B9-0FD23B8BBAD3}"/>
    <cellStyle name="Output 2 7 2 7 4 3" xfId="48493" xr:uid="{579A71E7-59BB-47E0-A94F-337752D5B659}"/>
    <cellStyle name="Output 2 7 2 7 5" xfId="21431" xr:uid="{CCFBF41C-EC9E-416B-B8A0-6F7F39DBC849}"/>
    <cellStyle name="Output 2 7 2 7 5 2" xfId="50926" xr:uid="{174D3451-930C-4A32-933B-6F70978F183D}"/>
    <cellStyle name="Output 2 7 2 7 6" xfId="48163" xr:uid="{BCD35759-390E-45A3-814F-BCE9B9AC3F1E}"/>
    <cellStyle name="Output 2 7 2 8" xfId="7260" xr:uid="{85E69E76-B8C4-44D0-85B7-6206F28D88DC}"/>
    <cellStyle name="Output 2 7 2 8 2" xfId="29949" xr:uid="{FBCF3556-FCF8-43EC-A4F3-372B8B912EA8}"/>
    <cellStyle name="Output 2 7 2 8 3" xfId="26633" xr:uid="{7F092941-B487-4E48-9C8A-D1F95ADC5C64}"/>
    <cellStyle name="Output 2 7 2 9" xfId="19705" xr:uid="{30DF1962-23C9-4815-96BF-4F553B061DD7}"/>
    <cellStyle name="Output 2 7 2 9 2" xfId="42052" xr:uid="{BCA39B42-47E0-4CEF-9404-5179D015417C}"/>
    <cellStyle name="Output 2 7 2 9 3" xfId="28973" xr:uid="{EDE1C083-1B62-438E-AB06-EAFC5547816D}"/>
    <cellStyle name="Output 2 7 3" xfId="839" xr:uid="{00000000-0005-0000-0000-000011080000}"/>
    <cellStyle name="Output 2 7 3 10" xfId="19978" xr:uid="{52FDE076-11A7-4D02-8F5D-071F71BEC96E}"/>
    <cellStyle name="Output 2 7 3 10 2" xfId="44520" xr:uid="{279BB405-2C19-4772-9417-113221D7241E}"/>
    <cellStyle name="Output 2 7 3 11" xfId="26954" xr:uid="{CA1DC369-5CCC-4CA2-BDF5-BC07615425BA}"/>
    <cellStyle name="Output 2 7 3 2" xfId="1824" xr:uid="{00000000-0005-0000-0000-000012080000}"/>
    <cellStyle name="Output 2 7 3 2 10" xfId="14508" xr:uid="{4EA69181-4A75-4E43-ACE0-0A19F12B6868}"/>
    <cellStyle name="Output 2 7 3 2 10 2" xfId="36969" xr:uid="{6FAB6B0C-FD72-4C38-AF47-6479227DEA16}"/>
    <cellStyle name="Output 2 7 3 2 10 3" xfId="53925" xr:uid="{B541E44D-4362-4DF3-B8D8-44E97B83C42B}"/>
    <cellStyle name="Output 2 7 3 2 11" xfId="20178" xr:uid="{827DBA71-2115-4B69-8135-8D1301D13453}"/>
    <cellStyle name="Output 2 7 3 2 11 2" xfId="42489" xr:uid="{88DE7CB7-486A-455B-9A51-687C1FE8E705}"/>
    <cellStyle name="Output 2 7 3 2 11 3" xfId="25949" xr:uid="{E2AC98C5-6715-4063-8ED5-0AD20BC65CBD}"/>
    <cellStyle name="Output 2 7 3 2 12" xfId="15855" xr:uid="{B278F949-56DE-4591-8BD3-8F441595FB6A}"/>
    <cellStyle name="Output 2 7 3 2 12 2" xfId="52120" xr:uid="{66379E7A-4241-4C72-B6E8-92FB2D81D412}"/>
    <cellStyle name="Output 2 7 3 2 13" xfId="53499" xr:uid="{F3CFDABA-1038-4196-83DD-C480D36C658B}"/>
    <cellStyle name="Output 2 7 3 2 2" xfId="3922" xr:uid="{00000000-0005-0000-0000-000010080000}"/>
    <cellStyle name="Output 2 7 3 2 2 2" xfId="10826" xr:uid="{DF78EADB-3787-4168-8C70-8BADBE78B217}"/>
    <cellStyle name="Output 2 7 3 2 2 2 2" xfId="33312" xr:uid="{9768EA9E-ACDD-4FC8-9C97-CD6BD6F0B726}"/>
    <cellStyle name="Output 2 7 3 2 2 2 3" xfId="47458" xr:uid="{5DD48623-CCF5-4A14-9563-668BD8646ABE}"/>
    <cellStyle name="Output 2 7 3 2 2 3" xfId="15964" xr:uid="{B7567627-F30E-44D8-95E7-BBCB0CF89187}"/>
    <cellStyle name="Output 2 7 3 2 2 3 2" xfId="38367" xr:uid="{D56C2183-2BD9-4CA2-931D-51181910C968}"/>
    <cellStyle name="Output 2 7 3 2 2 3 3" xfId="49064" xr:uid="{CD45A565-0984-4CD9-B74A-EF94D2DF7690}"/>
    <cellStyle name="Output 2 7 3 2 2 4" xfId="20020" xr:uid="{D4C1F214-2FBD-4C01-A54A-3F59E2F73E4B}"/>
    <cellStyle name="Output 2 7 3 2 2 4 2" xfId="42344" xr:uid="{8E753A54-B42F-42EF-8E4E-B5CC1824FD31}"/>
    <cellStyle name="Output 2 7 3 2 2 4 3" xfId="29100" xr:uid="{BD08FED1-EB17-4D08-A914-66EEC99C256F}"/>
    <cellStyle name="Output 2 7 3 2 2 5" xfId="14618" xr:uid="{E9AB1045-5949-4577-84C0-FF450C64B604}"/>
    <cellStyle name="Output 2 7 3 2 2 5 2" xfId="24477" xr:uid="{BFD3E2A4-2CF5-446C-98CE-E80E07F3530C}"/>
    <cellStyle name="Output 2 7 3 2 2 6" xfId="50674" xr:uid="{8D1C81DB-CCF0-4E18-B891-A718475AFD15}"/>
    <cellStyle name="Output 2 7 3 2 3" xfId="5317" xr:uid="{00000000-0005-0000-0000-000010080000}"/>
    <cellStyle name="Output 2 7 3 2 3 2" xfId="12209" xr:uid="{059A1033-7A2D-46F5-B955-F513D9207C2A}"/>
    <cellStyle name="Output 2 7 3 2 3 2 2" xfId="34694" xr:uid="{FC6A5941-3F75-4F4F-BF38-3AD5425C81B5}"/>
    <cellStyle name="Output 2 7 3 2 3 2 3" xfId="43500" xr:uid="{89FFF6A2-DBEB-4912-8D10-109C4A6F4C97}"/>
    <cellStyle name="Output 2 7 3 2 3 3" xfId="17254" xr:uid="{79F81581-1105-44A7-84B1-3113FEFF98A2}"/>
    <cellStyle name="Output 2 7 3 2 3 3 2" xfId="39644" xr:uid="{411827EB-1F27-4257-A6D7-04FD06C1D9AC}"/>
    <cellStyle name="Output 2 7 3 2 3 3 3" xfId="45203" xr:uid="{12E39A7D-9917-493F-8163-D69CF2111E1E}"/>
    <cellStyle name="Output 2 7 3 2 3 4" xfId="15676" xr:uid="{89BCBB93-534E-4668-9A39-4CBBA782E955}"/>
    <cellStyle name="Output 2 7 3 2 3 4 2" xfId="38092" xr:uid="{8AADB41F-8745-437A-8FFF-DBA09CCE256C}"/>
    <cellStyle name="Output 2 7 3 2 3 4 3" xfId="47947" xr:uid="{456C0C55-0DC0-4E54-A481-E64C7A19377A}"/>
    <cellStyle name="Output 2 7 3 2 3 5" xfId="21678" xr:uid="{31CF6CD7-4414-4483-86D3-91781AC91C68}"/>
    <cellStyle name="Output 2 7 3 2 3 5 2" xfId="25663" xr:uid="{475F0571-E398-4689-9DA7-EC6367B16A5D}"/>
    <cellStyle name="Output 2 7 3 2 3 6" xfId="47311" xr:uid="{32FC118C-DDE8-4062-99A5-DDD73A7626CB}"/>
    <cellStyle name="Output 2 7 3 2 4" xfId="5727" xr:uid="{00000000-0005-0000-0000-000010080000}"/>
    <cellStyle name="Output 2 7 3 2 4 2" xfId="12611" xr:uid="{68EC6120-5A90-4DA3-87CB-83867967D086}"/>
    <cellStyle name="Output 2 7 3 2 4 2 2" xfId="35096" xr:uid="{A06A52F6-EB96-4EAF-A45C-F4E7CD21F21B}"/>
    <cellStyle name="Output 2 7 3 2 4 2 3" xfId="29215" xr:uid="{5F1BB82B-6D28-4356-ABCD-691088439989}"/>
    <cellStyle name="Output 2 7 3 2 4 3" xfId="17664" xr:uid="{3B1F66E9-EC7A-43C8-BA56-01BBAD57F817}"/>
    <cellStyle name="Output 2 7 3 2 4 3 2" xfId="40054" xr:uid="{A1EB289B-E84E-499A-BCBB-737CC8885EC1}"/>
    <cellStyle name="Output 2 7 3 2 4 3 3" xfId="25059" xr:uid="{B66D00BF-1CD4-43F8-8D3B-99F2A60D457C}"/>
    <cellStyle name="Output 2 7 3 2 4 4" xfId="15042" xr:uid="{4578553D-048B-4433-88FD-3EBCF18233EF}"/>
    <cellStyle name="Output 2 7 3 2 4 4 2" xfId="37489" xr:uid="{C2C0C2A3-7C2C-4B4C-9C95-BC19374F4E5C}"/>
    <cellStyle name="Output 2 7 3 2 4 4 3" xfId="32787" xr:uid="{D677179B-E89C-4F36-B725-EE0B8777303F}"/>
    <cellStyle name="Output 2 7 3 2 4 5" xfId="22088" xr:uid="{3D6AF29C-147E-492E-83F7-1F4A9809F888}"/>
    <cellStyle name="Output 2 7 3 2 4 5 2" xfId="50172" xr:uid="{527DC12A-FD7B-46E4-87C0-F96B45104176}"/>
    <cellStyle name="Output 2 7 3 2 4 6" xfId="51529" xr:uid="{ECF12666-4038-4E6F-90C2-FA421539D7C8}"/>
    <cellStyle name="Output 2 7 3 2 5" xfId="6081" xr:uid="{00000000-0005-0000-0000-000010080000}"/>
    <cellStyle name="Output 2 7 3 2 5 2" xfId="12959" xr:uid="{DA489641-F2AE-4496-9BA2-9D7DDE4412C9}"/>
    <cellStyle name="Output 2 7 3 2 5 2 2" xfId="35443" xr:uid="{C1787115-42E4-4958-B497-E6067D845DDE}"/>
    <cellStyle name="Output 2 7 3 2 5 2 3" xfId="52758" xr:uid="{A7B4746B-F8F1-4A6D-B700-7533C262863F}"/>
    <cellStyle name="Output 2 7 3 2 5 3" xfId="18018" xr:uid="{A859A7E5-9AFB-4E20-B792-8702752512D4}"/>
    <cellStyle name="Output 2 7 3 2 5 3 2" xfId="40408" xr:uid="{21F27060-C961-4CB2-B787-A65F4C5F38FE}"/>
    <cellStyle name="Output 2 7 3 2 5 3 3" xfId="27199" xr:uid="{B0DEFF91-5415-43E3-BCCF-91B99AAD78D6}"/>
    <cellStyle name="Output 2 7 3 2 5 4" xfId="15400" xr:uid="{0813CA5B-4B0A-4784-839C-DD3AB70665A2}"/>
    <cellStyle name="Output 2 7 3 2 5 4 2" xfId="37826" xr:uid="{4FC9EA1F-0EFD-4C41-AF74-784A068026F1}"/>
    <cellStyle name="Output 2 7 3 2 5 4 3" xfId="36519" xr:uid="{442CDA59-5F8E-468B-8423-B8EFEAA3F236}"/>
    <cellStyle name="Output 2 7 3 2 5 5" xfId="22442" xr:uid="{E170AD32-2B39-43BA-9234-59069DF66456}"/>
    <cellStyle name="Output 2 7 3 2 5 5 2" xfId="49597" xr:uid="{3DA14DFC-8781-410F-925C-64402368002A}"/>
    <cellStyle name="Output 2 7 3 2 5 6" xfId="29404" xr:uid="{264FAC1B-B5E7-4974-B507-90907FFC703C}"/>
    <cellStyle name="Output 2 7 3 2 6" xfId="6456" xr:uid="{00000000-0005-0000-0000-000010080000}"/>
    <cellStyle name="Output 2 7 3 2 6 2" xfId="13326" xr:uid="{D3BE1199-2365-4325-B0F0-5E20B3723173}"/>
    <cellStyle name="Output 2 7 3 2 6 2 2" xfId="35810" xr:uid="{F8351C69-75F2-45E9-84EB-B5E1852EFE29}"/>
    <cellStyle name="Output 2 7 3 2 6 2 3" xfId="50220" xr:uid="{B0A3D0EA-5105-4ED9-A718-043AF3F15E25}"/>
    <cellStyle name="Output 2 7 3 2 6 3" xfId="18393" xr:uid="{EAAACD7D-6482-46D4-A189-83D0867288DD}"/>
    <cellStyle name="Output 2 7 3 2 6 3 2" xfId="40783" xr:uid="{40DC133C-48A5-455E-A32C-B22718C9201B}"/>
    <cellStyle name="Output 2 7 3 2 6 3 3" xfId="27966" xr:uid="{A04CB272-0A55-4401-9ABB-D26053B5EE07}"/>
    <cellStyle name="Output 2 7 3 2 6 4" xfId="7806" xr:uid="{0667428D-83AE-4F5E-9CDE-F6FD2E777ABA}"/>
    <cellStyle name="Output 2 7 3 2 6 4 2" xfId="30442" xr:uid="{DAE7C2B2-7948-4772-B865-10A5782D0A89}"/>
    <cellStyle name="Output 2 7 3 2 6 4 3" xfId="52355" xr:uid="{AD14083A-D751-4635-B61A-F653278060B4}"/>
    <cellStyle name="Output 2 7 3 2 6 5" xfId="22817" xr:uid="{7230D560-69F4-4763-9D67-066B9A676CFD}"/>
    <cellStyle name="Output 2 7 3 2 6 5 2" xfId="23737" xr:uid="{493A0688-A1FE-49A3-8CFE-B1A117C2D6D1}"/>
    <cellStyle name="Output 2 7 3 2 6 6" xfId="54021" xr:uid="{1156ECDF-9411-41FC-B7A3-E44ECFF54AF8}"/>
    <cellStyle name="Output 2 7 3 2 7" xfId="5060" xr:uid="{00000000-0005-0000-0000-000010080000}"/>
    <cellStyle name="Output 2 7 3 2 7 2" xfId="11953" xr:uid="{D6156D3E-EBCC-46D4-A51F-AD96CAE65A8A}"/>
    <cellStyle name="Output 2 7 3 2 7 2 2" xfId="34439" xr:uid="{C05B67B0-5B45-4C88-9B3B-811E2A1FE5C1}"/>
    <cellStyle name="Output 2 7 3 2 7 2 3" xfId="25560" xr:uid="{4658C62F-930F-4DF3-95A6-6CA54A1520D7}"/>
    <cellStyle name="Output 2 7 3 2 7 3" xfId="16997" xr:uid="{A16180B0-2B54-409C-A5BE-B25E4CB29487}"/>
    <cellStyle name="Output 2 7 3 2 7 3 2" xfId="39387" xr:uid="{D5597F3F-7699-4C7C-89A9-3DC0BA301C50}"/>
    <cellStyle name="Output 2 7 3 2 7 3 3" xfId="25861" xr:uid="{B89F20BC-D2FF-4C37-9AD8-724FC9A96663}"/>
    <cellStyle name="Output 2 7 3 2 7 4" xfId="14166" xr:uid="{F882D0B4-3417-41B9-97E0-34A1CCBA0463}"/>
    <cellStyle name="Output 2 7 3 2 7 4 2" xfId="36642" xr:uid="{14D077CF-2EA2-4BDD-A2A6-877286C8F98E}"/>
    <cellStyle name="Output 2 7 3 2 7 4 3" xfId="52673" xr:uid="{E0E7973F-B66D-4C9E-A948-03259F63ACC4}"/>
    <cellStyle name="Output 2 7 3 2 7 5" xfId="21421" xr:uid="{354C54B8-E807-4813-B375-6AA5E05F97EC}"/>
    <cellStyle name="Output 2 7 3 2 7 5 2" xfId="38178" xr:uid="{EFE81DF8-FB44-4ECB-9C82-4574843CCD6F}"/>
    <cellStyle name="Output 2 7 3 2 7 6" xfId="26492" xr:uid="{2F07FB3B-D909-4299-B8EA-BB415D04D701}"/>
    <cellStyle name="Output 2 7 3 2 8" xfId="6956" xr:uid="{00000000-0005-0000-0000-000010080000}"/>
    <cellStyle name="Output 2 7 3 2 8 2" xfId="13793" xr:uid="{AD21E52E-D066-4B2E-BBA3-7A19F24B605A}"/>
    <cellStyle name="Output 2 7 3 2 8 2 2" xfId="36277" xr:uid="{E6D0B9AF-911A-4B30-B01D-953BD2F4BA4D}"/>
    <cellStyle name="Output 2 7 3 2 8 2 3" xfId="30833" xr:uid="{8624A717-69EE-45F0-AFD6-BB5C503ADB38}"/>
    <cellStyle name="Output 2 7 3 2 8 3" xfId="18893" xr:uid="{4D80294C-C53D-4B9A-9E82-2A9DD27BA716}"/>
    <cellStyle name="Output 2 7 3 2 8 3 2" xfId="41283" xr:uid="{E2303C89-A1D0-429C-B499-5ABCB1470785}"/>
    <cellStyle name="Output 2 7 3 2 8 3 3" xfId="25706" xr:uid="{6F8C912C-6B18-4348-A0D1-595735A38164}"/>
    <cellStyle name="Output 2 7 3 2 8 4" xfId="19212" xr:uid="{E0108ECE-0145-41D8-80E4-476531E1B7CC}"/>
    <cellStyle name="Output 2 7 3 2 8 4 2" xfId="41600" xr:uid="{CF657476-68E8-4A93-BAFD-B9A215C3B602}"/>
    <cellStyle name="Output 2 7 3 2 8 4 3" xfId="28249" xr:uid="{ECFD8015-2AFC-44E4-8D58-D54498E54BDA}"/>
    <cellStyle name="Output 2 7 3 2 8 5" xfId="23317" xr:uid="{347BF294-3526-429F-8FAD-06120A3C212A}"/>
    <cellStyle name="Output 2 7 3 2 8 5 2" xfId="52805" xr:uid="{9FB30B0D-914E-4949-ACFA-657C62838BAC}"/>
    <cellStyle name="Output 2 7 3 2 8 6" xfId="53822" xr:uid="{98D988AB-31B4-44AC-8B9A-6A267AD4D532}"/>
    <cellStyle name="Output 2 7 3 2 9" xfId="5498" xr:uid="{00000000-0005-0000-0000-000010080000}"/>
    <cellStyle name="Output 2 7 3 2 9 2" xfId="17435" xr:uid="{11E91A8A-DF3A-4404-A58C-71FF46E62711}"/>
    <cellStyle name="Output 2 7 3 2 9 2 2" xfId="39825" xr:uid="{B0ED91E4-01CD-468B-9476-4F39FB935E8F}"/>
    <cellStyle name="Output 2 7 3 2 9 2 3" xfId="41680" xr:uid="{FE654784-318B-40F1-BB30-58A243DE34F8}"/>
    <cellStyle name="Output 2 7 3 2 9 3" xfId="7313" xr:uid="{0F0DEF99-2CB8-409C-BCE7-7DAEAD621AC0}"/>
    <cellStyle name="Output 2 7 3 2 9 3 2" xfId="30001" xr:uid="{E2D482F5-BF6A-4DDE-878C-93E6092984DE}"/>
    <cellStyle name="Output 2 7 3 2 9 3 3" xfId="28418" xr:uid="{F23439B5-A06D-4AE0-8BB9-8DCA9BDE4109}"/>
    <cellStyle name="Output 2 7 3 2 9 4" xfId="21859" xr:uid="{4671261B-B527-4B7B-B792-D27DB78C90B4}"/>
    <cellStyle name="Output 2 7 3 2 9 4 2" xfId="52038" xr:uid="{8EBFA116-1750-4B8E-9BFD-74622C8B25D1}"/>
    <cellStyle name="Output 2 7 3 2 9 5" xfId="50112" xr:uid="{1DA5C6F5-B789-47D8-AA26-901D17C6EAC9}"/>
    <cellStyle name="Output 2 7 3 3" xfId="2973" xr:uid="{00000000-0005-0000-0000-00000F080000}"/>
    <cellStyle name="Output 2 7 3 3 2" xfId="9882" xr:uid="{11696B24-803F-4DDA-8B09-B2A6D45C41E2}"/>
    <cellStyle name="Output 2 7 3 3 2 2" xfId="32405" xr:uid="{D7E76CE4-5480-4E6C-887A-CC96268A59E6}"/>
    <cellStyle name="Output 2 7 3 3 2 3" xfId="53456" xr:uid="{23AB0D92-BA98-4B9E-A53F-4D1C1954E95F}"/>
    <cellStyle name="Output 2 7 3 3 3" xfId="15320" xr:uid="{75BE68EC-09AB-4758-8A87-24C2097FBA12}"/>
    <cellStyle name="Output 2 7 3 3 3 2" xfId="37752" xr:uid="{BE4AFAB7-7364-4873-BCC2-9FB9E7B05220}"/>
    <cellStyle name="Output 2 7 3 3 3 3" xfId="52149" xr:uid="{560BF6B9-0626-4BA1-BC3F-BC97C2F29FD3}"/>
    <cellStyle name="Output 2 7 3 3 4" xfId="19587" xr:uid="{5818BA83-7221-4FAF-9984-2E2A29B6E0A9}"/>
    <cellStyle name="Output 2 7 3 3 4 2" xfId="41942" xr:uid="{046E1F52-A5F5-4A05-A9CF-C5D2E9FCF0E4}"/>
    <cellStyle name="Output 2 7 3 3 4 3" xfId="28926" xr:uid="{2FC0589D-30A5-4F6E-9AB3-29C9E0F81653}"/>
    <cellStyle name="Output 2 7 3 3 5" xfId="19886" xr:uid="{B5D25DDA-D920-4B01-83ED-7D206C65BE47}"/>
    <cellStyle name="Output 2 7 3 3 5 2" xfId="36455" xr:uid="{1F1A2CA5-E8CD-4796-918A-9D83C6150C50}"/>
    <cellStyle name="Output 2 7 3 3 6" xfId="49728" xr:uid="{7077FB3C-348C-46EF-891C-91E6033CED9B}"/>
    <cellStyle name="Output 2 7 3 4" xfId="4683" xr:uid="{00000000-0005-0000-0000-00000F080000}"/>
    <cellStyle name="Output 2 7 3 4 2" xfId="11581" xr:uid="{FABB655C-720E-4ED7-8D2E-19D0537C9621}"/>
    <cellStyle name="Output 2 7 3 4 2 2" xfId="34067" xr:uid="{45F6A452-660C-4E59-AA3C-24EFEE795E9C}"/>
    <cellStyle name="Output 2 7 3 4 2 3" xfId="23839" xr:uid="{E986DEBE-66AA-4E55-B533-EEEBA6E087DD}"/>
    <cellStyle name="Output 2 7 3 4 3" xfId="16620" xr:uid="{828EED7B-E42A-4428-AAB3-64DFCC9433B6}"/>
    <cellStyle name="Output 2 7 3 4 3 2" xfId="39010" xr:uid="{536F7728-4804-446B-8442-B0C829807A65}"/>
    <cellStyle name="Output 2 7 3 4 3 3" xfId="24946" xr:uid="{14194E9E-8BED-4D46-938D-7DC4E456BEA4}"/>
    <cellStyle name="Output 2 7 3 4 4" xfId="14058" xr:uid="{1E7D11D5-F87D-441B-8107-3FB8D88487FF}"/>
    <cellStyle name="Output 2 7 3 4 4 2" xfId="36537" xr:uid="{CDB2CA41-511F-4944-A456-0A8D12694665}"/>
    <cellStyle name="Output 2 7 3 4 4 3" xfId="46621" xr:uid="{5C1F5453-0FE3-4641-B2DB-A8D406D2081C}"/>
    <cellStyle name="Output 2 7 3 4 5" xfId="19353" xr:uid="{E3658616-49F2-4B1B-AC48-4623F05C71AB}"/>
    <cellStyle name="Output 2 7 3 4 5 2" xfId="26412" xr:uid="{16808978-691B-4FC0-96FC-7D32D73067F8}"/>
    <cellStyle name="Output 2 7 3 4 6" xfId="50048" xr:uid="{E35224E3-0372-4349-BFF1-F5F4637525C6}"/>
    <cellStyle name="Output 2 7 3 5" xfId="5603" xr:uid="{00000000-0005-0000-0000-00000F080000}"/>
    <cellStyle name="Output 2 7 3 5 2" xfId="12488" xr:uid="{456F9218-06FF-4B54-BA70-1CEDEA266BE5}"/>
    <cellStyle name="Output 2 7 3 5 2 2" xfId="34973" xr:uid="{DC6A33E7-8E33-444F-A8DB-1707121B9FEF}"/>
    <cellStyle name="Output 2 7 3 5 2 3" xfId="32365" xr:uid="{42EDB46F-827D-4B0E-90FE-8251619590C0}"/>
    <cellStyle name="Output 2 7 3 5 3" xfId="17540" xr:uid="{E4B7B259-FE5E-48BD-A5B8-4ED70B8292C0}"/>
    <cellStyle name="Output 2 7 3 5 3 2" xfId="39930" xr:uid="{B7C7B57D-F82D-49E0-8251-AFFF7B057246}"/>
    <cellStyle name="Output 2 7 3 5 3 3" xfId="28559" xr:uid="{DC053620-1072-41E1-811E-AB69CF9E20C4}"/>
    <cellStyle name="Output 2 7 3 5 4" xfId="14057" xr:uid="{CC23D00C-ED92-4457-90C8-B04A1E6FADFA}"/>
    <cellStyle name="Output 2 7 3 5 4 2" xfId="36536" xr:uid="{A52D59E1-F4E1-4BDA-B8E4-1580D4B673CC}"/>
    <cellStyle name="Output 2 7 3 5 4 3" xfId="49976" xr:uid="{8A213EB0-6D8F-4EDC-B50B-A7B8E7207FFC}"/>
    <cellStyle name="Output 2 7 3 5 5" xfId="21964" xr:uid="{5710A0AC-B850-4E8C-83EF-A00B533B618B}"/>
    <cellStyle name="Output 2 7 3 5 5 2" xfId="24782" xr:uid="{8F372DDD-87A3-4A11-A223-CEC795D00F2D}"/>
    <cellStyle name="Output 2 7 3 5 6" xfId="52572" xr:uid="{7697B491-AEAA-4511-B18E-B8D4F717749D}"/>
    <cellStyle name="Output 2 7 3 6" xfId="5356" xr:uid="{00000000-0005-0000-0000-00000F080000}"/>
    <cellStyle name="Output 2 7 3 6 2" xfId="12248" xr:uid="{A35CAFE3-54D6-498D-B588-03084C29FB4C}"/>
    <cellStyle name="Output 2 7 3 6 2 2" xfId="34733" xr:uid="{EC55815C-E0CA-4E0D-B3F5-035C0C4FDD3F}"/>
    <cellStyle name="Output 2 7 3 6 2 3" xfId="45519" xr:uid="{BBA3FFAD-4523-4923-BFFB-039F170CE7E6}"/>
    <cellStyle name="Output 2 7 3 6 3" xfId="17293" xr:uid="{C4DC509A-87E1-4C62-BEB0-3F986F335982}"/>
    <cellStyle name="Output 2 7 3 6 3 2" xfId="39683" xr:uid="{CD0DC128-C55B-4B12-AB92-2E1BAFE36F8C}"/>
    <cellStyle name="Output 2 7 3 6 3 3" xfId="26166" xr:uid="{C7462BAB-97EB-4C70-A475-23480DC89224}"/>
    <cellStyle name="Output 2 7 3 6 4" xfId="15618" xr:uid="{8E591B82-425A-4722-8216-BDA902F20B27}"/>
    <cellStyle name="Output 2 7 3 6 4 2" xfId="38034" xr:uid="{95169918-E0C3-405E-9763-C57BD705426C}"/>
    <cellStyle name="Output 2 7 3 6 4 3" xfId="45374" xr:uid="{E914F91E-212B-4499-9640-6D1BAFE0A1D3}"/>
    <cellStyle name="Output 2 7 3 6 5" xfId="21717" xr:uid="{65D81ED0-4B83-4FAB-A98A-C99E5F776100}"/>
    <cellStyle name="Output 2 7 3 6 5 2" xfId="28627" xr:uid="{5A419535-A029-4E2C-9792-7E4809BFC333}"/>
    <cellStyle name="Output 2 7 3 6 6" xfId="25658" xr:uid="{B207297E-43B1-46F4-AD4C-99235B18335E}"/>
    <cellStyle name="Output 2 7 3 7" xfId="5277" xr:uid="{00000000-0005-0000-0000-00000F080000}"/>
    <cellStyle name="Output 2 7 3 7 2" xfId="12169" xr:uid="{E842AE1E-8FFC-4703-BBE1-750CA858F741}"/>
    <cellStyle name="Output 2 7 3 7 2 2" xfId="34654" xr:uid="{09736AC4-BC1A-4C20-8D17-F94D60339890}"/>
    <cellStyle name="Output 2 7 3 7 2 3" xfId="29033" xr:uid="{89F06A45-2A0A-4D31-971E-E4BB4486EFD7}"/>
    <cellStyle name="Output 2 7 3 7 3" xfId="17214" xr:uid="{AB4963D6-CAB2-4858-9E32-99EBBD930565}"/>
    <cellStyle name="Output 2 7 3 7 3 2" xfId="39604" xr:uid="{E4C1FF0B-89CA-4199-8AEB-1A4B69464823}"/>
    <cellStyle name="Output 2 7 3 7 3 3" xfId="26154" xr:uid="{663190AC-E3A7-4417-84CA-20D477B8DAD9}"/>
    <cellStyle name="Output 2 7 3 7 4" xfId="15592" xr:uid="{07C960AB-D0A5-4E2F-8024-A3908FC86AD4}"/>
    <cellStyle name="Output 2 7 3 7 4 2" xfId="38009" xr:uid="{D0DF5BC1-765F-469B-9EF8-FCB29ACBA317}"/>
    <cellStyle name="Output 2 7 3 7 4 3" xfId="26342" xr:uid="{54B59A37-43CA-48B4-A1E0-3386611DF316}"/>
    <cellStyle name="Output 2 7 3 7 5" xfId="21638" xr:uid="{81D56DEB-3846-4323-A183-F517EA1E41C5}"/>
    <cellStyle name="Output 2 7 3 7 5 2" xfId="53561" xr:uid="{5FD48507-C917-49D6-9DA8-CB32116203A1}"/>
    <cellStyle name="Output 2 7 3 7 6" xfId="49890" xr:uid="{5E7DB9B5-475B-4FBD-81A1-B4ADC710A0DC}"/>
    <cellStyle name="Output 2 7 3 8" xfId="8104" xr:uid="{24FA53BA-BAD0-4531-8C5F-60AE49CC4D20}"/>
    <cellStyle name="Output 2 7 3 8 2" xfId="30718" xr:uid="{C0A3932C-7354-4AE0-9123-8E8F360EAE20}"/>
    <cellStyle name="Output 2 7 3 8 3" xfId="47880" xr:uid="{C390800D-FCC6-46AC-B569-582125D2EEEF}"/>
    <cellStyle name="Output 2 7 3 9" xfId="8892" xr:uid="{98A78E70-332C-459E-8F15-8795160E2B4F}"/>
    <cellStyle name="Output 2 7 3 9 2" xfId="31472" xr:uid="{5CD9AD4F-4A9B-4499-9122-DA085AD0C727}"/>
    <cellStyle name="Output 2 7 3 9 3" xfId="53447" xr:uid="{6A2B1959-511B-4473-B8BF-EEB938C88F3D}"/>
    <cellStyle name="Output 2 7 4" xfId="1026" xr:uid="{00000000-0005-0000-0000-000013080000}"/>
    <cellStyle name="Output 2 7 4 10" xfId="20139" xr:uid="{FCEB6AC6-702B-4F50-96C0-4CEF3D4C53F0}"/>
    <cellStyle name="Output 2 7 4 10 2" xfId="38211" xr:uid="{B94F50B7-F2A8-4B32-B45B-03C04E0230D9}"/>
    <cellStyle name="Output 2 7 4 11" xfId="42477" xr:uid="{217B3E6D-7A01-42B3-A5E9-1E435D380111}"/>
    <cellStyle name="Output 2 7 4 2" xfId="1916" xr:uid="{00000000-0005-0000-0000-000014080000}"/>
    <cellStyle name="Output 2 7 4 2 10" xfId="14586" xr:uid="{FF11183C-E6C7-4320-9751-5F0732ED4649}"/>
    <cellStyle name="Output 2 7 4 2 10 2" xfId="37047" xr:uid="{4C4D68C7-0E47-47B2-8D37-88161F1F43FC}"/>
    <cellStyle name="Output 2 7 4 2 10 3" xfId="49440" xr:uid="{4127FDF0-BECD-4B56-BB2E-E9B7177294DD}"/>
    <cellStyle name="Output 2 7 4 2 11" xfId="20074" xr:uid="{C81C916E-FB68-48AF-8875-548B53858B5E}"/>
    <cellStyle name="Output 2 7 4 2 11 2" xfId="42394" xr:uid="{2FEC56F9-2B14-41B5-AD9F-34888AEED3BB}"/>
    <cellStyle name="Output 2 7 4 2 11 3" xfId="36535" xr:uid="{594A5130-7EFD-4491-987B-B568237C6E61}"/>
    <cellStyle name="Output 2 7 4 2 12" xfId="16220" xr:uid="{7AF27FF4-8079-4A3E-9B44-56A70E440561}"/>
    <cellStyle name="Output 2 7 4 2 12 2" xfId="30943" xr:uid="{CB8EC5EC-7CEA-4E67-9E90-9B26C5437A69}"/>
    <cellStyle name="Output 2 7 4 2 13" xfId="52537" xr:uid="{209EDC1C-8FB0-4CCB-8B57-4CD1371CE8B2}"/>
    <cellStyle name="Output 2 7 4 2 2" xfId="4013" xr:uid="{00000000-0005-0000-0000-000012080000}"/>
    <cellStyle name="Output 2 7 4 2 2 2" xfId="10917" xr:uid="{00C69143-E1E3-478F-9AE0-D6AAB432C1C9}"/>
    <cellStyle name="Output 2 7 4 2 2 2 2" xfId="33403" xr:uid="{D66A195B-3E24-4C43-B25C-A48C81BC146C}"/>
    <cellStyle name="Output 2 7 4 2 2 2 3" xfId="42581" xr:uid="{0871FB85-3A71-433D-A085-FEB29F668EC0}"/>
    <cellStyle name="Output 2 7 4 2 2 3" xfId="16037" xr:uid="{2274BC36-FC56-4F2C-B253-B7BF57E676E3}"/>
    <cellStyle name="Output 2 7 4 2 2 3 2" xfId="38438" xr:uid="{0C508742-D484-4C48-892A-446F7DC7DA3B}"/>
    <cellStyle name="Output 2 7 4 2 2 3 3" xfId="42412" xr:uid="{179BEF05-DE4A-49C1-A7B8-7FBA29BFE4EE}"/>
    <cellStyle name="Output 2 7 4 2 2 4" xfId="20128" xr:uid="{14482F2D-5748-4368-B566-B488F55FA5BB}"/>
    <cellStyle name="Output 2 7 4 2 2 4 2" xfId="42442" xr:uid="{81CB8568-5663-4008-9AB4-57E9440D3381}"/>
    <cellStyle name="Output 2 7 4 2 2 4 3" xfId="25795" xr:uid="{F25BB614-2E2C-45AE-9586-AF52D7ABF411}"/>
    <cellStyle name="Output 2 7 4 2 2 5" xfId="20526" xr:uid="{4F0C85A9-EB9E-4B2D-8DEB-A6631941628E}"/>
    <cellStyle name="Output 2 7 4 2 2 5 2" xfId="50187" xr:uid="{41250868-65A6-404B-A93B-893FC07D81F3}"/>
    <cellStyle name="Output 2 7 4 2 2 6" xfId="52154" xr:uid="{BE54DFC4-7272-4AF0-A452-FFBEC63F3F7C}"/>
    <cellStyle name="Output 2 7 4 2 3" xfId="5388" xr:uid="{00000000-0005-0000-0000-000012080000}"/>
    <cellStyle name="Output 2 7 4 2 3 2" xfId="12279" xr:uid="{AA46DD91-D9BD-443E-AED4-70C3CAAC4D4D}"/>
    <cellStyle name="Output 2 7 4 2 3 2 2" xfId="34764" xr:uid="{6FBEB76C-DEA9-41B8-AB7F-C8F7819B0E63}"/>
    <cellStyle name="Output 2 7 4 2 3 2 3" xfId="43239" xr:uid="{C7AD1C14-26F1-4335-8777-5727740D90FE}"/>
    <cellStyle name="Output 2 7 4 2 3 3" xfId="17325" xr:uid="{BD6551F8-F7B4-4D56-8001-B233B28DAF8C}"/>
    <cellStyle name="Output 2 7 4 2 3 3 2" xfId="39715" xr:uid="{86D35257-8C90-4B17-B362-3099FA65026D}"/>
    <cellStyle name="Output 2 7 4 2 3 3 3" xfId="29563" xr:uid="{4F2B381B-1D67-4A1D-91DB-22E627187666}"/>
    <cellStyle name="Output 2 7 4 2 3 4" xfId="15726" xr:uid="{80522DFC-AFD9-4D95-97A2-3EC3D6D1CB5D}"/>
    <cellStyle name="Output 2 7 4 2 3 4 2" xfId="38139" xr:uid="{2DF78E03-94E1-47D4-B48D-8CC4FBFE5034}"/>
    <cellStyle name="Output 2 7 4 2 3 4 3" xfId="26968" xr:uid="{805BAC04-33E5-4EA6-B2EE-E0DFE357E1EA}"/>
    <cellStyle name="Output 2 7 4 2 3 5" xfId="21749" xr:uid="{376CDC71-9BE7-455D-AD90-08D53E3A2547}"/>
    <cellStyle name="Output 2 7 4 2 3 5 2" xfId="51149" xr:uid="{7C19B306-2BA9-4A76-8EA7-5010338D9BF8}"/>
    <cellStyle name="Output 2 7 4 2 3 6" xfId="50652" xr:uid="{948248B5-4E48-4B64-82ED-4EF1963354A8}"/>
    <cellStyle name="Output 2 7 4 2 4" xfId="5801" xr:uid="{00000000-0005-0000-0000-000012080000}"/>
    <cellStyle name="Output 2 7 4 2 4 2" xfId="12684" xr:uid="{16EEF791-B592-4DA0-A50C-3827DC4F38E4}"/>
    <cellStyle name="Output 2 7 4 2 4 2 2" xfId="35169" xr:uid="{DCCCBECF-BE19-481A-873C-C8B86D616B06}"/>
    <cellStyle name="Output 2 7 4 2 4 2 3" xfId="24028" xr:uid="{EE185036-959E-49C4-8AC0-96FF08697126}"/>
    <cellStyle name="Output 2 7 4 2 4 3" xfId="17738" xr:uid="{2B0CCEE7-8CCB-4E3C-B633-F7A4C3E0B089}"/>
    <cellStyle name="Output 2 7 4 2 4 3 2" xfId="40128" xr:uid="{5CDFB6B0-E4E7-4DF4-B5BF-51B04E40F115}"/>
    <cellStyle name="Output 2 7 4 2 4 3 3" xfId="26775" xr:uid="{5D40678C-5846-4603-BAD4-0EFD5842DBC5}"/>
    <cellStyle name="Output 2 7 4 2 4 4" xfId="14027" xr:uid="{A09F85F9-3DBB-4C6E-9213-94BA4DB9DDC9}"/>
    <cellStyle name="Output 2 7 4 2 4 4 2" xfId="36510" xr:uid="{57B8A532-6C2A-4211-B0A5-80B4E6370739}"/>
    <cellStyle name="Output 2 7 4 2 4 4 3" xfId="46233" xr:uid="{A1325F2C-086E-4A47-965B-355008C46EFB}"/>
    <cellStyle name="Output 2 7 4 2 4 5" xfId="22162" xr:uid="{637CE45B-6FE5-4D22-9398-7E7266D0C252}"/>
    <cellStyle name="Output 2 7 4 2 4 5 2" xfId="51100" xr:uid="{FC05764A-9FBC-4EF6-B85F-EC2134D17786}"/>
    <cellStyle name="Output 2 7 4 2 4 6" xfId="48503" xr:uid="{7B7B4B6E-8332-4DE9-B7B8-F89ABAF93F18}"/>
    <cellStyle name="Output 2 7 4 2 5" xfId="6145" xr:uid="{00000000-0005-0000-0000-000012080000}"/>
    <cellStyle name="Output 2 7 4 2 5 2" xfId="13022" xr:uid="{1F0CEEC2-628E-4C2F-81A2-9E032A9C15A1}"/>
    <cellStyle name="Output 2 7 4 2 5 2 2" xfId="35506" xr:uid="{A917307B-A87A-4BC1-AFF7-6BE6D877D87F}"/>
    <cellStyle name="Output 2 7 4 2 5 2 3" xfId="30401" xr:uid="{80DBE1CD-ACD3-4084-BC94-528A67CDDAE6}"/>
    <cellStyle name="Output 2 7 4 2 5 3" xfId="18082" xr:uid="{5FFE6F1F-8678-433D-8169-3D50DE8857DF}"/>
    <cellStyle name="Output 2 7 4 2 5 3 2" xfId="40472" xr:uid="{8C687D4F-5BD9-43E5-AFDE-0BC78143BB74}"/>
    <cellStyle name="Output 2 7 4 2 5 3 3" xfId="42045" xr:uid="{D1367E45-2E1D-4DB4-82CB-9F73AC4CF65D}"/>
    <cellStyle name="Output 2 7 4 2 5 4" xfId="15031" xr:uid="{768A0781-23FF-4F37-964C-299EDB6C59B6}"/>
    <cellStyle name="Output 2 7 4 2 5 4 2" xfId="37480" xr:uid="{5C4C6D4C-04C3-4F41-948F-5DA325C7C2A1}"/>
    <cellStyle name="Output 2 7 4 2 5 4 3" xfId="45055" xr:uid="{72532273-7B9E-4FF7-B718-D52D4C08DB5B}"/>
    <cellStyle name="Output 2 7 4 2 5 5" xfId="22506" xr:uid="{8A581BA4-FCD4-477B-A08B-AB724C6375DC}"/>
    <cellStyle name="Output 2 7 4 2 5 5 2" xfId="46285" xr:uid="{A316D4BC-6C81-4C36-B119-197F9858D788}"/>
    <cellStyle name="Output 2 7 4 2 5 6" xfId="49219" xr:uid="{D98DF030-D5B6-4CB6-A8BF-601F58C84627}"/>
    <cellStyle name="Output 2 7 4 2 6" xfId="6518" xr:uid="{00000000-0005-0000-0000-000012080000}"/>
    <cellStyle name="Output 2 7 4 2 6 2" xfId="13387" xr:uid="{CB49725F-02C4-4F84-981E-BDE819F545AA}"/>
    <cellStyle name="Output 2 7 4 2 6 2 2" xfId="35871" xr:uid="{840F50B8-563B-4FEA-A29D-442DF220F474}"/>
    <cellStyle name="Output 2 7 4 2 6 2 3" xfId="53956" xr:uid="{45C6E265-01D6-49BB-BBED-AE0F46DFAF71}"/>
    <cellStyle name="Output 2 7 4 2 6 3" xfId="18455" xr:uid="{F93EC14A-3DD9-4B4D-9C55-903AACBD7B07}"/>
    <cellStyle name="Output 2 7 4 2 6 3 2" xfId="40845" xr:uid="{A2A50F29-05FF-4017-8C45-4755F43536B3}"/>
    <cellStyle name="Output 2 7 4 2 6 3 3" xfId="29520" xr:uid="{21EE2041-3E4E-419A-9A13-08E522CEDF1D}"/>
    <cellStyle name="Output 2 7 4 2 6 4" xfId="19202" xr:uid="{C2714083-91A0-478C-8C18-2A2D42FD5714}"/>
    <cellStyle name="Output 2 7 4 2 6 4 2" xfId="41591" xr:uid="{CB80438B-608C-4F39-AD44-5498EC1A78FD}"/>
    <cellStyle name="Output 2 7 4 2 6 4 3" xfId="28413" xr:uid="{D3939C37-5784-4FD4-B12B-08FC6B0FA98D}"/>
    <cellStyle name="Output 2 7 4 2 6 5" xfId="22879" xr:uid="{5B0A2647-087B-4122-B377-DA286A7150CE}"/>
    <cellStyle name="Output 2 7 4 2 6 5 2" xfId="42391" xr:uid="{19BA52F6-F547-4C16-8DA4-F772E436980F}"/>
    <cellStyle name="Output 2 7 4 2 6 6" xfId="44699" xr:uid="{31ED6342-FED1-48BB-BEBA-C93F51F97BD0}"/>
    <cellStyle name="Output 2 7 4 2 7" xfId="4601" xr:uid="{00000000-0005-0000-0000-000012080000}"/>
    <cellStyle name="Output 2 7 4 2 7 2" xfId="11502" xr:uid="{C915636F-2993-4812-8794-85C34B6A1D8B}"/>
    <cellStyle name="Output 2 7 4 2 7 2 2" xfId="33988" xr:uid="{90BDBE36-9AE0-44F7-BBC8-EAAEC393B809}"/>
    <cellStyle name="Output 2 7 4 2 7 2 3" xfId="27034" xr:uid="{6CF86E15-40B3-42F6-9FBF-3B8D70B3747D}"/>
    <cellStyle name="Output 2 7 4 2 7 3" xfId="16538" xr:uid="{E08BA158-C87B-4163-8467-FA114C68A230}"/>
    <cellStyle name="Output 2 7 4 2 7 3 2" xfId="38928" xr:uid="{27FFF0EE-85E5-47A1-ABA8-0BB75172FEC1}"/>
    <cellStyle name="Output 2 7 4 2 7 3 3" xfId="44821" xr:uid="{1B7BE67F-8D69-4364-BEDF-A6DF24AE45DE}"/>
    <cellStyle name="Output 2 7 4 2 7 4" xfId="14452" xr:uid="{291D604C-DEE6-4A01-98BE-BF2FF352E59E}"/>
    <cellStyle name="Output 2 7 4 2 7 4 2" xfId="36917" xr:uid="{79A57868-2FD3-40C1-B3BB-7DEEC3503DF1}"/>
    <cellStyle name="Output 2 7 4 2 7 4 3" xfId="24758" xr:uid="{BE23CF2F-189D-4043-A9E5-479C045E1364}"/>
    <cellStyle name="Output 2 7 4 2 7 5" xfId="20815" xr:uid="{DD0774C2-619B-4905-8D14-FC434DA8484D}"/>
    <cellStyle name="Output 2 7 4 2 7 5 2" xfId="45475" xr:uid="{5FC03543-0486-4A51-A81D-340F22953D6E}"/>
    <cellStyle name="Output 2 7 4 2 7 6" xfId="23838" xr:uid="{964E593B-FC86-414C-ACFD-7D4939293807}"/>
    <cellStyle name="Output 2 7 4 2 8" xfId="7002" xr:uid="{00000000-0005-0000-0000-000012080000}"/>
    <cellStyle name="Output 2 7 4 2 8 2" xfId="13839" xr:uid="{704C23C4-DA6B-4738-AE89-AC4FC5B7366B}"/>
    <cellStyle name="Output 2 7 4 2 8 2 2" xfId="36323" xr:uid="{E2833AA0-52F2-406F-BE6A-C5F81E46E17B}"/>
    <cellStyle name="Output 2 7 4 2 8 2 3" xfId="47484" xr:uid="{97B4E2C2-EAAB-4E07-A0E8-C6CF4EEC0C50}"/>
    <cellStyle name="Output 2 7 4 2 8 3" xfId="18939" xr:uid="{BA3BE3C3-3730-4B61-8851-716B7D0FD95C}"/>
    <cellStyle name="Output 2 7 4 2 8 3 2" xfId="41329" xr:uid="{2E760125-6A50-4260-846F-F18A4E2A777D}"/>
    <cellStyle name="Output 2 7 4 2 8 3 3" xfId="31946" xr:uid="{796EDC94-289B-4AB7-8F14-E3E893BAAFFE}"/>
    <cellStyle name="Output 2 7 4 2 8 4" xfId="20350" xr:uid="{CFD7348B-A9A8-439A-BC5F-C66EBC0D6679}"/>
    <cellStyle name="Output 2 7 4 2 8 4 2" xfId="42648" xr:uid="{992AFF0A-88FB-4CC7-BC2E-E2A90F5FAE3F}"/>
    <cellStyle name="Output 2 7 4 2 8 4 3" xfId="46970" xr:uid="{D9EAFA4C-F2AC-4AD3-8C78-3DBFA3E6D13C}"/>
    <cellStyle name="Output 2 7 4 2 8 5" xfId="23363" xr:uid="{5F394411-4E87-4C0D-9280-5AD98F8B5C6E}"/>
    <cellStyle name="Output 2 7 4 2 8 5 2" xfId="27953" xr:uid="{6AC26FEA-F865-49CA-B7F3-70052C629D9A}"/>
    <cellStyle name="Output 2 7 4 2 8 6" xfId="24051" xr:uid="{364EF678-9288-4D27-9C99-F89500D3AEB4}"/>
    <cellStyle name="Output 2 7 4 2 9" xfId="6864" xr:uid="{00000000-0005-0000-0000-000012080000}"/>
    <cellStyle name="Output 2 7 4 2 9 2" xfId="18801" xr:uid="{CC7DAE57-9AEC-4CC0-8385-734CABDFB235}"/>
    <cellStyle name="Output 2 7 4 2 9 2 2" xfId="41191" xr:uid="{35626198-74BF-4FE5-AF09-7249C0A8D702}"/>
    <cellStyle name="Output 2 7 4 2 9 2 3" xfId="43555" xr:uid="{F70DE0F5-98F1-47A4-AB2E-F59E475831A3}"/>
    <cellStyle name="Output 2 7 4 2 9 3" xfId="19971" xr:uid="{67F0746B-362F-4980-85BE-09C030B4E929}"/>
    <cellStyle name="Output 2 7 4 2 9 3 2" xfId="42297" xr:uid="{9540778E-B5D4-4B3D-B1A0-79E289949159}"/>
    <cellStyle name="Output 2 7 4 2 9 3 3" xfId="32427" xr:uid="{CAEA3ED9-27ED-4DAC-8818-3B759CE85288}"/>
    <cellStyle name="Output 2 7 4 2 9 4" xfId="23225" xr:uid="{01422C05-7725-4998-9EC5-E3BCD2EBA4EB}"/>
    <cellStyle name="Output 2 7 4 2 9 4 2" xfId="46194" xr:uid="{BC760927-872A-4B6D-92AD-DEA66F726F71}"/>
    <cellStyle name="Output 2 7 4 2 9 5" xfId="52954" xr:uid="{F5AB54FC-94FA-4D44-9CF5-B5D98B5BF115}"/>
    <cellStyle name="Output 2 7 4 3" xfId="3151" xr:uid="{00000000-0005-0000-0000-000011080000}"/>
    <cellStyle name="Output 2 7 4 3 2" xfId="10060" xr:uid="{73BF03E9-4CE9-481F-AEEB-C65E27C9810B}"/>
    <cellStyle name="Output 2 7 4 3 2 2" xfId="32567" xr:uid="{0B2AB73F-E835-44A9-B87C-9AC4963045AF}"/>
    <cellStyle name="Output 2 7 4 3 2 3" xfId="49007" xr:uid="{087C3C8B-4951-4F62-B89F-36249E7445A7}"/>
    <cellStyle name="Output 2 7 4 3 3" xfId="15438" xr:uid="{6F8F9D6E-83EF-4044-BB33-25EF75239DB0}"/>
    <cellStyle name="Output 2 7 4 3 3 2" xfId="37864" xr:uid="{22ADC6CE-61EC-486B-9E56-630E307CC31A}"/>
    <cellStyle name="Output 2 7 4 3 3 3" xfId="48170" xr:uid="{64ED1164-67B8-4CA7-B738-D38D3ECDD188}"/>
    <cellStyle name="Output 2 7 4 3 4" xfId="8131" xr:uid="{200E7979-47D8-4A68-889A-1E1251C899BA}"/>
    <cellStyle name="Output 2 7 4 3 4 2" xfId="30743" xr:uid="{A2CD7B87-8903-4C83-9600-447093C086B6}"/>
    <cellStyle name="Output 2 7 4 3 4 3" xfId="52745" xr:uid="{196F7427-E867-4E7E-8B21-5773C20AC1B2}"/>
    <cellStyle name="Output 2 7 4 3 5" xfId="19685" xr:uid="{52F02542-E9DB-4C7B-B825-CC5342151FBF}"/>
    <cellStyle name="Output 2 7 4 3 5 2" xfId="42065" xr:uid="{3444274A-9FEC-4D7C-B0FE-3CAD0895620A}"/>
    <cellStyle name="Output 2 7 4 3 6" xfId="45761" xr:uid="{806701CA-8772-43D4-8AE1-98BE6910166F}"/>
    <cellStyle name="Output 2 7 4 4" xfId="4800" xr:uid="{00000000-0005-0000-0000-000011080000}"/>
    <cellStyle name="Output 2 7 4 4 2" xfId="11697" xr:uid="{07E3FAAC-0EC7-4880-9147-94EC6168306A}"/>
    <cellStyle name="Output 2 7 4 4 2 2" xfId="34183" xr:uid="{38566E1D-3377-4DF0-BD11-9938E772AC92}"/>
    <cellStyle name="Output 2 7 4 4 2 3" xfId="45597" xr:uid="{53F5187C-A6E9-4938-92A6-1BD71B1F3F7F}"/>
    <cellStyle name="Output 2 7 4 4 3" xfId="16737" xr:uid="{FAD5124A-03C9-4E3C-B327-C7B5D44D0899}"/>
    <cellStyle name="Output 2 7 4 4 3 2" xfId="39127" xr:uid="{7258B939-89BF-4F5F-BA94-3D43BB8469C8}"/>
    <cellStyle name="Output 2 7 4 4 3 3" xfId="43392" xr:uid="{E54B186F-A826-4FB8-AB1C-B22AB1378929}"/>
    <cellStyle name="Output 2 7 4 4 4" xfId="13610" xr:uid="{00E28609-7461-4EB8-9FEA-9804571BB932}"/>
    <cellStyle name="Output 2 7 4 4 4 2" xfId="36094" xr:uid="{2DA152E2-24A1-47A9-B301-971480A7A137}"/>
    <cellStyle name="Output 2 7 4 4 4 3" xfId="47005" xr:uid="{798D321E-CBCF-4686-8B1A-6E850004EEFB}"/>
    <cellStyle name="Output 2 7 4 4 5" xfId="19542" xr:uid="{B238110F-F9EE-423C-994B-0044F982B612}"/>
    <cellStyle name="Output 2 7 4 4 5 2" xfId="32536" xr:uid="{60C35FBC-4C51-4610-BF7D-807AAF693F16}"/>
    <cellStyle name="Output 2 7 4 4 6" xfId="53982" xr:uid="{A90C203E-8242-4507-87EA-55DB5ABC3B0B}"/>
    <cellStyle name="Output 2 7 4 5" xfId="4749" xr:uid="{00000000-0005-0000-0000-000011080000}"/>
    <cellStyle name="Output 2 7 4 5 2" xfId="11647" xr:uid="{E02F16A9-27B9-4A72-A4CC-7D15C6766536}"/>
    <cellStyle name="Output 2 7 4 5 2 2" xfId="34133" xr:uid="{D8AB3BCB-FCDE-40F6-9DE0-9322C35365EA}"/>
    <cellStyle name="Output 2 7 4 5 2 3" xfId="43257" xr:uid="{3C6FAE32-508D-4D25-AB0E-5B4082A6FAC4}"/>
    <cellStyle name="Output 2 7 4 5 3" xfId="16686" xr:uid="{8CDF0ECA-E671-41EA-9553-C56CD1AE9371}"/>
    <cellStyle name="Output 2 7 4 5 3 2" xfId="39076" xr:uid="{32CA7C19-F35A-481C-96B8-40480A49B7B6}"/>
    <cellStyle name="Output 2 7 4 5 3 3" xfId="43780" xr:uid="{733A6F90-F7F5-4C77-9538-383F51C86123}"/>
    <cellStyle name="Output 2 7 4 5 4" xfId="14002" xr:uid="{A4B2CCD4-3818-415D-89DA-9391A33F218E}"/>
    <cellStyle name="Output 2 7 4 5 4 2" xfId="36485" xr:uid="{0744436F-702D-420F-A84F-9CEF1169E2F5}"/>
    <cellStyle name="Output 2 7 4 5 4 3" xfId="49148" xr:uid="{DCAAEA6A-8AB7-4265-BDF4-64F36925AD1F}"/>
    <cellStyle name="Output 2 7 4 5 5" xfId="19176" xr:uid="{42CCC852-D4E7-4F17-BC27-4E8C571B9475}"/>
    <cellStyle name="Output 2 7 4 5 5 2" xfId="28198" xr:uid="{D32B5703-FB3D-4328-A670-73BE44F40B9A}"/>
    <cellStyle name="Output 2 7 4 5 6" xfId="51511" xr:uid="{5934AD62-4D86-4013-A330-AEFE28BBF076}"/>
    <cellStyle name="Output 2 7 4 6" xfId="4660" xr:uid="{00000000-0005-0000-0000-000011080000}"/>
    <cellStyle name="Output 2 7 4 6 2" xfId="11558" xr:uid="{E720D39E-DEF0-497B-B419-79377D45459D}"/>
    <cellStyle name="Output 2 7 4 6 2 2" xfId="34044" xr:uid="{8378B72F-49C7-4283-BAFD-F8F1DDFFC56F}"/>
    <cellStyle name="Output 2 7 4 6 2 3" xfId="44569" xr:uid="{72B15427-D523-494B-A9EE-20D8D01978FF}"/>
    <cellStyle name="Output 2 7 4 6 3" xfId="16597" xr:uid="{AC336090-90F9-4C89-81B7-9520902EF27A}"/>
    <cellStyle name="Output 2 7 4 6 3 2" xfId="38987" xr:uid="{3754A363-1199-4339-9FD7-483364FC069B}"/>
    <cellStyle name="Output 2 7 4 6 3 3" xfId="30620" xr:uid="{62457472-F25F-40B6-9C2D-41ED6DE09142}"/>
    <cellStyle name="Output 2 7 4 6 4" xfId="16002" xr:uid="{7E7FA12C-CF13-4D88-B72E-7A1F2E970AA2}"/>
    <cellStyle name="Output 2 7 4 6 4 2" xfId="38404" xr:uid="{336C701E-F7BC-427F-A34E-10DDB588D278}"/>
    <cellStyle name="Output 2 7 4 6 4 3" xfId="53852" xr:uid="{7E6F763C-D2CC-4DBD-B942-376FA56C06EF}"/>
    <cellStyle name="Output 2 7 4 6 5" xfId="20497" xr:uid="{AF39BD57-439B-43D1-9766-96D827B02660}"/>
    <cellStyle name="Output 2 7 4 6 5 2" xfId="28090" xr:uid="{FF23D866-A200-45AF-885D-2173F42893E2}"/>
    <cellStyle name="Output 2 7 4 6 6" xfId="30801" xr:uid="{1616C319-3240-413C-8E05-46D8F81E1BA9}"/>
    <cellStyle name="Output 2 7 4 7" xfId="6763" xr:uid="{00000000-0005-0000-0000-000011080000}"/>
    <cellStyle name="Output 2 7 4 7 2" xfId="13615" xr:uid="{65CF0F8B-5523-45E4-8E8D-2443E0E41020}"/>
    <cellStyle name="Output 2 7 4 7 2 2" xfId="36099" xr:uid="{7F2AA925-689D-4DEE-B123-2619809099B8}"/>
    <cellStyle name="Output 2 7 4 7 2 3" xfId="43296" xr:uid="{AE3D5C0D-44EC-4718-8AED-1CAD2ABBA5D7}"/>
    <cellStyle name="Output 2 7 4 7 3" xfId="18700" xr:uid="{64598D39-A444-479D-ACAA-C0A5E23DF372}"/>
    <cellStyle name="Output 2 7 4 7 3 2" xfId="41090" xr:uid="{2B1142D3-1DE4-425E-B45F-24AE7F0332CE}"/>
    <cellStyle name="Output 2 7 4 7 3 3" xfId="25751" xr:uid="{8C2AE19C-421F-469C-BA25-3FB6573A1FDE}"/>
    <cellStyle name="Output 2 7 4 7 4" xfId="21201" xr:uid="{36A2FE10-2BA1-45CF-B90B-EF132BA28E49}"/>
    <cellStyle name="Output 2 7 4 7 4 2" xfId="43441" xr:uid="{A668FA36-6BD0-41FC-A79D-A6B0D04B293F}"/>
    <cellStyle name="Output 2 7 4 7 4 3" xfId="38026" xr:uid="{8FAA669D-9C4F-4A4E-8A95-6CE4663F69C3}"/>
    <cellStyle name="Output 2 7 4 7 5" xfId="23124" xr:uid="{48916CD4-946D-48FD-B807-E2C17F5964AF}"/>
    <cellStyle name="Output 2 7 4 7 5 2" xfId="46495" xr:uid="{CF13614B-B55F-4CC9-BC86-F1B8F5828424}"/>
    <cellStyle name="Output 2 7 4 7 6" xfId="48347" xr:uid="{408DEB7C-0C5B-4934-96A7-5D6B88635E1C}"/>
    <cellStyle name="Output 2 7 4 8" xfId="8898" xr:uid="{BD61787D-DE1C-422F-BE0E-5FB4564A2839}"/>
    <cellStyle name="Output 2 7 4 8 2" xfId="31477" xr:uid="{1E22A99C-942B-4F0F-956D-7922ED863FC1}"/>
    <cellStyle name="Output 2 7 4 8 3" xfId="46934" xr:uid="{72A2988D-07DC-482C-BCD1-571F9F8A1CC5}"/>
    <cellStyle name="Output 2 7 4 9" xfId="15114" xr:uid="{BE0E4F1A-0400-4879-8ECC-4C346A502C97}"/>
    <cellStyle name="Output 2 7 4 9 2" xfId="37556" xr:uid="{CC35998A-4216-45A8-A483-CA0D9B6E2133}"/>
    <cellStyle name="Output 2 7 4 9 3" xfId="53167" xr:uid="{05635484-30AD-4723-A701-C3DBACA1D77F}"/>
    <cellStyle name="Output 2 7 5" xfId="1210" xr:uid="{00000000-0005-0000-0000-000015080000}"/>
    <cellStyle name="Output 2 7 5 10" xfId="20541" xr:uid="{3DBC4CEE-17F9-4E3F-812B-FAF7AB5396E2}"/>
    <cellStyle name="Output 2 7 5 10 2" xfId="48498" xr:uid="{4255712B-F9A0-4E2F-8798-B8F400926029}"/>
    <cellStyle name="Output 2 7 5 11" xfId="48478" xr:uid="{103C1344-C1F3-4BA1-9580-052E5A2C5FD1}"/>
    <cellStyle name="Output 2 7 5 2" xfId="2010" xr:uid="{00000000-0005-0000-0000-000016080000}"/>
    <cellStyle name="Output 2 7 5 2 10" xfId="14658" xr:uid="{ED4B815B-D2C2-4174-B58B-21AC9DA59BF8}"/>
    <cellStyle name="Output 2 7 5 2 10 2" xfId="37118" xr:uid="{D99B494D-D748-4249-A7B8-5AFDB3C1923B}"/>
    <cellStyle name="Output 2 7 5 2 10 3" xfId="48591" xr:uid="{A8E5DACD-8D16-4560-8F97-A1C83E3C341B}"/>
    <cellStyle name="Output 2 7 5 2 11" xfId="20445" xr:uid="{3541B38C-7492-4478-B1E1-2E755B1FB3AE}"/>
    <cellStyle name="Output 2 7 5 2 11 2" xfId="42736" xr:uid="{E25F5FD4-03D7-45F7-8F41-BF48AEEB8BED}"/>
    <cellStyle name="Output 2 7 5 2 11 3" xfId="36925" xr:uid="{3714C097-A250-4574-BDB3-DD3B9BF4D4F3}"/>
    <cellStyle name="Output 2 7 5 2 12" xfId="20993" xr:uid="{2F3CEFE9-5136-42CC-ABC6-94FD7226FF77}"/>
    <cellStyle name="Output 2 7 5 2 12 2" xfId="46805" xr:uid="{598A27C8-6295-4375-B709-9C5D4C770900}"/>
    <cellStyle name="Output 2 7 5 2 13" xfId="29898" xr:uid="{69C1DEE0-3A56-4964-B273-565F902436B4}"/>
    <cellStyle name="Output 2 7 5 2 2" xfId="4105" xr:uid="{00000000-0005-0000-0000-000014080000}"/>
    <cellStyle name="Output 2 7 5 2 2 2" xfId="11009" xr:uid="{715A640A-84BD-428F-B322-0BA03DD17047}"/>
    <cellStyle name="Output 2 7 5 2 2 2 2" xfId="33495" xr:uid="{15529A31-D786-4658-9066-04E179968570}"/>
    <cellStyle name="Output 2 7 5 2 2 2 3" xfId="48074" xr:uid="{8AF5EC9A-071F-4BEB-B3D9-52A67458518B}"/>
    <cellStyle name="Output 2 7 5 2 2 3" xfId="16109" xr:uid="{0B2AB5B2-D1DF-4475-8EF7-0764744478AD}"/>
    <cellStyle name="Output 2 7 5 2 2 3 2" xfId="38509" xr:uid="{1194AD63-6BAC-4FE2-82CE-EF7C7BB16971}"/>
    <cellStyle name="Output 2 7 5 2 2 3 3" xfId="31322" xr:uid="{E08069CF-873A-435F-BE37-5D09AAC2A781}"/>
    <cellStyle name="Output 2 7 5 2 2 4" xfId="19907" xr:uid="{C12F8B95-8345-49EF-B2EC-29E95C0D3638}"/>
    <cellStyle name="Output 2 7 5 2 2 4 2" xfId="42239" xr:uid="{074DDD21-721F-4FAC-82E0-52C220547A30}"/>
    <cellStyle name="Output 2 7 5 2 2 4 3" xfId="25127" xr:uid="{CEDD49B8-C8C7-484B-A659-B1D69AA6DD85}"/>
    <cellStyle name="Output 2 7 5 2 2 5" xfId="15244" xr:uid="{CD82CA51-042B-4B13-A853-E3C5306B258A}"/>
    <cellStyle name="Output 2 7 5 2 2 5 2" xfId="49221" xr:uid="{395476A8-E5C6-4BD8-A7A1-0CE6EC4187A6}"/>
    <cellStyle name="Output 2 7 5 2 2 6" xfId="26512" xr:uid="{6E43E83B-E8AF-4BFD-B76E-EA50A22DE5F2}"/>
    <cellStyle name="Output 2 7 5 2 3" xfId="5451" xr:uid="{00000000-0005-0000-0000-000014080000}"/>
    <cellStyle name="Output 2 7 5 2 3 2" xfId="12340" xr:uid="{62B1754F-1C0E-4F30-A421-5C143BBC5A0B}"/>
    <cellStyle name="Output 2 7 5 2 3 2 2" xfId="34825" xr:uid="{E98F0A33-CDCB-4F8B-9B3B-C5B0A23F8FF1}"/>
    <cellStyle name="Output 2 7 5 2 3 2 3" xfId="26385" xr:uid="{AED53157-F735-40B1-9397-69E69E640D17}"/>
    <cellStyle name="Output 2 7 5 2 3 3" xfId="17388" xr:uid="{223262F3-D744-4A53-ADC2-344EE740403E}"/>
    <cellStyle name="Output 2 7 5 2 3 3 2" xfId="39778" xr:uid="{F073B843-DD31-4F1A-8B49-8C60C2A3902F}"/>
    <cellStyle name="Output 2 7 5 2 3 3 3" xfId="25962" xr:uid="{3BCCFD61-9E2C-4497-9C38-E10AFADFE352}"/>
    <cellStyle name="Output 2 7 5 2 3 4" xfId="14120" xr:uid="{C82171F8-118D-4842-8F3F-6051DD14F9F4}"/>
    <cellStyle name="Output 2 7 5 2 3 4 2" xfId="36597" xr:uid="{A1351C5C-B582-402C-8722-85978C4F7295}"/>
    <cellStyle name="Output 2 7 5 2 3 4 3" xfId="49059" xr:uid="{4FA76761-5D5C-4C45-A615-FD61EBF725FD}"/>
    <cellStyle name="Output 2 7 5 2 3 5" xfId="21812" xr:uid="{6E4279EA-5DCB-42F3-B798-88EE186A8F47}"/>
    <cellStyle name="Output 2 7 5 2 3 5 2" xfId="50214" xr:uid="{FCFE44D4-26B2-4B9F-A5AA-0AE335276F21}"/>
    <cellStyle name="Output 2 7 5 2 3 6" xfId="47924" xr:uid="{030ADC7B-144F-4BFC-9ECB-859D9B59F767}"/>
    <cellStyle name="Output 2 7 5 2 4" xfId="5874" xr:uid="{00000000-0005-0000-0000-000014080000}"/>
    <cellStyle name="Output 2 7 5 2 4 2" xfId="12756" xr:uid="{E8B094DA-56A5-46B2-B97B-574EA33CF5A8}"/>
    <cellStyle name="Output 2 7 5 2 4 2 2" xfId="35240" xr:uid="{57FA27B6-111F-4114-9D00-27048DB62A79}"/>
    <cellStyle name="Output 2 7 5 2 4 2 3" xfId="32123" xr:uid="{32BC3971-A8B7-4A13-87E4-E507684E0F9B}"/>
    <cellStyle name="Output 2 7 5 2 4 3" xfId="17811" xr:uid="{247B4D60-09E6-4399-9636-E94CDAE73E46}"/>
    <cellStyle name="Output 2 7 5 2 4 3 2" xfId="40201" xr:uid="{67F6F60C-F281-4F61-BC1B-A96B24A898CF}"/>
    <cellStyle name="Output 2 7 5 2 4 3 3" xfId="28745" xr:uid="{154715D0-B17E-4A9D-8A89-D4C0478AFDC1}"/>
    <cellStyle name="Output 2 7 5 2 4 4" xfId="15187" xr:uid="{8106A9D8-0F45-41C6-9271-66AB664E846F}"/>
    <cellStyle name="Output 2 7 5 2 4 4 2" xfId="37627" xr:uid="{827E108C-510F-414B-83A1-0679F21DF212}"/>
    <cellStyle name="Output 2 7 5 2 4 4 3" xfId="48083" xr:uid="{14B7C0C7-332B-4E86-8BD6-C6E3D280F84B}"/>
    <cellStyle name="Output 2 7 5 2 4 5" xfId="22235" xr:uid="{8B32B659-61F5-4E07-A8F6-8E49FD2B7131}"/>
    <cellStyle name="Output 2 7 5 2 4 5 2" xfId="29896" xr:uid="{BA674D2E-77AB-4765-A6BE-408AB28088CD}"/>
    <cellStyle name="Output 2 7 5 2 4 6" xfId="25837" xr:uid="{E5B55D32-F079-4FA5-AC70-C73F3593AD28}"/>
    <cellStyle name="Output 2 7 5 2 5" xfId="6212" xr:uid="{00000000-0005-0000-0000-000014080000}"/>
    <cellStyle name="Output 2 7 5 2 5 2" xfId="13087" xr:uid="{ABD3248F-2885-4496-8A93-CEC337FC60DE}"/>
    <cellStyle name="Output 2 7 5 2 5 2 2" xfId="35571" xr:uid="{2A438A4A-1B0D-4C3F-B74C-815878ACD285}"/>
    <cellStyle name="Output 2 7 5 2 5 2 3" xfId="44307" xr:uid="{D6AAF6B0-31F3-4C3D-BC99-8A349C2EFCDC}"/>
    <cellStyle name="Output 2 7 5 2 5 3" xfId="18149" xr:uid="{4EE60B84-4EE0-4122-B685-FE2C8873951A}"/>
    <cellStyle name="Output 2 7 5 2 5 3 2" xfId="40539" xr:uid="{CCDA7803-B289-4BD3-BF1B-C35B66404AB2}"/>
    <cellStyle name="Output 2 7 5 2 5 3 3" xfId="31903" xr:uid="{00AE1D85-4FD4-44BB-8B9F-F6163A9DD815}"/>
    <cellStyle name="Output 2 7 5 2 5 4" xfId="7307" xr:uid="{FA6C187C-87A0-4DF7-8813-D120A9589477}"/>
    <cellStyle name="Output 2 7 5 2 5 4 2" xfId="29995" xr:uid="{8DC8BCF9-2C4D-431B-9257-9A29E0DF79EC}"/>
    <cellStyle name="Output 2 7 5 2 5 4 3" xfId="45991" xr:uid="{EF0B720C-3E4A-40D2-A066-D867BE496543}"/>
    <cellStyle name="Output 2 7 5 2 5 5" xfId="22573" xr:uid="{2BF73EF3-02B7-4EE0-9FCC-F5345D95710C}"/>
    <cellStyle name="Output 2 7 5 2 5 5 2" xfId="24934" xr:uid="{A2AD377B-F264-41FC-8304-BEB8E89D9022}"/>
    <cellStyle name="Output 2 7 5 2 5 6" xfId="51553" xr:uid="{4894967B-7278-41C6-A7B5-3B242FA4229A}"/>
    <cellStyle name="Output 2 7 5 2 6" xfId="6578" xr:uid="{00000000-0005-0000-0000-000014080000}"/>
    <cellStyle name="Output 2 7 5 2 6 2" xfId="13444" xr:uid="{B4387DE1-4D86-410A-972B-930722B45F3D}"/>
    <cellStyle name="Output 2 7 5 2 6 2 2" xfId="35928" xr:uid="{AEA7CFB5-6195-4706-B6B2-6EB74E0E8E98}"/>
    <cellStyle name="Output 2 7 5 2 6 2 3" xfId="50679" xr:uid="{CCC600D2-47D2-4DBE-8732-0048FDD47C1A}"/>
    <cellStyle name="Output 2 7 5 2 6 3" xfId="18515" xr:uid="{A82B4C9C-8932-4C02-B08C-CCBE6F4EBE75}"/>
    <cellStyle name="Output 2 7 5 2 6 3 2" xfId="40905" xr:uid="{88AFB188-D758-4CFD-A465-15752ED9292B}"/>
    <cellStyle name="Output 2 7 5 2 6 3 3" xfId="27528" xr:uid="{55CF5726-D1A0-4F32-A437-0E691064470C}"/>
    <cellStyle name="Output 2 7 5 2 6 4" xfId="20761" xr:uid="{9EE2E22B-4D15-421D-AA05-0F06E0C812C5}"/>
    <cellStyle name="Output 2 7 5 2 6 4 2" xfId="43029" xr:uid="{6C03FFED-5929-4735-A7C2-4EEDD9378010}"/>
    <cellStyle name="Output 2 7 5 2 6 4 3" xfId="53235" xr:uid="{53E98415-B95F-474E-A205-22CA7BB6617F}"/>
    <cellStyle name="Output 2 7 5 2 6 5" xfId="22939" xr:uid="{7DEFA220-268F-43F5-AC39-3C878D9AD295}"/>
    <cellStyle name="Output 2 7 5 2 6 5 2" xfId="43940" xr:uid="{8E83A3C7-EF81-4871-AE4E-D2441C7C6A8E}"/>
    <cellStyle name="Output 2 7 5 2 6 6" xfId="48685" xr:uid="{3C1F10E2-3B8E-4EDE-A318-E86F8B7F1B1C}"/>
    <cellStyle name="Output 2 7 5 2 7" xfId="5493" xr:uid="{00000000-0005-0000-0000-000014080000}"/>
    <cellStyle name="Output 2 7 5 2 7 2" xfId="12382" xr:uid="{FDF48C32-9A0B-4228-A415-ABB684A947E8}"/>
    <cellStyle name="Output 2 7 5 2 7 2 2" xfId="34867" xr:uid="{810497F9-2DDA-4460-ABC4-45A4A920249B}"/>
    <cellStyle name="Output 2 7 5 2 7 2 3" xfId="28214" xr:uid="{54E5D41D-4B43-44B2-970A-D97F21BFCA2C}"/>
    <cellStyle name="Output 2 7 5 2 7 3" xfId="17430" xr:uid="{8050E64A-9068-4DB8-B524-7D10D9A7D96C}"/>
    <cellStyle name="Output 2 7 5 2 7 3 2" xfId="39820" xr:uid="{8A505A60-4FBD-4AC3-8E2B-0BC1CD0B55EC}"/>
    <cellStyle name="Output 2 7 5 2 7 3 3" xfId="44686" xr:uid="{6BEC50B8-82AA-4DB5-B97A-BAE8AF14AAED}"/>
    <cellStyle name="Output 2 7 5 2 7 4" xfId="15129" xr:uid="{6F9EA14A-8F03-4F83-81EA-78D0AE82403D}"/>
    <cellStyle name="Output 2 7 5 2 7 4 2" xfId="37571" xr:uid="{77DD49DC-7AFF-4142-B8A3-BD2DF27D3038}"/>
    <cellStyle name="Output 2 7 5 2 7 4 3" xfId="26951" xr:uid="{99C07B81-9E71-480D-B689-0A77B8DB5E60}"/>
    <cellStyle name="Output 2 7 5 2 7 5" xfId="21854" xr:uid="{58C84839-EF8E-4B7B-96A5-43918C067CCE}"/>
    <cellStyle name="Output 2 7 5 2 7 5 2" xfId="41825" xr:uid="{B9536527-11DB-4B49-BFBC-34B59C34E7A7}"/>
    <cellStyle name="Output 2 7 5 2 7 6" xfId="48317" xr:uid="{B3ADD366-0327-47F7-B4D4-5A51AAE25851}"/>
    <cellStyle name="Output 2 7 5 2 8" xfId="7048" xr:uid="{00000000-0005-0000-0000-000014080000}"/>
    <cellStyle name="Output 2 7 5 2 8 2" xfId="13884" xr:uid="{809E3AFD-CEA9-4928-BAEA-AAB350BF8854}"/>
    <cellStyle name="Output 2 7 5 2 8 2 2" xfId="36368" xr:uid="{0B7C0AF8-B50B-4735-B5E3-3B7F8C90CE51}"/>
    <cellStyle name="Output 2 7 5 2 8 2 3" xfId="25128" xr:uid="{20374C75-15EF-48E9-8BE0-EA88D0C8267A}"/>
    <cellStyle name="Output 2 7 5 2 8 3" xfId="18985" xr:uid="{80BFF0F5-617B-44CB-A50E-246CB19C2B02}"/>
    <cellStyle name="Output 2 7 5 2 8 3 2" xfId="41375" xr:uid="{A0FD05B1-97A0-4622-B2AF-8AEFD52D43D8}"/>
    <cellStyle name="Output 2 7 5 2 8 3 3" xfId="42955" xr:uid="{A697434D-7179-4A42-B1BF-B35042F907EF}"/>
    <cellStyle name="Output 2 7 5 2 8 4" xfId="20081" xr:uid="{26CA94A1-233E-4A67-8327-1E17FAE8F7AF}"/>
    <cellStyle name="Output 2 7 5 2 8 4 2" xfId="42401" xr:uid="{FB8A48BE-4E47-498B-B875-56A447B5B5D5}"/>
    <cellStyle name="Output 2 7 5 2 8 4 3" xfId="30060" xr:uid="{DD3B0EFD-8078-4FA1-862A-DFA10402EF35}"/>
    <cellStyle name="Output 2 7 5 2 8 5" xfId="23409" xr:uid="{BDAC4CDA-E135-4212-AC86-3D1192A93E06}"/>
    <cellStyle name="Output 2 7 5 2 8 5 2" xfId="48633" xr:uid="{6AFCEAA8-AB04-4AC8-9BF6-0465C1EEB713}"/>
    <cellStyle name="Output 2 7 5 2 8 6" xfId="48654" xr:uid="{407A8C8A-189D-4DEE-AA02-0DDE37BFAD68}"/>
    <cellStyle name="Output 2 7 5 2 9" xfId="7163" xr:uid="{00000000-0005-0000-0000-000014080000}"/>
    <cellStyle name="Output 2 7 5 2 9 2" xfId="19100" xr:uid="{399E7347-4BDF-45D2-9196-6B4B4E2CB487}"/>
    <cellStyle name="Output 2 7 5 2 9 2 2" xfId="41490" xr:uid="{880342CF-4FD3-4383-AFC4-55955AC28D57}"/>
    <cellStyle name="Output 2 7 5 2 9 2 3" xfId="28001" xr:uid="{AB9B6BB8-B9C1-4499-9DDC-AB01192E1B23}"/>
    <cellStyle name="Output 2 7 5 2 9 3" xfId="8967" xr:uid="{182B0242-EBDF-468A-A06B-9B22B61A4A71}"/>
    <cellStyle name="Output 2 7 5 2 9 3 2" xfId="31546" xr:uid="{13A2AF11-A475-4448-90EA-AAFBE8918FD8}"/>
    <cellStyle name="Output 2 7 5 2 9 3 3" xfId="29304" xr:uid="{292CF4C7-0865-427C-A4B2-553EBFE6D6D5}"/>
    <cellStyle name="Output 2 7 5 2 9 4" xfId="23524" xr:uid="{A4FED3FA-686A-4555-AAC8-FCC830D296CD}"/>
    <cellStyle name="Output 2 7 5 2 9 4 2" xfId="45438" xr:uid="{29475DB5-F63E-4F6E-9C59-11663E01F0D8}"/>
    <cellStyle name="Output 2 7 5 2 9 5" xfId="28439" xr:uid="{195F8F19-51AE-4B69-A13D-5CD51A9E5049}"/>
    <cellStyle name="Output 2 7 5 3" xfId="3324" xr:uid="{00000000-0005-0000-0000-000013080000}"/>
    <cellStyle name="Output 2 7 5 3 2" xfId="10232" xr:uid="{A2B606F2-0A50-43D1-AC40-256F2A6E6970}"/>
    <cellStyle name="Output 2 7 5 3 2 2" xfId="32726" xr:uid="{00DE6276-97F6-4138-9EED-2D2A73DBF082}"/>
    <cellStyle name="Output 2 7 5 3 2 3" xfId="29688" xr:uid="{971F7FC8-E428-4CBC-983E-F552DD1C12E5}"/>
    <cellStyle name="Output 2 7 5 3 3" xfId="15550" xr:uid="{F9663CD1-FEC8-4878-BA4A-774AF52ACBD6}"/>
    <cellStyle name="Output 2 7 5 3 3 2" xfId="37969" xr:uid="{21129411-94B3-4C04-B55F-2A713C0BDE30}"/>
    <cellStyle name="Output 2 7 5 3 3 3" xfId="26660" xr:uid="{8EEF1060-88B4-4E5D-8621-1422458C0CBF}"/>
    <cellStyle name="Output 2 7 5 3 4" xfId="15001" xr:uid="{0916C47C-BFDF-41C1-854A-7C22C61D6F29}"/>
    <cellStyle name="Output 2 7 5 3 4 2" xfId="37451" xr:uid="{3ACA6A57-8852-4653-A592-3091200C8808}"/>
    <cellStyle name="Output 2 7 5 3 4 3" xfId="50045" xr:uid="{24ACA537-741F-45B8-A2E3-94292DDE38BA}"/>
    <cellStyle name="Output 2 7 5 3 5" xfId="16148" xr:uid="{F54CF767-AD23-4F19-9926-0DA79DEAD00F}"/>
    <cellStyle name="Output 2 7 5 3 5 2" xfId="30697" xr:uid="{50C0720B-B9F5-4202-8014-CF10FE4FFB82}"/>
    <cellStyle name="Output 2 7 5 3 6" xfId="27104" xr:uid="{846824C9-7F66-4786-87FF-B41BA78F57E0}"/>
    <cellStyle name="Output 2 7 5 4" xfId="4910" xr:uid="{00000000-0005-0000-0000-000013080000}"/>
    <cellStyle name="Output 2 7 5 4 2" xfId="11805" xr:uid="{A6607FFC-62A2-4958-AC78-3C64C8D7B51F}"/>
    <cellStyle name="Output 2 7 5 4 2 2" xfId="34291" xr:uid="{FA0ED188-88D1-4B32-B24B-3EFE66E29A89}"/>
    <cellStyle name="Output 2 7 5 4 2 3" xfId="24066" xr:uid="{B77F6C37-DC8B-4D9F-A128-34F1BCF6A6D5}"/>
    <cellStyle name="Output 2 7 5 4 3" xfId="16847" xr:uid="{38D5323A-F53E-4EB6-BC24-B3F5DBAC5162}"/>
    <cellStyle name="Output 2 7 5 4 3 2" xfId="39237" xr:uid="{3E419A47-E9F0-4FDD-9F4F-4D421CED12C8}"/>
    <cellStyle name="Output 2 7 5 4 3 3" xfId="29402" xr:uid="{82948694-5B47-45AE-855C-DEC6BDA8B2C8}"/>
    <cellStyle name="Output 2 7 5 4 4" xfId="15493" xr:uid="{2C67E17E-C05E-4CCD-8CD9-2482EE4DEA01}"/>
    <cellStyle name="Output 2 7 5 4 4 2" xfId="37915" xr:uid="{A0DE961A-E1A8-4A45-9009-FA77AFCDF76A}"/>
    <cellStyle name="Output 2 7 5 4 4 3" xfId="45616" xr:uid="{EF482163-7B64-4E53-AF11-250C8BF36B42}"/>
    <cellStyle name="Output 2 7 5 4 5" xfId="21000" xr:uid="{A0CE591C-B548-4085-810A-F449DA0145A0}"/>
    <cellStyle name="Output 2 7 5 4 5 2" xfId="49723" xr:uid="{3066E5FF-C12A-4C5E-9150-B289FF78A95D}"/>
    <cellStyle name="Output 2 7 5 4 6" xfId="45118" xr:uid="{CCD174A1-67FB-4BAB-BAC8-20CC35346FC8}"/>
    <cellStyle name="Output 2 7 5 5" xfId="5281" xr:uid="{00000000-0005-0000-0000-000013080000}"/>
    <cellStyle name="Output 2 7 5 5 2" xfId="12173" xr:uid="{3D367B71-A9B1-453F-979B-FB63A29ADBF8}"/>
    <cellStyle name="Output 2 7 5 5 2 2" xfId="34658" xr:uid="{91F99CE1-D23E-4CC3-96A4-8163D445963A}"/>
    <cellStyle name="Output 2 7 5 5 2 3" xfId="30914" xr:uid="{07854EA9-649A-4811-A5F0-57234E61C40A}"/>
    <cellStyle name="Output 2 7 5 5 3" xfId="17218" xr:uid="{F91EF505-FBB6-492B-883D-A12ACB881E9F}"/>
    <cellStyle name="Output 2 7 5 5 3 2" xfId="39608" xr:uid="{59A6F7E9-F1FB-4147-8D9E-E891F83D4C9A}"/>
    <cellStyle name="Output 2 7 5 5 3 3" xfId="26376" xr:uid="{AE503377-7903-49D6-A8D0-BD0CEFCD4A48}"/>
    <cellStyle name="Output 2 7 5 5 4" xfId="14214" xr:uid="{ABB62FE4-B50E-41CF-AB86-92A6D61D579E}"/>
    <cellStyle name="Output 2 7 5 5 4 2" xfId="36689" xr:uid="{C3E71563-05A0-4894-B9EE-C9F9406545BB}"/>
    <cellStyle name="Output 2 7 5 5 4 3" xfId="36997" xr:uid="{8A3B586A-020D-4C05-8215-8E35DF345794}"/>
    <cellStyle name="Output 2 7 5 5 5" xfId="21642" xr:uid="{50FD274F-44AF-4CAA-ABF0-8B8C9D7B633C}"/>
    <cellStyle name="Output 2 7 5 5 5 2" xfId="51401" xr:uid="{5EA0D732-070C-4004-9FEE-B88040C67A31}"/>
    <cellStyle name="Output 2 7 5 5 6" xfId="48826" xr:uid="{DAF84FE9-71C0-4D63-8D12-00648288EDBF}"/>
    <cellStyle name="Output 2 7 5 6" xfId="6190" xr:uid="{00000000-0005-0000-0000-000013080000}"/>
    <cellStyle name="Output 2 7 5 6 2" xfId="13065" xr:uid="{C2A3852B-13A4-475D-9250-A2E8565DE18A}"/>
    <cellStyle name="Output 2 7 5 6 2 2" xfId="35549" xr:uid="{22244011-849A-47EC-B1E3-7F961C6F2AE3}"/>
    <cellStyle name="Output 2 7 5 6 2 3" xfId="47859" xr:uid="{98B68BA7-70F3-428C-B685-7D95BDF572D5}"/>
    <cellStyle name="Output 2 7 5 6 3" xfId="18127" xr:uid="{1C46ADD1-AEB1-471A-B7E6-0680C717AFBA}"/>
    <cellStyle name="Output 2 7 5 6 3 2" xfId="40517" xr:uid="{C9C795E5-BAA7-4C70-ACAE-372D48B85F3B}"/>
    <cellStyle name="Output 2 7 5 6 3 3" xfId="45097" xr:uid="{459AF265-CE50-40B9-B008-3740E19A1E04}"/>
    <cellStyle name="Output 2 7 5 6 4" xfId="14463" xr:uid="{9C76A491-3E0D-464B-B181-C1E6D83FC1F4}"/>
    <cellStyle name="Output 2 7 5 6 4 2" xfId="36928" xr:uid="{E65D9683-D138-4131-906E-6DD7E219546B}"/>
    <cellStyle name="Output 2 7 5 6 4 3" xfId="47078" xr:uid="{C2F51F18-ECF3-40F3-8021-F64CFF2415D2}"/>
    <cellStyle name="Output 2 7 5 6 5" xfId="22551" xr:uid="{77A538FE-5072-42AF-B887-E55093B243AC}"/>
    <cellStyle name="Output 2 7 5 6 5 2" xfId="53901" xr:uid="{57D3C8E3-9F38-4FB3-BF43-888BD4B1FD6F}"/>
    <cellStyle name="Output 2 7 5 6 6" xfId="50202" xr:uid="{19292796-97F8-4283-BFEF-D27A45279A04}"/>
    <cellStyle name="Output 2 7 5 7" xfId="6614" xr:uid="{00000000-0005-0000-0000-000013080000}"/>
    <cellStyle name="Output 2 7 5 7 2" xfId="13480" xr:uid="{83F28E3E-2487-4253-AD36-A53D9D3BFAEC}"/>
    <cellStyle name="Output 2 7 5 7 2 2" xfId="35964" xr:uid="{470662D4-306B-4878-BF2E-FC623A848270}"/>
    <cellStyle name="Output 2 7 5 7 2 3" xfId="48065" xr:uid="{1A47E868-80AA-4580-8C4C-F89ABFE890ED}"/>
    <cellStyle name="Output 2 7 5 7 3" xfId="18551" xr:uid="{9388A983-8078-408F-AAAD-C04D1DF28DE4}"/>
    <cellStyle name="Output 2 7 5 7 3 2" xfId="40941" xr:uid="{35419FCD-6F6F-484B-A1DD-13FECA73CB2B}"/>
    <cellStyle name="Output 2 7 5 7 3 3" xfId="44842" xr:uid="{0EBE12F4-FAF1-4D9B-B425-FD27EDE0723B}"/>
    <cellStyle name="Output 2 7 5 7 4" xfId="20791" xr:uid="{5C7E620A-229A-47CB-867C-6E47925E79D2}"/>
    <cellStyle name="Output 2 7 5 7 4 2" xfId="43058" xr:uid="{1444CAFE-00AD-43FF-A3CC-2B21C67E3846}"/>
    <cellStyle name="Output 2 7 5 7 4 3" xfId="46629" xr:uid="{3AAE722C-D046-4FD4-AFBE-7F5CACF6645F}"/>
    <cellStyle name="Output 2 7 5 7 5" xfId="22975" xr:uid="{8FCF6CD0-7D6C-4C22-8441-2624843E083A}"/>
    <cellStyle name="Output 2 7 5 7 5 2" xfId="51469" xr:uid="{639BB62B-7D17-4331-9063-B1C5A6A9732A}"/>
    <cellStyle name="Output 2 7 5 7 6" xfId="28826" xr:uid="{FCFD36D8-D213-4C8E-9929-86801B77C0F4}"/>
    <cellStyle name="Output 2 7 5 8" xfId="14085" xr:uid="{3EAC0E90-A64C-47B7-A3F1-DC9F04E53405}"/>
    <cellStyle name="Output 2 7 5 8 2" xfId="36563" xr:uid="{D104CC8C-F901-490F-8411-A4F43CE72F63}"/>
    <cellStyle name="Output 2 7 5 8 3" xfId="49500" xr:uid="{8999EF0B-6902-45D1-A959-F01522350631}"/>
    <cellStyle name="Output 2 7 5 9" xfId="20501" xr:uid="{805920CE-51C8-4CDD-A6C1-DC2BD0668C5E}"/>
    <cellStyle name="Output 2 7 5 9 2" xfId="42788" xr:uid="{40116CC9-3464-4BA3-90C5-888B0AA90BB7}"/>
    <cellStyle name="Output 2 7 5 9 3" xfId="25212" xr:uid="{2754337F-AE14-4DEE-8E4E-CB6597000216}"/>
    <cellStyle name="Output 2 7 6" xfId="1372" xr:uid="{00000000-0005-0000-0000-000017080000}"/>
    <cellStyle name="Output 2 7 6 10" xfId="21060" xr:uid="{9A56885A-6C9C-4823-B9D8-231196AC6A36}"/>
    <cellStyle name="Output 2 7 6 10 2" xfId="52985" xr:uid="{20DE2FAD-C459-451E-AFEA-3B8633613CA9}"/>
    <cellStyle name="Output 2 7 6 11" xfId="43062" xr:uid="{211534A0-3AA9-4963-AA6C-46FF80DF302B}"/>
    <cellStyle name="Output 2 7 6 2" xfId="2101" xr:uid="{00000000-0005-0000-0000-000018080000}"/>
    <cellStyle name="Output 2 7 6 2 10" xfId="14730" xr:uid="{4218112F-9566-4A85-B461-A07791BBE6F9}"/>
    <cellStyle name="Output 2 7 6 2 10 2" xfId="37188" xr:uid="{18F172EE-C6E1-408C-82D5-3B6E87AA645B}"/>
    <cellStyle name="Output 2 7 6 2 10 3" xfId="48311" xr:uid="{2577F175-14CE-4A93-8084-AC423D485763}"/>
    <cellStyle name="Output 2 7 6 2 11" xfId="20162" xr:uid="{E5A8E5C5-3FF8-45AA-82C1-54E8AD2C6E1C}"/>
    <cellStyle name="Output 2 7 6 2 11 2" xfId="42473" xr:uid="{A4802730-FA88-4C95-9880-71C28C1356AE}"/>
    <cellStyle name="Output 2 7 6 2 11 3" xfId="24575" xr:uid="{1F0E66A2-9FD2-4AD6-8702-7E8BCF568E30}"/>
    <cellStyle name="Output 2 7 6 2 12" xfId="20037" xr:uid="{2EC44BE6-DE14-46CE-9009-FFAB7984286D}"/>
    <cellStyle name="Output 2 7 6 2 12 2" xfId="44414" xr:uid="{298D487F-0CA3-4478-A514-EB01F8315677}"/>
    <cellStyle name="Output 2 7 6 2 13" xfId="26263" xr:uid="{6453EED0-BAD4-42A4-9078-75B850163408}"/>
    <cellStyle name="Output 2 7 6 2 2" xfId="4194" xr:uid="{00000000-0005-0000-0000-000016080000}"/>
    <cellStyle name="Output 2 7 6 2 2 2" xfId="11098" xr:uid="{9EABBFA5-B39E-4C7F-B4E8-7F3B7EF41A08}"/>
    <cellStyle name="Output 2 7 6 2 2 2 2" xfId="33584" xr:uid="{DA543F12-F924-421D-A851-267DC270FA0F}"/>
    <cellStyle name="Output 2 7 6 2 2 2 3" xfId="29046" xr:uid="{0D24B052-9063-447A-AFDB-86362A496CAC}"/>
    <cellStyle name="Output 2 7 6 2 2 3" xfId="16187" xr:uid="{843F9A8F-0F5A-4370-B8A2-E088437642FB}"/>
    <cellStyle name="Output 2 7 6 2 2 3 2" xfId="38586" xr:uid="{4F4961BD-16F7-4B24-887B-42A843272FE9}"/>
    <cellStyle name="Output 2 7 6 2 2 3 3" xfId="42009" xr:uid="{6166375E-B405-4828-B255-34BF4B6AAA31}"/>
    <cellStyle name="Output 2 7 6 2 2 4" xfId="20537" xr:uid="{024662E6-0EB3-4310-B823-40FC438811BB}"/>
    <cellStyle name="Output 2 7 6 2 2 4 2" xfId="42823" xr:uid="{C099A973-6774-4165-AF4A-32DF06A6175D}"/>
    <cellStyle name="Output 2 7 6 2 2 4 3" xfId="47775" xr:uid="{A284D633-1017-4DC5-A5DF-6D3D1D2A2FAC}"/>
    <cellStyle name="Output 2 7 6 2 2 5" xfId="19249" xr:uid="{26930465-260C-4922-ADBD-1F2BE77359F4}"/>
    <cellStyle name="Output 2 7 6 2 2 5 2" xfId="29867" xr:uid="{9AC0443A-D0AA-4977-82A4-9543D1A5B049}"/>
    <cellStyle name="Output 2 7 6 2 2 6" xfId="47894" xr:uid="{A0DA4A2A-FD50-4B6A-B6BB-7DC2A9EC6840}"/>
    <cellStyle name="Output 2 7 6 2 3" xfId="5520" xr:uid="{00000000-0005-0000-0000-000016080000}"/>
    <cellStyle name="Output 2 7 6 2 3 2" xfId="12409" xr:uid="{EFD1EA53-17CF-4151-9352-8C854ECC046D}"/>
    <cellStyle name="Output 2 7 6 2 3 2 2" xfId="34894" xr:uid="{6FCC6A87-2DE8-41DE-A940-31B11365F2A3}"/>
    <cellStyle name="Output 2 7 6 2 3 2 3" xfId="45896" xr:uid="{FFD18F65-14D1-44D3-897B-5A7F48568B1E}"/>
    <cellStyle name="Output 2 7 6 2 3 3" xfId="17457" xr:uid="{BBF7519D-315E-42A6-ACD5-81A52E591436}"/>
    <cellStyle name="Output 2 7 6 2 3 3 2" xfId="39847" xr:uid="{81F7C578-C17E-4114-8637-0F484B5118CB}"/>
    <cellStyle name="Output 2 7 6 2 3 3 3" xfId="44761" xr:uid="{16133320-B613-4A90-977E-3F87B97C09A2}"/>
    <cellStyle name="Output 2 7 6 2 3 4" xfId="19738" xr:uid="{487377DB-70E2-4EB9-82E3-A9111C34CAF9}"/>
    <cellStyle name="Output 2 7 6 2 3 4 2" xfId="42082" xr:uid="{B6B62275-827B-4C24-B656-B89711793511}"/>
    <cellStyle name="Output 2 7 6 2 3 4 3" xfId="28485" xr:uid="{8E44E5C8-A279-46EA-8C45-5B6844EA5EFF}"/>
    <cellStyle name="Output 2 7 6 2 3 5" xfId="21881" xr:uid="{EA0428B0-7051-4B05-ABC8-E807E121ED93}"/>
    <cellStyle name="Output 2 7 6 2 3 5 2" xfId="27979" xr:uid="{FD7F7EDD-3AFE-48C8-8B87-4EAC9F7743A0}"/>
    <cellStyle name="Output 2 7 6 2 3 6" xfId="54035" xr:uid="{85330437-A7B1-449E-BD0C-0FAA7A6969C3}"/>
    <cellStyle name="Output 2 7 6 2 4" xfId="5942" xr:uid="{00000000-0005-0000-0000-000016080000}"/>
    <cellStyle name="Output 2 7 6 2 4 2" xfId="12823" xr:uid="{C91A0F5B-70C5-450E-A47E-CF59C51E2C3E}"/>
    <cellStyle name="Output 2 7 6 2 4 2 2" xfId="35307" xr:uid="{F8217FE1-4B8A-491A-96D4-86836CD99C62}"/>
    <cellStyle name="Output 2 7 6 2 4 2 3" xfId="52167" xr:uid="{73E9CB35-5DF8-4FAD-9D63-98FD7B179232}"/>
    <cellStyle name="Output 2 7 6 2 4 3" xfId="17879" xr:uid="{7B2F99A1-84D3-40EA-B15C-735E08863E6A}"/>
    <cellStyle name="Output 2 7 6 2 4 3 2" xfId="40269" xr:uid="{F9BAD00F-3C01-4DE5-9258-07CB4963C520}"/>
    <cellStyle name="Output 2 7 6 2 4 3 3" xfId="44511" xr:uid="{0A68F043-9D89-40D9-81CB-C7F05A73975F}"/>
    <cellStyle name="Output 2 7 6 2 4 4" xfId="14304" xr:uid="{8A85A255-FF70-452E-A62B-CB995926AA67}"/>
    <cellStyle name="Output 2 7 6 2 4 4 2" xfId="36773" xr:uid="{16EF0B9D-2864-44BB-95E5-1EA98EAE6A6D}"/>
    <cellStyle name="Output 2 7 6 2 4 4 3" xfId="51709" xr:uid="{23187314-FDC6-47A8-A816-138185AC3815}"/>
    <cellStyle name="Output 2 7 6 2 4 5" xfId="22303" xr:uid="{E8300A59-6D79-4BF3-880E-C04F9FD69F23}"/>
    <cellStyle name="Output 2 7 6 2 4 5 2" xfId="49251" xr:uid="{3468A74D-BB68-475C-A6DF-3773F78D9B5D}"/>
    <cellStyle name="Output 2 7 6 2 4 6" xfId="24933" xr:uid="{81F3E123-9A37-42E8-B194-2D3EEA9F60BE}"/>
    <cellStyle name="Output 2 7 6 2 5" xfId="6282" xr:uid="{00000000-0005-0000-0000-000016080000}"/>
    <cellStyle name="Output 2 7 6 2 5 2" xfId="13154" xr:uid="{CC6CAAF7-0D3F-4766-BCF7-EBE54284D6C5}"/>
    <cellStyle name="Output 2 7 6 2 5 2 2" xfId="35638" xr:uid="{7D15D195-EC38-412D-B15A-7FDAEFA31160}"/>
    <cellStyle name="Output 2 7 6 2 5 2 3" xfId="50874" xr:uid="{55BFADFF-7A82-4073-92E1-BDA9323F647E}"/>
    <cellStyle name="Output 2 7 6 2 5 3" xfId="18219" xr:uid="{A9B85B13-6045-4F8D-94BF-3AE296C79D55}"/>
    <cellStyle name="Output 2 7 6 2 5 3 2" xfId="40609" xr:uid="{835F5F0F-B8E6-4BDD-B8CD-CB4C820E3827}"/>
    <cellStyle name="Output 2 7 6 2 5 3 3" xfId="45065" xr:uid="{441A8DDF-398D-4F86-9606-C886FBE5C330}"/>
    <cellStyle name="Output 2 7 6 2 5 4" xfId="8818" xr:uid="{EA0D7ADE-9D71-4AFD-A0AC-7E70134658E3}"/>
    <cellStyle name="Output 2 7 6 2 5 4 2" xfId="31399" xr:uid="{868ECEE1-8966-408D-8ADF-6CE99509980D}"/>
    <cellStyle name="Output 2 7 6 2 5 4 3" xfId="52633" xr:uid="{038DF764-E7A8-4F54-A709-F7F04A53435B}"/>
    <cellStyle name="Output 2 7 6 2 5 5" xfId="22643" xr:uid="{3ADC1D9F-CA78-4719-921A-5C88C73867C8}"/>
    <cellStyle name="Output 2 7 6 2 5 5 2" xfId="47305" xr:uid="{345F6A31-D728-4DEB-8A89-48C0A96F9AD5}"/>
    <cellStyle name="Output 2 7 6 2 5 6" xfId="51687" xr:uid="{DF83DDDA-DE56-4EC5-9996-7E1749B189A2}"/>
    <cellStyle name="Output 2 7 6 2 6" xfId="6637" xr:uid="{00000000-0005-0000-0000-000016080000}"/>
    <cellStyle name="Output 2 7 6 2 6 2" xfId="13503" xr:uid="{4B6E0501-C38C-4251-87B6-5703F6D696C4}"/>
    <cellStyle name="Output 2 7 6 2 6 2 2" xfId="35987" xr:uid="{B44CC3F1-7A4C-453E-B2FE-8BB703226DF2}"/>
    <cellStyle name="Output 2 7 6 2 6 2 3" xfId="43818" xr:uid="{730CAB61-53D6-4C57-97F1-328557271D56}"/>
    <cellStyle name="Output 2 7 6 2 6 3" xfId="18574" xr:uid="{C5A3D03A-7309-46C7-B5B3-E158175926C2}"/>
    <cellStyle name="Output 2 7 6 2 6 3 2" xfId="40964" xr:uid="{D1310544-83E4-4AC8-9CF2-F0BBC535D1B2}"/>
    <cellStyle name="Output 2 7 6 2 6 3 3" xfId="27672" xr:uid="{03D8DBCD-27F5-4501-AFC2-EBA3EE84BCAE}"/>
    <cellStyle name="Output 2 7 6 2 6 4" xfId="20230" xr:uid="{2B9CC13D-1588-4155-9F16-3CCB7AD68308}"/>
    <cellStyle name="Output 2 7 6 2 6 4 2" xfId="42535" xr:uid="{BD27953F-F274-4719-9370-B4E3727E0222}"/>
    <cellStyle name="Output 2 7 6 2 6 4 3" xfId="45795" xr:uid="{2FA1CBEA-B461-42A0-BD50-CEC0885DC2B2}"/>
    <cellStyle name="Output 2 7 6 2 6 5" xfId="22998" xr:uid="{6E609772-069B-40F6-9113-8A477E47F6B5}"/>
    <cellStyle name="Output 2 7 6 2 6 5 2" xfId="42399" xr:uid="{76B0D451-F378-42CA-AE3A-3B5D8EC0E255}"/>
    <cellStyle name="Output 2 7 6 2 6 6" xfId="48094" xr:uid="{11BDABA0-F151-445C-B099-C0C1DDD94EB8}"/>
    <cellStyle name="Output 2 7 6 2 7" xfId="4485" xr:uid="{00000000-0005-0000-0000-000016080000}"/>
    <cellStyle name="Output 2 7 6 2 7 2" xfId="11387" xr:uid="{3E0C7E33-C458-485F-BF41-C06BA267B720}"/>
    <cellStyle name="Output 2 7 6 2 7 2 2" xfId="33873" xr:uid="{6BC39736-9463-4135-A84A-DAF9D81E7F78}"/>
    <cellStyle name="Output 2 7 6 2 7 2 3" xfId="43497" xr:uid="{1D403721-86E9-4426-926D-4E2DB23AAC42}"/>
    <cellStyle name="Output 2 7 6 2 7 3" xfId="16422" xr:uid="{B72AF0CF-CA97-4954-8A4F-E52CE4D8FA14}"/>
    <cellStyle name="Output 2 7 6 2 7 3 2" xfId="38812" xr:uid="{6D1E897E-3F8B-4FEC-9706-CC3A75F81969}"/>
    <cellStyle name="Output 2 7 6 2 7 3 3" xfId="43141" xr:uid="{97C37CEA-B38C-4500-B3BC-9D7A52789CEF}"/>
    <cellStyle name="Output 2 7 6 2 7 4" xfId="9032" xr:uid="{F1452007-AB73-4B3A-9261-79A8897F2C78}"/>
    <cellStyle name="Output 2 7 6 2 7 4 2" xfId="31609" xr:uid="{1C4663A0-C56E-4331-8410-A6C136F1455C}"/>
    <cellStyle name="Output 2 7 6 2 7 4 3" xfId="46275" xr:uid="{44AA35AD-AE23-4489-AF49-CE4EEA9BD93F}"/>
    <cellStyle name="Output 2 7 6 2 7 5" xfId="21245" xr:uid="{68CCAEAB-F707-462F-BE15-E561DA65E491}"/>
    <cellStyle name="Output 2 7 6 2 7 5 2" xfId="49114" xr:uid="{25D65F31-BA97-4A68-AD8C-70E5AF848D19}"/>
    <cellStyle name="Output 2 7 6 2 7 6" xfId="50915" xr:uid="{8B9FBC73-4E29-4AFF-9FF2-702F04FEA0D4}"/>
    <cellStyle name="Output 2 7 6 2 8" xfId="7092" xr:uid="{00000000-0005-0000-0000-000016080000}"/>
    <cellStyle name="Output 2 7 6 2 8 2" xfId="13928" xr:uid="{5BC48BA3-8C2D-421C-8E6A-4C984FFB6EC5}"/>
    <cellStyle name="Output 2 7 6 2 8 2 2" xfId="36412" xr:uid="{386A6E1A-04DD-4FC6-8366-443151E2FD86}"/>
    <cellStyle name="Output 2 7 6 2 8 2 3" xfId="47439" xr:uid="{0065AD36-BC2C-473F-BF32-03DB1F8AC60B}"/>
    <cellStyle name="Output 2 7 6 2 8 3" xfId="19029" xr:uid="{C310022B-8DAB-45C7-92E8-8D01C55A6B5F}"/>
    <cellStyle name="Output 2 7 6 2 8 3 2" xfId="41419" xr:uid="{33EC7403-8EF0-49B9-AFB7-6C128CBD4082}"/>
    <cellStyle name="Output 2 7 6 2 8 3 3" xfId="28963" xr:uid="{20430134-C81C-4FEB-8159-14C1D3225FAD}"/>
    <cellStyle name="Output 2 7 6 2 8 4" xfId="20550" xr:uid="{E4BEC78F-55C2-4156-8A83-70C4A7C29C52}"/>
    <cellStyle name="Output 2 7 6 2 8 4 2" xfId="42836" xr:uid="{8C727AB9-07CA-4030-B835-628F70280432}"/>
    <cellStyle name="Output 2 7 6 2 8 4 3" xfId="50459" xr:uid="{5DBE348D-8F68-4F98-BCAA-FCE11C2A0409}"/>
    <cellStyle name="Output 2 7 6 2 8 5" xfId="23453" xr:uid="{CCC8B529-E50B-493C-8F86-327217A45D38}"/>
    <cellStyle name="Output 2 7 6 2 8 5 2" xfId="46320" xr:uid="{F4B13404-110D-4D93-92B1-D8FAAC7A7FD5}"/>
    <cellStyle name="Output 2 7 6 2 8 6" xfId="49379" xr:uid="{41C57881-D57C-473C-A984-EDDD53D79F36}"/>
    <cellStyle name="Output 2 7 6 2 9" xfId="7207" xr:uid="{00000000-0005-0000-0000-000016080000}"/>
    <cellStyle name="Output 2 7 6 2 9 2" xfId="19144" xr:uid="{AF5121A0-FD10-448D-BAAE-F11310430A4D}"/>
    <cellStyle name="Output 2 7 6 2 9 2 2" xfId="41534" xr:uid="{C4AB7D77-B8B3-4A6E-807B-293D4EF5E434}"/>
    <cellStyle name="Output 2 7 6 2 9 2 3" xfId="28909" xr:uid="{E04650E1-0CB3-4B00-A56E-72462F94D5C0}"/>
    <cellStyle name="Output 2 7 6 2 9 3" xfId="19525" xr:uid="{0F066775-49E1-45E8-9619-E6A9BFEADD10}"/>
    <cellStyle name="Output 2 7 6 2 9 3 2" xfId="41885" xr:uid="{A4B4BD13-1A87-4476-BC1B-B5B9080E7FFE}"/>
    <cellStyle name="Output 2 7 6 2 9 3 3" xfId="26104" xr:uid="{FD616E35-FAE1-450B-B479-9D9023A30617}"/>
    <cellStyle name="Output 2 7 6 2 9 4" xfId="23568" xr:uid="{440EE667-B60D-4A6C-8230-B9C343EBC1BA}"/>
    <cellStyle name="Output 2 7 6 2 9 4 2" xfId="37083" xr:uid="{87D6A28F-6B03-48CD-8034-C7151F4BF1FA}"/>
    <cellStyle name="Output 2 7 6 2 9 5" xfId="51241" xr:uid="{7F31424B-00F6-40B7-A16C-8414390B46B6}"/>
    <cellStyle name="Output 2 7 6 3" xfId="3476" xr:uid="{00000000-0005-0000-0000-000015080000}"/>
    <cellStyle name="Output 2 7 6 3 2" xfId="10383" xr:uid="{2D694167-ACFC-419F-BB76-3864C973973E}"/>
    <cellStyle name="Output 2 7 6 3 2 2" xfId="32870" xr:uid="{0C194441-5894-4CED-94E3-DC9669578DDE}"/>
    <cellStyle name="Output 2 7 6 3 2 3" xfId="46778" xr:uid="{707B7372-AD78-455D-8613-8F79D00F523C}"/>
    <cellStyle name="Output 2 7 6 3 3" xfId="15654" xr:uid="{8CD1EC5F-3CD6-42C9-A61B-04619C8A483A}"/>
    <cellStyle name="Output 2 7 6 3 3 2" xfId="38070" xr:uid="{9D60F82C-3B96-4D84-A5F9-67B19F24D379}"/>
    <cellStyle name="Output 2 7 6 3 3 3" xfId="53051" xr:uid="{2DD40181-A526-4D03-BBEA-5768772DFD03}"/>
    <cellStyle name="Output 2 7 6 3 4" xfId="20437" xr:uid="{459D34E8-EA8C-429D-AA10-DC290A8E27AC}"/>
    <cellStyle name="Output 2 7 6 3 4 2" xfId="42729" xr:uid="{E1D8DEC8-7748-47AF-86B4-46E08E4900BF}"/>
    <cellStyle name="Output 2 7 6 3 4 3" xfId="46323" xr:uid="{8FB6B3E7-02DA-4F5D-B156-AD8C59215516}"/>
    <cellStyle name="Output 2 7 6 3 5" xfId="20866" xr:uid="{29CD5893-6EE1-4134-8923-4412E075996F}"/>
    <cellStyle name="Output 2 7 6 3 5 2" xfId="30694" xr:uid="{3764C9F7-10B1-4BD9-BBF4-92F999175540}"/>
    <cellStyle name="Output 2 7 6 3 6" xfId="53937" xr:uid="{07A6B77B-E963-4710-B398-DA24BFF7D7EC}"/>
    <cellStyle name="Output 2 7 6 4" xfId="5009" xr:uid="{00000000-0005-0000-0000-000015080000}"/>
    <cellStyle name="Output 2 7 6 4 2" xfId="11903" xr:uid="{03526AFC-AB7F-43CA-8FEE-50F122928177}"/>
    <cellStyle name="Output 2 7 6 4 2 2" xfId="34389" xr:uid="{4A0C4F15-81CA-4E3A-A313-99A7A208AE74}"/>
    <cellStyle name="Output 2 7 6 4 2 3" xfId="37547" xr:uid="{7CD543EF-9663-4C50-8017-A610DF903E19}"/>
    <cellStyle name="Output 2 7 6 4 3" xfId="16946" xr:uid="{8A2EF590-5D66-48AE-8988-351A860732DD}"/>
    <cellStyle name="Output 2 7 6 4 3 2" xfId="39336" xr:uid="{97B8F664-1EDD-4473-A4DC-2D583C731946}"/>
    <cellStyle name="Output 2 7 6 4 3 3" xfId="28140" xr:uid="{5A5E1FA7-0833-4E1E-BFF0-1CE6B33C1DDC}"/>
    <cellStyle name="Output 2 7 6 4 4" xfId="14059" xr:uid="{07F86061-B1E7-47A8-AB16-991CBC3EAB73}"/>
    <cellStyle name="Output 2 7 6 4 4 2" xfId="36538" xr:uid="{1A245147-1D8F-417A-9B7E-3283ED6401AF}"/>
    <cellStyle name="Output 2 7 6 4 4 3" xfId="37161" xr:uid="{C7389393-B2B8-4710-B8B6-85FFBEEAABE3}"/>
    <cellStyle name="Output 2 7 6 4 5" xfId="21370" xr:uid="{1D34D52B-4EB5-478C-8EB7-A3540C9F1CB6}"/>
    <cellStyle name="Output 2 7 6 4 5 2" xfId="47883" xr:uid="{86D22B6C-6A3A-4D66-958F-772AF9F7966C}"/>
    <cellStyle name="Output 2 7 6 4 6" xfId="48069" xr:uid="{AE5820D7-5B04-41E7-8B17-2047D68528FD}"/>
    <cellStyle name="Output 2 7 6 5" xfId="4953" xr:uid="{00000000-0005-0000-0000-000015080000}"/>
    <cellStyle name="Output 2 7 6 5 2" xfId="11848" xr:uid="{B9D56321-EBF7-4DB9-83ED-ACFC8047EDA5}"/>
    <cellStyle name="Output 2 7 6 5 2 2" xfId="34334" xr:uid="{A8F6C642-11EB-4186-A837-5F3755E5278A}"/>
    <cellStyle name="Output 2 7 6 5 2 3" xfId="25843" xr:uid="{60A17E74-2FD2-48C4-8BE8-F7FF7032EF8A}"/>
    <cellStyle name="Output 2 7 6 5 3" xfId="16890" xr:uid="{51EBC51C-E646-4C8D-B822-6FE7B59A4318}"/>
    <cellStyle name="Output 2 7 6 5 3 2" xfId="39280" xr:uid="{4ED11EE8-DCA0-4E6F-ADFE-EB9B095DE249}"/>
    <cellStyle name="Output 2 7 6 5 3 3" xfId="43911" xr:uid="{3DF9CD97-69EA-4AC5-BB71-C6AC1BF6D649}"/>
    <cellStyle name="Output 2 7 6 5 4" xfId="14630" xr:uid="{47F8A532-F3A4-4807-A539-BB464CDE4B1A}"/>
    <cellStyle name="Output 2 7 6 5 4 2" xfId="37091" xr:uid="{928CCFF7-D021-451F-99B7-65D4F5D9DD32}"/>
    <cellStyle name="Output 2 7 6 5 4 3" xfId="53593" xr:uid="{A72B39A6-827D-48DD-92BC-BEE0FA7F5839}"/>
    <cellStyle name="Output 2 7 6 5 5" xfId="21314" xr:uid="{427DCDDA-69A0-4C41-945D-97FD4639D566}"/>
    <cellStyle name="Output 2 7 6 5 5 2" xfId="49738" xr:uid="{E3DF2117-1AB1-483E-94DC-C4E38B501BE4}"/>
    <cellStyle name="Output 2 7 6 5 6" xfId="32490" xr:uid="{DFF7A498-B73F-4BCD-B0F3-6E8709863244}"/>
    <cellStyle name="Output 2 7 6 6" xfId="6054" xr:uid="{00000000-0005-0000-0000-000015080000}"/>
    <cellStyle name="Output 2 7 6 6 2" xfId="12933" xr:uid="{D9542697-6F10-4259-BA07-BC5F04AD13DC}"/>
    <cellStyle name="Output 2 7 6 6 2 2" xfId="35417" xr:uid="{254AAEB3-19B8-4FDC-93D6-BCEF1CF6D2B6}"/>
    <cellStyle name="Output 2 7 6 6 2 3" xfId="46922" xr:uid="{191884EC-9364-4812-95A0-DE7847F48856}"/>
    <cellStyle name="Output 2 7 6 6 3" xfId="17991" xr:uid="{B43922F8-A6F7-47F8-974E-3FBBCE5182D9}"/>
    <cellStyle name="Output 2 7 6 6 3 2" xfId="40381" xr:uid="{8D76B514-AD8B-429B-9AAF-9BD1E2739A9C}"/>
    <cellStyle name="Output 2 7 6 6 3 3" xfId="25760" xr:uid="{F8D9E37F-249A-4758-B041-E69F5D4CD1D0}"/>
    <cellStyle name="Output 2 7 6 6 4" xfId="14755" xr:uid="{5EC12655-F91A-4C49-86EC-4520D852E928}"/>
    <cellStyle name="Output 2 7 6 6 4 2" xfId="37213" xr:uid="{3EE865C1-8D41-45BE-B6B3-D16AF7F0A5B2}"/>
    <cellStyle name="Output 2 7 6 6 4 3" xfId="28548" xr:uid="{397CC06C-D466-430D-B3B4-2EA14B02B060}"/>
    <cellStyle name="Output 2 7 6 6 5" xfId="22415" xr:uid="{27354B15-F09E-4ED3-80D8-801C9BD1DA0B}"/>
    <cellStyle name="Output 2 7 6 6 5 2" xfId="52023" xr:uid="{0788F320-5EE0-433F-849C-1358CB50B440}"/>
    <cellStyle name="Output 2 7 6 6 6" xfId="48742" xr:uid="{9907C6A5-10B8-467C-B08F-3CCFDA63E466}"/>
    <cellStyle name="Output 2 7 6 7" xfId="4776" xr:uid="{00000000-0005-0000-0000-000015080000}"/>
    <cellStyle name="Output 2 7 6 7 2" xfId="11673" xr:uid="{35C0B3E1-CC15-42D6-A2FB-4A29BDAAD5C7}"/>
    <cellStyle name="Output 2 7 6 7 2 2" xfId="34159" xr:uid="{26E9F2C0-D600-4131-8611-CB7C65BB09F4}"/>
    <cellStyle name="Output 2 7 6 7 2 3" xfId="45832" xr:uid="{F4EAB713-DA10-4AD7-B7D2-0E6B3EF3FCDF}"/>
    <cellStyle name="Output 2 7 6 7 3" xfId="16713" xr:uid="{E66CB6E2-96B8-4D10-B94D-5033D6FD972F}"/>
    <cellStyle name="Output 2 7 6 7 3 2" xfId="39103" xr:uid="{BADB8867-08F5-4169-925D-285E15F8810C}"/>
    <cellStyle name="Output 2 7 6 7 3 3" xfId="45087" xr:uid="{302E3C1A-854B-4A63-82E4-301793D87E1C}"/>
    <cellStyle name="Output 2 7 6 7 4" xfId="8735" xr:uid="{12DA1B01-1921-4C49-ACE8-48F81D669462}"/>
    <cellStyle name="Output 2 7 6 7 4 2" xfId="31318" xr:uid="{E51D8B4E-6E4A-4730-B3D9-EAAD3953AC9F}"/>
    <cellStyle name="Output 2 7 6 7 4 3" xfId="52792" xr:uid="{6533DD68-4320-4885-B81A-3B2DCDE9F1D3}"/>
    <cellStyle name="Output 2 7 6 7 5" xfId="8739" xr:uid="{4E030E09-7E85-4A70-94DB-F4316A7EBADC}"/>
    <cellStyle name="Output 2 7 6 7 5 2" xfId="48918" xr:uid="{21EC51AC-3AC6-4D50-97BC-06C74766C795}"/>
    <cellStyle name="Output 2 7 6 7 6" xfId="53299" xr:uid="{E82A63BD-2210-4C54-A685-8BB0F6E5622F}"/>
    <cellStyle name="Output 2 7 6 8" xfId="14191" xr:uid="{B16157D4-0B75-461A-9485-F4FB98842E34}"/>
    <cellStyle name="Output 2 7 6 8 2" xfId="36666" xr:uid="{1C48A279-C03D-4648-A75B-1BFC9ACFB65F}"/>
    <cellStyle name="Output 2 7 6 8 3" xfId="53667" xr:uid="{D8CA8C87-1E36-40F3-9D75-E890FE638E56}"/>
    <cellStyle name="Output 2 7 6 9" xfId="15406" xr:uid="{63681F6A-E738-4751-9A14-71D4FE2C9019}"/>
    <cellStyle name="Output 2 7 6 9 2" xfId="37832" xr:uid="{332F7B74-179A-40F6-BBAF-4CF44CC5B179}"/>
    <cellStyle name="Output 2 7 6 9 3" xfId="51169" xr:uid="{5027309D-98D4-4978-98C0-1DFAB8728598}"/>
    <cellStyle name="Output 2 7 7" xfId="1644" xr:uid="{00000000-0005-0000-0000-000019080000}"/>
    <cellStyle name="Output 2 7 7 10" xfId="14358" xr:uid="{9F48FB34-A29D-487A-8F59-1385D9532FF2}"/>
    <cellStyle name="Output 2 7 7 10 2" xfId="36826" xr:uid="{F73B4486-F785-4AAB-864C-485A641B4E28}"/>
    <cellStyle name="Output 2 7 7 10 3" xfId="29736" xr:uid="{806F6A97-8A34-40DE-AB03-22EF3CF47293}"/>
    <cellStyle name="Output 2 7 7 11" xfId="19488" xr:uid="{5C298EC4-42A9-4F6A-A03F-8636AE3C7E0A}"/>
    <cellStyle name="Output 2 7 7 11 2" xfId="41852" xr:uid="{1E33E763-15F6-4B92-B8A7-72D1C724FDB9}"/>
    <cellStyle name="Output 2 7 7 11 3" xfId="44893" xr:uid="{B891EF6C-24D8-43C8-AA45-F2E0CC427FD0}"/>
    <cellStyle name="Output 2 7 7 12" xfId="20484" xr:uid="{EC4FDE02-5373-477C-BFB5-75FD284DB3F2}"/>
    <cellStyle name="Output 2 7 7 12 2" xfId="51764" xr:uid="{7F8D686A-8431-401A-8238-C059C7516DE7}"/>
    <cellStyle name="Output 2 7 7 13" xfId="46237" xr:uid="{99526281-C095-433B-B443-D19DEDB5BAB6}"/>
    <cellStyle name="Output 2 7 7 2" xfId="3742" xr:uid="{00000000-0005-0000-0000-000017080000}"/>
    <cellStyle name="Output 2 7 7 2 2" xfId="10646" xr:uid="{6F4F40A7-6DB7-4426-9C58-D1DA985A6E51}"/>
    <cellStyle name="Output 2 7 7 2 2 2" xfId="33132" xr:uid="{C2E5283C-A114-49D0-A555-E8A5E8694E90}"/>
    <cellStyle name="Output 2 7 7 2 2 3" xfId="46127" xr:uid="{8B1E46D9-E7EC-4A34-B6A9-DDF9A297C020}"/>
    <cellStyle name="Output 2 7 7 2 3" xfId="15823" xr:uid="{D32EDEBA-B40C-43AE-920D-6B32BBF350E6}"/>
    <cellStyle name="Output 2 7 7 2 3 2" xfId="38231" xr:uid="{6132F31C-7733-492A-8AF8-30CE735093CF}"/>
    <cellStyle name="Output 2 7 7 2 3 3" xfId="47706" xr:uid="{6EEE0BEB-DA76-40E7-BF45-3FDF0049305D}"/>
    <cellStyle name="Output 2 7 7 2 4" xfId="19999" xr:uid="{99579EB8-A064-4447-B99E-9424556AF2A2}"/>
    <cellStyle name="Output 2 7 7 2 4 2" xfId="42324" xr:uid="{E1AB974C-5112-4AD2-A41C-35074BD90F53}"/>
    <cellStyle name="Output 2 7 7 2 4 3" xfId="37582" xr:uid="{04EC370B-8238-4F96-8C97-1EDA29CB983E}"/>
    <cellStyle name="Output 2 7 7 2 5" xfId="8156" xr:uid="{D95060F4-08A8-4542-8D2E-B851F94DB08D}"/>
    <cellStyle name="Output 2 7 7 2 5 2" xfId="46249" xr:uid="{1D17D0B1-98F7-417C-A47F-FC5EE799379B}"/>
    <cellStyle name="Output 2 7 7 2 6" xfId="48259" xr:uid="{28832D98-DA4F-4966-BA49-330CA2B9F690}"/>
    <cellStyle name="Output 2 7 7 3" xfId="5177" xr:uid="{00000000-0005-0000-0000-000017080000}"/>
    <cellStyle name="Output 2 7 7 3 2" xfId="12070" xr:uid="{8259EA73-C77D-46A7-B563-AC6DCA8F8DBF}"/>
    <cellStyle name="Output 2 7 7 3 2 2" xfId="34556" xr:uid="{38EFC2E1-E3EA-4B1B-AC4F-4C9A25D704B3}"/>
    <cellStyle name="Output 2 7 7 3 2 3" xfId="24118" xr:uid="{4BB3EE79-00B5-4D8C-B81A-8B05C50194F6}"/>
    <cellStyle name="Output 2 7 7 3 3" xfId="17114" xr:uid="{BBD3C98D-82AE-4F45-8293-54D2D0DD5FD6}"/>
    <cellStyle name="Output 2 7 7 3 3 2" xfId="39504" xr:uid="{D6DF87C3-57A9-41FE-94E3-E0038E2144D6}"/>
    <cellStyle name="Output 2 7 7 3 3 3" xfId="43146" xr:uid="{E002D0E6-898B-449E-9224-B6B186573DE0}"/>
    <cellStyle name="Output 2 7 7 3 4" xfId="15597" xr:uid="{758E3744-A64B-4B4B-B602-653155644AD1}"/>
    <cellStyle name="Output 2 7 7 3 4 2" xfId="38014" xr:uid="{EA634565-4694-415F-8F1B-FD30A45DD5C7}"/>
    <cellStyle name="Output 2 7 7 3 4 3" xfId="52756" xr:uid="{CA9BD54E-81F6-42E0-A180-EA2957F71AD7}"/>
    <cellStyle name="Output 2 7 7 3 5" xfId="21538" xr:uid="{CD5ED495-C219-4422-BD15-00AAC4C803DE}"/>
    <cellStyle name="Output 2 7 7 3 5 2" xfId="45622" xr:uid="{BC957284-64AE-4E64-B0B1-1BFBAD38CE6C}"/>
    <cellStyle name="Output 2 7 7 3 6" xfId="50530" xr:uid="{1610FB4B-4F33-4898-92B6-DB63A1CA5350}"/>
    <cellStyle name="Output 2 7 7 4" xfId="4742" xr:uid="{00000000-0005-0000-0000-000017080000}"/>
    <cellStyle name="Output 2 7 7 4 2" xfId="11640" xr:uid="{92A8EDEC-0BFC-473A-9AA7-A8AB084182F0}"/>
    <cellStyle name="Output 2 7 7 4 2 2" xfId="34126" xr:uid="{FDE8C687-145A-4742-96C0-2E7EE4C66E65}"/>
    <cellStyle name="Output 2 7 7 4 2 3" xfId="32677" xr:uid="{8F77E303-90C3-4F6F-A81A-BA3C0B77BF1F}"/>
    <cellStyle name="Output 2 7 7 4 3" xfId="16679" xr:uid="{2C45491D-4D01-413D-BBC0-CEE5B747087B}"/>
    <cellStyle name="Output 2 7 7 4 3 2" xfId="39069" xr:uid="{774DB330-305C-4E5B-990F-B38F25530E93}"/>
    <cellStyle name="Output 2 7 7 4 3 3" xfId="28577" xr:uid="{102644D9-F7E5-40D5-BD8E-113C32F5CC40}"/>
    <cellStyle name="Output 2 7 7 4 4" xfId="19576" xr:uid="{2BCB9304-B647-4193-A6AF-FD5344CC16EC}"/>
    <cellStyle name="Output 2 7 7 4 4 2" xfId="41933" xr:uid="{99432294-99F7-4D8E-9E57-88E29D2A11D6}"/>
    <cellStyle name="Output 2 7 7 4 4 3" xfId="28990" xr:uid="{BFAB820C-5809-4E63-B9BC-1BB73CFD2100}"/>
    <cellStyle name="Output 2 7 7 4 5" xfId="15363" xr:uid="{9CE78D3F-2533-4F25-850D-9A600A65E03D}"/>
    <cellStyle name="Output 2 7 7 4 5 2" xfId="47184" xr:uid="{80F38049-0C2D-4CEA-AFC7-3930ADD7C297}"/>
    <cellStyle name="Output 2 7 7 4 6" xfId="28808" xr:uid="{BCE921CF-6BBE-4345-9EFB-D89FAD134780}"/>
    <cellStyle name="Output 2 7 7 5" xfId="5042" xr:uid="{00000000-0005-0000-0000-000017080000}"/>
    <cellStyle name="Output 2 7 7 5 2" xfId="11936" xr:uid="{9BD84876-7E6F-4BCD-B4E7-6021DF8DC3C3}"/>
    <cellStyle name="Output 2 7 7 5 2 2" xfId="34422" xr:uid="{5573A2E1-3510-4DBF-8F6C-E50004B9979D}"/>
    <cellStyle name="Output 2 7 7 5 2 3" xfId="23601" xr:uid="{15BE983F-1204-417F-96B2-2219FD88B1AB}"/>
    <cellStyle name="Output 2 7 7 5 3" xfId="16979" xr:uid="{8E14D156-98B7-4076-97C2-4E67EDF0CC59}"/>
    <cellStyle name="Output 2 7 7 5 3 2" xfId="39369" xr:uid="{0D1EC6BA-9F3D-46CA-B37D-4D9A1CD6C281}"/>
    <cellStyle name="Output 2 7 7 5 3 3" xfId="29388" xr:uid="{C671DF60-29A8-4BDF-9DA2-C611FD86E312}"/>
    <cellStyle name="Output 2 7 7 5 4" xfId="15528" xr:uid="{0FE2C6D2-B5F9-4C6C-8D79-3B0658406D71}"/>
    <cellStyle name="Output 2 7 7 5 4 2" xfId="37948" xr:uid="{2025394B-50D8-4A0D-B4E0-0C86C2BC7EC0}"/>
    <cellStyle name="Output 2 7 7 5 4 3" xfId="47615" xr:uid="{C56DA45F-5509-466F-8AC1-AEDCDA73C960}"/>
    <cellStyle name="Output 2 7 7 5 5" xfId="21403" xr:uid="{F4D13977-9502-4E47-98F6-3B418B3B5615}"/>
    <cellStyle name="Output 2 7 7 5 5 2" xfId="50809" xr:uid="{3AF6520A-E224-4472-AB45-786F62D73843}"/>
    <cellStyle name="Output 2 7 7 5 6" xfId="45002" xr:uid="{8DD7C838-8001-4F63-98A4-99358CBDE7ED}"/>
    <cellStyle name="Output 2 7 7 6" xfId="5116" xr:uid="{00000000-0005-0000-0000-000017080000}"/>
    <cellStyle name="Output 2 7 7 6 2" xfId="12009" xr:uid="{5E880DD3-2B99-48B2-B321-FA5ED9128441}"/>
    <cellStyle name="Output 2 7 7 6 2 2" xfId="34495" xr:uid="{835041B0-536A-4E7C-A5C0-E05549A4646F}"/>
    <cellStyle name="Output 2 7 7 6 2 3" xfId="42921" xr:uid="{D9FA6C29-55FE-426B-896C-0986F8CFA1D9}"/>
    <cellStyle name="Output 2 7 7 6 3" xfId="17053" xr:uid="{4B46B93E-CAF8-4568-B550-2FB15CF27075}"/>
    <cellStyle name="Output 2 7 7 6 3 2" xfId="39443" xr:uid="{163E17EE-7998-4CD5-89C9-C7F3D38CCB24}"/>
    <cellStyle name="Output 2 7 7 6 3 3" xfId="26000" xr:uid="{FB2626A2-9479-4C89-8406-8157F8950D76}"/>
    <cellStyle name="Output 2 7 7 6 4" xfId="15850" xr:uid="{AB6FDD31-E73C-427D-8B61-3C9BE53C80B1}"/>
    <cellStyle name="Output 2 7 7 6 4 2" xfId="38257" xr:uid="{ECE92DDA-C95B-43DB-8277-86C2A366A29F}"/>
    <cellStyle name="Output 2 7 7 6 4 3" xfId="52496" xr:uid="{25ECDC48-F625-42DA-B161-C1C501CD40BD}"/>
    <cellStyle name="Output 2 7 7 6 5" xfId="21477" xr:uid="{820464D7-8564-4014-B5F7-DECB32AD12D3}"/>
    <cellStyle name="Output 2 7 7 6 5 2" xfId="51437" xr:uid="{5FA5CD8C-38AA-494E-8015-AF57F133F3B5}"/>
    <cellStyle name="Output 2 7 7 6 6" xfId="46695" xr:uid="{CC2ECD95-06BF-4D27-85F2-41ACF76F1F90}"/>
    <cellStyle name="Output 2 7 7 7" xfId="6321" xr:uid="{00000000-0005-0000-0000-000017080000}"/>
    <cellStyle name="Output 2 7 7 7 2" xfId="13193" xr:uid="{22C02223-7072-49F3-984B-D75FA603D53D}"/>
    <cellStyle name="Output 2 7 7 7 2 2" xfId="35677" xr:uid="{F2E05C7E-72FB-401F-A39A-ABABDCCA27BD}"/>
    <cellStyle name="Output 2 7 7 7 2 3" xfId="27734" xr:uid="{3546B599-7BB3-4A48-BF92-0793D8EBDB36}"/>
    <cellStyle name="Output 2 7 7 7 3" xfId="18258" xr:uid="{6D50988B-6168-4DC6-87C6-C8E236E1B8CA}"/>
    <cellStyle name="Output 2 7 7 7 3 2" xfId="40648" xr:uid="{FF639ECA-C0A7-4AE1-8774-A8FDA66E0DAB}"/>
    <cellStyle name="Output 2 7 7 7 3 3" xfId="32499" xr:uid="{720ABB4E-B18F-4300-B9E7-84031522B470}"/>
    <cellStyle name="Output 2 7 7 7 4" xfId="14168" xr:uid="{841AFFAB-D721-4B3E-98E8-8050359FF22C}"/>
    <cellStyle name="Output 2 7 7 7 4 2" xfId="36644" xr:uid="{67D11609-086B-437F-A261-719390FF112B}"/>
    <cellStyle name="Output 2 7 7 7 4 3" xfId="46402" xr:uid="{E9C6F490-F1B3-4EAA-988D-BD8CCDD1AAC9}"/>
    <cellStyle name="Output 2 7 7 7 5" xfId="22682" xr:uid="{B062EAAD-917A-4BA8-97E5-C02B3EE551D2}"/>
    <cellStyle name="Output 2 7 7 7 5 2" xfId="49375" xr:uid="{36804508-D1A5-4B4D-AABF-5BAC8433B7E6}"/>
    <cellStyle name="Output 2 7 7 7 6" xfId="50929" xr:uid="{7587EFF4-E277-429C-BB05-9B816698E0C3}"/>
    <cellStyle name="Output 2 7 7 8" xfId="5935" xr:uid="{00000000-0005-0000-0000-000017080000}"/>
    <cellStyle name="Output 2 7 7 8 2" xfId="12816" xr:uid="{88CFB24E-1226-444D-87A7-39B86A0F687C}"/>
    <cellStyle name="Output 2 7 7 8 2 2" xfId="35300" xr:uid="{4553F0EF-255E-4235-975C-FA46A0517773}"/>
    <cellStyle name="Output 2 7 7 8 2 3" xfId="49355" xr:uid="{44CE5EC3-AE95-4631-9501-031BFED329F8}"/>
    <cellStyle name="Output 2 7 7 8 3" xfId="17872" xr:uid="{CD814354-2C52-4E2F-99B0-66C06FC5F2F8}"/>
    <cellStyle name="Output 2 7 7 8 3 2" xfId="40262" xr:uid="{FE92DB26-668E-44D9-83AE-E26F3136E1E0}"/>
    <cellStyle name="Output 2 7 7 8 3 3" xfId="43393" xr:uid="{2B80762C-0F5E-46BA-BC8C-50E6411B1FCC}"/>
    <cellStyle name="Output 2 7 7 8 4" xfId="14554" xr:uid="{BD44E6EC-0C38-43BA-AB6F-B9663390B007}"/>
    <cellStyle name="Output 2 7 7 8 4 2" xfId="37015" xr:uid="{40376F9F-D09C-42A2-8778-94683156DEB3}"/>
    <cellStyle name="Output 2 7 7 8 4 3" xfId="49279" xr:uid="{AE678302-2F52-4312-AB74-4E216173674D}"/>
    <cellStyle name="Output 2 7 7 8 5" xfId="22296" xr:uid="{68806A75-CFF7-4C3B-B4B3-234521F6D93F}"/>
    <cellStyle name="Output 2 7 7 8 5 2" xfId="50194" xr:uid="{4677D52B-C455-4484-94FA-D9BE5217166B}"/>
    <cellStyle name="Output 2 7 7 8 6" xfId="49471" xr:uid="{44C86959-1408-4E9B-8C17-E6CA9D00255A}"/>
    <cellStyle name="Output 2 7 7 9" xfId="5075" xr:uid="{00000000-0005-0000-0000-000017080000}"/>
    <cellStyle name="Output 2 7 7 9 2" xfId="17012" xr:uid="{D49241DB-6516-4940-9FE7-183DCE4E7310}"/>
    <cellStyle name="Output 2 7 7 9 2 2" xfId="39402" xr:uid="{73FEB5BC-B219-4A13-AF9E-A7BFF4EE52C8}"/>
    <cellStyle name="Output 2 7 7 9 2 3" xfId="26693" xr:uid="{58DEA534-B785-43FE-9FDD-075680310C18}"/>
    <cellStyle name="Output 2 7 7 9 3" xfId="19306" xr:uid="{CDA090BB-68CD-4188-8293-F76AF0CA01F5}"/>
    <cellStyle name="Output 2 7 7 9 3 2" xfId="41686" xr:uid="{E069C950-2FC1-41F5-A635-A5F217AA7CB0}"/>
    <cellStyle name="Output 2 7 7 9 3 3" xfId="32647" xr:uid="{939C2B83-07A2-419A-94C6-6A639A06CE33}"/>
    <cellStyle name="Output 2 7 7 9 4" xfId="21436" xr:uid="{02F2505A-9691-4F04-9404-E3859EB136C7}"/>
    <cellStyle name="Output 2 7 7 9 4 2" xfId="46378" xr:uid="{9B8D281F-7B8A-472B-B711-A381127E6AB8}"/>
    <cellStyle name="Output 2 7 7 9 5" xfId="47803" xr:uid="{1277390B-E9FA-4F62-AF41-8A653A8C2D80}"/>
    <cellStyle name="Output 2 7 8" xfId="2594" xr:uid="{00000000-0005-0000-0000-00000C080000}"/>
    <cellStyle name="Output 2 7 8 2" xfId="9503" xr:uid="{477F9C71-74F7-4B14-98F1-31A505F35EE8}"/>
    <cellStyle name="Output 2 7 8 2 2" xfId="32055" xr:uid="{6D9487CA-D1C6-47DA-BDAE-26449F253542}"/>
    <cellStyle name="Output 2 7 8 2 3" xfId="46990" xr:uid="{42262860-B41B-4C73-B7CE-5CDD1FAB134B}"/>
    <cellStyle name="Output 2 7 8 3" xfId="15072" xr:uid="{DC591E3D-1D03-4D76-A534-2164BF314008}"/>
    <cellStyle name="Output 2 7 8 3 2" xfId="37517" xr:uid="{6DEB05D4-1F0D-47B9-8EDD-4A454A707289}"/>
    <cellStyle name="Output 2 7 8 3 3" xfId="29253" xr:uid="{D00ECD3B-2037-4761-9302-209F3ACBEBA5}"/>
    <cellStyle name="Output 2 7 8 4" xfId="16272" xr:uid="{FC915D22-252A-4A7B-B63B-C108BC31D46A}"/>
    <cellStyle name="Output 2 7 8 4 2" xfId="38663" xr:uid="{0691FFC4-DCDC-475E-B8EC-AF106F250BA5}"/>
    <cellStyle name="Output 2 7 8 4 3" xfId="24173" xr:uid="{633ED661-9314-4A8D-B6FB-2E341F3F4D40}"/>
    <cellStyle name="Output 2 7 8 5" xfId="14480" xr:uid="{AC6AA4DF-8F77-4A6E-AF3E-E0088C52AE0B}"/>
    <cellStyle name="Output 2 7 8 5 2" xfId="41878" xr:uid="{32E7348F-FDDF-430B-B689-627AC7FA5378}"/>
    <cellStyle name="Output 2 7 8 6" xfId="48748" xr:uid="{FA32AAF0-A260-4580-B16B-26FA3EE170FC}"/>
    <cellStyle name="Output 2 7 9" xfId="4422" xr:uid="{00000000-0005-0000-0000-00000C080000}"/>
    <cellStyle name="Output 2 7 9 2" xfId="11324" xr:uid="{B34AC0AF-FF06-41CF-971F-397C43D87FCA}"/>
    <cellStyle name="Output 2 7 9 2 2" xfId="33810" xr:uid="{65D8413D-1328-4FC6-9ABC-73C4986EBC08}"/>
    <cellStyle name="Output 2 7 9 2 3" xfId="32512" xr:uid="{1E5AC2C6-5FE0-46B9-81DD-7B311630D925}"/>
    <cellStyle name="Output 2 7 9 3" xfId="16359" xr:uid="{A4CFBA97-5C09-42DF-BF4F-272D3AB559A9}"/>
    <cellStyle name="Output 2 7 9 3 2" xfId="38749" xr:uid="{D62BDCDA-38DD-4D13-99A7-3EAEB9353BF2}"/>
    <cellStyle name="Output 2 7 9 3 3" xfId="29619" xr:uid="{C214D2C0-248B-40C9-BDC1-75FEEC958F24}"/>
    <cellStyle name="Output 2 7 9 4" xfId="19506" xr:uid="{64279CE0-152A-40F8-A3C6-6BAC4C7E1A3B}"/>
    <cellStyle name="Output 2 7 9 4 2" xfId="41869" xr:uid="{B3943F28-D612-483B-B3F7-EE2858D89D85}"/>
    <cellStyle name="Output 2 7 9 4 3" xfId="36949" xr:uid="{411B6B1E-53E4-4CCD-92BF-606966BD4033}"/>
    <cellStyle name="Output 2 7 9 5" xfId="15604" xr:uid="{B56BE47F-046F-422B-9B54-5D8394846F47}"/>
    <cellStyle name="Output 2 7 9 5 2" xfId="44933" xr:uid="{34DFB5BE-D89A-4AB4-9FEF-8B6F89127DD3}"/>
    <cellStyle name="Output 2 7 9 6" xfId="48161" xr:uid="{49B46EBC-0030-461A-93F5-D3794A74B385}"/>
    <cellStyle name="Output 2 8" xfId="438" xr:uid="{00000000-0005-0000-0000-00001A080000}"/>
    <cellStyle name="Output 2 8 10" xfId="4780" xr:uid="{00000000-0005-0000-0000-000018080000}"/>
    <cellStyle name="Output 2 8 10 2" xfId="11677" xr:uid="{D1FB97B5-6F37-493A-B07E-78231A438DA4}"/>
    <cellStyle name="Output 2 8 10 2 2" xfId="34163" xr:uid="{3EC5FC76-317F-4391-8AB9-DC56E313EEF9}"/>
    <cellStyle name="Output 2 8 10 2 3" xfId="24250" xr:uid="{38E30E9B-C1DE-403E-A60E-A6893A357978}"/>
    <cellStyle name="Output 2 8 10 3" xfId="16717" xr:uid="{9D375805-BEAC-41D2-A8D7-C21AE90DED35}"/>
    <cellStyle name="Output 2 8 10 3 2" xfId="39107" xr:uid="{CB052F54-D233-4D81-83AE-EC1DE0B8890E}"/>
    <cellStyle name="Output 2 8 10 3 3" xfId="44572" xr:uid="{BC39BE4A-6213-4F35-87F4-2EF675D6423E}"/>
    <cellStyle name="Output 2 8 10 4" xfId="14778" xr:uid="{C4DF1760-D2FF-4095-9C41-AFF7098DF9E9}"/>
    <cellStyle name="Output 2 8 10 4 2" xfId="37235" xr:uid="{B44F3B9F-294D-4437-9186-8C1A1C431D42}"/>
    <cellStyle name="Output 2 8 10 4 3" xfId="51657" xr:uid="{4D2AD0D6-926A-4E3C-B8BF-AA8B3E254C2F}"/>
    <cellStyle name="Output 2 8 10 5" xfId="20359" xr:uid="{4444880E-6AFD-4077-B37E-4640370F2694}"/>
    <cellStyle name="Output 2 8 10 5 2" xfId="44145" xr:uid="{BE4F58F1-96B9-4769-8FCC-B5308BF98ADE}"/>
    <cellStyle name="Output 2 8 10 6" xfId="45320" xr:uid="{01F8D211-5BB3-4FC1-B7DC-130EE5E07C68}"/>
    <cellStyle name="Output 2 8 11" xfId="5605" xr:uid="{00000000-0005-0000-0000-000018080000}"/>
    <cellStyle name="Output 2 8 11 2" xfId="12490" xr:uid="{5E0BB2E9-E499-40D7-ADAF-33EEB2F6C3F3}"/>
    <cellStyle name="Output 2 8 11 2 2" xfId="34975" xr:uid="{6E1D2F33-D90C-4D2C-9E52-8CC0F5AAA148}"/>
    <cellStyle name="Output 2 8 11 2 3" xfId="26068" xr:uid="{53B4E346-936D-4FC2-965A-C59776EAA3FF}"/>
    <cellStyle name="Output 2 8 11 3" xfId="17542" xr:uid="{5C5DA592-42EC-44BF-A314-B3D15C179555}"/>
    <cellStyle name="Output 2 8 11 3 2" xfId="39932" xr:uid="{2E9B691A-87FC-423F-B32E-2DE53E6A533E}"/>
    <cellStyle name="Output 2 8 11 3 3" xfId="45275" xr:uid="{4E503878-C631-46A6-8934-A6D43864FFBB}"/>
    <cellStyle name="Output 2 8 11 4" xfId="19592" xr:uid="{07E5910F-85D2-40EF-8F2E-004DF94B8AB8}"/>
    <cellStyle name="Output 2 8 11 4 2" xfId="41947" xr:uid="{6EC046B4-1A51-427B-8312-A9BAB676DF0B}"/>
    <cellStyle name="Output 2 8 11 4 3" xfId="24550" xr:uid="{39954E1C-198F-4881-B02E-06DF8C0A0AFB}"/>
    <cellStyle name="Output 2 8 11 5" xfId="21966" xr:uid="{F41E135E-502C-44B6-935C-7AFEF9706CE0}"/>
    <cellStyle name="Output 2 8 11 5 2" xfId="49765" xr:uid="{11EDCF1D-4089-4F77-BBDD-3E674ABDB81E}"/>
    <cellStyle name="Output 2 8 11 6" xfId="47377" xr:uid="{CAFAFDCF-BD5A-4629-B207-8BFCA510CA5B}"/>
    <cellStyle name="Output 2 8 12" xfId="5568" xr:uid="{00000000-0005-0000-0000-000018080000}"/>
    <cellStyle name="Output 2 8 12 2" xfId="12453" xr:uid="{A51C08F5-522E-484E-960A-4C7186AC4B58}"/>
    <cellStyle name="Output 2 8 12 2 2" xfId="34938" xr:uid="{F9112A74-D147-45ED-A9CD-93D602639DE4}"/>
    <cellStyle name="Output 2 8 12 2 3" xfId="45160" xr:uid="{A77DA6EC-C488-43C3-B083-112175513CF1}"/>
    <cellStyle name="Output 2 8 12 3" xfId="17505" xr:uid="{019CC642-7C7B-48FA-9541-ABD8B7F52F55}"/>
    <cellStyle name="Output 2 8 12 3 2" xfId="39895" xr:uid="{9A69BBBD-D91F-4D76-97CC-2C81EBAA11BF}"/>
    <cellStyle name="Output 2 8 12 3 3" xfId="25830" xr:uid="{D3249AF0-9F46-45CC-BADD-D67848E8E714}"/>
    <cellStyle name="Output 2 8 12 4" xfId="19575" xr:uid="{6DC3015B-E560-4631-B4FB-89013BE9F5F1}"/>
    <cellStyle name="Output 2 8 12 4 2" xfId="41932" xr:uid="{3DDAC183-5539-4D52-B5D0-8ED1D8D7B470}"/>
    <cellStyle name="Output 2 8 12 4 3" xfId="25835" xr:uid="{7B155DDD-01E0-4F1A-87A2-22F7AFCC50BD}"/>
    <cellStyle name="Output 2 8 12 5" xfId="21929" xr:uid="{4779045D-05FD-4AFF-822E-5A4E8196ABC6}"/>
    <cellStyle name="Output 2 8 12 5 2" xfId="53875" xr:uid="{53D82244-035E-41C9-8DE1-2DFE68CE4C6C}"/>
    <cellStyle name="Output 2 8 12 6" xfId="48655" xr:uid="{215D5762-4A25-433F-BFF4-19CBFE852F9A}"/>
    <cellStyle name="Output 2 8 13" xfId="8434" xr:uid="{08FDB1B2-6A74-42F8-974E-D4078FC7D156}"/>
    <cellStyle name="Output 2 8 13 2" xfId="31022" xr:uid="{10CF2222-03FB-425E-B820-406110189AE1}"/>
    <cellStyle name="Output 2 8 13 3" xfId="51319" xr:uid="{2740A781-A211-41F3-8C50-B7C2ABF1E77B}"/>
    <cellStyle name="Output 2 8 14" xfId="20892" xr:uid="{99D33FB3-340B-45A5-8136-E6D4A34E17C4}"/>
    <cellStyle name="Output 2 8 14 2" xfId="43154" xr:uid="{367406CA-C3A9-4F36-A242-82F4A3E9829C}"/>
    <cellStyle name="Output 2 8 14 3" xfId="52027" xr:uid="{41FC54C6-6FD7-4D04-8FD5-23748DE0E8B2}"/>
    <cellStyle name="Output 2 8 15" xfId="21178" xr:uid="{BC13B2DA-94A2-4303-9F6D-A4A7D0253203}"/>
    <cellStyle name="Output 2 8 15 2" xfId="52897" xr:uid="{05800182-3AAF-442B-8132-C7E0BE247BBB}"/>
    <cellStyle name="Output 2 8 16" xfId="42528" xr:uid="{3A6879DB-ECF0-4BE3-8272-125E74AACA03}"/>
    <cellStyle name="Output 2 8 2" xfId="591" xr:uid="{00000000-0005-0000-0000-00001B080000}"/>
    <cellStyle name="Output 2 8 2 10" xfId="7619" xr:uid="{56D63F58-08F8-4209-BD7C-A0CC3880241F}"/>
    <cellStyle name="Output 2 8 2 10 2" xfId="52002" xr:uid="{194BC613-F4A8-47B6-9662-CA8C530E0768}"/>
    <cellStyle name="Output 2 8 2 11" xfId="25904" xr:uid="{3CE61A92-ADDB-4686-87D0-5F56425B8250}"/>
    <cellStyle name="Output 2 8 2 2" xfId="1725" xr:uid="{00000000-0005-0000-0000-00001C080000}"/>
    <cellStyle name="Output 2 8 2 2 10" xfId="14426" xr:uid="{22ACAFFC-6EE2-4621-BDE8-F7D4A343539D}"/>
    <cellStyle name="Output 2 8 2 2 10 2" xfId="36892" xr:uid="{83C7D670-3CAE-4496-89EC-2FC074B8FB9D}"/>
    <cellStyle name="Output 2 8 2 2 10 3" xfId="53006" xr:uid="{AAA62CB5-BAC9-4475-B702-731E85069CEA}"/>
    <cellStyle name="Output 2 8 2 2 11" xfId="15933" xr:uid="{E0A4EEF6-B79E-4D63-9441-45C83991E22F}"/>
    <cellStyle name="Output 2 8 2 2 11 2" xfId="38338" xr:uid="{D96D7A2C-6E2E-4989-B6E1-6C4455EE962F}"/>
    <cellStyle name="Output 2 8 2 2 11 3" xfId="48636" xr:uid="{8C3F1127-4FA2-4310-98E2-D8260997FA18}"/>
    <cellStyle name="Output 2 8 2 2 12" xfId="15937" xr:uid="{BB25CDD0-1376-4520-9EC8-17A53D393E2E}"/>
    <cellStyle name="Output 2 8 2 2 12 2" xfId="50861" xr:uid="{10A4ACEB-FB29-42AA-AD1A-0FEB9FD66E38}"/>
    <cellStyle name="Output 2 8 2 2 13" xfId="49026" xr:uid="{406E444F-4DA0-4F18-B2A1-6EA41705FBBB}"/>
    <cellStyle name="Output 2 8 2 2 2" xfId="3823" xr:uid="{00000000-0005-0000-0000-00001A080000}"/>
    <cellStyle name="Output 2 8 2 2 2 2" xfId="10727" xr:uid="{8EB4B05E-CA55-4F48-AEA3-D82A9AF97F13}"/>
    <cellStyle name="Output 2 8 2 2 2 2 2" xfId="33213" xr:uid="{5D1A6A43-B563-4206-91BB-2D81696EA2B3}"/>
    <cellStyle name="Output 2 8 2 2 2 2 3" xfId="49854" xr:uid="{98EB920E-421B-4692-9C66-858BB84AD707}"/>
    <cellStyle name="Output 2 8 2 2 2 3" xfId="15883" xr:uid="{CE068EC4-E8EE-4409-869A-DA1E04146B68}"/>
    <cellStyle name="Output 2 8 2 2 2 3 2" xfId="38289" xr:uid="{3EEA3A62-3032-4B18-B54D-ECC11FFB3F32}"/>
    <cellStyle name="Output 2 8 2 2 2 3 3" xfId="32494" xr:uid="{FF386D84-F168-43E9-A12D-D5EE5BF08F14}"/>
    <cellStyle name="Output 2 8 2 2 2 4" xfId="19910" xr:uid="{A8D1ABC3-85E6-4655-9CCE-5C54441F74A6}"/>
    <cellStyle name="Output 2 8 2 2 2 4 2" xfId="42242" xr:uid="{14C53BE7-3813-4078-8BB4-0D65B08C87BB}"/>
    <cellStyle name="Output 2 8 2 2 2 4 3" xfId="28477" xr:uid="{DC7D8716-AD91-43AE-B193-7BE826B34C3A}"/>
    <cellStyle name="Output 2 8 2 2 2 5" xfId="15402" xr:uid="{D979B428-5A42-4F14-BE79-1CC5CD21C504}"/>
    <cellStyle name="Output 2 8 2 2 2 5 2" xfId="48769" xr:uid="{AF853F4C-D8BF-433A-94BF-7D7B6D893A96}"/>
    <cellStyle name="Output 2 8 2 2 2 6" xfId="28027" xr:uid="{5317BCFA-F100-4AD4-AF15-6421A34E91CA}"/>
    <cellStyle name="Output 2 8 2 2 3" xfId="5239" xr:uid="{00000000-0005-0000-0000-00001A080000}"/>
    <cellStyle name="Output 2 8 2 2 3 2" xfId="12131" xr:uid="{7123A841-7E9D-4E6C-9C9A-377E2B9B1AD6}"/>
    <cellStyle name="Output 2 8 2 2 3 2 2" xfId="34616" xr:uid="{0E41841B-5F1B-4485-A522-92ADF4D19825}"/>
    <cellStyle name="Output 2 8 2 2 3 2 3" xfId="28283" xr:uid="{40D52B8D-0385-4BC2-BFD0-4289C559E9FC}"/>
    <cellStyle name="Output 2 8 2 2 3 3" xfId="17176" xr:uid="{2F3BBE94-4291-4D87-8E6F-E7CCEB615998}"/>
    <cellStyle name="Output 2 8 2 2 3 3 2" xfId="39566" xr:uid="{54A1B2CE-774B-4755-B750-8142A66C3201}"/>
    <cellStyle name="Output 2 8 2 2 3 3 3" xfId="29028" xr:uid="{60333B81-4759-4258-BAF5-9DD66C5865C0}"/>
    <cellStyle name="Output 2 8 2 2 3 4" xfId="13631" xr:uid="{C28ADB32-EDC1-43A4-8A27-E64E4BF3D8EE}"/>
    <cellStyle name="Output 2 8 2 2 3 4 2" xfId="36115" xr:uid="{2E2FA995-A71D-4799-B1F7-87613081E178}"/>
    <cellStyle name="Output 2 8 2 2 3 4 3" xfId="53686" xr:uid="{4F1AE773-DFB5-4DB2-A8D3-CE611102E2F2}"/>
    <cellStyle name="Output 2 8 2 2 3 5" xfId="21600" xr:uid="{046C2A54-095A-451E-A11F-8B8AEEBE52BF}"/>
    <cellStyle name="Output 2 8 2 2 3 5 2" xfId="51504" xr:uid="{6A9B4849-A99A-45BC-A5B4-DB1229D8E1DB}"/>
    <cellStyle name="Output 2 8 2 2 3 6" xfId="49427" xr:uid="{82C8B919-4755-463A-BBBE-72D9120FB7B1}"/>
    <cellStyle name="Output 2 8 2 2 4" xfId="5651" xr:uid="{00000000-0005-0000-0000-00001A080000}"/>
    <cellStyle name="Output 2 8 2 2 4 2" xfId="12535" xr:uid="{63816618-DEF1-4CE8-8B82-878702C93C6E}"/>
    <cellStyle name="Output 2 8 2 2 4 2 2" xfId="35020" xr:uid="{94949C47-3793-4FCE-A068-F786590A27FF}"/>
    <cellStyle name="Output 2 8 2 2 4 2 3" xfId="28654" xr:uid="{5EF6204A-F66B-4C02-8B73-65912CD3E748}"/>
    <cellStyle name="Output 2 8 2 2 4 3" xfId="17588" xr:uid="{608F167C-1A7C-4886-A89A-70CABCB86ACC}"/>
    <cellStyle name="Output 2 8 2 2 4 3 2" xfId="39978" xr:uid="{07A41E28-64EC-477A-9CE7-5F3F60A52570}"/>
    <cellStyle name="Output 2 8 2 2 4 3 3" xfId="42436" xr:uid="{D9DDF265-3431-4282-ADE6-249B43D88311}"/>
    <cellStyle name="Output 2 8 2 2 4 4" xfId="14118" xr:uid="{49F9F448-0570-424F-8E1B-C3E8B478009D}"/>
    <cellStyle name="Output 2 8 2 2 4 4 2" xfId="36595" xr:uid="{95945F2D-7808-4DF8-8FA1-E7823BBBCF78}"/>
    <cellStyle name="Output 2 8 2 2 4 4 3" xfId="29278" xr:uid="{803EDEE1-C292-40C5-BBDF-BBD36DAA39FD}"/>
    <cellStyle name="Output 2 8 2 2 4 5" xfId="22012" xr:uid="{D7EAF367-3420-4D30-9AEF-9D90136D5813}"/>
    <cellStyle name="Output 2 8 2 2 4 5 2" xfId="48062" xr:uid="{C35ABC90-533B-43BA-9A98-886FA1E5F9AF}"/>
    <cellStyle name="Output 2 8 2 2 4 6" xfId="48468" xr:uid="{AE003E7C-0CEF-4CFA-9209-1140D2F462B1}"/>
    <cellStyle name="Output 2 8 2 2 5" xfId="6028" xr:uid="{00000000-0005-0000-0000-00001A080000}"/>
    <cellStyle name="Output 2 8 2 2 5 2" xfId="12908" xr:uid="{9FBAB70A-5B3D-451C-B8E3-0CE722C312DE}"/>
    <cellStyle name="Output 2 8 2 2 5 2 2" xfId="35392" xr:uid="{45C8C5A9-83B6-45FC-9881-FE7396C13414}"/>
    <cellStyle name="Output 2 8 2 2 5 2 3" xfId="51559" xr:uid="{01D46976-1807-47B4-BE52-A4C49C043091}"/>
    <cellStyle name="Output 2 8 2 2 5 3" xfId="17965" xr:uid="{B3AA3D56-A33D-44E3-88F6-3970355421DD}"/>
    <cellStyle name="Output 2 8 2 2 5 3 2" xfId="40355" xr:uid="{C192F95C-8E0C-4DD0-80F5-0AF43AD0CE84}"/>
    <cellStyle name="Output 2 8 2 2 5 3 3" xfId="42165" xr:uid="{EC90D4CC-04DD-47A1-9816-55D367115F7A}"/>
    <cellStyle name="Output 2 8 2 2 5 4" xfId="15576" xr:uid="{F3FB856A-3C29-4945-B336-2ECCF385BC27}"/>
    <cellStyle name="Output 2 8 2 2 5 4 2" xfId="37995" xr:uid="{6EAB0717-59F3-4FE3-A3B8-69E1DD7178D1}"/>
    <cellStyle name="Output 2 8 2 2 5 4 3" xfId="46023" xr:uid="{A49F5D49-6941-4A14-86C2-A68268D74E49}"/>
    <cellStyle name="Output 2 8 2 2 5 5" xfId="22389" xr:uid="{3AD8D133-5CC2-403D-9D6D-F56BBE1D53A8}"/>
    <cellStyle name="Output 2 8 2 2 5 5 2" xfId="49293" xr:uid="{D7DCCD2D-7DEB-477B-8FBB-AA58DEA5CF55}"/>
    <cellStyle name="Output 2 8 2 2 5 6" xfId="32112" xr:uid="{94C0D5E9-C43D-49F7-9A6D-F9B957337DF8}"/>
    <cellStyle name="Output 2 8 2 2 6" xfId="6390" xr:uid="{00000000-0005-0000-0000-00001A080000}"/>
    <cellStyle name="Output 2 8 2 2 6 2" xfId="13262" xr:uid="{E601B307-6D68-4F95-8417-6CD127AAC1D1}"/>
    <cellStyle name="Output 2 8 2 2 6 2 2" xfId="35746" xr:uid="{8C270392-4038-4AA4-BFB1-A6C6E9944E03}"/>
    <cellStyle name="Output 2 8 2 2 6 2 3" xfId="51537" xr:uid="{838E9809-4D54-4BE1-9C6D-6BA44A6DA3A0}"/>
    <cellStyle name="Output 2 8 2 2 6 3" xfId="18327" xr:uid="{5A3B4434-25FA-457D-9D9C-F542A58E2BE8}"/>
    <cellStyle name="Output 2 8 2 2 6 3 2" xfId="40717" xr:uid="{E342906E-994A-463B-9DC7-AF3C6485D995}"/>
    <cellStyle name="Output 2 8 2 2 6 3 3" xfId="44847" xr:uid="{7D678976-3195-457D-BDDF-CFD4E5D672F2}"/>
    <cellStyle name="Output 2 8 2 2 6 4" xfId="21008" xr:uid="{703C6454-564E-45AC-9A9C-1147F4BDA4C6}"/>
    <cellStyle name="Output 2 8 2 2 6 4 2" xfId="43259" xr:uid="{90E7C5A6-44CC-4550-A8CE-F21C5AF9E779}"/>
    <cellStyle name="Output 2 8 2 2 6 4 3" xfId="48967" xr:uid="{10306769-055B-48DF-9593-EEE000D37F8F}"/>
    <cellStyle name="Output 2 8 2 2 6 5" xfId="22751" xr:uid="{9C6B089E-260A-4732-B744-4BA460FA67A6}"/>
    <cellStyle name="Output 2 8 2 2 6 5 2" xfId="46542" xr:uid="{606F6AF7-A989-476A-887A-A68CA71CF304}"/>
    <cellStyle name="Output 2 8 2 2 6 6" xfId="51770" xr:uid="{8B6A41F5-7E16-4EED-B405-3368BE5682E5}"/>
    <cellStyle name="Output 2 8 2 2 7" xfId="6851" xr:uid="{00000000-0005-0000-0000-00001A080000}"/>
    <cellStyle name="Output 2 8 2 2 7 2" xfId="13694" xr:uid="{D3115636-9F2F-414E-8C06-A2F4603D2C9D}"/>
    <cellStyle name="Output 2 8 2 2 7 2 2" xfId="36178" xr:uid="{6DBA98D1-E69B-42F5-B7B0-450316688CF8}"/>
    <cellStyle name="Output 2 8 2 2 7 2 3" xfId="53397" xr:uid="{EF1303CE-8C2F-465A-B337-2F6703FCF95C}"/>
    <cellStyle name="Output 2 8 2 2 7 3" xfId="18788" xr:uid="{EA6558F1-FFEE-4E12-8851-29F0F47CC525}"/>
    <cellStyle name="Output 2 8 2 2 7 3 2" xfId="41178" xr:uid="{CF0E3B3F-122F-49AD-8ABE-820346E12778}"/>
    <cellStyle name="Output 2 8 2 2 7 3 3" xfId="42549" xr:uid="{668A98E8-9342-4111-97F0-621B3DF24C28}"/>
    <cellStyle name="Output 2 8 2 2 7 4" xfId="19316" xr:uid="{FC121397-92B0-4F29-B775-35075864FBF6}"/>
    <cellStyle name="Output 2 8 2 2 7 4 2" xfId="41696" xr:uid="{7422C83C-38DA-41AE-A06A-990D4E0CAD83}"/>
    <cellStyle name="Output 2 8 2 2 7 4 3" xfId="44668" xr:uid="{48C4697E-E533-49B8-BF30-5C446679CCF7}"/>
    <cellStyle name="Output 2 8 2 2 7 5" xfId="23212" xr:uid="{702123A3-0492-4FFC-81F5-2C13FBD4B66E}"/>
    <cellStyle name="Output 2 8 2 2 7 5 2" xfId="27951" xr:uid="{8F30BD76-1AAB-4B1D-B9D0-49418655CA50}"/>
    <cellStyle name="Output 2 8 2 2 7 6" xfId="52477" xr:uid="{9D880D6F-EA94-44FA-B483-F48C42C0B42D}"/>
    <cellStyle name="Output 2 8 2 2 8" xfId="6907" xr:uid="{00000000-0005-0000-0000-00001A080000}"/>
    <cellStyle name="Output 2 8 2 2 8 2" xfId="13745" xr:uid="{E573698B-9B87-4CDD-9B25-B995D6826F96}"/>
    <cellStyle name="Output 2 8 2 2 8 2 2" xfId="36229" xr:uid="{9FB721CF-8693-4A35-BD4A-4B479601B16A}"/>
    <cellStyle name="Output 2 8 2 2 8 2 3" xfId="51434" xr:uid="{2390095B-B8ED-44CA-AB71-729177CB5C1D}"/>
    <cellStyle name="Output 2 8 2 2 8 3" xfId="18844" xr:uid="{08CE6899-D3B5-45B9-8D5E-FD7F13E4633E}"/>
    <cellStyle name="Output 2 8 2 2 8 3 2" xfId="41234" xr:uid="{13D4CECD-786A-44AF-B4BF-724AB132F696}"/>
    <cellStyle name="Output 2 8 2 2 8 3 3" xfId="41989" xr:uid="{B8E0176D-4112-40F1-A2BC-9DACA85839CE}"/>
    <cellStyle name="Output 2 8 2 2 8 4" xfId="20136" xr:uid="{695695AC-3585-4AC8-A089-60CD126B22AD}"/>
    <cellStyle name="Output 2 8 2 2 8 4 2" xfId="42450" xr:uid="{7D0EE6C5-085C-449B-BA0D-2C0FBBFDEB2A}"/>
    <cellStyle name="Output 2 8 2 2 8 4 3" xfId="43579" xr:uid="{C824BBB3-FE98-44CF-A909-4FED88D0EBBD}"/>
    <cellStyle name="Output 2 8 2 2 8 5" xfId="23268" xr:uid="{11942068-067C-4AC2-8B4A-65B659DBB874}"/>
    <cellStyle name="Output 2 8 2 2 8 5 2" xfId="48271" xr:uid="{2E1568BC-5AC9-4A8E-A7E1-F1E6A38AAE55}"/>
    <cellStyle name="Output 2 8 2 2 8 6" xfId="44249" xr:uid="{14A4673E-49E2-4944-871E-4E6C4613CA89}"/>
    <cellStyle name="Output 2 8 2 2 9" xfId="6822" xr:uid="{00000000-0005-0000-0000-00001A080000}"/>
    <cellStyle name="Output 2 8 2 2 9 2" xfId="18759" xr:uid="{B65E8D04-A653-4FD3-B5E7-E966B90BDFDA}"/>
    <cellStyle name="Output 2 8 2 2 9 2 2" xfId="41149" xr:uid="{BADBB8B0-CD42-4223-ADD8-A3822E831575}"/>
    <cellStyle name="Output 2 8 2 2 9 2 3" xfId="43838" xr:uid="{3CDEEA1A-9FA4-4B21-A3DA-EB77172322D8}"/>
    <cellStyle name="Output 2 8 2 2 9 3" xfId="14151" xr:uid="{5D9FB8B5-585A-40BD-A967-59399FDA4312}"/>
    <cellStyle name="Output 2 8 2 2 9 3 2" xfId="36627" xr:uid="{CAC14439-1C38-4746-AD45-55209FCA18E7}"/>
    <cellStyle name="Output 2 8 2 2 9 3 3" xfId="53788" xr:uid="{35F2D356-DCAB-4581-86AC-3A38D8D28D81}"/>
    <cellStyle name="Output 2 8 2 2 9 4" xfId="23183" xr:uid="{EBD6875C-5995-47CC-A971-89607830B374}"/>
    <cellStyle name="Output 2 8 2 2 9 4 2" xfId="52653" xr:uid="{2486BABD-CA49-4854-B1AA-BEDB6E4777F3}"/>
    <cellStyle name="Output 2 8 2 2 9 5" xfId="51816" xr:uid="{B7685338-3E17-4EED-BC25-39B130DEB25B}"/>
    <cellStyle name="Output 2 8 2 3" xfId="2738" xr:uid="{00000000-0005-0000-0000-000019080000}"/>
    <cellStyle name="Output 2 8 2 3 2" xfId="9647" xr:uid="{43F0C9CF-E599-4767-80ED-96AF1035D4C1}"/>
    <cellStyle name="Output 2 8 2 3 2 2" xfId="32195" xr:uid="{07A4A21E-F7B2-495B-8CAD-9014DA5FA2F6}"/>
    <cellStyle name="Output 2 8 2 3 2 3" xfId="53438" xr:uid="{7E89A8B3-A844-49D5-B10F-14F31893511C}"/>
    <cellStyle name="Output 2 8 2 3 3" xfId="15165" xr:uid="{44F50F1A-7827-4B39-B818-4DBBCEF8E1E0}"/>
    <cellStyle name="Output 2 8 2 3 3 2" xfId="37605" xr:uid="{87BE1B90-78A5-4726-8932-FDC7EF89E342}"/>
    <cellStyle name="Output 2 8 2 3 3 3" xfId="53608" xr:uid="{6BA8FC23-E1BE-4088-BDC8-5ADBD13C1353}"/>
    <cellStyle name="Output 2 8 2 3 4" xfId="19543" xr:uid="{E62DEF76-1A90-4ED1-9AAB-54B5C0469B67}"/>
    <cellStyle name="Output 2 8 2 3 4 2" xfId="41902" xr:uid="{63AAAC4F-1BB6-4C78-9ACC-771CE1501C44}"/>
    <cellStyle name="Output 2 8 2 3 4 3" xfId="45315" xr:uid="{0856E3B7-805A-4599-8943-49F169D710D8}"/>
    <cellStyle name="Output 2 8 2 3 5" xfId="20909" xr:uid="{986169C2-E281-4E74-9EA8-A230AF8A905E}"/>
    <cellStyle name="Output 2 8 2 3 5 2" xfId="46056" xr:uid="{976FD3F7-E6D2-4830-ADC8-FE24EB9E2CF3}"/>
    <cellStyle name="Output 2 8 2 3 6" xfId="51181" xr:uid="{413B1BC3-CBEA-4765-8451-EF6E60C3ACDA}"/>
    <cellStyle name="Output 2 8 2 4" xfId="4530" xr:uid="{00000000-0005-0000-0000-000019080000}"/>
    <cellStyle name="Output 2 8 2 4 2" xfId="11432" xr:uid="{E6C81FB5-66F9-42DE-8E53-AB207206F56E}"/>
    <cellStyle name="Output 2 8 2 4 2 2" xfId="33918" xr:uid="{9590D6B4-651B-494F-95AB-49FF4594D301}"/>
    <cellStyle name="Output 2 8 2 4 2 3" xfId="27037" xr:uid="{4B163E91-1BB3-48D3-BA7A-488FA6E0CFBD}"/>
    <cellStyle name="Output 2 8 2 4 3" xfId="16467" xr:uid="{C79B06FE-4D2B-4019-814A-07C5CCDC9476}"/>
    <cellStyle name="Output 2 8 2 4 3 2" xfId="38857" xr:uid="{D146B72E-73CC-43F3-9812-A43FF4F8429B}"/>
    <cellStyle name="Output 2 8 2 4 3 3" xfId="29091" xr:uid="{D1EFD694-02D6-42EB-B6C1-3D092C588E20}"/>
    <cellStyle name="Output 2 8 2 4 4" xfId="19491" xr:uid="{15C637F6-8417-4566-9442-31819488E49E}"/>
    <cellStyle name="Output 2 8 2 4 4 2" xfId="41855" xr:uid="{0D9FD1B0-7561-4365-8C6D-EC2CC1DC96E4}"/>
    <cellStyle name="Output 2 8 2 4 4 3" xfId="43166" xr:uid="{BD072DA1-6B45-45FD-8197-2AABF2BFB606}"/>
    <cellStyle name="Output 2 8 2 4 5" xfId="20498" xr:uid="{4E66DD91-B136-43F3-AAA7-8B69B939A953}"/>
    <cellStyle name="Output 2 8 2 4 5 2" xfId="48007" xr:uid="{1204AF27-47FB-47B2-B771-38B9AFAA6D62}"/>
    <cellStyle name="Output 2 8 2 4 6" xfId="44754" xr:uid="{B4E9BB20-F94F-43E5-803C-CD2EC40ED52B}"/>
    <cellStyle name="Output 2 8 2 5" xfId="5417" xr:uid="{00000000-0005-0000-0000-000019080000}"/>
    <cellStyle name="Output 2 8 2 5 2" xfId="12308" xr:uid="{82DD0456-B5BC-4E35-B155-CB36A35F86AB}"/>
    <cellStyle name="Output 2 8 2 5 2 2" xfId="34793" xr:uid="{2074CEFB-DDAE-453E-BD4F-2B449597AB72}"/>
    <cellStyle name="Output 2 8 2 5 2 3" xfId="32116" xr:uid="{9284B082-8FBF-408D-A035-181A0A929F72}"/>
    <cellStyle name="Output 2 8 2 5 3" xfId="17354" xr:uid="{53071270-1E36-45A7-9DA6-F5ACD6CA1101}"/>
    <cellStyle name="Output 2 8 2 5 3 2" xfId="39744" xr:uid="{A5AC157E-5029-49F4-81DD-CC6BA87098A8}"/>
    <cellStyle name="Output 2 8 2 5 3 3" xfId="44901" xr:uid="{3777F729-9A52-46CF-8B45-60623456BEF5}"/>
    <cellStyle name="Output 2 8 2 5 4" xfId="14272" xr:uid="{251FF0CF-B731-4F71-BA20-92336C1B6645}"/>
    <cellStyle name="Output 2 8 2 5 4 2" xfId="36742" xr:uid="{0C13EF6C-F897-4FF3-9FF3-FF914EC7A6D8}"/>
    <cellStyle name="Output 2 8 2 5 4 3" xfId="54051" xr:uid="{DBBA7974-485C-4801-95B6-2BFF7AF56DAC}"/>
    <cellStyle name="Output 2 8 2 5 5" xfId="21778" xr:uid="{1481AC01-2929-4906-9A2F-1BDD011DE26F}"/>
    <cellStyle name="Output 2 8 2 5 5 2" xfId="48246" xr:uid="{8BE22B59-3040-4A9E-B999-61E87C5FDBA4}"/>
    <cellStyle name="Output 2 8 2 5 6" xfId="52022" xr:uid="{50DCC972-D5D7-4EF7-876C-7A500F74657E}"/>
    <cellStyle name="Output 2 8 2 6" xfId="2266" xr:uid="{00000000-0005-0000-0000-000019080000}"/>
    <cellStyle name="Output 2 8 2 6 2" xfId="9178" xr:uid="{1245D854-5A35-4410-822F-17DD3BF612EC}"/>
    <cellStyle name="Output 2 8 2 6 2 2" xfId="31753" xr:uid="{B544E07A-577D-454E-BA61-EB90F280C701}"/>
    <cellStyle name="Output 2 8 2 6 2 3" xfId="27788" xr:uid="{11127DCB-0067-4496-988C-05B930F59D23}"/>
    <cellStyle name="Output 2 8 2 6 3" xfId="14836" xr:uid="{A76840B8-7492-4C28-AC5F-D168C773D9D8}"/>
    <cellStyle name="Output 2 8 2 6 3 2" xfId="37290" xr:uid="{6C52F73F-29F3-4FEA-B5EF-AFCBBEBCD8D2}"/>
    <cellStyle name="Output 2 8 2 6 3 3" xfId="27804" xr:uid="{E10AF073-C2F1-4F10-8B19-ECF8A20BE562}"/>
    <cellStyle name="Output 2 8 2 6 4" xfId="20857" xr:uid="{8CA4D679-609D-4E2F-8979-A7ECEF649B47}"/>
    <cellStyle name="Output 2 8 2 6 4 2" xfId="43122" xr:uid="{89E704F6-0DA1-4B89-BEFD-A29046F9EC7F}"/>
    <cellStyle name="Output 2 8 2 6 4 3" xfId="48629" xr:uid="{B8B3D9C5-9387-49EF-82C3-0BDE491A81F9}"/>
    <cellStyle name="Output 2 8 2 6 5" xfId="8894" xr:uid="{11FB9C37-94AB-419F-B9CA-306EB04638BB}"/>
    <cellStyle name="Output 2 8 2 6 5 2" xfId="47156" xr:uid="{AE86D354-244F-4ED5-8566-8A4E2A369E49}"/>
    <cellStyle name="Output 2 8 2 6 6" xfId="49224" xr:uid="{3E6AE817-53A7-492B-B259-15E38C1C8317}"/>
    <cellStyle name="Output 2 8 2 7" xfId="6847" xr:uid="{00000000-0005-0000-0000-000019080000}"/>
    <cellStyle name="Output 2 8 2 7 2" xfId="13690" xr:uid="{6AE117E6-EA44-447A-B181-0869B4952B20}"/>
    <cellStyle name="Output 2 8 2 7 2 2" xfId="36174" xr:uid="{4ABEE7B1-6735-4756-A83A-6C3F5527AEE8}"/>
    <cellStyle name="Output 2 8 2 7 2 3" xfId="53645" xr:uid="{A55DA94D-2F0D-48DA-B0C2-BA7FFC1D7678}"/>
    <cellStyle name="Output 2 8 2 7 3" xfId="18784" xr:uid="{72F1E564-7232-4CDC-8797-8CAFEBF46411}"/>
    <cellStyle name="Output 2 8 2 7 3 2" xfId="41174" xr:uid="{AF434605-32B0-4DF8-AA68-8EA86FFC6FA3}"/>
    <cellStyle name="Output 2 8 2 7 3 3" xfId="43249" xr:uid="{F7D68C9B-BCBD-47A1-98F7-4278D519E69C}"/>
    <cellStyle name="Output 2 8 2 7 4" xfId="20855" xr:uid="{D71301A7-3CFD-4024-99DE-9975116D1452}"/>
    <cellStyle name="Output 2 8 2 7 4 2" xfId="43120" xr:uid="{0C5F33BD-4E3C-4246-8755-EC497B5D5583}"/>
    <cellStyle name="Output 2 8 2 7 4 3" xfId="29613" xr:uid="{2E580867-C438-4941-A97A-8D3A9B731576}"/>
    <cellStyle name="Output 2 8 2 7 5" xfId="23208" xr:uid="{E67DA23B-974C-4112-BBB7-35658CDFCD06}"/>
    <cellStyle name="Output 2 8 2 7 5 2" xfId="52269" xr:uid="{2CA0F17C-4977-4853-A0C9-9F2C366AE408}"/>
    <cellStyle name="Output 2 8 2 7 6" xfId="52455" xr:uid="{032AFE0F-DD98-4AC7-AAF8-783F53E01F0D}"/>
    <cellStyle name="Output 2 8 2 8" xfId="7312" xr:uid="{F86D2FD0-85E3-4E8D-911B-0BF2336EB237}"/>
    <cellStyle name="Output 2 8 2 8 2" xfId="30000" xr:uid="{25675A91-57DB-4FA2-9BEA-3660E00D60F9}"/>
    <cellStyle name="Output 2 8 2 8 3" xfId="47253" xr:uid="{1A429C04-02F0-4AE9-B569-CEDC111BBF6E}"/>
    <cellStyle name="Output 2 8 2 9" xfId="20394" xr:uid="{9E4E1C55-CBBE-4677-8B76-8665BC163EBD}"/>
    <cellStyle name="Output 2 8 2 9 2" xfId="42689" xr:uid="{868A09A4-DB6B-4A2E-B0B5-5273B1C038FB}"/>
    <cellStyle name="Output 2 8 2 9 3" xfId="30188" xr:uid="{960EB281-F2C8-4F57-BA1D-A6F00F3F3368}"/>
    <cellStyle name="Output 2 8 3" xfId="838" xr:uid="{00000000-0005-0000-0000-00001D080000}"/>
    <cellStyle name="Output 2 8 3 10" xfId="20341" xr:uid="{0F3E770D-668F-4580-8E03-678BD16F78EA}"/>
    <cellStyle name="Output 2 8 3 10 2" xfId="50806" xr:uid="{93FE9C3A-E9CE-42F7-ABA0-EDC1E0567F6B}"/>
    <cellStyle name="Output 2 8 3 11" xfId="48037" xr:uid="{884BC241-0BE0-4C2C-AF00-B78280FA0D6F}"/>
    <cellStyle name="Output 2 8 3 2" xfId="1823" xr:uid="{00000000-0005-0000-0000-00001E080000}"/>
    <cellStyle name="Output 2 8 3 2 10" xfId="14507" xr:uid="{A4DC7864-00E1-46EE-AE68-F05BFF547B09}"/>
    <cellStyle name="Output 2 8 3 2 10 2" xfId="36968" xr:uid="{24648CE7-4DA2-49B0-83DA-2BE4622F591A}"/>
    <cellStyle name="Output 2 8 3 2 10 3" xfId="41881" xr:uid="{D634D426-5405-4EBD-B827-FB0C4A58D7C4}"/>
    <cellStyle name="Output 2 8 3 2 11" xfId="20109" xr:uid="{EA360ECE-9664-4886-91C3-B3132DCB8416}"/>
    <cellStyle name="Output 2 8 3 2 11 2" xfId="42424" xr:uid="{F2FB670E-6852-4E49-AAF1-E0872FD58516}"/>
    <cellStyle name="Output 2 8 3 2 11 3" xfId="29787" xr:uid="{5B095092-A308-49F9-BF7D-0D46D7A0006E}"/>
    <cellStyle name="Output 2 8 3 2 12" xfId="19694" xr:uid="{F2F3024E-3001-4789-86DC-8B9A878F0F09}"/>
    <cellStyle name="Output 2 8 3 2 12 2" xfId="25398" xr:uid="{0344E7D3-49F6-46DB-A714-C83D031563F1}"/>
    <cellStyle name="Output 2 8 3 2 13" xfId="42879" xr:uid="{A5FBF8AF-A156-4D47-9484-78220A0A7896}"/>
    <cellStyle name="Output 2 8 3 2 2" xfId="3921" xr:uid="{00000000-0005-0000-0000-00001C080000}"/>
    <cellStyle name="Output 2 8 3 2 2 2" xfId="10825" xr:uid="{23D58B97-207E-4A59-A098-2CC2C8DD9A08}"/>
    <cellStyle name="Output 2 8 3 2 2 2 2" xfId="33311" xr:uid="{12867EE6-1F71-45E6-BD2B-5EEFAC9FD369}"/>
    <cellStyle name="Output 2 8 3 2 2 2 3" xfId="50848" xr:uid="{FA9C61DC-17EE-4BAF-A4EB-F248CA79A087}"/>
    <cellStyle name="Output 2 8 3 2 2 3" xfId="15963" xr:uid="{DD871333-174B-40CF-9C5C-8F4E616A1705}"/>
    <cellStyle name="Output 2 8 3 2 2 3 2" xfId="38366" xr:uid="{5B00E7DB-D0E8-4EBB-BE56-2737700CB544}"/>
    <cellStyle name="Output 2 8 3 2 2 3 3" xfId="48434" xr:uid="{7D9DFE3A-4569-4827-A437-378FC5D3FA79}"/>
    <cellStyle name="Output 2 8 3 2 2 4" xfId="20190" xr:uid="{B9621319-035E-4930-AA93-89E633CC7698}"/>
    <cellStyle name="Output 2 8 3 2 2 4 2" xfId="42500" xr:uid="{6BBE7F74-D5D7-457A-814F-890CB33EE6DB}"/>
    <cellStyle name="Output 2 8 3 2 2 4 3" xfId="27773" xr:uid="{2AF436F0-E352-4D5D-B014-482AB2DA87F5}"/>
    <cellStyle name="Output 2 8 3 2 2 5" xfId="20952" xr:uid="{5DFE28A1-2ACE-4297-A8D2-80F708EB3773}"/>
    <cellStyle name="Output 2 8 3 2 2 5 2" xfId="48045" xr:uid="{A400C58C-EB19-48A8-AC53-A88818CBFCED}"/>
    <cellStyle name="Output 2 8 3 2 2 6" xfId="52114" xr:uid="{EB3405CD-F518-4F62-843C-6C99FCC89440}"/>
    <cellStyle name="Output 2 8 3 2 3" xfId="5316" xr:uid="{00000000-0005-0000-0000-00001C080000}"/>
    <cellStyle name="Output 2 8 3 2 3 2" xfId="12208" xr:uid="{0E40749C-C820-4181-9E5D-4CFA5D68E392}"/>
    <cellStyle name="Output 2 8 3 2 3 2 2" xfId="34693" xr:uid="{714CCFB3-DF22-4D6B-B638-9A3D6761BCC1}"/>
    <cellStyle name="Output 2 8 3 2 3 2 3" xfId="45868" xr:uid="{B149B44B-1E23-46B8-AC5F-242FE1EDB11C}"/>
    <cellStyle name="Output 2 8 3 2 3 3" xfId="17253" xr:uid="{D20F5ABB-1FB0-4247-9E29-AE8BF1E38901}"/>
    <cellStyle name="Output 2 8 3 2 3 3 2" xfId="39643" xr:uid="{ADD55359-5CF3-42C9-A7AE-514AD12F8BFB}"/>
    <cellStyle name="Output 2 8 3 2 3 3 3" xfId="42667" xr:uid="{EE40A025-96B3-49A9-B9FB-15563AB751D2}"/>
    <cellStyle name="Output 2 8 3 2 3 4" xfId="14477" xr:uid="{354D88AE-473B-4AD1-A215-DE9B2DA0EB80}"/>
    <cellStyle name="Output 2 8 3 2 3 4 2" xfId="36940" xr:uid="{9AAFD746-1F7C-4FCE-8475-ED2CE456E508}"/>
    <cellStyle name="Output 2 8 3 2 3 4 3" xfId="25754" xr:uid="{9A7DDC2C-A8D2-48A0-8178-C887283CEEE1}"/>
    <cellStyle name="Output 2 8 3 2 3 5" xfId="21677" xr:uid="{265496FB-21C6-4F7E-A4B0-17D3811D6631}"/>
    <cellStyle name="Output 2 8 3 2 3 5 2" xfId="45188" xr:uid="{35557B1D-202A-40C1-81F1-FFE8FC401DC2}"/>
    <cellStyle name="Output 2 8 3 2 3 6" xfId="50696" xr:uid="{45639E7A-FC81-48B1-8346-DA8A47242EC4}"/>
    <cellStyle name="Output 2 8 3 2 4" xfId="5726" xr:uid="{00000000-0005-0000-0000-00001C080000}"/>
    <cellStyle name="Output 2 8 3 2 4 2" xfId="12610" xr:uid="{67A5167C-33CD-47A0-86D0-980EB60037DA}"/>
    <cellStyle name="Output 2 8 3 2 4 2 2" xfId="35095" xr:uid="{F2160982-A4C2-45FF-A870-A03343A2D16F}"/>
    <cellStyle name="Output 2 8 3 2 4 2 3" xfId="27219" xr:uid="{4CEE2BF4-822D-495B-A98C-FC68F76CCF67}"/>
    <cellStyle name="Output 2 8 3 2 4 3" xfId="17663" xr:uid="{614DA247-925A-4E49-8B66-1854D44118C5}"/>
    <cellStyle name="Output 2 8 3 2 4 3 2" xfId="40053" xr:uid="{136D28BE-3008-45F6-889F-9FDACDC22564}"/>
    <cellStyle name="Output 2 8 3 2 4 3 3" xfId="27657" xr:uid="{BDCCACF5-BB49-4209-B5B1-AE33369ADF26}"/>
    <cellStyle name="Output 2 8 3 2 4 4" xfId="19732" xr:uid="{8198BE53-F81B-47D4-9CC8-EBF41BB88A36}"/>
    <cellStyle name="Output 2 8 3 2 4 4 2" xfId="42078" xr:uid="{D5EE4657-11C4-4CDD-8263-4EA5F21DE54C}"/>
    <cellStyle name="Output 2 8 3 2 4 4 3" xfId="23991" xr:uid="{CCBE945C-54E3-4DA5-A4A5-2FCAE6C562D1}"/>
    <cellStyle name="Output 2 8 3 2 4 5" xfId="22087" xr:uid="{61E501AF-10E0-4A32-8BD5-1ECC3A48FE0D}"/>
    <cellStyle name="Output 2 8 3 2 4 5 2" xfId="53096" xr:uid="{B29F6B8E-F4EB-4F35-903E-8DE89147DCA8}"/>
    <cellStyle name="Output 2 8 3 2 4 6" xfId="42840" xr:uid="{8FE15270-6A1B-43F2-AC69-ED942B82DE43}"/>
    <cellStyle name="Output 2 8 3 2 5" xfId="6080" xr:uid="{00000000-0005-0000-0000-00001C080000}"/>
    <cellStyle name="Output 2 8 3 2 5 2" xfId="12958" xr:uid="{0FCB162D-06D4-48D5-9E71-C5B22DE5EC60}"/>
    <cellStyle name="Output 2 8 3 2 5 2 2" xfId="35442" xr:uid="{0C158E6C-5581-48C3-8299-1578268A06C0}"/>
    <cellStyle name="Output 2 8 3 2 5 2 3" xfId="45094" xr:uid="{14B5C262-6B12-47DF-A2D9-394B66468EF8}"/>
    <cellStyle name="Output 2 8 3 2 5 3" xfId="18017" xr:uid="{F4691616-B6A2-4AE9-85E6-5A91FC75BBB8}"/>
    <cellStyle name="Output 2 8 3 2 5 3 2" xfId="40407" xr:uid="{90FBACFE-B406-48E1-82FF-F27C144F8886}"/>
    <cellStyle name="Output 2 8 3 2 5 3 3" xfId="25684" xr:uid="{63BA2462-25E3-456C-80F5-AFD3F3FDAAF6}"/>
    <cellStyle name="Output 2 8 3 2 5 4" xfId="19368" xr:uid="{3475E747-30D4-450B-BBB6-9EAEB9346672}"/>
    <cellStyle name="Output 2 8 3 2 5 4 2" xfId="41742" xr:uid="{A312FB64-BFD0-4115-8AF8-E698D251FDE1}"/>
    <cellStyle name="Output 2 8 3 2 5 4 3" xfId="24356" xr:uid="{6DF5D322-9AA3-4D70-99ED-1854D0458F72}"/>
    <cellStyle name="Output 2 8 3 2 5 5" xfId="22441" xr:uid="{BB7F87C3-2BE1-410D-9194-195001DCDCA5}"/>
    <cellStyle name="Output 2 8 3 2 5 5 2" xfId="23755" xr:uid="{E62F610C-4256-40A7-9006-CB7838EBB60C}"/>
    <cellStyle name="Output 2 8 3 2 5 6" xfId="46063" xr:uid="{D751B660-BB5C-48E6-9375-6B1CB4C5507D}"/>
    <cellStyle name="Output 2 8 3 2 6" xfId="6455" xr:uid="{00000000-0005-0000-0000-00001C080000}"/>
    <cellStyle name="Output 2 8 3 2 6 2" xfId="13325" xr:uid="{76528B9A-DB92-4156-8F60-937F96B843B1}"/>
    <cellStyle name="Output 2 8 3 2 6 2 2" xfId="35809" xr:uid="{D1251605-D8FC-4C67-A2CF-2E2E8490C811}"/>
    <cellStyle name="Output 2 8 3 2 6 2 3" xfId="53144" xr:uid="{AD7E4B38-30A9-4AB3-BF64-6ED63ED523C5}"/>
    <cellStyle name="Output 2 8 3 2 6 3" xfId="18392" xr:uid="{F3BB1864-F0FD-4BB6-B236-7045AE6BA692}"/>
    <cellStyle name="Output 2 8 3 2 6 3 2" xfId="40782" xr:uid="{5A5BB1E2-83D9-4103-884D-D3849D35619C}"/>
    <cellStyle name="Output 2 8 3 2 6 3 3" xfId="42370" xr:uid="{AFEF285F-1787-4E03-BD3F-1DFB5CDB9511}"/>
    <cellStyle name="Output 2 8 3 2 6 4" xfId="14997" xr:uid="{B5557D51-452F-42EE-BE54-D08EC161D5EA}"/>
    <cellStyle name="Output 2 8 3 2 6 4 2" xfId="37447" xr:uid="{1C9E335A-7962-4720-A0BB-AC22677EF9DA}"/>
    <cellStyle name="Output 2 8 3 2 6 4 3" xfId="50348" xr:uid="{A759275B-DE27-499B-AA6B-68FBECB54436}"/>
    <cellStyle name="Output 2 8 3 2 6 5" xfId="22816" xr:uid="{8455638E-9D0A-4C4E-8FE1-582C2464D016}"/>
    <cellStyle name="Output 2 8 3 2 6 5 2" xfId="46345" xr:uid="{9A22B942-3985-4B43-9D31-45EF9C44035D}"/>
    <cellStyle name="Output 2 8 3 2 6 6" xfId="26352" xr:uid="{70A0D7D6-F27D-445E-B1A1-A45053EB9E3D}"/>
    <cellStyle name="Output 2 8 3 2 7" xfId="6345" xr:uid="{00000000-0005-0000-0000-00001C080000}"/>
    <cellStyle name="Output 2 8 3 2 7 2" xfId="13217" xr:uid="{D9555D53-58D7-455F-BAA1-D827B091C353}"/>
    <cellStyle name="Output 2 8 3 2 7 2 2" xfId="35701" xr:uid="{188A6970-5362-4452-8270-963378B6A2FD}"/>
    <cellStyle name="Output 2 8 3 2 7 2 3" xfId="28818" xr:uid="{B3EC7581-C522-4941-AFBA-7A9214401B4C}"/>
    <cellStyle name="Output 2 8 3 2 7 3" xfId="18282" xr:uid="{DDF218AD-DA0A-4DC0-BC62-65171990E4E9}"/>
    <cellStyle name="Output 2 8 3 2 7 3 2" xfId="40672" xr:uid="{C117DD41-10AA-4C74-91DF-9D0D9F35EB04}"/>
    <cellStyle name="Output 2 8 3 2 7 3 3" xfId="26414" xr:uid="{36910422-8199-4887-BB03-DEA2024AC519}"/>
    <cellStyle name="Output 2 8 3 2 7 4" xfId="14275" xr:uid="{43C484F8-BB2B-47D9-9315-5ACBD87C8DA5}"/>
    <cellStyle name="Output 2 8 3 2 7 4 2" xfId="36745" xr:uid="{BA1EB866-C97B-4858-B881-0C827268D33E}"/>
    <cellStyle name="Output 2 8 3 2 7 4 3" xfId="32694" xr:uid="{8EAD4908-66EF-4D71-B881-F3C8B9E6A376}"/>
    <cellStyle name="Output 2 8 3 2 7 5" xfId="22706" xr:uid="{3BF4B9BC-E156-4ACE-9B96-27323D550E21}"/>
    <cellStyle name="Output 2 8 3 2 7 5 2" xfId="46268" xr:uid="{AC259BEC-5DE2-4418-85C2-E8B68E7D9F09}"/>
    <cellStyle name="Output 2 8 3 2 7 6" xfId="52411" xr:uid="{0D5C0DCA-3EC1-4B27-9AE0-92EB6CB55BA1}"/>
    <cellStyle name="Output 2 8 3 2 8" xfId="6955" xr:uid="{00000000-0005-0000-0000-00001C080000}"/>
    <cellStyle name="Output 2 8 3 2 8 2" xfId="13792" xr:uid="{18526FA2-4056-4B5E-BCAD-C43FB51800D7}"/>
    <cellStyle name="Output 2 8 3 2 8 2 2" xfId="36276" xr:uid="{21F4FCCA-A498-4F28-BF6F-7C58EA53AA3F}"/>
    <cellStyle name="Output 2 8 3 2 8 2 3" xfId="25134" xr:uid="{156321C1-FAA3-4CEF-9AE9-EB090CB3F66A}"/>
    <cellStyle name="Output 2 8 3 2 8 3" xfId="18892" xr:uid="{8F13C6BF-E698-470F-A0EE-4C39E0BDD482}"/>
    <cellStyle name="Output 2 8 3 2 8 3 2" xfId="41282" xr:uid="{2E905798-356D-4B75-A835-47995DB74198}"/>
    <cellStyle name="Output 2 8 3 2 8 3 3" xfId="24321" xr:uid="{528E20F2-A3BB-4836-B511-1AD21C1E865C}"/>
    <cellStyle name="Output 2 8 3 2 8 4" xfId="20088" xr:uid="{E8442B09-8CB9-4637-9B02-3650DCD66066}"/>
    <cellStyle name="Output 2 8 3 2 8 4 2" xfId="42406" xr:uid="{C2B80724-405B-4192-BD38-77FF171A1286}"/>
    <cellStyle name="Output 2 8 3 2 8 4 3" xfId="24648" xr:uid="{4EBD20DB-15BD-4DCD-A93E-C36BB336D4E9}"/>
    <cellStyle name="Output 2 8 3 2 8 5" xfId="23316" xr:uid="{7C7F28FA-5745-4EDB-9F9C-8025C42D2ED1}"/>
    <cellStyle name="Output 2 8 3 2 8 5 2" xfId="24514" xr:uid="{EDDE7E94-EEBA-45BE-91F1-383F741E4503}"/>
    <cellStyle name="Output 2 8 3 2 8 6" xfId="42715" xr:uid="{8B9D1C45-ACF3-4B0D-8ED5-007A594A2300}"/>
    <cellStyle name="Output 2 8 3 2 9" xfId="6612" xr:uid="{00000000-0005-0000-0000-00001C080000}"/>
    <cellStyle name="Output 2 8 3 2 9 2" xfId="18549" xr:uid="{66F713B7-220A-419B-8427-E6F8F6F2AC55}"/>
    <cellStyle name="Output 2 8 3 2 9 2 2" xfId="40939" xr:uid="{F797E3C2-5755-4FA5-B9FD-910D7731E8F2}"/>
    <cellStyle name="Output 2 8 3 2 9 2 3" xfId="45544" xr:uid="{931F0F21-4EBC-4B0A-9E1F-80194FC7242B}"/>
    <cellStyle name="Output 2 8 3 2 9 3" xfId="21067" xr:uid="{3F8FFF90-03C7-4098-9638-9A9AE3AD4327}"/>
    <cellStyle name="Output 2 8 3 2 9 3 2" xfId="43315" xr:uid="{80A87C93-37CF-43D6-B120-DF3E5EA4776E}"/>
    <cellStyle name="Output 2 8 3 2 9 3 3" xfId="33842" xr:uid="{0A01A4E7-CE7D-4160-908E-5AB6C21C6B0E}"/>
    <cellStyle name="Output 2 8 3 2 9 4" xfId="22973" xr:uid="{0F41A1D0-37B9-4459-84D4-EC352FE74ED6}"/>
    <cellStyle name="Output 2 8 3 2 9 4 2" xfId="48122" xr:uid="{0ECDB5B1-8FCC-4A47-B22C-18213E8A9B14}"/>
    <cellStyle name="Output 2 8 3 2 9 5" xfId="50702" xr:uid="{44E7C9C6-B4F7-47A7-9E0B-FAF2E4E49F63}"/>
    <cellStyle name="Output 2 8 3 3" xfId="2972" xr:uid="{00000000-0005-0000-0000-00001B080000}"/>
    <cellStyle name="Output 2 8 3 3 2" xfId="9881" xr:uid="{98DB0BFA-C7F9-4F64-B600-25E6D299491E}"/>
    <cellStyle name="Output 2 8 3 3 2 2" xfId="32404" xr:uid="{8A6B96D7-DD3F-41DA-9C6C-4E297778EE97}"/>
    <cellStyle name="Output 2 8 3 3 2 3" xfId="27916" xr:uid="{0C0B7E4A-B02F-40B8-925B-FB8DC3773C14}"/>
    <cellStyle name="Output 2 8 3 3 3" xfId="15319" xr:uid="{178D93F6-77A0-4E69-B25B-992BA3CBC571}"/>
    <cellStyle name="Output 2 8 3 3 3 2" xfId="37751" xr:uid="{EC67413A-B389-4C60-BB21-9C19053FF245}"/>
    <cellStyle name="Output 2 8 3 3 3 3" xfId="45360" xr:uid="{C777967C-3155-4CB5-A7F5-5841A05EA948}"/>
    <cellStyle name="Output 2 8 3 3 4" xfId="8504" xr:uid="{174A56F2-4F63-4482-AFDD-7FFA33323440}"/>
    <cellStyle name="Output 2 8 3 3 4 2" xfId="31091" xr:uid="{DAE83335-4369-4CA6-8CA4-90004F495F3E}"/>
    <cellStyle name="Output 2 8 3 3 4 3" xfId="50819" xr:uid="{5EB0FB5A-53D0-45D1-B4B2-34A5C31A92CD}"/>
    <cellStyle name="Output 2 8 3 3 5" xfId="19851" xr:uid="{A8124CC0-8920-4B12-98DB-9B7222DE1344}"/>
    <cellStyle name="Output 2 8 3 3 5 2" xfId="23872" xr:uid="{F02227F3-C91C-4FA9-8BF0-23316FD4F345}"/>
    <cellStyle name="Output 2 8 3 3 6" xfId="48824" xr:uid="{A2BCC664-BC07-4D07-92F6-4D918816C405}"/>
    <cellStyle name="Output 2 8 3 4" xfId="4682" xr:uid="{00000000-0005-0000-0000-00001B080000}"/>
    <cellStyle name="Output 2 8 3 4 2" xfId="11580" xr:uid="{855BA0AB-46D6-4191-A8BD-F420CA0838AE}"/>
    <cellStyle name="Output 2 8 3 4 2 2" xfId="34066" xr:uid="{901A8929-4CA8-45B3-A626-9CECA8CDFDC1}"/>
    <cellStyle name="Output 2 8 3 4 2 3" xfId="28851" xr:uid="{1031FA89-6367-4A1B-BCC3-960A591F478D}"/>
    <cellStyle name="Output 2 8 3 4 3" xfId="16619" xr:uid="{2B806DF4-CE09-43EE-BC46-928559F8A447}"/>
    <cellStyle name="Output 2 8 3 4 3 2" xfId="39009" xr:uid="{FD2CDF09-2FAF-4D57-ABE1-ACF7551E9B7C}"/>
    <cellStyle name="Output 2 8 3 4 3 3" xfId="29689" xr:uid="{26BC1B92-FC0B-4600-923C-9459403B080F}"/>
    <cellStyle name="Output 2 8 3 4 4" xfId="19860" xr:uid="{D2D0BE1D-2A4D-4351-B0AD-29AA99A9E785}"/>
    <cellStyle name="Output 2 8 3 4 4 2" xfId="42195" xr:uid="{4E0A599A-5973-46E0-A272-B8D0705E6306}"/>
    <cellStyle name="Output 2 8 3 4 4 3" xfId="26246" xr:uid="{5D8BECF9-5116-4A55-8AEA-47CF1EB0F12B}"/>
    <cellStyle name="Output 2 8 3 4 5" xfId="9650" xr:uid="{BE36AA65-32C2-4957-8EAC-EF144A422A9A}"/>
    <cellStyle name="Output 2 8 3 4 5 2" xfId="53961" xr:uid="{4B693012-578B-4AF9-95F6-C26C92673108}"/>
    <cellStyle name="Output 2 8 3 4 6" xfId="51311" xr:uid="{2E8CF95A-1FB6-443A-932E-B87047E7D67B}"/>
    <cellStyle name="Output 2 8 3 5" xfId="4620" xr:uid="{00000000-0005-0000-0000-00001B080000}"/>
    <cellStyle name="Output 2 8 3 5 2" xfId="11521" xr:uid="{563D4FE6-05BA-4B45-886B-74952878E3F8}"/>
    <cellStyle name="Output 2 8 3 5 2 2" xfId="34007" xr:uid="{7CE69800-DFAD-4325-BC7F-12DE665C4853}"/>
    <cellStyle name="Output 2 8 3 5 2 3" xfId="45886" xr:uid="{4F7A810B-0950-4498-87A0-542953E7098F}"/>
    <cellStyle name="Output 2 8 3 5 3" xfId="16557" xr:uid="{AA85F79F-AD89-406B-A2E3-A5EECA0708EA}"/>
    <cellStyle name="Output 2 8 3 5 3 2" xfId="38947" xr:uid="{7A99D4C4-0751-466E-A1AF-A523FB2B1B1F}"/>
    <cellStyle name="Output 2 8 3 5 3 3" xfId="24594" xr:uid="{4F5476E7-F43E-43F7-A1B4-04CC0EFF264A}"/>
    <cellStyle name="Output 2 8 3 5 4" xfId="15938" xr:uid="{6970FD21-3940-4CF9-B649-621EA7A738D1}"/>
    <cellStyle name="Output 2 8 3 5 4 2" xfId="38342" xr:uid="{7A9E8D29-49E5-46C7-B972-23F670F2B039}"/>
    <cellStyle name="Output 2 8 3 5 4 3" xfId="26889" xr:uid="{33DB3B51-689F-46B9-AB72-2B1FCF97E827}"/>
    <cellStyle name="Output 2 8 3 5 5" xfId="16234" xr:uid="{79F0AED7-66A4-4BDB-A9F3-4C5A2B04570A}"/>
    <cellStyle name="Output 2 8 3 5 5 2" xfId="44974" xr:uid="{489E1318-A7D0-4B5E-A44F-347F5DB88ABE}"/>
    <cellStyle name="Output 2 8 3 5 6" xfId="24799" xr:uid="{287BB6D0-238D-4DF6-864C-5ED943BF5427}"/>
    <cellStyle name="Output 2 8 3 6" xfId="5794" xr:uid="{00000000-0005-0000-0000-00001B080000}"/>
    <cellStyle name="Output 2 8 3 6 2" xfId="12677" xr:uid="{8F47A1EA-A6B4-492A-A6E8-8E6A1318835F}"/>
    <cellStyle name="Output 2 8 3 6 2 2" xfId="35162" xr:uid="{D0A12E8F-3704-4B6E-9F4D-08F7017A4069}"/>
    <cellStyle name="Output 2 8 3 6 2 3" xfId="45609" xr:uid="{0E741AFE-1E98-46FB-8900-9D58FB953F0D}"/>
    <cellStyle name="Output 2 8 3 6 3" xfId="17731" xr:uid="{07B8EE08-1E45-4362-8F99-F78C5DA91CFB}"/>
    <cellStyle name="Output 2 8 3 6 3 2" xfId="40121" xr:uid="{019C325F-DE3E-4272-B84C-0DA44ED889CC}"/>
    <cellStyle name="Output 2 8 3 6 3 3" xfId="29221" xr:uid="{CEC5079F-4983-43D0-9C0D-39FA75A2A981}"/>
    <cellStyle name="Output 2 8 3 6 4" xfId="19773" xr:uid="{11A5FA9A-A789-4954-AB38-30EA749C58B4}"/>
    <cellStyle name="Output 2 8 3 6 4 2" xfId="42114" xr:uid="{0D87BC87-3C08-436E-BC92-C968CF475913}"/>
    <cellStyle name="Output 2 8 3 6 4 3" xfId="26389" xr:uid="{00166995-1D84-43DD-8191-593BF6A79F5A}"/>
    <cellStyle name="Output 2 8 3 6 5" xfId="22155" xr:uid="{2DCC135E-167F-4664-9B58-A17FE20AD6B1}"/>
    <cellStyle name="Output 2 8 3 6 5 2" xfId="48781" xr:uid="{6477F716-1FB6-451A-9725-B739F7D1BF02}"/>
    <cellStyle name="Output 2 8 3 6 6" xfId="51651" xr:uid="{A469E784-6373-422B-A92C-639D14CECC85}"/>
    <cellStyle name="Output 2 8 3 7" xfId="6868" xr:uid="{00000000-0005-0000-0000-00001B080000}"/>
    <cellStyle name="Output 2 8 3 7 2" xfId="13710" xr:uid="{58990E6B-C81F-4526-A1C0-EFA243330A53}"/>
    <cellStyle name="Output 2 8 3 7 2 2" xfId="36194" xr:uid="{F0206611-0953-4BB2-811E-7D3BDCE72578}"/>
    <cellStyle name="Output 2 8 3 7 2 3" xfId="26648" xr:uid="{CCDB0C90-F758-4F8B-9D26-90C572B8D1EB}"/>
    <cellStyle name="Output 2 8 3 7 3" xfId="18805" xr:uid="{9A020A7C-1A2F-4242-AFEB-DA026E8565F8}"/>
    <cellStyle name="Output 2 8 3 7 3 2" xfId="41195" xr:uid="{38926BEC-D1D4-4BB5-9E7C-B801BA75AC63}"/>
    <cellStyle name="Output 2 8 3 7 3 3" xfId="45154" xr:uid="{04130017-1C91-4FDD-91F1-C0B70CDB8357}"/>
    <cellStyle name="Output 2 8 3 7 4" xfId="21173" xr:uid="{1DB5F021-AF17-49DE-9D78-4B407C002C33}"/>
    <cellStyle name="Output 2 8 3 7 4 2" xfId="43414" xr:uid="{5CADF437-5D38-4479-9A1B-5B43735E0213}"/>
    <cellStyle name="Output 2 8 3 7 4 3" xfId="31258" xr:uid="{2FFBE304-EF11-4442-94F4-1339249AE86D}"/>
    <cellStyle name="Output 2 8 3 7 5" xfId="23229" xr:uid="{B05ECAFC-F0FA-4E9A-9FB3-2A9DE27AAAAA}"/>
    <cellStyle name="Output 2 8 3 7 5 2" xfId="46394" xr:uid="{AAE2A4DC-CCF0-4845-AB1B-E8CE2B449496}"/>
    <cellStyle name="Output 2 8 3 7 6" xfId="30561" xr:uid="{5A7324EF-017B-4049-95F8-6E88D8E12F52}"/>
    <cellStyle name="Output 2 8 3 8" xfId="8877" xr:uid="{519BE0C2-FB16-4979-96B4-EB6A3D2F8AD0}"/>
    <cellStyle name="Output 2 8 3 8 2" xfId="31458" xr:uid="{60957F4E-CFF6-4988-A85C-72654EC2C87C}"/>
    <cellStyle name="Output 2 8 3 8 3" xfId="54094" xr:uid="{B4CC4B9B-F973-45FF-9946-C32F652260BB}"/>
    <cellStyle name="Output 2 8 3 9" xfId="15720" xr:uid="{E8A18830-9420-4979-8DF5-FABF52AE1006}"/>
    <cellStyle name="Output 2 8 3 9 2" xfId="38133" xr:uid="{BE08A587-380B-4B96-A1C5-ABF3E8D2710F}"/>
    <cellStyle name="Output 2 8 3 9 3" xfId="50387" xr:uid="{4DF7ABD2-B4A6-43EB-8359-2FBB2A04751E}"/>
    <cellStyle name="Output 2 8 4" xfId="1025" xr:uid="{00000000-0005-0000-0000-00001F080000}"/>
    <cellStyle name="Output 2 8 4 10" xfId="19214" xr:uid="{24DD9AC1-DF46-48BF-9D89-75EEC8D7FFAD}"/>
    <cellStyle name="Output 2 8 4 10 2" xfId="44595" xr:uid="{F78BAD3B-E973-4009-9CB9-CA45C49F9BC3}"/>
    <cellStyle name="Output 2 8 4 11" xfId="46093" xr:uid="{45849A9A-EF4B-41E8-8FB8-8FAB4282F300}"/>
    <cellStyle name="Output 2 8 4 2" xfId="1915" xr:uid="{00000000-0005-0000-0000-000020080000}"/>
    <cellStyle name="Output 2 8 4 2 10" xfId="14585" xr:uid="{A7032DA7-DFE7-4977-814C-48348BFB8453}"/>
    <cellStyle name="Output 2 8 4 2 10 2" xfId="37046" xr:uid="{6C3C56DA-EFE8-4CDE-8BC2-2A32C0B942E4}"/>
    <cellStyle name="Output 2 8 4 2 10 3" xfId="48728" xr:uid="{C83E15FE-053F-4D20-A442-B2F999442A90}"/>
    <cellStyle name="Output 2 8 4 2 11" xfId="15205" xr:uid="{5F557768-8AF6-433C-ADBC-1757CEDF236A}"/>
    <cellStyle name="Output 2 8 4 2 11 2" xfId="37644" xr:uid="{D03BBD2D-3754-4E82-9CA0-BB838000C8CA}"/>
    <cellStyle name="Output 2 8 4 2 11 3" xfId="47960" xr:uid="{D400CF3C-D580-4222-903D-519EB471B2DB}"/>
    <cellStyle name="Output 2 8 4 2 12" xfId="16260" xr:uid="{DC0CFBC0-6C2B-42A0-98ED-12A0C9599320}"/>
    <cellStyle name="Output 2 8 4 2 12 2" xfId="28400" xr:uid="{D335735E-DC5B-4FE2-B52C-1B2AA9C46BF6}"/>
    <cellStyle name="Output 2 8 4 2 13" xfId="29838" xr:uid="{E4D3F3E9-E0E5-425D-87B8-2B5F8B273C3D}"/>
    <cellStyle name="Output 2 8 4 2 2" xfId="4012" xr:uid="{00000000-0005-0000-0000-00001E080000}"/>
    <cellStyle name="Output 2 8 4 2 2 2" xfId="10916" xr:uid="{19909F20-88D0-44DA-865B-9121BC297636}"/>
    <cellStyle name="Output 2 8 4 2 2 2 2" xfId="33402" xr:uid="{C0886301-7443-4548-B136-CB454E7F48D4}"/>
    <cellStyle name="Output 2 8 4 2 2 2 3" xfId="48610" xr:uid="{5940CB9F-83A0-4226-A72B-F301E5D9CA6B}"/>
    <cellStyle name="Output 2 8 4 2 2 3" xfId="16036" xr:uid="{952FB551-2B70-4598-BA53-8704757F2C46}"/>
    <cellStyle name="Output 2 8 4 2 2 3 2" xfId="38437" xr:uid="{6C7A5491-8D75-49A3-97B2-588D88DA0403}"/>
    <cellStyle name="Output 2 8 4 2 2 3 3" xfId="46092" xr:uid="{18A6930B-26B3-4A03-813E-4B6F449B3F86}"/>
    <cellStyle name="Output 2 8 4 2 2 4" xfId="20318" xr:uid="{D89F842B-EBDF-4826-8265-E0BD61518F2C}"/>
    <cellStyle name="Output 2 8 4 2 2 4 2" xfId="42617" xr:uid="{92828A8E-1766-40A8-B9B6-B76F4EC7197D}"/>
    <cellStyle name="Output 2 8 4 2 2 4 3" xfId="50395" xr:uid="{FBD47089-F692-431D-A22F-273391CA1894}"/>
    <cellStyle name="Output 2 8 4 2 2 5" xfId="19232" xr:uid="{273F7D6A-9E8F-44F0-B564-E9FE00B5FFC4}"/>
    <cellStyle name="Output 2 8 4 2 2 5 2" xfId="29037" xr:uid="{180BC295-7D07-4B4E-8664-D91F3135C59C}"/>
    <cellStyle name="Output 2 8 4 2 2 6" xfId="52324" xr:uid="{B116570E-E073-41A0-802E-2DA38CEFE1AE}"/>
    <cellStyle name="Output 2 8 4 2 3" xfId="5387" xr:uid="{00000000-0005-0000-0000-00001E080000}"/>
    <cellStyle name="Output 2 8 4 2 3 2" xfId="12278" xr:uid="{E54AEF0F-66F9-48F7-9E9F-00B949C5A3E8}"/>
    <cellStyle name="Output 2 8 4 2 3 2 2" xfId="34763" xr:uid="{3DD12CC8-928F-449D-981F-5F3F6E103D9C}"/>
    <cellStyle name="Output 2 8 4 2 3 2 3" xfId="25850" xr:uid="{7F8926C8-6C10-4FB3-8B56-98D604528978}"/>
    <cellStyle name="Output 2 8 4 2 3 3" xfId="17324" xr:uid="{57DA11F3-EEE5-4837-A7AE-F50700261BEE}"/>
    <cellStyle name="Output 2 8 4 2 3 3 2" xfId="39714" xr:uid="{DF4B0BDB-459B-4FC9-AB08-D957406DC56C}"/>
    <cellStyle name="Output 2 8 4 2 3 3 3" xfId="28043" xr:uid="{EB187247-FABE-444E-9779-C290123A41C1}"/>
    <cellStyle name="Output 2 8 4 2 3 4" xfId="14888" xr:uid="{C54A360D-BD4C-4C80-A38D-144F5C69DC94}"/>
    <cellStyle name="Output 2 8 4 2 3 4 2" xfId="37342" xr:uid="{3ADFCA71-386A-4E35-A1A2-E83D1F09C62F}"/>
    <cellStyle name="Output 2 8 4 2 3 4 3" xfId="23642" xr:uid="{E0442379-51DD-4C08-B420-13B625F70708}"/>
    <cellStyle name="Output 2 8 4 2 3 5" xfId="21748" xr:uid="{A091F2E6-E996-4FD2-9EED-CC036010696A}"/>
    <cellStyle name="Output 2 8 4 2 3 5 2" xfId="54057" xr:uid="{D0EBB731-D612-48D9-988F-1161C5D97EA7}"/>
    <cellStyle name="Output 2 8 4 2 3 6" xfId="52278" xr:uid="{A4CEC296-0000-4C7B-A2C9-95CC059D9654}"/>
    <cellStyle name="Output 2 8 4 2 4" xfId="5800" xr:uid="{00000000-0005-0000-0000-00001E080000}"/>
    <cellStyle name="Output 2 8 4 2 4 2" xfId="12683" xr:uid="{539CDBB1-F97D-4B95-8947-B12C382FC9DF}"/>
    <cellStyle name="Output 2 8 4 2 4 2 2" xfId="35168" xr:uid="{E4FB4BC3-7B9E-41E8-AAA9-137AAC313D52}"/>
    <cellStyle name="Output 2 8 4 2 4 2 3" xfId="44756" xr:uid="{3D7E5D1C-3A39-419A-8973-A1289E826B21}"/>
    <cellStyle name="Output 2 8 4 2 4 3" xfId="17737" xr:uid="{C5224B8B-AD92-4892-8F8B-BFEADE23DEDE}"/>
    <cellStyle name="Output 2 8 4 2 4 3 2" xfId="40127" xr:uid="{3E054760-D6A3-42D8-BD7E-5E1852A23BC0}"/>
    <cellStyle name="Output 2 8 4 2 4 3 3" xfId="27899" xr:uid="{6F2B399F-9727-4092-BBEC-0DF84E6A7607}"/>
    <cellStyle name="Output 2 8 4 2 4 4" xfId="15763" xr:uid="{0994843F-441B-408F-8839-33F345D6D025}"/>
    <cellStyle name="Output 2 8 4 2 4 4 2" xfId="38175" xr:uid="{A29734F9-F013-40B1-AF2B-B135E6BBAC14}"/>
    <cellStyle name="Output 2 8 4 2 4 4 3" xfId="51153" xr:uid="{98672BEA-281F-4A89-8DBF-FA6454289008}"/>
    <cellStyle name="Output 2 8 4 2 4 5" xfId="22161" xr:uid="{26592338-37B3-45E0-B1B8-1B5D56B373AB}"/>
    <cellStyle name="Output 2 8 4 2 4 5 2" xfId="54010" xr:uid="{276AF430-D8FE-4F05-B2DD-57D2CAA90E6B}"/>
    <cellStyle name="Output 2 8 4 2 4 6" xfId="48737" xr:uid="{7A166461-85B1-48F2-9D84-D5D5F98A308D}"/>
    <cellStyle name="Output 2 8 4 2 5" xfId="6144" xr:uid="{00000000-0005-0000-0000-00001E080000}"/>
    <cellStyle name="Output 2 8 4 2 5 2" xfId="13021" xr:uid="{19B0A022-C7C6-4A8C-8C5C-3EF1C0F26BFA}"/>
    <cellStyle name="Output 2 8 4 2 5 2 2" xfId="35505" xr:uid="{3ED0AE91-BAB5-4E93-8C3E-C60C3058DEEE}"/>
    <cellStyle name="Output 2 8 4 2 5 2 3" xfId="27936" xr:uid="{4821DE43-9A67-4C62-B706-DF98E09BECE3}"/>
    <cellStyle name="Output 2 8 4 2 5 3" xfId="18081" xr:uid="{64441002-72C9-46F4-B668-66815A2FDCD7}"/>
    <cellStyle name="Output 2 8 4 2 5 3 2" xfId="40471" xr:uid="{5FA0BB5E-F4B5-4DC9-8195-8663FD5D83C1}"/>
    <cellStyle name="Output 2 8 4 2 5 3 3" xfId="29762" xr:uid="{65B2FADC-29AE-4DE0-AAA5-10C22912C732}"/>
    <cellStyle name="Output 2 8 4 2 5 4" xfId="8103" xr:uid="{3AF14CD5-3B13-4432-93B8-168EA10CD78B}"/>
    <cellStyle name="Output 2 8 4 2 5 4 2" xfId="30717" xr:uid="{92EFB3A1-C6F0-4ADD-AB8B-59421BAEB5C1}"/>
    <cellStyle name="Output 2 8 4 2 5 4 3" xfId="42994" xr:uid="{8354E142-D5E9-400D-84B4-91BC017C8146}"/>
    <cellStyle name="Output 2 8 4 2 5 5" xfId="22505" xr:uid="{82CDBCA0-2AFA-4C3F-83C2-625A077B32AA}"/>
    <cellStyle name="Output 2 8 4 2 5 5 2" xfId="49638" xr:uid="{6F268577-3DAD-434C-8C89-6838B482C4A2}"/>
    <cellStyle name="Output 2 8 4 2 5 6" xfId="52725" xr:uid="{53A744EF-FEF3-4127-9BBD-40097E62F305}"/>
    <cellStyle name="Output 2 8 4 2 6" xfId="6517" xr:uid="{00000000-0005-0000-0000-00001E080000}"/>
    <cellStyle name="Output 2 8 4 2 6 2" xfId="13386" xr:uid="{61A69A86-E280-4A14-B688-95501C9B18E4}"/>
    <cellStyle name="Output 2 8 4 2 6 2 2" xfId="35870" xr:uid="{F33CF61B-9426-4A9A-BB12-8D6F7C17EEEA}"/>
    <cellStyle name="Output 2 8 4 2 6 2 3" xfId="32231" xr:uid="{844A8047-DBBE-4B1A-893C-34C67B9C78B7}"/>
    <cellStyle name="Output 2 8 4 2 6 3" xfId="18454" xr:uid="{26A36A25-4D21-47AB-99FE-B02E65F01AB7}"/>
    <cellStyle name="Output 2 8 4 2 6 3 2" xfId="40844" xr:uid="{417463F4-D9C5-42DD-95D0-57FD0DA3F1B6}"/>
    <cellStyle name="Output 2 8 4 2 6 3 3" xfId="44358" xr:uid="{3032A341-B8E4-4883-B0A0-9FE99020B1B5}"/>
    <cellStyle name="Output 2 8 4 2 6 4" xfId="20170" xr:uid="{F77F9E34-0900-48C1-8001-F65CCBA4D3E6}"/>
    <cellStyle name="Output 2 8 4 2 6 4 2" xfId="42481" xr:uid="{91CA4211-45A7-40C3-B561-5F9A22ED8E5D}"/>
    <cellStyle name="Output 2 8 4 2 6 4 3" xfId="25950" xr:uid="{685AC9EB-01B3-4693-B7FC-2CA00706D244}"/>
    <cellStyle name="Output 2 8 4 2 6 5" xfId="22878" xr:uid="{22AE228D-E01D-48D3-9213-FAD15B6D2261}"/>
    <cellStyle name="Output 2 8 4 2 6 5 2" xfId="48767" xr:uid="{735A20A8-171A-4FC6-BBE5-183A236B934B}"/>
    <cellStyle name="Output 2 8 4 2 6 6" xfId="46230" xr:uid="{F22486D8-04A6-4F4D-BA6A-E807ADFC9FFD}"/>
    <cellStyle name="Output 2 8 4 2 7" xfId="5093" xr:uid="{00000000-0005-0000-0000-00001E080000}"/>
    <cellStyle name="Output 2 8 4 2 7 2" xfId="11986" xr:uid="{FB3CB18F-98FC-4065-8AC0-8CBECB913D61}"/>
    <cellStyle name="Output 2 8 4 2 7 2 2" xfId="34472" xr:uid="{60AACCF1-C5C2-4B4A-B81B-E0604E1A0FF8}"/>
    <cellStyle name="Output 2 8 4 2 7 2 3" xfId="36634" xr:uid="{1A5FBA6D-E28A-4FAD-8B02-258F3F23BF04}"/>
    <cellStyle name="Output 2 8 4 2 7 3" xfId="17030" xr:uid="{53A7A28D-BC11-4354-9135-3CFD6B967BDA}"/>
    <cellStyle name="Output 2 8 4 2 7 3 2" xfId="39420" xr:uid="{EE2D5DB2-C332-4EA2-8956-27FD18B31FD5}"/>
    <cellStyle name="Output 2 8 4 2 7 3 3" xfId="42090" xr:uid="{70F81D2F-65D9-4187-87B2-F61A471AECB0}"/>
    <cellStyle name="Output 2 8 4 2 7 4" xfId="19375" xr:uid="{88B2DF6C-0513-4287-8DE0-C3D2581BF5E4}"/>
    <cellStyle name="Output 2 8 4 2 7 4 2" xfId="41749" xr:uid="{045BFCF0-695A-484E-AD72-ED54E2520C90}"/>
    <cellStyle name="Output 2 8 4 2 7 4 3" xfId="29136" xr:uid="{A379A552-C312-4952-AA84-E59CF09C70FA}"/>
    <cellStyle name="Output 2 8 4 2 7 5" xfId="21454" xr:uid="{C5638CED-4DD6-41AF-A621-B46524FE481F}"/>
    <cellStyle name="Output 2 8 4 2 7 5 2" xfId="51096" xr:uid="{84D5E6D4-89E1-435F-A6A4-2E3B2D12207A}"/>
    <cellStyle name="Output 2 8 4 2 7 6" xfId="52547" xr:uid="{C0D0FF04-7E56-4CC9-9C13-24A97B85BC32}"/>
    <cellStyle name="Output 2 8 4 2 8" xfId="7001" xr:uid="{00000000-0005-0000-0000-00001E080000}"/>
    <cellStyle name="Output 2 8 4 2 8 2" xfId="13838" xr:uid="{1386CF19-0307-463B-9D4D-9E4295C21F64}"/>
    <cellStyle name="Output 2 8 4 2 8 2 2" xfId="36322" xr:uid="{C247B056-228B-4214-8397-CB5CD210FB8E}"/>
    <cellStyle name="Output 2 8 4 2 8 2 3" xfId="50883" xr:uid="{13A5F496-15F1-44F9-8CEF-AA5F4111DBC9}"/>
    <cellStyle name="Output 2 8 4 2 8 3" xfId="18938" xr:uid="{E84799DA-ECDE-455D-8EC3-4C4229164486}"/>
    <cellStyle name="Output 2 8 4 2 8 3 2" xfId="41328" xr:uid="{ADB4D99E-ED42-4D5D-92E7-66637ED6BF32}"/>
    <cellStyle name="Output 2 8 4 2 8 3 3" xfId="29305" xr:uid="{12F4B9B9-FC5F-48BB-A008-71777456D378}"/>
    <cellStyle name="Output 2 8 4 2 8 4" xfId="20621" xr:uid="{3BBEC54C-D743-4AE3-9F65-92D4226F3D29}"/>
    <cellStyle name="Output 2 8 4 2 8 4 2" xfId="42901" xr:uid="{3956ADB9-C816-43CE-B324-728A79F79447}"/>
    <cellStyle name="Output 2 8 4 2 8 4 3" xfId="25387" xr:uid="{98A9E78C-57DC-4370-B372-9560060ACC04}"/>
    <cellStyle name="Output 2 8 4 2 8 5" xfId="23362" xr:uid="{D7DD38A9-7FC6-4124-8C75-85005E07B43F}"/>
    <cellStyle name="Output 2 8 4 2 8 5 2" xfId="47211" xr:uid="{2EEB7D77-D298-49AB-BB53-BEF83131F07E}"/>
    <cellStyle name="Output 2 8 4 2 8 6" xfId="32513" xr:uid="{AA7B7BB5-2180-4544-9160-C50F26E84F88}"/>
    <cellStyle name="Output 2 8 4 2 9" xfId="5840" xr:uid="{00000000-0005-0000-0000-00001E080000}"/>
    <cellStyle name="Output 2 8 4 2 9 2" xfId="17777" xr:uid="{DD7762B2-7D56-450C-9FA5-1C975F5D79C1}"/>
    <cellStyle name="Output 2 8 4 2 9 2 2" xfId="40167" xr:uid="{443341C9-233E-4002-8F76-9072D5CECD23}"/>
    <cellStyle name="Output 2 8 4 2 9 2 3" xfId="36521" xr:uid="{EE27A4D7-DC80-49DC-8483-DACC8B2D7DB4}"/>
    <cellStyle name="Output 2 8 4 2 9 3" xfId="7727" xr:uid="{70025D66-01C9-41DC-B8C5-0F55EE123501}"/>
    <cellStyle name="Output 2 8 4 2 9 3 2" xfId="30376" xr:uid="{39062986-7872-4C14-9E8F-D431DF994373}"/>
    <cellStyle name="Output 2 8 4 2 9 3 3" xfId="44126" xr:uid="{CAB22227-42C3-4B9B-A374-15788D49AD46}"/>
    <cellStyle name="Output 2 8 4 2 9 4" xfId="22201" xr:uid="{90694417-3620-4C78-AACA-23EC388A658A}"/>
    <cellStyle name="Output 2 8 4 2 9 4 2" xfId="52449" xr:uid="{60985C81-805D-4BA1-ABC0-79B31C0ED2D4}"/>
    <cellStyle name="Output 2 8 4 2 9 5" xfId="48986" xr:uid="{2A0ED936-59F7-43B9-A17B-F96C16064F4C}"/>
    <cellStyle name="Output 2 8 4 3" xfId="3150" xr:uid="{00000000-0005-0000-0000-00001D080000}"/>
    <cellStyle name="Output 2 8 4 3 2" xfId="10059" xr:uid="{DA73A54A-AB28-4FBA-8F96-346FD739B048}"/>
    <cellStyle name="Output 2 8 4 3 2 2" xfId="32566" xr:uid="{6183B59C-4382-4940-BE8B-63FAF8AE4449}"/>
    <cellStyle name="Output 2 8 4 3 2 3" xfId="52250" xr:uid="{526BAE72-1B0E-4EF1-9410-19D751893F96}"/>
    <cellStyle name="Output 2 8 4 3 3" xfId="15437" xr:uid="{49D0A96F-66C4-46E1-B12D-6E9FF79B49DD}"/>
    <cellStyle name="Output 2 8 4 3 3 2" xfId="37863" xr:uid="{7180ADDB-80C1-4C18-83D7-DAE2669B3B18}"/>
    <cellStyle name="Output 2 8 4 3 3 3" xfId="48588" xr:uid="{A8FFBE8D-07E5-4D5E-A33C-593E2D70391C}"/>
    <cellStyle name="Output 2 8 4 3 4" xfId="15718" xr:uid="{08955B90-802E-4B78-9435-D0B919D420BB}"/>
    <cellStyle name="Output 2 8 4 3 4 2" xfId="38131" xr:uid="{D3743721-3D48-4FD5-A493-C9B7B58C147A}"/>
    <cellStyle name="Output 2 8 4 3 4 3" xfId="28478" xr:uid="{CD410049-3FD2-4E55-970E-10B4AF7F7264}"/>
    <cellStyle name="Output 2 8 4 3 5" xfId="19605" xr:uid="{131235AB-7423-4104-98B7-C0E77A22960C}"/>
    <cellStyle name="Output 2 8 4 3 5 2" xfId="43757" xr:uid="{FEC09A77-ACDF-4A91-A8D8-DFB7BC498F84}"/>
    <cellStyle name="Output 2 8 4 3 6" xfId="49175" xr:uid="{EA91BFA5-33BD-4269-AA4B-ED823441F979}"/>
    <cellStyle name="Output 2 8 4 4" xfId="4799" xr:uid="{00000000-0005-0000-0000-00001D080000}"/>
    <cellStyle name="Output 2 8 4 4 2" xfId="11696" xr:uid="{F10CEEA7-5A09-4351-87D5-FEBF9D41A5BC}"/>
    <cellStyle name="Output 2 8 4 4 2 2" xfId="34182" xr:uid="{A68BF84C-FE5D-49D2-9E53-FDE4F4718BFF}"/>
    <cellStyle name="Output 2 8 4 4 2 3" xfId="30130" xr:uid="{F079E7A2-55EA-4D7F-A331-6CCE2FAEFCFA}"/>
    <cellStyle name="Output 2 8 4 4 3" xfId="16736" xr:uid="{3C0E6258-DBEF-432B-99D1-9AC00CF89B0E}"/>
    <cellStyle name="Output 2 8 4 4 3 2" xfId="39126" xr:uid="{0F7BCA02-E74D-4794-932B-EBF12186C086}"/>
    <cellStyle name="Output 2 8 4 4 3 3" xfId="45494" xr:uid="{A93445F0-D05D-4C16-BF7F-1EF323F6B1D0}"/>
    <cellStyle name="Output 2 8 4 4 4" xfId="13121" xr:uid="{B27A76E6-5F0C-4EEA-84C6-3B9C98E252D2}"/>
    <cellStyle name="Output 2 8 4 4 4 2" xfId="35605" xr:uid="{E52E1365-E48D-44F4-B5BB-60CFAFC42CA6}"/>
    <cellStyle name="Output 2 8 4 4 4 3" xfId="52077" xr:uid="{2144B8F5-D328-43D3-BD61-3D27B895B06E}"/>
    <cellStyle name="Output 2 8 4 4 5" xfId="19682" xr:uid="{F607201E-EA6F-44DF-BC5C-D10F072FC32B}"/>
    <cellStyle name="Output 2 8 4 4 5 2" xfId="25395" xr:uid="{AFEFFA28-B5D8-4E9C-A446-1AB5067250CA}"/>
    <cellStyle name="Output 2 8 4 4 6" xfId="29837" xr:uid="{B6C286FF-A6A1-459B-803D-0AF00F4C2EE8}"/>
    <cellStyle name="Output 2 8 4 5" xfId="4607" xr:uid="{00000000-0005-0000-0000-00001D080000}"/>
    <cellStyle name="Output 2 8 4 5 2" xfId="11508" xr:uid="{614C26DB-E446-47B1-B2ED-67E1BC0B5A9E}"/>
    <cellStyle name="Output 2 8 4 5 2 2" xfId="33994" xr:uid="{22DF1CDC-953F-4C8C-A766-7ACC1EAB07CA}"/>
    <cellStyle name="Output 2 8 4 5 2 3" xfId="27371" xr:uid="{F045788C-DB7A-4BBE-B775-D9314020B28A}"/>
    <cellStyle name="Output 2 8 4 5 3" xfId="16544" xr:uid="{39C7AE0D-83EF-48C4-9E96-A076969C7EDA}"/>
    <cellStyle name="Output 2 8 4 5 3 2" xfId="38934" xr:uid="{22E3E5E9-36DE-42BF-BC97-8D99761E6B82}"/>
    <cellStyle name="Output 2 8 4 5 3 3" xfId="45269" xr:uid="{1D7BC563-1A54-406E-B076-EF2EA00C8184}"/>
    <cellStyle name="Output 2 8 4 5 4" xfId="7944" xr:uid="{1482391B-E8B1-453F-AED3-348AD2A985A6}"/>
    <cellStyle name="Output 2 8 4 5 4 2" xfId="30568" xr:uid="{A4F9003A-F4DB-4BA8-BDE8-E29E01E218EB}"/>
    <cellStyle name="Output 2 8 4 5 4 3" xfId="51443" xr:uid="{5C792B7D-331A-4CA4-92A9-E9C28A634D7E}"/>
    <cellStyle name="Output 2 8 4 5 5" xfId="8963" xr:uid="{C1223487-CB31-4FAC-B0EE-2D0DDAB36E7E}"/>
    <cellStyle name="Output 2 8 4 5 5 2" xfId="51431" xr:uid="{BD74AAD0-999D-4EFD-9C1F-72A6FCC71E73}"/>
    <cellStyle name="Output 2 8 4 5 6" xfId="51299" xr:uid="{1F9389EE-1261-401D-A145-E4B8A314187A}"/>
    <cellStyle name="Output 2 8 4 6" xfId="5991" xr:uid="{00000000-0005-0000-0000-00001D080000}"/>
    <cellStyle name="Output 2 8 4 6 2" xfId="12872" xr:uid="{19B249F6-CC18-4DDA-AD92-F030C3271E0B}"/>
    <cellStyle name="Output 2 8 4 6 2 2" xfId="35356" xr:uid="{629D490E-888B-4B7A-B363-5FC6333463DC}"/>
    <cellStyle name="Output 2 8 4 6 2 3" xfId="53261" xr:uid="{4D3B2B43-5DB8-4E48-8117-A653C2B82F24}"/>
    <cellStyle name="Output 2 8 4 6 3" xfId="17928" xr:uid="{702835E7-0720-4432-866D-2261554BB0F9}"/>
    <cellStyle name="Output 2 8 4 6 3 2" xfId="40318" xr:uid="{3E433928-4432-4E30-AB4F-562B142A2390}"/>
    <cellStyle name="Output 2 8 4 6 3 3" xfId="43906" xr:uid="{2CF57CC9-CF6F-45B2-826D-DD6844419FB8}"/>
    <cellStyle name="Output 2 8 4 6 4" xfId="16159" xr:uid="{3FAC1FEB-98E2-4962-9CD7-A3F8FEF13D2F}"/>
    <cellStyle name="Output 2 8 4 6 4 2" xfId="38558" xr:uid="{1843CF04-C3CD-4839-8FA8-A1A030409997}"/>
    <cellStyle name="Output 2 8 4 6 4 3" xfId="26598" xr:uid="{EAB594CC-FBFA-4FE6-AD2B-1747B615A8CA}"/>
    <cellStyle name="Output 2 8 4 6 5" xfId="22352" xr:uid="{7A8B7250-EA68-4796-AFB0-96C05F80D7DC}"/>
    <cellStyle name="Output 2 8 4 6 5 2" xfId="46318" xr:uid="{DA85ADA0-F37A-4B23-8E89-6F85A50BCC75}"/>
    <cellStyle name="Output 2 8 4 6 6" xfId="48750" xr:uid="{4AC4D522-3BE8-46B0-8752-9C6CC3667A18}"/>
    <cellStyle name="Output 2 8 4 7" xfId="4350" xr:uid="{00000000-0005-0000-0000-00001D080000}"/>
    <cellStyle name="Output 2 8 4 7 2" xfId="11253" xr:uid="{730A65BD-61F5-4F77-A1C3-C93EFEAA1C36}"/>
    <cellStyle name="Output 2 8 4 7 2 2" xfId="33739" xr:uid="{22C91DD1-51DC-49E3-9809-045849624073}"/>
    <cellStyle name="Output 2 8 4 7 2 3" xfId="29748" xr:uid="{D7853C30-D90A-4F10-ADF9-73EF1E7ED7E3}"/>
    <cellStyle name="Output 2 8 4 7 3" xfId="16287" xr:uid="{40A2F134-DEE2-4CB6-BC3B-AE3144187575}"/>
    <cellStyle name="Output 2 8 4 7 3 2" xfId="38677" xr:uid="{139224B5-238E-42D0-AF43-145C7FBC46A5}"/>
    <cellStyle name="Output 2 8 4 7 3 3" xfId="44161" xr:uid="{C3FCE817-64FD-4584-ADFF-D71EEEE4CD03}"/>
    <cellStyle name="Output 2 8 4 7 4" xfId="19513" xr:uid="{3E43A1A7-8CA8-4FF5-A025-EE5B0AC88683}"/>
    <cellStyle name="Output 2 8 4 7 4 2" xfId="41875" xr:uid="{8748EF4F-C7A5-402D-96FA-4EB4517412EF}"/>
    <cellStyle name="Output 2 8 4 7 4 3" xfId="24540" xr:uid="{DED50789-C630-4368-B653-12897842975A}"/>
    <cellStyle name="Output 2 8 4 7 5" xfId="15742" xr:uid="{EF0908CF-1C03-45EE-B06B-B6C9DD440DCD}"/>
    <cellStyle name="Output 2 8 4 7 5 2" xfId="27056" xr:uid="{15B0488E-C2CA-493E-8388-FB55264F920F}"/>
    <cellStyle name="Output 2 8 4 7 6" xfId="30643" xr:uid="{54E5F1AB-13FC-4BFF-B227-475EB19E1071}"/>
    <cellStyle name="Output 2 8 4 8" xfId="13973" xr:uid="{A860031A-C52B-4F43-A587-4519A3EE60E6}"/>
    <cellStyle name="Output 2 8 4 8 2" xfId="36457" xr:uid="{FF2C5FE0-8230-47F4-89DB-78DBB0FDCDD8}"/>
    <cellStyle name="Output 2 8 4 8 3" xfId="43939" xr:uid="{394F1A05-64E6-4814-8C84-AB4006E5C45B}"/>
    <cellStyle name="Output 2 8 4 9" xfId="19800" xr:uid="{481B0CA8-15BB-445D-8CA9-A23EA789C6D9}"/>
    <cellStyle name="Output 2 8 4 9 2" xfId="42138" xr:uid="{EA5E4F96-7048-439D-B33D-BA262A260B59}"/>
    <cellStyle name="Output 2 8 4 9 3" xfId="44082" xr:uid="{7806DF6E-F60C-4FC4-90F2-2C4CAECAC64B}"/>
    <cellStyle name="Output 2 8 5" xfId="1209" xr:uid="{00000000-0005-0000-0000-000021080000}"/>
    <cellStyle name="Output 2 8 5 10" xfId="19215" xr:uid="{7467C1DC-FB56-45FE-936C-B633CC33BBCF}"/>
    <cellStyle name="Output 2 8 5 10 2" xfId="45842" xr:uid="{00603ADC-7A3E-4DF7-A508-15492EC0F4D0}"/>
    <cellStyle name="Output 2 8 5 11" xfId="51956" xr:uid="{EEAA8B21-EBC9-43DA-8939-82EC7F2751DE}"/>
    <cellStyle name="Output 2 8 5 2" xfId="2009" xr:uid="{00000000-0005-0000-0000-000022080000}"/>
    <cellStyle name="Output 2 8 5 2 10" xfId="14657" xr:uid="{0053BFF2-C403-4161-8E7C-0D0CDEEAF2E7}"/>
    <cellStyle name="Output 2 8 5 2 10 2" xfId="37117" xr:uid="{C7BDCC16-372B-4D5D-9157-77174C966488}"/>
    <cellStyle name="Output 2 8 5 2 10 3" xfId="26694" xr:uid="{9A156D4E-898E-4237-9911-D3B34839786E}"/>
    <cellStyle name="Output 2 8 5 2 11" xfId="20665" xr:uid="{49579F0F-4028-4D45-BC96-B9ADCC291F82}"/>
    <cellStyle name="Output 2 8 5 2 11 2" xfId="42941" xr:uid="{BC0DD6F9-CA3D-4C07-8759-795E3D4147A8}"/>
    <cellStyle name="Output 2 8 5 2 11 3" xfId="46811" xr:uid="{03FFBE52-8589-4BD9-8ED2-18EA764459C5}"/>
    <cellStyle name="Output 2 8 5 2 12" xfId="19969" xr:uid="{A391E423-E9F7-43DD-B460-7E457EF048AB}"/>
    <cellStyle name="Output 2 8 5 2 12 2" xfId="26390" xr:uid="{19DA9281-529B-4D78-B184-02758BBBF2EF}"/>
    <cellStyle name="Output 2 8 5 2 13" xfId="45937" xr:uid="{762E7DB3-A8B2-40DA-9D12-7E575CF099DA}"/>
    <cellStyle name="Output 2 8 5 2 2" xfId="4104" xr:uid="{00000000-0005-0000-0000-000020080000}"/>
    <cellStyle name="Output 2 8 5 2 2 2" xfId="11008" xr:uid="{39664E77-D31B-46D9-AC2E-8551A00B907C}"/>
    <cellStyle name="Output 2 8 5 2 2 2 2" xfId="33494" xr:uid="{A2BD1AA8-2C02-4446-B676-2454ED7F2C94}"/>
    <cellStyle name="Output 2 8 5 2 2 2 3" xfId="44401" xr:uid="{615E7352-FD7C-40E7-9A8E-0F15BDA83B01}"/>
    <cellStyle name="Output 2 8 5 2 2 3" xfId="16108" xr:uid="{389C3743-60B6-4AAD-B210-508564825082}"/>
    <cellStyle name="Output 2 8 5 2 2 3 2" xfId="38508" xr:uid="{F42274FE-7BF9-488A-8B91-6BE969515FDF}"/>
    <cellStyle name="Output 2 8 5 2 2 3 3" xfId="44785" xr:uid="{46E8C36C-FDA2-4505-847B-557E66683E6A}"/>
    <cellStyle name="Output 2 8 5 2 2 4" xfId="20195" xr:uid="{7D52E993-294D-4573-BE58-542D0ABA9712}"/>
    <cellStyle name="Output 2 8 5 2 2 4 2" xfId="42504" xr:uid="{9AAC6766-D576-4FB8-A4AA-FEB54FCF1C1C}"/>
    <cellStyle name="Output 2 8 5 2 2 4 3" xfId="23710" xr:uid="{5E54F6DE-35FF-43B6-BD18-29A8CDAB84EA}"/>
    <cellStyle name="Output 2 8 5 2 2 5" xfId="20145" xr:uid="{0DF22B70-EE40-41D6-8493-B1C61692D7CA}"/>
    <cellStyle name="Output 2 8 5 2 2 5 2" xfId="30861" xr:uid="{963BEFD0-0310-422D-BDF5-00271138051A}"/>
    <cellStyle name="Output 2 8 5 2 2 6" xfId="24802" xr:uid="{B32188E8-89C0-4E8C-9EA5-0DC0D3E2278D}"/>
    <cellStyle name="Output 2 8 5 2 3" xfId="5450" xr:uid="{00000000-0005-0000-0000-000020080000}"/>
    <cellStyle name="Output 2 8 5 2 3 2" xfId="12339" xr:uid="{75E4D9B4-6902-480D-BE39-61A309A89FDD}"/>
    <cellStyle name="Output 2 8 5 2 3 2 2" xfId="34824" xr:uid="{5F0844FC-C22C-4150-BF4F-7848F20D32AB}"/>
    <cellStyle name="Output 2 8 5 2 3 2 3" xfId="30058" xr:uid="{6B58463C-BFC0-46D2-84B3-0430683049ED}"/>
    <cellStyle name="Output 2 8 5 2 3 3" xfId="17387" xr:uid="{F08D9CBC-9990-4587-AFD0-E651B5ECB3FF}"/>
    <cellStyle name="Output 2 8 5 2 3 3 2" xfId="39777" xr:uid="{8CD95AC7-FE48-4233-AD9A-A80B18C4D138}"/>
    <cellStyle name="Output 2 8 5 2 3 3 3" xfId="44009" xr:uid="{ACEB223D-C21A-46B2-BD71-B6DB359EFC07}"/>
    <cellStyle name="Output 2 8 5 2 3 4" xfId="19876" xr:uid="{7FD9410F-84D1-4C05-8F7A-67342E5CB7C9}"/>
    <cellStyle name="Output 2 8 5 2 3 4 2" xfId="42210" xr:uid="{5404DEBE-9633-4B7A-84D4-40A3C59C0329}"/>
    <cellStyle name="Output 2 8 5 2 3 4 3" xfId="28845" xr:uid="{AD4DE5D3-4702-49B1-8425-6935A12E0528}"/>
    <cellStyle name="Output 2 8 5 2 3 5" xfId="21811" xr:uid="{6EEF8A92-4CA7-4935-845A-AAC7DDCE1957}"/>
    <cellStyle name="Output 2 8 5 2 3 5 2" xfId="53139" xr:uid="{95FD0CD7-FE36-471B-ACC5-601FDC893A51}"/>
    <cellStyle name="Output 2 8 5 2 3 6" xfId="53849" xr:uid="{1E8395DA-2EA0-4C23-86E0-81F3D0A6439F}"/>
    <cellStyle name="Output 2 8 5 2 4" xfId="5873" xr:uid="{00000000-0005-0000-0000-000020080000}"/>
    <cellStyle name="Output 2 8 5 2 4 2" xfId="12755" xr:uid="{F1C6B46C-9D31-4D10-8F7D-2F255122C37D}"/>
    <cellStyle name="Output 2 8 5 2 4 2 2" xfId="35239" xr:uid="{4423B083-8E68-4218-A906-032490ABD6A5}"/>
    <cellStyle name="Output 2 8 5 2 4 2 3" xfId="24794" xr:uid="{8D8D4A93-D720-41B4-A0AE-A8A56D636605}"/>
    <cellStyle name="Output 2 8 5 2 4 3" xfId="17810" xr:uid="{773905B9-787E-448D-9391-523DF797DA74}"/>
    <cellStyle name="Output 2 8 5 2 4 3 2" xfId="40200" xr:uid="{9FE83F98-BB6B-4ABA-849D-EA11EEF3B050}"/>
    <cellStyle name="Output 2 8 5 2 4 3 3" xfId="25628" xr:uid="{D7E722E6-E29C-4CC4-8DB8-EA808F86A3CC}"/>
    <cellStyle name="Output 2 8 5 2 4 4" xfId="19624" xr:uid="{5F9A4373-B496-4D6D-A056-2CE14BBEB63B}"/>
    <cellStyle name="Output 2 8 5 2 4 4 2" xfId="41975" xr:uid="{E4507E9D-F33A-4AC4-924C-F7D6544E7F10}"/>
    <cellStyle name="Output 2 8 5 2 4 4 3" xfId="28617" xr:uid="{84C64CEC-BF60-4D6B-AB55-98D571C69513}"/>
    <cellStyle name="Output 2 8 5 2 4 5" xfId="22234" xr:uid="{A849C94E-9D04-46B0-9607-DA497FDD1DBF}"/>
    <cellStyle name="Output 2 8 5 2 4 5 2" xfId="47109" xr:uid="{9BCDC758-A47B-40FB-9751-FF4FDCBEB94B}"/>
    <cellStyle name="Output 2 8 5 2 4 6" xfId="51265" xr:uid="{87EB857B-94FC-4B8F-8285-17F4BF152A7C}"/>
    <cellStyle name="Output 2 8 5 2 5" xfId="6211" xr:uid="{00000000-0005-0000-0000-000020080000}"/>
    <cellStyle name="Output 2 8 5 2 5 2" xfId="13086" xr:uid="{9E94FA3F-9A84-45C8-BABB-E97556769DEC}"/>
    <cellStyle name="Output 2 8 5 2 5 2 2" xfId="35570" xr:uid="{E3A8F3F8-4B6B-44FA-BEE0-5E0777750F60}"/>
    <cellStyle name="Output 2 8 5 2 5 2 3" xfId="48504" xr:uid="{0C0B3E3A-6F69-49C9-8583-FB1638325C1F}"/>
    <cellStyle name="Output 2 8 5 2 5 3" xfId="18148" xr:uid="{5CF41350-6A5E-456A-B8E9-B454A8922696}"/>
    <cellStyle name="Output 2 8 5 2 5 3 2" xfId="40538" xr:uid="{C908D663-4497-4AB6-A28F-80C5FAC7B7BA}"/>
    <cellStyle name="Output 2 8 5 2 5 3 3" xfId="43496" xr:uid="{47D2FD6A-23F8-4E2E-BD22-7747B32D5ED9}"/>
    <cellStyle name="Output 2 8 5 2 5 4" xfId="19357" xr:uid="{6795D1E6-9773-44F3-9180-056EAF404F46}"/>
    <cellStyle name="Output 2 8 5 2 5 4 2" xfId="41731" xr:uid="{A6D8B0C9-6B8E-4E3E-B6CE-3961CE1FD393}"/>
    <cellStyle name="Output 2 8 5 2 5 4 3" xfId="44069" xr:uid="{E16C1371-CDA7-46E4-8FA7-8E2D7983323C}"/>
    <cellStyle name="Output 2 8 5 2 5 5" xfId="22572" xr:uid="{45C99F6D-13C4-4DF2-9925-B83174B70F7E}"/>
    <cellStyle name="Output 2 8 5 2 5 5 2" xfId="49705" xr:uid="{73B87B8B-4913-4D62-A6FB-7F179D7CA4F9}"/>
    <cellStyle name="Output 2 8 5 2 5 6" xfId="51874" xr:uid="{E4CD717E-8282-42C5-A71F-43CCC9D8FE45}"/>
    <cellStyle name="Output 2 8 5 2 6" xfId="6577" xr:uid="{00000000-0005-0000-0000-000020080000}"/>
    <cellStyle name="Output 2 8 5 2 6 2" xfId="13443" xr:uid="{26E36DA9-F5C3-4E9B-93DA-2928DAB663A9}"/>
    <cellStyle name="Output 2 8 5 2 6 2 2" xfId="35927" xr:uid="{A95532FD-712A-4F00-9567-A58BD6999C12}"/>
    <cellStyle name="Output 2 8 5 2 6 2 3" xfId="53595" xr:uid="{F712E72A-C46F-47F1-8B68-CE01A2D65E7E}"/>
    <cellStyle name="Output 2 8 5 2 6 3" xfId="18514" xr:uid="{D8DE7A50-920E-4362-A00A-6CC25297122A}"/>
    <cellStyle name="Output 2 8 5 2 6 3 2" xfId="40904" xr:uid="{8AA93DB9-0438-46F9-91BB-C08380163E15}"/>
    <cellStyle name="Output 2 8 5 2 6 3 3" xfId="28308" xr:uid="{E778914B-D283-4D7E-B5C8-5661ADBC23BE}"/>
    <cellStyle name="Output 2 8 5 2 6 4" xfId="20703" xr:uid="{F46AF136-EA5C-4264-8864-CF4F8F582A56}"/>
    <cellStyle name="Output 2 8 5 2 6 4 2" xfId="42975" xr:uid="{B13D53C5-5F6C-4033-8950-9B2377F4F390}"/>
    <cellStyle name="Output 2 8 5 2 6 4 3" xfId="50361" xr:uid="{EEC884C0-C60E-449C-A0A7-439F31682B0D}"/>
    <cellStyle name="Output 2 8 5 2 6 5" xfId="22938" xr:uid="{99E37C96-CA97-4857-A822-E9AA0D31CC28}"/>
    <cellStyle name="Output 2 8 5 2 6 5 2" xfId="27700" xr:uid="{B223A995-C467-40BB-93A1-80531B015061}"/>
    <cellStyle name="Output 2 8 5 2 6 6" xfId="45069" xr:uid="{A988A55A-75F7-4706-A479-18BE6001E92A}"/>
    <cellStyle name="Output 2 8 5 2 7" xfId="6715" xr:uid="{00000000-0005-0000-0000-000020080000}"/>
    <cellStyle name="Output 2 8 5 2 7 2" xfId="13577" xr:uid="{5C72B57F-7F4E-4515-9173-918C4DB4EF53}"/>
    <cellStyle name="Output 2 8 5 2 7 2 2" xfId="36061" xr:uid="{A428624D-FB66-4F3D-83E7-A3EF80EAC27A}"/>
    <cellStyle name="Output 2 8 5 2 7 2 3" xfId="50572" xr:uid="{3E3A6C84-7EE0-41D4-BCC0-C69ACF89BB20}"/>
    <cellStyle name="Output 2 8 5 2 7 3" xfId="18652" xr:uid="{098D2D44-BC22-4255-A294-02296ED16D50}"/>
    <cellStyle name="Output 2 8 5 2 7 3 2" xfId="41042" xr:uid="{2574A9FA-8BD9-48D3-B909-8CA69DDCCF11}"/>
    <cellStyle name="Output 2 8 5 2 7 3 3" xfId="27881" xr:uid="{F53ED07B-11A2-4CD4-8DA8-0954F598C141}"/>
    <cellStyle name="Output 2 8 5 2 7 4" xfId="19977" xr:uid="{AC5156C4-F1E4-44CD-AC83-0C6BC343D78D}"/>
    <cellStyle name="Output 2 8 5 2 7 4 2" xfId="42303" xr:uid="{D08F88A3-E0EB-478B-AC55-D5F75AF5801C}"/>
    <cellStyle name="Output 2 8 5 2 7 4 3" xfId="42888" xr:uid="{35B0F76D-212F-4CD3-8758-0DAB0AE964D5}"/>
    <cellStyle name="Output 2 8 5 2 7 5" xfId="23076" xr:uid="{E057D654-357F-45ED-8675-3DA0A2206AE2}"/>
    <cellStyle name="Output 2 8 5 2 7 5 2" xfId="43797" xr:uid="{D4DD99AC-DECF-485A-8CD4-3DC560BC4779}"/>
    <cellStyle name="Output 2 8 5 2 7 6" xfId="32149" xr:uid="{F54A7F8A-91EC-4111-83D9-68CFF1015CF4}"/>
    <cellStyle name="Output 2 8 5 2 8" xfId="7047" xr:uid="{00000000-0005-0000-0000-000020080000}"/>
    <cellStyle name="Output 2 8 5 2 8 2" xfId="13883" xr:uid="{D065371C-2D5D-4155-9393-350332C73983}"/>
    <cellStyle name="Output 2 8 5 2 8 2 2" xfId="36367" xr:uid="{63F7AFDD-AB60-40C8-85E3-4FE8F405FC39}"/>
    <cellStyle name="Output 2 8 5 2 8 2 3" xfId="46480" xr:uid="{699D0E84-B1C4-4C49-8C5C-170077F21F0F}"/>
    <cellStyle name="Output 2 8 5 2 8 3" xfId="18984" xr:uid="{25CEC306-2B0F-4BA8-81F8-296D7188E11C}"/>
    <cellStyle name="Output 2 8 5 2 8 3 2" xfId="41374" xr:uid="{EC98A5F4-7BAD-48B4-B30C-E9770576B23F}"/>
    <cellStyle name="Output 2 8 5 2 8 3 3" xfId="24336" xr:uid="{8ED46980-2DF4-4F3E-936A-020E6D0EA7BE}"/>
    <cellStyle name="Output 2 8 5 2 8 4" xfId="20065" xr:uid="{8D4B83D0-DB13-42D0-A9BB-8D81F5AEAA0A}"/>
    <cellStyle name="Output 2 8 5 2 8 4 2" xfId="42386" xr:uid="{A5FEC506-479F-4B95-B9A2-D8666E166784}"/>
    <cellStyle name="Output 2 8 5 2 8 4 3" xfId="28078" xr:uid="{02BC4A09-D062-458A-BE04-BE93F4DD7F2E}"/>
    <cellStyle name="Output 2 8 5 2 8 5" xfId="23408" xr:uid="{1FC7F03B-7DEB-495B-8F16-C9C885A6FBA7}"/>
    <cellStyle name="Output 2 8 5 2 8 5 2" xfId="52309" xr:uid="{8E21F7A9-1194-4847-9589-0F3B4A3893A1}"/>
    <cellStyle name="Output 2 8 5 2 8 6" xfId="53360" xr:uid="{911CEE41-0709-4344-A0B3-14CCF1175CDA}"/>
    <cellStyle name="Output 2 8 5 2 9" xfId="7162" xr:uid="{00000000-0005-0000-0000-000020080000}"/>
    <cellStyle name="Output 2 8 5 2 9 2" xfId="19099" xr:uid="{842F41CD-B457-4C82-8AE9-BCC71DE8319D}"/>
    <cellStyle name="Output 2 8 5 2 9 2 2" xfId="41489" xr:uid="{217199C9-4AAF-4A0B-B4CD-E4F7725A8DBC}"/>
    <cellStyle name="Output 2 8 5 2 9 2 3" xfId="24388" xr:uid="{F30CCD71-BE20-4067-88BF-90F7840C892E}"/>
    <cellStyle name="Output 2 8 5 2 9 3" xfId="19713" xr:uid="{23FB926B-9BDC-48EE-93F4-1A6D287A20BF}"/>
    <cellStyle name="Output 2 8 5 2 9 3 2" xfId="42060" xr:uid="{5B26B4EF-9160-40A9-9ADB-2ED6DDD60B32}"/>
    <cellStyle name="Output 2 8 5 2 9 3 3" xfId="45416" xr:uid="{426AD551-7567-46FC-8D21-E4C8B09072E6}"/>
    <cellStyle name="Output 2 8 5 2 9 4" xfId="23523" xr:uid="{2E15E1D7-D549-4394-B107-0C634CBB0845}"/>
    <cellStyle name="Output 2 8 5 2 9 4 2" xfId="48354" xr:uid="{DB9B56F7-E14A-403A-93AC-560DE74CE0E6}"/>
    <cellStyle name="Output 2 8 5 2 9 5" xfId="24539" xr:uid="{ABC4A233-CC5E-4CC0-A6D4-2DCAB19AEF97}"/>
    <cellStyle name="Output 2 8 5 3" xfId="3323" xr:uid="{00000000-0005-0000-0000-00001F080000}"/>
    <cellStyle name="Output 2 8 5 3 2" xfId="10231" xr:uid="{92D76D52-578A-4CA5-906B-55856F11DA31}"/>
    <cellStyle name="Output 2 8 5 3 2 2" xfId="32725" xr:uid="{44A87410-734A-469C-95D0-E50D39DBC755}"/>
    <cellStyle name="Output 2 8 5 3 2 3" xfId="28717" xr:uid="{93E5D920-D006-4FCC-BDEA-500F9141DFCA}"/>
    <cellStyle name="Output 2 8 5 3 3" xfId="15549" xr:uid="{63869FE1-15D8-4A58-A149-DEBB9ED6B16C}"/>
    <cellStyle name="Output 2 8 5 3 3 2" xfId="37968" xr:uid="{CFACF9B3-CD07-4D86-9C1B-B25DA2D034A8}"/>
    <cellStyle name="Output 2 8 5 3 3 3" xfId="44223" xr:uid="{51D67C8A-EF1A-47B4-8A60-55E2731AACA3}"/>
    <cellStyle name="Output 2 8 5 3 4" xfId="16085" xr:uid="{9E467634-5D78-46F7-B634-2778664B44E3}"/>
    <cellStyle name="Output 2 8 5 3 4 2" xfId="38485" xr:uid="{0348E9BD-6D44-49E8-A3A4-B4878607367B}"/>
    <cellStyle name="Output 2 8 5 3 4 3" xfId="51520" xr:uid="{C4810DD5-5310-4893-A954-AD3582E0CC94}"/>
    <cellStyle name="Output 2 8 5 3 5" xfId="20574" xr:uid="{2364401F-3383-4B66-A2F1-ED712CC05A71}"/>
    <cellStyle name="Output 2 8 5 3 5 2" xfId="47237" xr:uid="{58308678-3E39-4615-9C8D-EEE3B7FC9EED}"/>
    <cellStyle name="Output 2 8 5 3 6" xfId="46128" xr:uid="{8185B98C-4640-43D4-8962-8F7A1D5E3F7F}"/>
    <cellStyle name="Output 2 8 5 4" xfId="4909" xr:uid="{00000000-0005-0000-0000-00001F080000}"/>
    <cellStyle name="Output 2 8 5 4 2" xfId="11804" xr:uid="{BB4C49C2-6033-4248-AFD8-DC3D9E724C54}"/>
    <cellStyle name="Output 2 8 5 4 2 2" xfId="34290" xr:uid="{8A5783B1-4931-4A55-A450-F78A1026F042}"/>
    <cellStyle name="Output 2 8 5 4 2 3" xfId="28999" xr:uid="{0DC46B49-B610-4448-852D-51921212C177}"/>
    <cellStyle name="Output 2 8 5 4 3" xfId="16846" xr:uid="{F3B1D541-8616-445F-8D48-452DA8C100C9}"/>
    <cellStyle name="Output 2 8 5 4 3 2" xfId="39236" xr:uid="{2D2A8EAB-DF7B-4B0B-BDB2-9962DC7207EB}"/>
    <cellStyle name="Output 2 8 5 4 3 3" xfId="37643" xr:uid="{117C0154-0131-44B6-80C3-EBBA5D4B64DC}"/>
    <cellStyle name="Output 2 8 5 4 4" xfId="16144" xr:uid="{BE226887-94D3-44BA-B920-304C965AFA3E}"/>
    <cellStyle name="Output 2 8 5 4 4 2" xfId="38544" xr:uid="{374B5A40-6FD0-4B9F-9BDD-E4A3A4C299AC}"/>
    <cellStyle name="Output 2 8 5 4 4 3" xfId="45858" xr:uid="{BBF7AD02-5685-40A6-9DE2-747DFBDC3929}"/>
    <cellStyle name="Output 2 8 5 4 5" xfId="20927" xr:uid="{E597DF0E-0E00-4B40-874B-B59321BE79C6}"/>
    <cellStyle name="Output 2 8 5 4 5 2" xfId="50109" xr:uid="{16D1661C-3DFA-4470-A6FF-7F3B188CCB79}"/>
    <cellStyle name="Output 2 8 5 4 6" xfId="48086" xr:uid="{0755C70E-CDC0-4F7A-BA27-20867DD8BE97}"/>
    <cellStyle name="Output 2 8 5 5" xfId="5708" xr:uid="{00000000-0005-0000-0000-00001F080000}"/>
    <cellStyle name="Output 2 8 5 5 2" xfId="12592" xr:uid="{E13F0769-2B25-436E-A74E-B303E557FA53}"/>
    <cellStyle name="Output 2 8 5 5 2 2" xfId="35077" xr:uid="{A4C6F144-0D0B-4601-BC67-036BE7A96560}"/>
    <cellStyle name="Output 2 8 5 5 2 3" xfId="44303" xr:uid="{2992DDF7-5B22-4A00-87EC-745627B360B5}"/>
    <cellStyle name="Output 2 8 5 5 3" xfId="17645" xr:uid="{144793F5-BEAC-49DD-B650-10647E9D4370}"/>
    <cellStyle name="Output 2 8 5 5 3 2" xfId="40035" xr:uid="{57D495A9-65DE-46D8-A54D-197AC386BEA2}"/>
    <cellStyle name="Output 2 8 5 5 3 3" xfId="24695" xr:uid="{8E9464E2-5566-4ADA-89FA-17DED3B9F17A}"/>
    <cellStyle name="Output 2 8 5 5 4" xfId="15249" xr:uid="{B63F577B-AABA-4092-99CC-176234832038}"/>
    <cellStyle name="Output 2 8 5 5 4 2" xfId="37684" xr:uid="{727ED4E3-07B2-4D3E-92C5-4318533DF20F}"/>
    <cellStyle name="Output 2 8 5 5 4 3" xfId="28507" xr:uid="{D112BB83-11A1-42E2-AD8B-67445FAA5BE4}"/>
    <cellStyle name="Output 2 8 5 5 5" xfId="22069" xr:uid="{45908390-626B-4073-A4EA-8713D7A4DE14}"/>
    <cellStyle name="Output 2 8 5 5 5 2" xfId="48942" xr:uid="{37C987DA-E44B-45DE-B60A-2626210F53DC}"/>
    <cellStyle name="Output 2 8 5 5 6" xfId="51295" xr:uid="{3021E436-0155-4EAD-A8A4-F113AA54BD0C}"/>
    <cellStyle name="Output 2 8 5 6" xfId="3018" xr:uid="{00000000-0005-0000-0000-00001F080000}"/>
    <cellStyle name="Output 2 8 5 6 2" xfId="9927" xr:uid="{44F23084-6732-4984-BB9B-595002EDE3AE}"/>
    <cellStyle name="Output 2 8 5 6 2 2" xfId="32447" xr:uid="{1ABD0C01-067A-46C6-90AF-3592F65CF46C}"/>
    <cellStyle name="Output 2 8 5 6 2 3" xfId="47668" xr:uid="{30E5EB6A-3A4C-4DDA-A969-EB539B39AB4B}"/>
    <cellStyle name="Output 2 8 5 6 3" xfId="15357" xr:uid="{1DAD3CD6-EEF2-413D-97EF-27C1F7412FB2}"/>
    <cellStyle name="Output 2 8 5 6 3 2" xfId="37788" xr:uid="{F717D270-8923-4851-A7B8-CDD7868F0F97}"/>
    <cellStyle name="Output 2 8 5 6 3 3" xfId="53717" xr:uid="{6C59CA90-E8A5-45FC-83F7-DBA808E2DBB1}"/>
    <cellStyle name="Output 2 8 5 6 4" xfId="15194" xr:uid="{888DA5B2-CF97-4B53-B580-417E2643BE4E}"/>
    <cellStyle name="Output 2 8 5 6 4 2" xfId="37634" xr:uid="{ADC0CCD6-05DD-4841-8DB9-6B75BD158D0D}"/>
    <cellStyle name="Output 2 8 5 6 4 3" xfId="50756" xr:uid="{C98368C7-FD65-4B99-AC7B-FED73F3350BD}"/>
    <cellStyle name="Output 2 8 5 6 5" xfId="19423" xr:uid="{5F307295-CF41-4E0E-8D60-8D03E7A0DB95}"/>
    <cellStyle name="Output 2 8 5 6 5 2" xfId="29996" xr:uid="{46899E19-CFD8-4655-B2B6-883FCE27980B}"/>
    <cellStyle name="Output 2 8 5 6 6" xfId="45939" xr:uid="{09B980F1-5F37-4C0B-B330-95BBCB2C0863}"/>
    <cellStyle name="Output 2 8 5 7" xfId="3306" xr:uid="{00000000-0005-0000-0000-00001F080000}"/>
    <cellStyle name="Output 2 8 5 7 2" xfId="10214" xr:uid="{A2404FC9-81B1-424D-BCA6-A123E95AF18F}"/>
    <cellStyle name="Output 2 8 5 7 2 2" xfId="32708" xr:uid="{F0F15001-227D-4486-A710-E1AA13B490E9}"/>
    <cellStyle name="Output 2 8 5 7 2 3" xfId="47150" xr:uid="{BEABE72F-ABAF-4EC8-B62F-7C39C501662A}"/>
    <cellStyle name="Output 2 8 5 7 3" xfId="15532" xr:uid="{CEF1DBFD-C9E2-4D10-8D3A-D1EEA9BF8D74}"/>
    <cellStyle name="Output 2 8 5 7 3 2" xfId="37951" xr:uid="{5C58879A-9385-4BDA-AAB0-AC3B782D7031}"/>
    <cellStyle name="Output 2 8 5 7 3 3" xfId="45936" xr:uid="{6D651616-E841-4E58-BC14-EC329D7CDBD7}"/>
    <cellStyle name="Output 2 8 5 7 4" xfId="14818" xr:uid="{AE54F17D-FA73-4E12-AA0B-366F374241B4}"/>
    <cellStyle name="Output 2 8 5 7 4 2" xfId="37273" xr:uid="{11CE26DE-9E30-4545-B4F6-81A013FA0827}"/>
    <cellStyle name="Output 2 8 5 7 4 3" xfId="29649" xr:uid="{9AB54E8F-671E-4FB0-B342-2CFA98EC55A4}"/>
    <cellStyle name="Output 2 8 5 7 5" xfId="20358" xr:uid="{BA353346-C617-4C61-9AD1-6895CB695ED3}"/>
    <cellStyle name="Output 2 8 5 7 5 2" xfId="45763" xr:uid="{F4847B91-26A4-4EC7-BBBD-01A87C6420EB}"/>
    <cellStyle name="Output 2 8 5 7 6" xfId="48747" xr:uid="{88C4F19F-2941-4B6C-8BC9-5B04BE5C559A}"/>
    <cellStyle name="Output 2 8 5 8" xfId="14084" xr:uid="{19F873C0-FCDB-490B-AC89-C79A2881259C}"/>
    <cellStyle name="Output 2 8 5 8 2" xfId="36562" xr:uid="{18F2009E-24EB-4DBB-9338-73F7795A4A3C}"/>
    <cellStyle name="Output 2 8 5 8 3" xfId="48873" xr:uid="{9730DAC8-0F80-4EB9-8227-A1AB43D2250F}"/>
    <cellStyle name="Output 2 8 5 9" xfId="19944" xr:uid="{1CC0292B-BCC6-4863-AC86-B80ED900CE57}"/>
    <cellStyle name="Output 2 8 5 9 2" xfId="42274" xr:uid="{0493847A-DB27-460A-984B-82597A462C25}"/>
    <cellStyle name="Output 2 8 5 9 3" xfId="42134" xr:uid="{266BC739-6915-4826-A270-C3D80DB57462}"/>
    <cellStyle name="Output 2 8 6" xfId="1371" xr:uid="{00000000-0005-0000-0000-000023080000}"/>
    <cellStyle name="Output 2 8 6 10" xfId="15379" xr:uid="{C215AC26-CA5B-481E-B801-73088F8E7D50}"/>
    <cellStyle name="Output 2 8 6 10 2" xfId="48220" xr:uid="{E644BBD2-F305-46F1-BFD7-AF52E72AAC45}"/>
    <cellStyle name="Output 2 8 6 11" xfId="28707" xr:uid="{3412CA61-7EEE-4548-9385-5EFACF38BF37}"/>
    <cellStyle name="Output 2 8 6 2" xfId="2100" xr:uid="{00000000-0005-0000-0000-000024080000}"/>
    <cellStyle name="Output 2 8 6 2 10" xfId="14729" xr:uid="{3F3D46D3-6188-47E5-BAC1-C33A4CC5CFC3}"/>
    <cellStyle name="Output 2 8 6 2 10 2" xfId="37187" xr:uid="{AFAF231F-DDAF-44B0-89D9-F579C07DF2E1}"/>
    <cellStyle name="Output 2 8 6 2 10 3" xfId="31923" xr:uid="{958E543F-5201-4773-8BA4-873E74B812EE}"/>
    <cellStyle name="Output 2 8 6 2 11" xfId="19888" xr:uid="{CBCB838F-6125-4274-B280-3209282D75F6}"/>
    <cellStyle name="Output 2 8 6 2 11 2" xfId="42221" xr:uid="{6F56098A-2C73-4AE4-B4B8-CA5388D3B6F8}"/>
    <cellStyle name="Output 2 8 6 2 11 3" xfId="38621" xr:uid="{8EB40C28-2619-4B40-8AD4-9DC3AE10F686}"/>
    <cellStyle name="Output 2 8 6 2 12" xfId="7474" xr:uid="{00561654-398C-48FC-AB3F-41B40424D674}"/>
    <cellStyle name="Output 2 8 6 2 12 2" xfId="48435" xr:uid="{CBA36CC9-C174-4D29-B8E3-1A2A9C6592CE}"/>
    <cellStyle name="Output 2 8 6 2 13" xfId="47601" xr:uid="{1C8DB85D-45C7-4906-BEF1-225910C10879}"/>
    <cellStyle name="Output 2 8 6 2 2" xfId="4193" xr:uid="{00000000-0005-0000-0000-000022080000}"/>
    <cellStyle name="Output 2 8 6 2 2 2" xfId="11097" xr:uid="{1F9876FA-8E59-42EF-8BC5-921092E13A38}"/>
    <cellStyle name="Output 2 8 6 2 2 2 2" xfId="33583" xr:uid="{5E862F18-444B-4109-87C2-96B0683D7F39}"/>
    <cellStyle name="Output 2 8 6 2 2 2 3" xfId="45898" xr:uid="{9CAF9649-E2CC-47AB-93CA-E5ACFAD3BE10}"/>
    <cellStyle name="Output 2 8 6 2 2 3" xfId="16186" xr:uid="{2191421E-BF9D-4734-B268-0A4C8FDDFE51}"/>
    <cellStyle name="Output 2 8 6 2 2 3 2" xfId="38585" xr:uid="{B318B69F-D113-4563-89D8-7E5542803390}"/>
    <cellStyle name="Output 2 8 6 2 2 3 3" xfId="43571" xr:uid="{047C677D-C98E-419E-A1EC-D9000C1E4EDE}"/>
    <cellStyle name="Output 2 8 6 2 2 4" xfId="20724" xr:uid="{E69925AD-6D4D-43D1-8E7E-2FAC92CEC4FD}"/>
    <cellStyle name="Output 2 8 6 2 2 4 2" xfId="42995" xr:uid="{AEB5F176-1D1A-41D4-BF1C-E667D7E81555}"/>
    <cellStyle name="Output 2 8 6 2 2 4 3" xfId="46171" xr:uid="{0FF46535-27A5-43E9-A22D-FAADFE6C57CE}"/>
    <cellStyle name="Output 2 8 6 2 2 5" xfId="15700" xr:uid="{7DE2C8D0-0514-4892-BD19-E6A698437305}"/>
    <cellStyle name="Output 2 8 6 2 2 5 2" xfId="54139" xr:uid="{9E7F01A7-E9A0-4CB9-B116-23A15DDB3812}"/>
    <cellStyle name="Output 2 8 6 2 2 6" xfId="24067" xr:uid="{1F74657B-2A57-4856-BB45-E8AB03081FB3}"/>
    <cellStyle name="Output 2 8 6 2 3" xfId="5519" xr:uid="{00000000-0005-0000-0000-000022080000}"/>
    <cellStyle name="Output 2 8 6 2 3 2" xfId="12408" xr:uid="{2CEA5AFA-ED3A-4C66-A678-78B6EA157C2E}"/>
    <cellStyle name="Output 2 8 6 2 3 2 2" xfId="34893" xr:uid="{9F01B6D7-9DA4-47B4-9C22-674CEAB8CABC}"/>
    <cellStyle name="Output 2 8 6 2 3 2 3" xfId="45229" xr:uid="{3B514F20-65E2-4E77-921E-13D77E6E0CD0}"/>
    <cellStyle name="Output 2 8 6 2 3 3" xfId="17456" xr:uid="{32E07C52-8C12-4F46-A21A-BD0A83ACE9CA}"/>
    <cellStyle name="Output 2 8 6 2 3 3 2" xfId="39846" xr:uid="{282E96D9-4CDE-4008-B403-B2AD03269A39}"/>
    <cellStyle name="Output 2 8 6 2 3 3 3" xfId="28796" xr:uid="{801E7755-0977-4C62-A114-55D823C213F2}"/>
    <cellStyle name="Output 2 8 6 2 3 4" xfId="19301" xr:uid="{23B18FAD-408E-4A55-902B-2FFE9FAB6E68}"/>
    <cellStyle name="Output 2 8 6 2 3 4 2" xfId="41681" xr:uid="{EE63436F-B3D1-4814-9E4A-445CD2E85BE8}"/>
    <cellStyle name="Output 2 8 6 2 3 4 3" xfId="23772" xr:uid="{45B9D2F8-2E88-4505-9AEC-A659E642F051}"/>
    <cellStyle name="Output 2 8 6 2 3 5" xfId="21880" xr:uid="{B7C83D62-D276-46A0-AFC6-A860870E6CC8}"/>
    <cellStyle name="Output 2 8 6 2 3 5 2" xfId="47125" xr:uid="{87610CF1-BA6A-43E6-8C0A-20B216D3443B}"/>
    <cellStyle name="Output 2 8 6 2 3 6" xfId="26486" xr:uid="{22E4DCB7-EC61-43DB-AC96-63E659D881A1}"/>
    <cellStyle name="Output 2 8 6 2 4" xfId="5941" xr:uid="{00000000-0005-0000-0000-000022080000}"/>
    <cellStyle name="Output 2 8 6 2 4 2" xfId="12822" xr:uid="{A4C91893-7FC0-4CB7-9ABF-FEBB1AD9C569}"/>
    <cellStyle name="Output 2 8 6 2 4 2 2" xfId="35306" xr:uid="{2930FD90-218B-41A8-BBB3-5F3BC9F27929}"/>
    <cellStyle name="Output 2 8 6 2 4 2 3" xfId="31343" xr:uid="{9A438954-1CBE-4DB4-BA3D-CB921CE18486}"/>
    <cellStyle name="Output 2 8 6 2 4 3" xfId="17878" xr:uid="{4F70EF7F-12A2-449B-B45E-3949982918A4}"/>
    <cellStyle name="Output 2 8 6 2 4 3 2" xfId="40268" xr:uid="{223F429E-E082-49E1-8D1A-B47911606FBD}"/>
    <cellStyle name="Output 2 8 6 2 4 3 3" xfId="29651" xr:uid="{3D3E5724-1D2E-40A9-88A4-3977C88EADCE}"/>
    <cellStyle name="Output 2 8 6 2 4 4" xfId="19239" xr:uid="{CEF1AA4F-10C7-4B5C-ADE9-F83887390E42}"/>
    <cellStyle name="Output 2 8 6 2 4 4 2" xfId="41624" xr:uid="{CDBDAC24-7B5F-48C3-9F80-36CEBB1E1FAC}"/>
    <cellStyle name="Output 2 8 6 2 4 4 3" xfId="45585" xr:uid="{641AA560-B421-4614-921E-17CF4C37C6EA}"/>
    <cellStyle name="Output 2 8 6 2 4 5" xfId="22302" xr:uid="{8D990A63-95BD-490C-B746-5E0320B534D0}"/>
    <cellStyle name="Output 2 8 6 2 4 5 2" xfId="28386" xr:uid="{F14365F9-621D-4C91-9A83-0DDF84E81C31}"/>
    <cellStyle name="Output 2 8 6 2 4 6" xfId="46365" xr:uid="{231D6F66-525A-4657-99FB-2B3CAAEF6D5C}"/>
    <cellStyle name="Output 2 8 6 2 5" xfId="6281" xr:uid="{00000000-0005-0000-0000-000022080000}"/>
    <cellStyle name="Output 2 8 6 2 5 2" xfId="13153" xr:uid="{67988C01-7A26-4EB1-8065-199992C4850A}"/>
    <cellStyle name="Output 2 8 6 2 5 2 2" xfId="35637" xr:uid="{9F7F37A0-0F12-4413-8A3B-D07B4B4925EF}"/>
    <cellStyle name="Output 2 8 6 2 5 2 3" xfId="53784" xr:uid="{A8954F7F-A485-4F08-A92B-EE96D944C45B}"/>
    <cellStyle name="Output 2 8 6 2 5 3" xfId="18218" xr:uid="{F2DF5663-8B34-4BC0-809F-D205338A5CCF}"/>
    <cellStyle name="Output 2 8 6 2 5 3 2" xfId="40608" xr:uid="{A178D812-3969-4B83-A614-673705870A5C}"/>
    <cellStyle name="Output 2 8 6 2 5 3 3" xfId="24652" xr:uid="{CDCD1CDB-2BDC-4AB1-9906-1DDFC9E17FED}"/>
    <cellStyle name="Output 2 8 6 2 5 4" xfId="7329" xr:uid="{B0FBA8A1-EAAA-4E65-83DE-92B140BC9E83}"/>
    <cellStyle name="Output 2 8 6 2 5 4 2" xfId="30017" xr:uid="{025E7D50-6860-4211-A08E-7D819D00C812}"/>
    <cellStyle name="Output 2 8 6 2 5 4 3" xfId="54079" xr:uid="{0D0B01A0-A103-4376-9096-E3C8E572EE26}"/>
    <cellStyle name="Output 2 8 6 2 5 5" xfId="22642" xr:uid="{E46F4D82-297A-4751-B01A-7076FD096E93}"/>
    <cellStyle name="Output 2 8 6 2 5 5 2" xfId="50690" xr:uid="{E43FE052-BC4E-4C15-A22D-5063515ECF6D}"/>
    <cellStyle name="Output 2 8 6 2 5 6" xfId="51865" xr:uid="{63144544-58E1-49A3-8CF6-7D3C4D6CA72F}"/>
    <cellStyle name="Output 2 8 6 2 6" xfId="6636" xr:uid="{00000000-0005-0000-0000-000022080000}"/>
    <cellStyle name="Output 2 8 6 2 6 2" xfId="13502" xr:uid="{2813D903-459D-4F46-9531-8DA2B474BFDE}"/>
    <cellStyle name="Output 2 8 6 2 6 2 2" xfId="35986" xr:uid="{CFFAF1C6-F119-4DB0-AAF2-D4961E103D0F}"/>
    <cellStyle name="Output 2 8 6 2 6 2 3" xfId="43217" xr:uid="{D50A86BC-C28F-484D-8C92-59A793C6A5A8}"/>
    <cellStyle name="Output 2 8 6 2 6 3" xfId="18573" xr:uid="{D01BE978-C2FB-4483-94AC-6808F0E6EC20}"/>
    <cellStyle name="Output 2 8 6 2 6 3 2" xfId="40963" xr:uid="{E3D8906B-1B8D-43D0-8A5C-9179E45BFA65}"/>
    <cellStyle name="Output 2 8 6 2 6 3 3" xfId="44527" xr:uid="{39D84997-D65E-4619-8D4F-64D726F7F8EA}"/>
    <cellStyle name="Output 2 8 6 2 6 4" xfId="7941" xr:uid="{119F0C09-12D8-4F52-9B0C-86FBCAAD8113}"/>
    <cellStyle name="Output 2 8 6 2 6 4 2" xfId="30565" xr:uid="{FA731459-2C69-4335-B5F1-3D8146447C57}"/>
    <cellStyle name="Output 2 8 6 2 6 4 3" xfId="49936" xr:uid="{0E7109D2-44A9-47D8-9E17-982050E0FD02}"/>
    <cellStyle name="Output 2 8 6 2 6 5" xfId="22997" xr:uid="{0E17EAF9-8E5F-45F2-896F-63B8463836C4}"/>
    <cellStyle name="Output 2 8 6 2 6 5 2" xfId="43700" xr:uid="{619AC833-9597-4444-BEE1-F8E2CBB70F40}"/>
    <cellStyle name="Output 2 8 6 2 6 6" xfId="52567" xr:uid="{57375B24-7563-49D9-857E-543B83A25F49}"/>
    <cellStyle name="Output 2 8 6 2 7" xfId="4996" xr:uid="{00000000-0005-0000-0000-000022080000}"/>
    <cellStyle name="Output 2 8 6 2 7 2" xfId="11890" xr:uid="{6B59128F-057D-4F2B-8B16-F203ED3E3AFB}"/>
    <cellStyle name="Output 2 8 6 2 7 2 2" xfId="34376" xr:uid="{7B587BC7-416B-4CAA-B6E2-070D61AD2E21}"/>
    <cellStyle name="Output 2 8 6 2 7 2 3" xfId="25488" xr:uid="{EED81ABA-2C00-498C-8BE9-E3F112F8E6BD}"/>
    <cellStyle name="Output 2 8 6 2 7 3" xfId="16933" xr:uid="{36944155-709D-4790-B534-4B4FE161B782}"/>
    <cellStyle name="Output 2 8 6 2 7 3 2" xfId="39323" xr:uid="{9A5CADC9-D316-4E99-965A-8E2A45702432}"/>
    <cellStyle name="Output 2 8 6 2 7 3 3" xfId="30635" xr:uid="{81276AB1-39BB-4B55-8661-65FE1644524F}"/>
    <cellStyle name="Output 2 8 6 2 7 4" xfId="8425" xr:uid="{1EB2EF3A-F3DF-48D4-9484-9DC9BDE04AF8}"/>
    <cellStyle name="Output 2 8 6 2 7 4 2" xfId="31013" xr:uid="{6A2FD274-4D17-43D6-A36D-C02E695C2C4E}"/>
    <cellStyle name="Output 2 8 6 2 7 4 3" xfId="52506" xr:uid="{E1543140-D36A-4753-A764-5E76DA72BD34}"/>
    <cellStyle name="Output 2 8 6 2 7 5" xfId="21357" xr:uid="{18BFFB7D-ADB9-4565-BDE2-3C8C9B3D5BED}"/>
    <cellStyle name="Output 2 8 6 2 7 5 2" xfId="52733" xr:uid="{3F5A567B-C13C-4CC9-B424-290343B85359}"/>
    <cellStyle name="Output 2 8 6 2 7 6" xfId="46744" xr:uid="{6A2BA4EB-E1FA-49D7-8CCC-90AE8199C4D5}"/>
    <cellStyle name="Output 2 8 6 2 8" xfId="7091" xr:uid="{00000000-0005-0000-0000-000022080000}"/>
    <cellStyle name="Output 2 8 6 2 8 2" xfId="13927" xr:uid="{D5B64FF5-5FFC-4CB5-9708-BD0D4A2CA2FC}"/>
    <cellStyle name="Output 2 8 6 2 8 2 2" xfId="36411" xr:uid="{72B5ED67-8F23-4198-938D-3D0760CEEBE7}"/>
    <cellStyle name="Output 2 8 6 2 8 2 3" xfId="50828" xr:uid="{82402446-5F76-4455-9DAA-C3CAB417FC1A}"/>
    <cellStyle name="Output 2 8 6 2 8 3" xfId="19028" xr:uid="{A43988E9-15BA-444F-BD52-8DD8868098C0}"/>
    <cellStyle name="Output 2 8 6 2 8 3 2" xfId="41418" xr:uid="{EDA36008-33C5-4E72-B60A-AC8E6FA31588}"/>
    <cellStyle name="Output 2 8 6 2 8 3 3" xfId="25411" xr:uid="{3CF271DC-0498-40A3-AAAC-3BD02B430256}"/>
    <cellStyle name="Output 2 8 6 2 8 4" xfId="19953" xr:uid="{5FE4C643-40F5-4FF2-96FC-682045E70014}"/>
    <cellStyle name="Output 2 8 6 2 8 4 2" xfId="42282" xr:uid="{68987E45-83A2-4917-84E5-0832F1370D22}"/>
    <cellStyle name="Output 2 8 6 2 8 4 3" xfId="25141" xr:uid="{4027DA91-CC40-4F83-B8C2-C5F0B8F76824}"/>
    <cellStyle name="Output 2 8 6 2 8 5" xfId="23452" xr:uid="{17E30EF4-2B2C-432F-97C0-6C76DBEEDDC0}"/>
    <cellStyle name="Output 2 8 6 2 8 5 2" xfId="49669" xr:uid="{659B7DE0-8461-4534-928A-89B8197F822E}"/>
    <cellStyle name="Output 2 8 6 2 8 6" xfId="48490" xr:uid="{040F303F-0BF8-4BE7-9BE6-8533C6302896}"/>
    <cellStyle name="Output 2 8 6 2 9" xfId="7206" xr:uid="{00000000-0005-0000-0000-000022080000}"/>
    <cellStyle name="Output 2 8 6 2 9 2" xfId="19143" xr:uid="{77C07072-8532-413F-9DC4-A7CDE2D4119B}"/>
    <cellStyle name="Output 2 8 6 2 9 2 2" xfId="41533" xr:uid="{3D423709-C53C-43BA-B9A6-A728EB5E246F}"/>
    <cellStyle name="Output 2 8 6 2 9 2 3" xfId="45817" xr:uid="{0CC5CF4C-0191-44D6-B26A-FC69B55BD103}"/>
    <cellStyle name="Output 2 8 6 2 9 3" xfId="20270" xr:uid="{E2F4DF59-EDA2-4505-A86D-64E767CA824C}"/>
    <cellStyle name="Output 2 8 6 2 9 3 2" xfId="42572" xr:uid="{C5A4EB77-A654-4AE9-BF55-38D97E71316D}"/>
    <cellStyle name="Output 2 8 6 2 9 3 3" xfId="28741" xr:uid="{5087A23E-BAE4-4293-8455-B57C5F80DE5E}"/>
    <cellStyle name="Output 2 8 6 2 9 4" xfId="23567" xr:uid="{DFE59C72-6832-49B5-925C-A4EDF5A2A90D}"/>
    <cellStyle name="Output 2 8 6 2 9 4 2" xfId="44622" xr:uid="{8F4A9336-A65B-4E83-B669-15055C090E94}"/>
    <cellStyle name="Output 2 8 6 2 9 5" xfId="51435" xr:uid="{97C2FA0D-5DAC-4D04-B4E5-56FDE9D38E3F}"/>
    <cellStyle name="Output 2 8 6 3" xfId="3475" xr:uid="{00000000-0005-0000-0000-000021080000}"/>
    <cellStyle name="Output 2 8 6 3 2" xfId="10382" xr:uid="{C8553A84-092D-4D6A-9E9A-B6392F9BC1C9}"/>
    <cellStyle name="Output 2 8 6 3 2 2" xfId="32869" xr:uid="{B0CCEBEA-1B48-4FA5-998D-EA9BE25D0A76}"/>
    <cellStyle name="Output 2 8 6 3 2 3" xfId="50139" xr:uid="{9C25DCAE-AAFB-49FE-8D14-C18178214D80}"/>
    <cellStyle name="Output 2 8 6 3 3" xfId="15653" xr:uid="{A8B6DB08-6FC6-4373-AE71-ECC68926BD88}"/>
    <cellStyle name="Output 2 8 6 3 3 2" xfId="38069" xr:uid="{8268A250-88D0-4C23-9CFB-EC1BA6BF8904}"/>
    <cellStyle name="Output 2 8 6 3 3 3" xfId="28663" xr:uid="{72BF3455-AF33-4847-AAF3-3C21C11138CA}"/>
    <cellStyle name="Output 2 8 6 3 4" xfId="14165" xr:uid="{291E21C2-F40E-4FF3-A3DD-561A24C54375}"/>
    <cellStyle name="Output 2 8 6 3 4 2" xfId="36641" xr:uid="{D970E04C-BFCE-4B9A-BD71-CB88FE2F6E5F}"/>
    <cellStyle name="Output 2 8 6 3 4 3" xfId="38653" xr:uid="{676C4F98-B5E9-49B5-804C-E41F6B05E9F9}"/>
    <cellStyle name="Output 2 8 6 3 5" xfId="20032" xr:uid="{4DCC80D9-6F79-41BE-8B3C-9D5F6046CA4C}"/>
    <cellStyle name="Output 2 8 6 3 5 2" xfId="28669" xr:uid="{192F6511-64C7-45F2-B72D-4493DA2E1A13}"/>
    <cellStyle name="Output 2 8 6 3 6" xfId="37803" xr:uid="{E122D5DE-4C33-48B1-B9D5-6CAA66976EBE}"/>
    <cellStyle name="Output 2 8 6 4" xfId="5008" xr:uid="{00000000-0005-0000-0000-000021080000}"/>
    <cellStyle name="Output 2 8 6 4 2" xfId="11902" xr:uid="{F8F38281-D0DC-4285-BCF2-5764E7FDD9E2}"/>
    <cellStyle name="Output 2 8 6 4 2 2" xfId="34388" xr:uid="{CB7BC449-CF0C-4247-A881-A84F78F4AED9}"/>
    <cellStyle name="Output 2 8 6 4 2 3" xfId="28013" xr:uid="{58AE608C-F177-42B5-8051-0B6AF891EB32}"/>
    <cellStyle name="Output 2 8 6 4 3" xfId="16945" xr:uid="{715F3725-CF33-4F50-9F5D-BD203147FA4F}"/>
    <cellStyle name="Output 2 8 6 4 3 2" xfId="39335" xr:uid="{26AE41A3-FD21-4FBA-8CDD-3F63BB781BD9}"/>
    <cellStyle name="Output 2 8 6 4 3 3" xfId="45596" xr:uid="{5EF1034D-2BA7-44F8-8BC8-1BE0567872AB}"/>
    <cellStyle name="Output 2 8 6 4 4" xfId="15516" xr:uid="{F6ADC14B-D228-46F9-A566-678A41F3EB1E}"/>
    <cellStyle name="Output 2 8 6 4 4 2" xfId="37937" xr:uid="{155D9F3B-C091-4770-AD30-9722DF85259A}"/>
    <cellStyle name="Output 2 8 6 4 4 3" xfId="49475" xr:uid="{03EB819A-ACAD-4D68-8999-580145C163EA}"/>
    <cellStyle name="Output 2 8 6 4 5" xfId="21369" xr:uid="{1B5AA4B8-232E-41C1-89DA-9D92335668B0}"/>
    <cellStyle name="Output 2 8 6 4 5 2" xfId="31893" xr:uid="{57526F7C-3F79-493B-9297-C5217CE01705}"/>
    <cellStyle name="Output 2 8 6 4 6" xfId="27981" xr:uid="{ABD9251C-B0DA-48FF-B055-4BC9886AF501}"/>
    <cellStyle name="Output 2 8 6 5" xfId="4613" xr:uid="{00000000-0005-0000-0000-000021080000}"/>
    <cellStyle name="Output 2 8 6 5 2" xfId="11514" xr:uid="{9B4B3E21-F78F-44B4-AB33-49DF842E84B7}"/>
    <cellStyle name="Output 2 8 6 5 2 2" xfId="34000" xr:uid="{881C3CF1-6470-47BC-8BAF-A755369BDE38}"/>
    <cellStyle name="Output 2 8 6 5 2 3" xfId="28567" xr:uid="{6E6BDB67-B203-497C-8CEE-9BB4752FBD02}"/>
    <cellStyle name="Output 2 8 6 5 3" xfId="16550" xr:uid="{4A0E0082-696A-464E-9146-E0726EF6ED37}"/>
    <cellStyle name="Output 2 8 6 5 3 2" xfId="38940" xr:uid="{B2265520-4CF5-46B5-8FE0-780463A85F12}"/>
    <cellStyle name="Output 2 8 6 5 3 3" xfId="38043" xr:uid="{D1498425-338C-42E5-8EAC-D5D5B74A9F78}"/>
    <cellStyle name="Output 2 8 6 5 4" xfId="19438" xr:uid="{DA7C9183-6135-4729-B7E3-97EE07E4A484}"/>
    <cellStyle name="Output 2 8 6 5 4 2" xfId="41806" xr:uid="{E3F56F26-128A-4B22-A8BF-E6FF1B84C13A}"/>
    <cellStyle name="Output 2 8 6 5 4 3" xfId="44840" xr:uid="{D35DD725-B8D5-411E-B42E-5F38EDDF868C}"/>
    <cellStyle name="Output 2 8 6 5 5" xfId="19523" xr:uid="{A8311852-AD86-48D0-BF71-86AB22F9C0F4}"/>
    <cellStyle name="Output 2 8 6 5 5 2" xfId="27114" xr:uid="{4DFD0E98-7284-4BA5-98ED-2D82F43A8663}"/>
    <cellStyle name="Output 2 8 6 5 6" xfId="49819" xr:uid="{84D12D87-C9B3-4E5E-BC7C-4A919C5EC18E}"/>
    <cellStyle name="Output 2 8 6 6" xfId="5209" xr:uid="{00000000-0005-0000-0000-000021080000}"/>
    <cellStyle name="Output 2 8 6 6 2" xfId="12102" xr:uid="{857CCDF8-E454-4070-80F5-E46DFEB358C5}"/>
    <cellStyle name="Output 2 8 6 6 2 2" xfId="34587" xr:uid="{4C28A063-453F-4366-9DE7-79D01210788A}"/>
    <cellStyle name="Output 2 8 6 6 2 3" xfId="26248" xr:uid="{35C062BE-E6E3-4C1F-BF5E-6078C3E763EF}"/>
    <cellStyle name="Output 2 8 6 6 3" xfId="17146" xr:uid="{D8B5D977-0864-4ECE-BA5F-BAC90242F776}"/>
    <cellStyle name="Output 2 8 6 6 3 2" xfId="39536" xr:uid="{58484D60-5BDB-4EFF-858B-C3CC9D886D55}"/>
    <cellStyle name="Output 2 8 6 6 3 3" xfId="29525" xr:uid="{C6033D33-F08A-41C0-9A35-BE822FF867FF}"/>
    <cellStyle name="Output 2 8 6 6 4" xfId="19360" xr:uid="{6A94F055-9674-46F1-B285-1194BB52DA2C}"/>
    <cellStyle name="Output 2 8 6 6 4 2" xfId="41734" xr:uid="{95DAAB73-2CCB-4C98-BDEE-D16BFBE827A1}"/>
    <cellStyle name="Output 2 8 6 6 4 3" xfId="32124" xr:uid="{69CF64CA-844B-4E43-B18D-3A714DD649FA}"/>
    <cellStyle name="Output 2 8 6 6 5" xfId="21570" xr:uid="{7E5A2366-4A02-4C24-B7AB-256F5F198E97}"/>
    <cellStyle name="Output 2 8 6 6 5 2" xfId="43845" xr:uid="{1A99436B-2801-4EC3-991F-EEF8A2DBC1AB}"/>
    <cellStyle name="Output 2 8 6 6 6" xfId="49071" xr:uid="{A7A6D7FF-8440-4FAD-AE88-C0ED78BC53C6}"/>
    <cellStyle name="Output 2 8 6 7" xfId="5204" xr:uid="{00000000-0005-0000-0000-000021080000}"/>
    <cellStyle name="Output 2 8 6 7 2" xfId="12097" xr:uid="{BCB8EE86-73C3-4A55-BB3B-746BA65D4A4F}"/>
    <cellStyle name="Output 2 8 6 7 2 2" xfId="34583" xr:uid="{E5842A4F-8737-4AAC-B5E3-B8F99FBDA0A3}"/>
    <cellStyle name="Output 2 8 6 7 2 3" xfId="45086" xr:uid="{291DBF0F-D4D3-4272-A65A-371361DEC508}"/>
    <cellStyle name="Output 2 8 6 7 3" xfId="17141" xr:uid="{3542D882-3E64-4319-9B16-C7AEFD0C3AD4}"/>
    <cellStyle name="Output 2 8 6 7 3 2" xfId="39531" xr:uid="{962CD9F6-6D91-401D-99D0-3F7E345167F8}"/>
    <cellStyle name="Output 2 8 6 7 3 3" xfId="25211" xr:uid="{59DFA372-A334-4A76-AD9A-C602347122C1}"/>
    <cellStyle name="Output 2 8 6 7 4" xfId="8469" xr:uid="{31F5DE03-0F3B-4EF9-8596-E690239B3C2E}"/>
    <cellStyle name="Output 2 8 6 7 4 2" xfId="31056" xr:uid="{CF6DFA82-633F-445A-BCEE-7FB04F614DBB}"/>
    <cellStyle name="Output 2 8 6 7 4 3" xfId="48421" xr:uid="{C8004E28-3238-467C-800A-2D4AEBA9B85F}"/>
    <cellStyle name="Output 2 8 6 7 5" xfId="21565" xr:uid="{497FADEA-F703-4210-A601-8F7BBE42AC9C}"/>
    <cellStyle name="Output 2 8 6 7 5 2" xfId="48613" xr:uid="{DBF05227-3F76-4059-B510-C0E8F86CCE35}"/>
    <cellStyle name="Output 2 8 6 7 6" xfId="52518" xr:uid="{203CAB4F-A31B-4A9D-9ECD-42E91119D03B}"/>
    <cellStyle name="Output 2 8 6 8" xfId="14190" xr:uid="{D7CFEEDB-A72F-4D83-BAC5-22CB6C14B1B7}"/>
    <cellStyle name="Output 2 8 6 8 2" xfId="36665" xr:uid="{C016F2F4-BDA3-4D18-BD56-52EE92BDD627}"/>
    <cellStyle name="Output 2 8 6 8 3" xfId="30304" xr:uid="{A574B02F-D20D-4B40-8E9A-566F273CBF45}"/>
    <cellStyle name="Output 2 8 6 9" xfId="19568" xr:uid="{3314A6A5-E7AF-4E2E-B91F-2A3EB926EBAB}"/>
    <cellStyle name="Output 2 8 6 9 2" xfId="41926" xr:uid="{25DE9281-B12F-48A2-B75B-12ADEB36D7A1}"/>
    <cellStyle name="Output 2 8 6 9 3" xfId="28487" xr:uid="{FB601A6E-D43F-43B5-B39B-1C9E5D6D7BEC}"/>
    <cellStyle name="Output 2 8 7" xfId="1643" xr:uid="{00000000-0005-0000-0000-000025080000}"/>
    <cellStyle name="Output 2 8 7 10" xfId="14357" xr:uid="{FD3DA32A-3BF9-4668-B5F9-AE917ADC27B8}"/>
    <cellStyle name="Output 2 8 7 10 2" xfId="36825" xr:uid="{1DCD6C49-8C10-4087-AA82-6E5484FFC12B}"/>
    <cellStyle name="Output 2 8 7 10 3" xfId="45709" xr:uid="{92421661-74BF-4AD0-9BBD-F645F25D42CF}"/>
    <cellStyle name="Output 2 8 7 11" xfId="20259" xr:uid="{2A574AD0-E744-4555-ACC2-1C19915024DA}"/>
    <cellStyle name="Output 2 8 7 11 2" xfId="42561" xr:uid="{44C56D17-E0A7-446F-AA27-7D0F6527993F}"/>
    <cellStyle name="Output 2 8 7 11 3" xfId="44566" xr:uid="{110C090B-304E-423E-898D-9B8871D0A01B}"/>
    <cellStyle name="Output 2 8 7 12" xfId="14938" xr:uid="{39DA3708-3A91-4335-B090-30126CFB38B8}"/>
    <cellStyle name="Output 2 8 7 12 2" xfId="23798" xr:uid="{21D9B34F-AB90-4A19-9C07-1672DB63D93C}"/>
    <cellStyle name="Output 2 8 7 13" xfId="49591" xr:uid="{0EC5FFB8-E9B1-4DFF-A265-715F2A8362FA}"/>
    <cellStyle name="Output 2 8 7 2" xfId="3741" xr:uid="{00000000-0005-0000-0000-000023080000}"/>
    <cellStyle name="Output 2 8 7 2 2" xfId="10645" xr:uid="{C7BA5F9F-B7B6-4748-A05D-34056C86ACF5}"/>
    <cellStyle name="Output 2 8 7 2 2 2" xfId="33131" xr:uid="{9881CA4B-4E50-4858-B56D-4DC63FDCAFB4}"/>
    <cellStyle name="Output 2 8 7 2 2 3" xfId="49476" xr:uid="{F5C4E092-7122-498C-950F-50CECB4FF199}"/>
    <cellStyle name="Output 2 8 7 2 3" xfId="15822" xr:uid="{ABE4161D-F6FA-4840-B744-CACAA74C022C}"/>
    <cellStyle name="Output 2 8 7 2 3 2" xfId="38230" xr:uid="{2D992E8D-EEE3-496E-BF28-5FADD0CDE552}"/>
    <cellStyle name="Output 2 8 7 2 3 3" xfId="51118" xr:uid="{C1EB618C-4321-495A-B6B3-4C3702E37645}"/>
    <cellStyle name="Output 2 8 7 2 4" xfId="19968" xr:uid="{92014751-ECCF-4F24-97C3-2416CDFD6951}"/>
    <cellStyle name="Output 2 8 7 2 4 2" xfId="42294" xr:uid="{98D5D59B-D225-4D97-BDD2-BD1712B49573}"/>
    <cellStyle name="Output 2 8 7 2 4 3" xfId="44018" xr:uid="{D770B8DC-E27E-4493-99F5-EF4CF1B495DF}"/>
    <cellStyle name="Output 2 8 7 2 5" xfId="19755" xr:uid="{5C058397-5897-4727-8806-B5594C6DD04B}"/>
    <cellStyle name="Output 2 8 7 2 5 2" xfId="29732" xr:uid="{DBE1EAA4-67AC-4CC0-A681-0F3185826518}"/>
    <cellStyle name="Output 2 8 7 2 6" xfId="23665" xr:uid="{3624278D-E326-4C94-A213-72DD9C49AF52}"/>
    <cellStyle name="Output 2 8 7 3" xfId="5176" xr:uid="{00000000-0005-0000-0000-000023080000}"/>
    <cellStyle name="Output 2 8 7 3 2" xfId="12069" xr:uid="{84DF95CA-6046-4C2F-9EF4-A4947FFB5E0A}"/>
    <cellStyle name="Output 2 8 7 3 2 2" xfId="34555" xr:uid="{B83A352B-9D1A-4D64-8C85-B7D71428A25A}"/>
    <cellStyle name="Output 2 8 7 3 2 3" xfId="44484" xr:uid="{8AF5B910-AB14-4964-99DC-D92E25B5EB7F}"/>
    <cellStyle name="Output 2 8 7 3 3" xfId="17113" xr:uid="{AB7E3814-DEF0-4477-98CE-1EB916620909}"/>
    <cellStyle name="Output 2 8 7 3 3 2" xfId="39503" xr:uid="{9D0744EC-A213-4BD1-AD7A-5FEE35CCA0CE}"/>
    <cellStyle name="Output 2 8 7 3 3 3" xfId="45299" xr:uid="{5DF8BD0E-6D2C-446E-9993-C93FF02C31BB}"/>
    <cellStyle name="Output 2 8 7 3 4" xfId="14775" xr:uid="{5974FC59-73ED-4FFB-BB88-F9911FE79C1F}"/>
    <cellStyle name="Output 2 8 7 3 4 2" xfId="37232" xr:uid="{D648F634-04D8-4195-BD1E-B4F260FD262B}"/>
    <cellStyle name="Output 2 8 7 3 4 3" xfId="41884" xr:uid="{68478204-4E7B-4ADF-A1E8-2EAC7E562596}"/>
    <cellStyle name="Output 2 8 7 3 5" xfId="21537" xr:uid="{B7343896-4DA7-4882-9958-000D97FC7346}"/>
    <cellStyle name="Output 2 8 7 3 5 2" xfId="49087" xr:uid="{C268201E-6F54-43C8-9259-3A8E8A1189F8}"/>
    <cellStyle name="Output 2 8 7 3 6" xfId="24383" xr:uid="{03C37371-9D52-4E4B-920F-FC225021D536}"/>
    <cellStyle name="Output 2 8 7 4" xfId="4855" xr:uid="{00000000-0005-0000-0000-000023080000}"/>
    <cellStyle name="Output 2 8 7 4 2" xfId="11751" xr:uid="{A2371260-2E84-48A0-B8A6-9573E584185F}"/>
    <cellStyle name="Output 2 8 7 4 2 2" xfId="34237" xr:uid="{5D84355C-C502-4B8F-BCC1-BC6F7A799B10}"/>
    <cellStyle name="Output 2 8 7 4 2 3" xfId="29422" xr:uid="{DBF9EEB0-1007-42CB-B073-221B6C8241D2}"/>
    <cellStyle name="Output 2 8 7 4 3" xfId="16792" xr:uid="{29DE1518-7B6C-4B0B-8AC4-E76CE7B043C2}"/>
    <cellStyle name="Output 2 8 7 4 3 2" xfId="39182" xr:uid="{8F88D805-CB5C-424D-B14B-0ABA21E7BE25}"/>
    <cellStyle name="Output 2 8 7 4 3 3" xfId="32496" xr:uid="{BA8BAAEC-0648-4D72-8DD2-A4AC77F32028}"/>
    <cellStyle name="Output 2 8 7 4 4" xfId="19284" xr:uid="{ED7A5F34-698D-49A1-BEC5-50B92993314D}"/>
    <cellStyle name="Output 2 8 7 4 4 2" xfId="41666" xr:uid="{5E95B2FD-BE43-493B-853D-D45D102882D0}"/>
    <cellStyle name="Output 2 8 7 4 4 3" xfId="43747" xr:uid="{305F1021-5C5B-4431-B564-5D2C18198DC1}"/>
    <cellStyle name="Output 2 8 7 4 5" xfId="20789" xr:uid="{D2790225-6869-4A4E-A897-91B9F236058D}"/>
    <cellStyle name="Output 2 8 7 4 5 2" xfId="52904" xr:uid="{E4459D18-634D-4B20-9FC1-CB4587EE9A6D}"/>
    <cellStyle name="Output 2 8 7 4 6" xfId="49443" xr:uid="{8EE8DC7A-4B0D-4623-AA9B-E66BFA744469}"/>
    <cellStyle name="Output 2 8 7 5" xfId="4720" xr:uid="{00000000-0005-0000-0000-000023080000}"/>
    <cellStyle name="Output 2 8 7 5 2" xfId="11618" xr:uid="{C6463B20-8C02-4DEF-B30E-DF53BBE4BBD8}"/>
    <cellStyle name="Output 2 8 7 5 2 2" xfId="34104" xr:uid="{ED315057-6B72-4C81-B26B-AAA8C3DA5418}"/>
    <cellStyle name="Output 2 8 7 5 2 3" xfId="44034" xr:uid="{EC1316D5-1A0E-470F-91EE-F84625EE1610}"/>
    <cellStyle name="Output 2 8 7 5 3" xfId="16657" xr:uid="{87F0A3EA-F383-46DE-8BE3-F189EB56EB03}"/>
    <cellStyle name="Output 2 8 7 5 3 2" xfId="39047" xr:uid="{BF9D07F1-F7A0-4F0E-8997-BFE9CE4C170A}"/>
    <cellStyle name="Output 2 8 7 5 3 3" xfId="45507" xr:uid="{18349346-47C0-4553-BF6D-A92C1FAA9CF0}"/>
    <cellStyle name="Output 2 8 7 5 4" xfId="14005" xr:uid="{13A9E4D4-323D-4B50-A8B8-C959D603A6F5}"/>
    <cellStyle name="Output 2 8 7 5 4 2" xfId="36488" xr:uid="{E781D83B-02A1-47D0-9A44-CBFDDC9A015C}"/>
    <cellStyle name="Output 2 8 7 5 4 3" xfId="51854" xr:uid="{15414107-93F3-437E-BD0A-395BF78B7677}"/>
    <cellStyle name="Output 2 8 7 5 5" xfId="7730" xr:uid="{433A45E4-1D80-49E9-BE20-D44ABA9E4CBD}"/>
    <cellStyle name="Output 2 8 7 5 5 2" xfId="49206" xr:uid="{6F87D363-3EFC-4CA9-B403-B0E4240980BE}"/>
    <cellStyle name="Output 2 8 7 5 6" xfId="49122" xr:uid="{1DDE8946-E9CC-414F-8347-F83336A27231}"/>
    <cellStyle name="Output 2 8 7 6" xfId="2281" xr:uid="{00000000-0005-0000-0000-000023080000}"/>
    <cellStyle name="Output 2 8 7 6 2" xfId="9192" xr:uid="{E9FF51F8-3470-421E-A19F-BB3625F8E3A3}"/>
    <cellStyle name="Output 2 8 7 6 2 2" xfId="31767" xr:uid="{E81C398C-6766-4DD4-8178-9D0DB62B914D}"/>
    <cellStyle name="Output 2 8 7 6 2 3" xfId="50030" xr:uid="{30477D41-C89E-4E4F-9ABA-BABF7A4F5C99}"/>
    <cellStyle name="Output 2 8 7 6 3" xfId="14848" xr:uid="{CC118E4D-CA38-4E56-81D6-718D56325512}"/>
    <cellStyle name="Output 2 8 7 6 3 2" xfId="37302" xr:uid="{3503DF07-C863-4700-B1B2-AF73AF13E6E1}"/>
    <cellStyle name="Output 2 8 7 6 3 3" xfId="49790" xr:uid="{ACA42479-9331-426C-AD68-D27C2FFD0CE2}"/>
    <cellStyle name="Output 2 8 7 6 4" xfId="20315" xr:uid="{D82D39DB-BCA8-47E4-AADE-BC280799A20B}"/>
    <cellStyle name="Output 2 8 7 6 4 2" xfId="42614" xr:uid="{160D4AF6-923A-4B18-B9E9-FB922728D56A}"/>
    <cellStyle name="Output 2 8 7 6 4 3" xfId="46200" xr:uid="{C3D6A61D-B01E-491A-8C8B-B3A90F1126F4}"/>
    <cellStyle name="Output 2 8 7 6 5" xfId="20949" xr:uid="{B2B51529-EDE9-4710-9060-3EC77AFE9C8B}"/>
    <cellStyle name="Output 2 8 7 6 5 2" xfId="29219" xr:uid="{380A12A9-204E-4704-A705-CAEBDBCF34E2}"/>
    <cellStyle name="Output 2 8 7 6 6" xfId="50925" xr:uid="{E9A267A0-9ECD-4D47-8F34-890785E5AAFA}"/>
    <cellStyle name="Output 2 8 7 7" xfId="6676" xr:uid="{00000000-0005-0000-0000-000023080000}"/>
    <cellStyle name="Output 2 8 7 7 2" xfId="13542" xr:uid="{3488A034-C24B-4D67-A2E0-9D33680C427B}"/>
    <cellStyle name="Output 2 8 7 7 2 2" xfId="36026" xr:uid="{C7F4E875-CF89-40B7-9E96-56F3A1B7290C}"/>
    <cellStyle name="Output 2 8 7 7 2 3" xfId="48303" xr:uid="{C98B149C-41CD-4B09-ABCE-EAA9D3F324F1}"/>
    <cellStyle name="Output 2 8 7 7 3" xfId="18613" xr:uid="{CD214EA3-4962-4007-A3CE-4D63366E1047}"/>
    <cellStyle name="Output 2 8 7 7 3 2" xfId="41003" xr:uid="{40A98E4D-47F2-49A0-A044-3EA54C2C8626}"/>
    <cellStyle name="Output 2 8 7 7 3 3" xfId="45612" xr:uid="{2208D077-2810-4316-9A06-AA01AB41C165}"/>
    <cellStyle name="Output 2 8 7 7 4" xfId="20802" xr:uid="{39D57ADD-4D4A-4FDC-A5BA-8D6EB42A0683}"/>
    <cellStyle name="Output 2 8 7 7 4 2" xfId="43068" xr:uid="{CACA285D-1327-462E-BBF6-CFE10F1CFD3F}"/>
    <cellStyle name="Output 2 8 7 7 4 3" xfId="51162" xr:uid="{0E45E70B-9812-4CF3-82D6-5E363B34FD22}"/>
    <cellStyle name="Output 2 8 7 7 5" xfId="23037" xr:uid="{2ED3712D-E10B-49F8-A99A-2A8AC1E6803F}"/>
    <cellStyle name="Output 2 8 7 7 5 2" xfId="31927" xr:uid="{104EE89C-F062-4C93-BFAD-CDF29DEFB595}"/>
    <cellStyle name="Output 2 8 7 7 6" xfId="24349" xr:uid="{AC109C4B-C82A-4DD2-95CF-C71CA6C6FE72}"/>
    <cellStyle name="Output 2 8 7 8" xfId="6883" xr:uid="{00000000-0005-0000-0000-000023080000}"/>
    <cellStyle name="Output 2 8 7 8 2" xfId="13722" xr:uid="{2A8CE74A-0644-4C48-A653-71C6206751F5}"/>
    <cellStyle name="Output 2 8 7 8 2 2" xfId="36206" xr:uid="{27B746BD-5D3F-41A6-B927-F075C75492E1}"/>
    <cellStyle name="Output 2 8 7 8 2 3" xfId="53101" xr:uid="{469B0B36-1E11-4840-B6E3-D9A6628074DC}"/>
    <cellStyle name="Output 2 8 7 8 3" xfId="18820" xr:uid="{562933ED-7AA8-4DB1-8754-EC49832850E1}"/>
    <cellStyle name="Output 2 8 7 8 3 2" xfId="41210" xr:uid="{DFA976B9-A47F-4ED6-8C5C-D180BF19A0D3}"/>
    <cellStyle name="Output 2 8 7 8 3 3" xfId="29920" xr:uid="{19E88EF9-2267-4909-B71C-DCC7F6D8DA44}"/>
    <cellStyle name="Output 2 8 7 8 4" xfId="21154" xr:uid="{0A81091F-AE77-46C5-BD37-63B18E035266}"/>
    <cellStyle name="Output 2 8 7 8 4 2" xfId="43397" xr:uid="{3FF8B43D-BE8A-4BD7-9148-58764E9756B6}"/>
    <cellStyle name="Output 2 8 7 8 4 3" xfId="43554" xr:uid="{4287CE67-D090-4F93-8912-18FB5967E78E}"/>
    <cellStyle name="Output 2 8 7 8 5" xfId="23244" xr:uid="{A13635FF-EFBA-4DC5-B854-D45A499BE83E}"/>
    <cellStyle name="Output 2 8 7 8 5 2" xfId="47479" xr:uid="{2BFDDC96-4379-4FF2-8C58-1B60D3504C9A}"/>
    <cellStyle name="Output 2 8 7 8 6" xfId="38628" xr:uid="{22920525-B559-4E6A-B7E2-99834828A018}"/>
    <cellStyle name="Output 2 8 7 9" xfId="6669" xr:uid="{00000000-0005-0000-0000-000023080000}"/>
    <cellStyle name="Output 2 8 7 9 2" xfId="18606" xr:uid="{94FAB909-F654-4648-BF62-73B3A023BAFC}"/>
    <cellStyle name="Output 2 8 7 9 2 2" xfId="40996" xr:uid="{45BD8E1A-FF18-4451-B623-40F1CF500EE4}"/>
    <cellStyle name="Output 2 8 7 9 2 3" xfId="44713" xr:uid="{661D695D-8200-492F-B9A4-56EF2F2C3FF3}"/>
    <cellStyle name="Output 2 8 7 9 3" xfId="20716" xr:uid="{2E403C56-A7A2-4123-BFD2-ADD02366F76F}"/>
    <cellStyle name="Output 2 8 7 9 3 2" xfId="42987" xr:uid="{1DA2A568-31D4-46AF-A16B-833696D6BAE5}"/>
    <cellStyle name="Output 2 8 7 9 3 3" xfId="48243" xr:uid="{C9981CBD-21B4-4F57-B866-0E0D316EE015}"/>
    <cellStyle name="Output 2 8 7 9 4" xfId="23030" xr:uid="{ADCB850B-4915-4ADC-AF4C-2FA25D1AE37B}"/>
    <cellStyle name="Output 2 8 7 9 4 2" xfId="48833" xr:uid="{79A2236D-2276-48C3-80FA-7717222B9251}"/>
    <cellStyle name="Output 2 8 7 9 5" xfId="51779" xr:uid="{99457351-E293-4B97-97A5-4167D4E1A095}"/>
    <cellStyle name="Output 2 8 8" xfId="2593" xr:uid="{00000000-0005-0000-0000-000018080000}"/>
    <cellStyle name="Output 2 8 8 2" xfId="9502" xr:uid="{0BC8E1DE-7E68-4847-BDC0-CEC1EFC8FB33}"/>
    <cellStyle name="Output 2 8 8 2 2" xfId="32054" xr:uid="{EB98EF14-A8FC-4324-8FB8-1C0D9A519473}"/>
    <cellStyle name="Output 2 8 8 2 3" xfId="50360" xr:uid="{BC17E73F-A46F-4596-9619-C4F87C7257A2}"/>
    <cellStyle name="Output 2 8 8 3" xfId="15071" xr:uid="{556374A6-049F-48C2-B21F-B1798EFBFAD3}"/>
    <cellStyle name="Output 2 8 8 3 2" xfId="37516" xr:uid="{84036948-BC24-42EC-9876-765D54A441F9}"/>
    <cellStyle name="Output 2 8 8 3 3" xfId="49215" xr:uid="{57C24D65-D25C-4D11-BCC2-107E2BE8E1AB}"/>
    <cellStyle name="Output 2 8 8 4" xfId="19853" xr:uid="{8E0B2D0D-F584-44AB-B8BB-AD0B7C21D640}"/>
    <cellStyle name="Output 2 8 8 4 2" xfId="42188" xr:uid="{430812DA-F2B1-43EB-8E83-312A0A5AE3CC}"/>
    <cellStyle name="Output 2 8 8 4 3" xfId="43493" xr:uid="{51E9E5B1-9C74-4BA6-8868-E4465E25C564}"/>
    <cellStyle name="Output 2 8 8 5" xfId="20998" xr:uid="{DDA0F797-BB59-49D4-8873-4F4AD5833DE4}"/>
    <cellStyle name="Output 2 8 8 5 2" xfId="29417" xr:uid="{CF59AE34-7741-48CF-AE78-07EF5BA57EDD}"/>
    <cellStyle name="Output 2 8 8 6" xfId="42172" xr:uid="{279BAF01-2D13-45F0-8344-A794B8E9D095}"/>
    <cellStyle name="Output 2 8 9" xfId="4421" xr:uid="{00000000-0005-0000-0000-000018080000}"/>
    <cellStyle name="Output 2 8 9 2" xfId="11323" xr:uid="{6F750AF7-3EEF-40D4-9FB6-62BF177AB681}"/>
    <cellStyle name="Output 2 8 9 2 2" xfId="33809" xr:uid="{A179F519-2B1D-4990-8E1C-0F371927F2B6}"/>
    <cellStyle name="Output 2 8 9 2 3" xfId="44788" xr:uid="{A566451A-A840-4CA8-8A58-670D5BBFF28A}"/>
    <cellStyle name="Output 2 8 9 3" xfId="16358" xr:uid="{54659AF2-7D91-49F6-9E07-AA2101688221}"/>
    <cellStyle name="Output 2 8 9 3 2" xfId="38748" xr:uid="{66E3D1BD-0AA4-41A7-A71B-C17B6228B459}"/>
    <cellStyle name="Output 2 8 9 3 3" xfId="43018" xr:uid="{BC099957-EE95-4A3F-9D2F-D6A5B1F8109C}"/>
    <cellStyle name="Output 2 8 9 4" xfId="15907" xr:uid="{EB7B671A-40F2-4847-897C-EDDEB08FA8A4}"/>
    <cellStyle name="Output 2 8 9 4 2" xfId="38313" xr:uid="{A9A766F7-F269-49C1-BF00-9190F40DAC0F}"/>
    <cellStyle name="Output 2 8 9 4 3" xfId="28524" xr:uid="{73E2428B-383C-46CD-97AA-51727E245F86}"/>
    <cellStyle name="Output 2 8 9 5" xfId="14031" xr:uid="{A8E22DD8-1E4A-45F0-B1B5-1F66C90F2815}"/>
    <cellStyle name="Output 2 8 9 5 2" xfId="38399" xr:uid="{1CB9EBB5-B524-4877-B38D-EB032CF51010}"/>
    <cellStyle name="Output 2 8 9 6" xfId="52497" xr:uid="{572AD78D-1C58-43CE-BAB0-B54B6CE84EBF}"/>
    <cellStyle name="Output 2 9" xfId="442" xr:uid="{00000000-0005-0000-0000-000026080000}"/>
    <cellStyle name="Output 2 9 10" xfId="5145" xr:uid="{00000000-0005-0000-0000-000024080000}"/>
    <cellStyle name="Output 2 9 10 2" xfId="12038" xr:uid="{7A89A160-3687-428D-9D8A-34A35404E606}"/>
    <cellStyle name="Output 2 9 10 2 2" xfId="34524" xr:uid="{E50C86D0-C3A3-4E2F-BDAA-83FC1F08976C}"/>
    <cellStyle name="Output 2 9 10 2 3" xfId="28106" xr:uid="{5FCC42F6-16D6-4909-BFE7-74436B660C2D}"/>
    <cellStyle name="Output 2 9 10 3" xfId="17082" xr:uid="{736A8B57-C3CD-4ABD-ABBB-758DE1760A30}"/>
    <cellStyle name="Output 2 9 10 3 2" xfId="39472" xr:uid="{C2901648-A25E-44A1-BF1A-BE338222D57E}"/>
    <cellStyle name="Output 2 9 10 3 3" xfId="43812" xr:uid="{9F72BCFD-F1FE-4579-853C-6E7DA733EE5E}"/>
    <cellStyle name="Output 2 9 10 4" xfId="19338" xr:uid="{B931CD3A-54BE-4E60-8BEA-82D0A6B0E225}"/>
    <cellStyle name="Output 2 9 10 4 2" xfId="41715" xr:uid="{ABD37728-4D28-44F0-BF18-CE3710BCD965}"/>
    <cellStyle name="Output 2 9 10 4 3" xfId="44737" xr:uid="{6759C36B-4A6B-4746-9F71-D9A758CF572D}"/>
    <cellStyle name="Output 2 9 10 5" xfId="21506" xr:uid="{1679736C-6205-41E4-9A7F-2CF725DE6B1A}"/>
    <cellStyle name="Output 2 9 10 5 2" xfId="48696" xr:uid="{D70C467E-D13A-495C-89A7-7DA358F5A6AB}"/>
    <cellStyle name="Output 2 9 10 6" xfId="43974" xr:uid="{9D8C95A6-7CC3-4D1F-B8AE-4E4350767ABD}"/>
    <cellStyle name="Output 2 9 11" xfId="6007" xr:uid="{00000000-0005-0000-0000-000024080000}"/>
    <cellStyle name="Output 2 9 11 2" xfId="12888" xr:uid="{9C6E53B7-A6FA-4891-834C-43728A927B24}"/>
    <cellStyle name="Output 2 9 11 2 2" xfId="35372" xr:uid="{EC4E3087-F8C6-471B-B090-2EC184EA85AA}"/>
    <cellStyle name="Output 2 9 11 2 3" xfId="49207" xr:uid="{A7459041-7A6F-451D-B362-3E6C5891125D}"/>
    <cellStyle name="Output 2 9 11 3" xfId="17944" xr:uid="{060EC29A-9239-43DA-B5D4-73774F331919}"/>
    <cellStyle name="Output 2 9 11 3 2" xfId="40334" xr:uid="{35F822AE-ADBF-4A80-8212-59874814A8F4}"/>
    <cellStyle name="Output 2 9 11 3 3" xfId="45176" xr:uid="{A34D81AE-5ACA-41C1-9AF9-00441B5995A9}"/>
    <cellStyle name="Output 2 9 11 4" xfId="7960" xr:uid="{3E31561B-5FA4-495B-A0D9-86A323FDBC76}"/>
    <cellStyle name="Output 2 9 11 4 2" xfId="30583" xr:uid="{82C7875D-2F1B-4E85-831B-04C604EEAA67}"/>
    <cellStyle name="Output 2 9 11 4 3" xfId="47519" xr:uid="{37FFE3E5-7E6C-4E71-A2B3-55D9A00AA72E}"/>
    <cellStyle name="Output 2 9 11 5" xfId="22368" xr:uid="{13CDD0E4-20C9-4033-A477-3AEA97B5BE20}"/>
    <cellStyle name="Output 2 9 11 5 2" xfId="48029" xr:uid="{BFC8CCE1-F00D-4382-A617-ECD2A166093E}"/>
    <cellStyle name="Output 2 9 11 6" xfId="48295" xr:uid="{D6A661C8-F329-4578-A3D1-75C4555A5856}"/>
    <cellStyle name="Output 2 9 12" xfId="4726" xr:uid="{00000000-0005-0000-0000-000024080000}"/>
    <cellStyle name="Output 2 9 12 2" xfId="11624" xr:uid="{61766112-50B5-4F68-B126-D2CB8F1B6F0B}"/>
    <cellStyle name="Output 2 9 12 2 2" xfId="34110" xr:uid="{E5213581-683F-40CD-AE9C-BA5639E9C20D}"/>
    <cellStyle name="Output 2 9 12 2 3" xfId="31887" xr:uid="{EC53B467-D520-45CD-9B44-FCCB4F35903B}"/>
    <cellStyle name="Output 2 9 12 3" xfId="16663" xr:uid="{9233E0BA-56BC-4A44-BB01-8BB978600A44}"/>
    <cellStyle name="Output 2 9 12 3 2" xfId="39053" xr:uid="{462D8AF2-006E-4E2C-8F3D-BF1053734199}"/>
    <cellStyle name="Output 2 9 12 3 3" xfId="29559" xr:uid="{5B403119-7E94-4DF3-956F-217F165DBC19}"/>
    <cellStyle name="Output 2 9 12 4" xfId="19771" xr:uid="{F1CE8A1B-5F65-432C-AD8A-82F28E01F40C}"/>
    <cellStyle name="Output 2 9 12 4 2" xfId="42113" xr:uid="{391D29C8-74EA-4CF1-9268-C1C52D3E6EBF}"/>
    <cellStyle name="Output 2 9 12 4 3" xfId="45378" xr:uid="{93FDAAA8-5245-4281-8C6C-E4BF1FFEF0C3}"/>
    <cellStyle name="Output 2 9 12 5" xfId="15380" xr:uid="{A90BC1E0-4A49-4D3A-9D06-E83DF79E46F5}"/>
    <cellStyle name="Output 2 9 12 5 2" xfId="43685" xr:uid="{5E8B3017-53C8-4C29-A3F0-126BC6C17FF8}"/>
    <cellStyle name="Output 2 9 12 6" xfId="51182" xr:uid="{B837D745-54E3-4CC5-8917-78225D3DAB30}"/>
    <cellStyle name="Output 2 9 13" xfId="13968" xr:uid="{EF425736-EDA2-47CC-B25D-98123EADCD3C}"/>
    <cellStyle name="Output 2 9 13 2" xfId="36452" xr:uid="{1B7B62CB-DAA3-41F1-9C73-DCB687BA795B}"/>
    <cellStyle name="Output 2 9 13 3" xfId="46306" xr:uid="{A0987058-BAED-4FBC-87D7-1C805C17CC8E}"/>
    <cellStyle name="Output 2 9 14" xfId="19614" xr:uid="{B89B6985-8384-4F61-BE1C-A1BD66BF93A6}"/>
    <cellStyle name="Output 2 9 14 2" xfId="41966" xr:uid="{C8DEB138-69BF-4C44-8836-97A345A47DD4}"/>
    <cellStyle name="Output 2 9 14 3" xfId="42335" xr:uid="{184BD5B6-AA5F-445A-BA1A-B05B2B75AC17}"/>
    <cellStyle name="Output 2 9 15" xfId="20549" xr:uid="{DD04F277-EFEE-442D-8C95-FC1FD37E4964}"/>
    <cellStyle name="Output 2 9 15 2" xfId="53380" xr:uid="{4B281B54-2FA7-4530-BE79-843729F6A8A1}"/>
    <cellStyle name="Output 2 9 16" xfId="28645" xr:uid="{010B045A-57F5-451B-9080-3A54135A29A3}"/>
    <cellStyle name="Output 2 9 2" xfId="595" xr:uid="{00000000-0005-0000-0000-000027080000}"/>
    <cellStyle name="Output 2 9 2 10" xfId="20593" xr:uid="{BC7EA07B-8EF8-4B3E-94FA-E56553566947}"/>
    <cellStyle name="Output 2 9 2 10 2" xfId="48985" xr:uid="{CDBEAD9B-9F0E-4CEA-9E8A-54F8C54C8751}"/>
    <cellStyle name="Output 2 9 2 11" xfId="53695" xr:uid="{8DDB442E-47FF-48EA-937F-7CC752140CBF}"/>
    <cellStyle name="Output 2 9 2 2" xfId="1729" xr:uid="{00000000-0005-0000-0000-000028080000}"/>
    <cellStyle name="Output 2 9 2 2 10" xfId="14430" xr:uid="{A7326EAE-EF2E-40EA-A7ED-92DA76115588}"/>
    <cellStyle name="Output 2 9 2 2 10 2" xfId="36896" xr:uid="{AC0559E5-4562-417A-89F3-333A0881F437}"/>
    <cellStyle name="Output 2 9 2 2 10 3" xfId="47871" xr:uid="{F86B9059-59E8-4B6B-8DCB-166E23106A8D}"/>
    <cellStyle name="Output 2 9 2 2 11" xfId="20405" xr:uid="{D62AC7D2-0128-417D-AA31-50EC2B2A0413}"/>
    <cellStyle name="Output 2 9 2 2 11 2" xfId="42700" xr:uid="{CAF97CB9-D1A9-468E-A5A2-FF841A6CB8A6}"/>
    <cellStyle name="Output 2 9 2 2 11 3" xfId="47141" xr:uid="{692A2BC5-BC28-413E-865C-B6FF2E7F4EBE}"/>
    <cellStyle name="Output 2 9 2 2 12" xfId="20064" xr:uid="{DC694E0C-FAE6-4164-B21D-7D9BAB65AF55}"/>
    <cellStyle name="Output 2 9 2 2 12 2" xfId="28572" xr:uid="{F9C70A30-E57F-4CD4-A0EA-B2DDD0214D0E}"/>
    <cellStyle name="Output 2 9 2 2 13" xfId="44313" xr:uid="{49BEFC6D-7B3E-4840-AE64-FF808A66402B}"/>
    <cellStyle name="Output 2 9 2 2 2" xfId="3827" xr:uid="{00000000-0005-0000-0000-000026080000}"/>
    <cellStyle name="Output 2 9 2 2 2 2" xfId="10731" xr:uid="{76FB23FD-9F0D-4C93-8792-0F0273BF7F04}"/>
    <cellStyle name="Output 2 9 2 2 2 2 2" xfId="33217" xr:uid="{AAFA3DC9-D5F2-4251-877F-AE44B1FB9D5E}"/>
    <cellStyle name="Output 2 9 2 2 2 2 3" xfId="48983" xr:uid="{2F127E65-0A8A-4BE4-8711-9B6DBE099473}"/>
    <cellStyle name="Output 2 9 2 2 2 3" xfId="15887" xr:uid="{F69B04C8-0913-400B-9DA7-48F743226709}"/>
    <cellStyle name="Output 2 9 2 2 2 3 2" xfId="38293" xr:uid="{822B2495-50DE-4969-A501-1130A9098379}"/>
    <cellStyle name="Output 2 9 2 2 2 3 3" xfId="28966" xr:uid="{51BB5ADC-21E1-4D05-AB8C-E9A7E000CBC6}"/>
    <cellStyle name="Output 2 9 2 2 2 4" xfId="7618" xr:uid="{63F56150-1799-4EED-AF35-0276725A8D6F}"/>
    <cellStyle name="Output 2 9 2 2 2 4 2" xfId="30279" xr:uid="{DB6E9F24-967F-499C-A151-837A862CC5B9}"/>
    <cellStyle name="Output 2 9 2 2 2 4 3" xfId="44696" xr:uid="{3415CC8E-5AB7-44DE-B72C-AF3CD9D7F763}"/>
    <cellStyle name="Output 2 9 2 2 2 5" xfId="14821" xr:uid="{B7A6853E-8B08-4D52-8675-E539301B3B91}"/>
    <cellStyle name="Output 2 9 2 2 2 5 2" xfId="46835" xr:uid="{0DB84F2E-41E3-4BE8-BDCF-BDD361E56704}"/>
    <cellStyle name="Output 2 9 2 2 2 6" xfId="46158" xr:uid="{0D56E8B7-640E-453B-8096-D7DBEDA8233D}"/>
    <cellStyle name="Output 2 9 2 2 3" xfId="5243" xr:uid="{00000000-0005-0000-0000-000026080000}"/>
    <cellStyle name="Output 2 9 2 2 3 2" xfId="12135" xr:uid="{E1687680-DA64-430D-9610-6B8E7DDB5A4B}"/>
    <cellStyle name="Output 2 9 2 2 3 2 2" xfId="34620" xr:uid="{D5CBF50B-0608-47C6-9C73-ECD06C18EEC9}"/>
    <cellStyle name="Output 2 9 2 2 3 2 3" xfId="44538" xr:uid="{C40FD61F-6DE7-40D8-BF48-08E132B28698}"/>
    <cellStyle name="Output 2 9 2 2 3 3" xfId="17180" xr:uid="{FCFFC62E-D747-4278-AA60-C2E73E479992}"/>
    <cellStyle name="Output 2 9 2 2 3 3 2" xfId="39570" xr:uid="{DEDF2EC2-A939-40A9-B4A9-98F504A9EA38}"/>
    <cellStyle name="Output 2 9 2 2 3 3 3" xfId="29323" xr:uid="{E687C385-D8D7-4026-A082-957CA1D31CAB}"/>
    <cellStyle name="Output 2 9 2 2 3 4" xfId="7596" xr:uid="{694053D3-FB46-40E9-B6FC-95CFBA711321}"/>
    <cellStyle name="Output 2 9 2 2 3 4 2" xfId="30257" xr:uid="{B9861816-E582-4D73-A2AC-56B1395E3E1F}"/>
    <cellStyle name="Output 2 9 2 2 3 4 3" xfId="45764" xr:uid="{1C23BA40-5A85-4017-8CBD-554688DE652F}"/>
    <cellStyle name="Output 2 9 2 2 3 5" xfId="21604" xr:uid="{BEEDB742-3E49-4B5E-BF5E-4A4D9AE638DA}"/>
    <cellStyle name="Output 2 9 2 2 3 5 2" xfId="42659" xr:uid="{9B0276D4-5745-4BB5-A043-47944A6BD821}"/>
    <cellStyle name="Output 2 9 2 2 3 6" xfId="51253" xr:uid="{61789989-38EB-4680-BE99-70DE0071607C}"/>
    <cellStyle name="Output 2 9 2 2 4" xfId="5655" xr:uid="{00000000-0005-0000-0000-000026080000}"/>
    <cellStyle name="Output 2 9 2 2 4 2" xfId="12539" xr:uid="{79E77D98-044B-4545-A894-7B6F5D344CC7}"/>
    <cellStyle name="Output 2 9 2 2 4 2 2" xfId="35024" xr:uid="{66E0C89E-D08C-4474-BFC9-1BB39D62995E}"/>
    <cellStyle name="Output 2 9 2 2 4 2 3" xfId="41826" xr:uid="{8D78CE11-0088-45D3-A5F9-7A61C42297EC}"/>
    <cellStyle name="Output 2 9 2 2 4 3" xfId="17592" xr:uid="{2921D26C-08E5-442A-8F97-8FD0246A9699}"/>
    <cellStyle name="Output 2 9 2 2 4 3 2" xfId="39982" xr:uid="{CCC0790A-4260-430C-9BB3-06E53192006A}"/>
    <cellStyle name="Output 2 9 2 2 4 3 3" xfId="44300" xr:uid="{91E1DFE3-AA4F-4B05-A3E1-ADD55A106A2B}"/>
    <cellStyle name="Output 2 9 2 2 4 4" xfId="8972" xr:uid="{5E94726B-B1A9-4BCA-A30A-BF70308C5A4F}"/>
    <cellStyle name="Output 2 9 2 2 4 4 2" xfId="31550" xr:uid="{0A1874B3-E305-4BF6-80E5-E677146C2167}"/>
    <cellStyle name="Output 2 9 2 2 4 4 3" xfId="50174" xr:uid="{577152FA-B4CE-4DE9-A7A6-FFA9A05132C5}"/>
    <cellStyle name="Output 2 9 2 2 4 5" xfId="22016" xr:uid="{9C1F8E56-4E00-4922-9B46-7DA9B0EA48F0}"/>
    <cellStyle name="Output 2 9 2 2 4 5 2" xfId="51596" xr:uid="{04B01D26-5BDE-4A2E-A36A-DA58AA171EFD}"/>
    <cellStyle name="Output 2 9 2 2 4 6" xfId="52363" xr:uid="{EBCBD5E3-B808-49CF-A589-7CCB659E7CDB}"/>
    <cellStyle name="Output 2 9 2 2 5" xfId="3176" xr:uid="{00000000-0005-0000-0000-000026080000}"/>
    <cellStyle name="Output 2 9 2 2 5 2" xfId="10085" xr:uid="{CE38FA28-732C-41F4-B74D-BE2AB458EC28}"/>
    <cellStyle name="Output 2 9 2 2 5 2 2" xfId="32592" xr:uid="{AE3A1A66-CFCE-4EE8-B2EF-D6B3D7AA30CC}"/>
    <cellStyle name="Output 2 9 2 2 5 2 3" xfId="49298" xr:uid="{3C842C13-3A17-4503-9603-D6716E7D608C}"/>
    <cellStyle name="Output 2 9 2 2 5 3" xfId="15462" xr:uid="{A86E621E-47D4-4135-B51C-27C548EF84CF}"/>
    <cellStyle name="Output 2 9 2 2 5 3 2" xfId="37888" xr:uid="{B5B56B91-2401-4509-AF75-76A6BBC780FA}"/>
    <cellStyle name="Output 2 9 2 2 5 3 3" xfId="28824" xr:uid="{3721AA58-00E4-423E-A954-9B36191F3D7B}"/>
    <cellStyle name="Output 2 9 2 2 5 4" xfId="16216" xr:uid="{7A24737E-CC76-4600-AE7C-53B2FA5E05C2}"/>
    <cellStyle name="Output 2 9 2 2 5 4 2" xfId="38614" xr:uid="{75FE8662-C98B-4C34-A09B-17A01B0546C2}"/>
    <cellStyle name="Output 2 9 2 2 5 4 3" xfId="24281" xr:uid="{4F058DF9-A74C-4442-B3BC-E92622D94836}"/>
    <cellStyle name="Output 2 9 2 2 5 5" xfId="21054" xr:uid="{AE795E74-1912-4A4E-A29B-83B89EDE6745}"/>
    <cellStyle name="Output 2 9 2 2 5 5 2" xfId="47209" xr:uid="{90B1AFDB-0811-4580-BF73-F79CB0CDFB61}"/>
    <cellStyle name="Output 2 9 2 2 5 6" xfId="51972" xr:uid="{4AB58BF3-C1C7-4F5C-B0E5-B532F86A9B87}"/>
    <cellStyle name="Output 2 9 2 2 6" xfId="6394" xr:uid="{00000000-0005-0000-0000-000026080000}"/>
    <cellStyle name="Output 2 9 2 2 6 2" xfId="13266" xr:uid="{D09380AC-6B05-4442-BC4A-336ED2115C3C}"/>
    <cellStyle name="Output 2 9 2 2 6 2 2" xfId="35750" xr:uid="{FDFAB725-52A3-4411-B8B7-112B767B3E88}"/>
    <cellStyle name="Output 2 9 2 2 6 2 3" xfId="54098" xr:uid="{FD58B6B8-3FF5-4E25-8A2D-20AD960334E5}"/>
    <cellStyle name="Output 2 9 2 2 6 3" xfId="18331" xr:uid="{BA16F06C-ED10-4022-BC27-01503D42B034}"/>
    <cellStyle name="Output 2 9 2 2 6 3 2" xfId="40721" xr:uid="{74B6F0B1-4FBB-4020-83A5-7FC697FE6D62}"/>
    <cellStyle name="Output 2 9 2 2 6 3 3" xfId="30264" xr:uid="{BEBF62FA-5725-4F4D-9949-0706992EF0D5}"/>
    <cellStyle name="Output 2 9 2 2 6 4" xfId="19790" xr:uid="{12828309-4530-41D6-8235-4C3507B1878B}"/>
    <cellStyle name="Output 2 9 2 2 6 4 2" xfId="42128" xr:uid="{43B12C92-81C2-4B66-9EAF-DB91D18A093A}"/>
    <cellStyle name="Output 2 9 2 2 6 4 3" xfId="44896" xr:uid="{32D429E3-0694-4DBC-94BA-DF07B8D30283}"/>
    <cellStyle name="Output 2 9 2 2 6 5" xfId="22755" xr:uid="{B1B4B9B6-0B44-4645-97B5-8CDBC8EAB361}"/>
    <cellStyle name="Output 2 9 2 2 6 5 2" xfId="46202" xr:uid="{139E5776-97C9-4005-BDC3-1B856FA5E0DF}"/>
    <cellStyle name="Output 2 9 2 2 6 6" xfId="53736" xr:uid="{951A4D5C-EEE9-463C-88EA-176A48D5E17A}"/>
    <cellStyle name="Output 2 9 2 2 7" xfId="6789" xr:uid="{00000000-0005-0000-0000-000026080000}"/>
    <cellStyle name="Output 2 9 2 2 7 2" xfId="13639" xr:uid="{E7A60762-B7CF-4C27-9F8B-8FB993945C9C}"/>
    <cellStyle name="Output 2 9 2 2 7 2 2" xfId="36123" xr:uid="{DAFC267E-3BDA-49B1-B679-F4DC741F71DF}"/>
    <cellStyle name="Output 2 9 2 2 7 2 3" xfId="53216" xr:uid="{A54F2E7A-255E-4E3E-9CA5-6E161F2E6A8C}"/>
    <cellStyle name="Output 2 9 2 2 7 3" xfId="18726" xr:uid="{0A651EC1-94B6-4B2F-82E3-77AF2DEF16F3}"/>
    <cellStyle name="Output 2 9 2 2 7 3 2" xfId="41116" xr:uid="{EC4029AA-D5FC-4DC5-B992-5CE0E46F5165}"/>
    <cellStyle name="Output 2 9 2 2 7 3 3" xfId="45890" xr:uid="{09BEED9C-F899-4779-AA06-C96E17AA32ED}"/>
    <cellStyle name="Output 2 9 2 2 7 4" xfId="20274" xr:uid="{766FCB62-4184-4006-B3C0-1C10164E2587}"/>
    <cellStyle name="Output 2 9 2 2 7 4 2" xfId="42576" xr:uid="{DEE3AAE3-978E-4CAA-949C-7816A748E018}"/>
    <cellStyle name="Output 2 9 2 2 7 4 3" xfId="26580" xr:uid="{189CDD3D-1800-41EC-971C-16C8D5339E21}"/>
    <cellStyle name="Output 2 9 2 2 7 5" xfId="23150" xr:uid="{8EAE5161-F147-41A1-AA75-A9FE191D16C0}"/>
    <cellStyle name="Output 2 9 2 2 7 5 2" xfId="48919" xr:uid="{EB155C7B-DF97-4BA7-B019-278043DCD506}"/>
    <cellStyle name="Output 2 9 2 2 7 6" xfId="50844" xr:uid="{61F02A54-C76E-49F7-9712-60B991FF10D0}"/>
    <cellStyle name="Output 2 9 2 2 8" xfId="6911" xr:uid="{00000000-0005-0000-0000-000026080000}"/>
    <cellStyle name="Output 2 9 2 2 8 2" xfId="13749" xr:uid="{8F327530-6A70-4C44-910C-B95E60B086CE}"/>
    <cellStyle name="Output 2 9 2 2 8 2 2" xfId="36233" xr:uid="{822AD069-9606-4651-A6BF-1D140809EDBD}"/>
    <cellStyle name="Output 2 9 2 2 8 2 3" xfId="53607" xr:uid="{8FA7BDBD-DEED-4746-8D75-E332B784C9C6}"/>
    <cellStyle name="Output 2 9 2 2 8 3" xfId="18848" xr:uid="{0B5A3060-509A-4F1C-8764-636862ADEAA5}"/>
    <cellStyle name="Output 2 9 2 2 8 3 2" xfId="41238" xr:uid="{85744EC3-0EC1-42BD-821C-060B6D6DB076}"/>
    <cellStyle name="Output 2 9 2 2 8 3 3" xfId="28036" xr:uid="{0A207F2D-7EE3-4E5B-97FD-855CFB11E6D3}"/>
    <cellStyle name="Output 2 9 2 2 8 4" xfId="19921" xr:uid="{9764E57B-955D-4C29-B113-BA14897C4FFE}"/>
    <cellStyle name="Output 2 9 2 2 8 4 2" xfId="42253" xr:uid="{96208446-E057-4263-8842-A8EAA7BF412A}"/>
    <cellStyle name="Output 2 9 2 2 8 4 3" xfId="30107" xr:uid="{FD644D17-C0A3-41FB-A23B-CF5BECF91A56}"/>
    <cellStyle name="Output 2 9 2 2 8 5" xfId="23272" xr:uid="{B51D599C-B65B-4995-B68E-DA0BABB31152}"/>
    <cellStyle name="Output 2 9 2 2 8 5 2" xfId="52145" xr:uid="{97574918-C31D-4A49-BE80-C7C927EACF8E}"/>
    <cellStyle name="Output 2 9 2 2 8 6" xfId="46930" xr:uid="{F64709A1-BC84-4158-888B-EE3868E327CF}"/>
    <cellStyle name="Output 2 9 2 2 9" xfId="6706" xr:uid="{00000000-0005-0000-0000-000026080000}"/>
    <cellStyle name="Output 2 9 2 2 9 2" xfId="18643" xr:uid="{8088DC77-2037-4C5A-8A38-3B017BA9A793}"/>
    <cellStyle name="Output 2 9 2 2 9 2 2" xfId="41033" xr:uid="{AA37C3F7-AE70-4418-9608-6637F9F8B9A0}"/>
    <cellStyle name="Output 2 9 2 2 9 2 3" xfId="24319" xr:uid="{15BF361B-01EC-462E-9AB3-823539F43AC7}"/>
    <cellStyle name="Output 2 9 2 2 9 3" xfId="20741" xr:uid="{FB3B84DF-9077-4EE2-83DC-D96857FEFD7F}"/>
    <cellStyle name="Output 2 9 2 2 9 3 2" xfId="43011" xr:uid="{BA433E46-9A33-4736-9FC7-D959A9DA807F}"/>
    <cellStyle name="Output 2 9 2 2 9 3 3" xfId="28046" xr:uid="{D7FF2CD9-FE2F-432B-8EF9-A0BEF63EADE5}"/>
    <cellStyle name="Output 2 9 2 2 9 4" xfId="23067" xr:uid="{BFB25BC5-D906-4FF6-A9C4-523F5CD68A6F}"/>
    <cellStyle name="Output 2 9 2 2 9 4 2" xfId="46053" xr:uid="{B24C7D70-D1F5-439D-B1CC-91758DE1B871}"/>
    <cellStyle name="Output 2 9 2 2 9 5" xfId="27616" xr:uid="{91A63F53-9384-402E-8008-016D662FAB03}"/>
    <cellStyle name="Output 2 9 2 3" xfId="2742" xr:uid="{00000000-0005-0000-0000-000025080000}"/>
    <cellStyle name="Output 2 9 2 3 2" xfId="9651" xr:uid="{15D5E3B1-658D-44D6-AADD-A7FCBDA06FCE}"/>
    <cellStyle name="Output 2 9 2 3 2 2" xfId="32199" xr:uid="{962429AB-1DF2-4CC9-B6C8-20997B599D85}"/>
    <cellStyle name="Output 2 9 2 3 2 3" xfId="51053" xr:uid="{97C87D43-DBE8-4A1E-B82A-97F230685B7C}"/>
    <cellStyle name="Output 2 9 2 3 3" xfId="15169" xr:uid="{570CF1BC-B961-4F76-ADA8-AFCD98854BA8}"/>
    <cellStyle name="Output 2 9 2 3 3 2" xfId="37609" xr:uid="{BCA03A4D-246F-4814-830F-CAFF64DB1B34}"/>
    <cellStyle name="Output 2 9 2 3 3 3" xfId="53358" xr:uid="{4E65FF67-C933-458C-B64E-10466A148338}"/>
    <cellStyle name="Output 2 9 2 3 4" xfId="19512" xr:uid="{89BA2138-696C-48D3-B035-AAF4DDFE7622}"/>
    <cellStyle name="Output 2 9 2 3 4 2" xfId="41874" xr:uid="{7C4A8619-359C-4925-9D34-643D8DF1DDF1}"/>
    <cellStyle name="Output 2 9 2 3 4 3" xfId="41673" xr:uid="{04AFF23E-5905-4D5C-9962-5BDF0E46A18E}"/>
    <cellStyle name="Output 2 9 2 3 5" xfId="19958" xr:uid="{DA241ED1-6D26-420D-8978-1DAC281AF403}"/>
    <cellStyle name="Output 2 9 2 3 5 2" xfId="25152" xr:uid="{DCF8E471-8B96-461F-8103-3B0D80C79CF9}"/>
    <cellStyle name="Output 2 9 2 3 6" xfId="51102" xr:uid="{E80563C0-CD57-4172-AC9B-211E7F8EFF1E}"/>
    <cellStyle name="Output 2 9 2 4" xfId="4534" xr:uid="{00000000-0005-0000-0000-000025080000}"/>
    <cellStyle name="Output 2 9 2 4 2" xfId="11436" xr:uid="{AF13FB3F-1DB0-4071-B48E-B3172CB653AA}"/>
    <cellStyle name="Output 2 9 2 4 2 2" xfId="33922" xr:uid="{0A067000-A58B-4BA6-8B9A-0DFA99D27DFA}"/>
    <cellStyle name="Output 2 9 2 4 2 3" xfId="29335" xr:uid="{40D46E05-18F6-45F4-A7C4-E898B31E662F}"/>
    <cellStyle name="Output 2 9 2 4 3" xfId="16471" xr:uid="{0F9625E0-7280-4508-A589-AA8ED6FA2537}"/>
    <cellStyle name="Output 2 9 2 4 3 2" xfId="38861" xr:uid="{3A4DFDAA-49CF-4C7D-AF1F-252D817A5CBD}"/>
    <cellStyle name="Output 2 9 2 4 3 3" xfId="44434" xr:uid="{1D1BCF76-3211-4945-A0C5-2EE5E0511A0C}"/>
    <cellStyle name="Output 2 9 2 4 4" xfId="19486" xr:uid="{F820F502-D7A7-4E9E-90FD-1E8710D722A2}"/>
    <cellStyle name="Output 2 9 2 4 4 2" xfId="41850" xr:uid="{A2EDBD59-E160-450E-BB20-CDB2ED430EFD}"/>
    <cellStyle name="Output 2 9 2 4 4 3" xfId="42025" xr:uid="{12A91296-4A4E-4222-9202-5724D34686FD}"/>
    <cellStyle name="Output 2 9 2 4 5" xfId="20228" xr:uid="{65AF8439-7D9C-4F85-A580-8428C3CE0D15}"/>
    <cellStyle name="Output 2 9 2 4 5 2" xfId="28166" xr:uid="{606E95D9-9C45-4A27-9E26-B7B6A114CF80}"/>
    <cellStyle name="Output 2 9 2 4 6" xfId="50145" xr:uid="{497CF4EE-BA9B-4912-96E0-C64159BE4EF2}"/>
    <cellStyle name="Output 2 9 2 5" xfId="4445" xr:uid="{00000000-0005-0000-0000-000025080000}"/>
    <cellStyle name="Output 2 9 2 5 2" xfId="11347" xr:uid="{58C0DE7F-2383-4AAD-A247-27892957D0BD}"/>
    <cellStyle name="Output 2 9 2 5 2 2" xfId="33833" xr:uid="{064F0D5E-FD1A-41B4-A634-2AE705B9D5F9}"/>
    <cellStyle name="Output 2 9 2 5 2 3" xfId="28100" xr:uid="{25BF7E8D-74E2-4D85-B686-C90DAF835C25}"/>
    <cellStyle name="Output 2 9 2 5 3" xfId="16382" xr:uid="{8FA917B8-82D9-4601-A6DB-82806BD871D3}"/>
    <cellStyle name="Output 2 9 2 5 3 2" xfId="38772" xr:uid="{D007F702-6D30-41E3-96FE-B70B0CBB477C}"/>
    <cellStyle name="Output 2 9 2 5 3 3" xfId="29383" xr:uid="{2A769F76-012A-4D72-8D0E-138059B5FAB2}"/>
    <cellStyle name="Output 2 9 2 5 4" xfId="15135" xr:uid="{DDFE2D4C-474D-4098-83E2-97822E41B0C8}"/>
    <cellStyle name="Output 2 9 2 5 4 2" xfId="37577" xr:uid="{69A2AE73-2AE7-4BDE-8E01-3BE49C61653F}"/>
    <cellStyle name="Output 2 9 2 5 4 3" xfId="49341" xr:uid="{EFFCADDC-E2AA-4535-BF86-5B294F4E9D1A}"/>
    <cellStyle name="Output 2 9 2 5 5" xfId="20839" xr:uid="{FFF5B6B9-FEFF-45D4-AD3B-81F03F6FF332}"/>
    <cellStyle name="Output 2 9 2 5 5 2" xfId="24476" xr:uid="{863F4BB5-DE43-4A54-88FE-6DDAC28F6F94}"/>
    <cellStyle name="Output 2 9 2 5 6" xfId="51450" xr:uid="{9F457DB4-C170-4B36-810C-37D59B4C1A16}"/>
    <cellStyle name="Output 2 9 2 6" xfId="4747" xr:uid="{00000000-0005-0000-0000-000025080000}"/>
    <cellStyle name="Output 2 9 2 6 2" xfId="11645" xr:uid="{23AF1ED5-E216-4A7C-939E-21B780F2EBF8}"/>
    <cellStyle name="Output 2 9 2 6 2 2" xfId="34131" xr:uid="{37051E3D-CEAD-45A5-99FF-7B658C8A83AD}"/>
    <cellStyle name="Output 2 9 2 6 2 3" xfId="26094" xr:uid="{A327398A-8159-4EB8-900A-CDE303BAB9F6}"/>
    <cellStyle name="Output 2 9 2 6 3" xfId="16684" xr:uid="{2AF67478-121B-44F9-BEE0-7EA4EAE42AB4}"/>
    <cellStyle name="Output 2 9 2 6 3 2" xfId="39074" xr:uid="{C50493FC-84A4-4D8E-8063-A15D26A11139}"/>
    <cellStyle name="Output 2 9 2 6 3 3" xfId="27907" xr:uid="{77443037-1059-4C31-AF5A-60313BBA4B3A}"/>
    <cellStyle name="Output 2 9 2 6 4" xfId="7261" xr:uid="{DB03985E-6E4C-4BA1-953B-355A9145A5DB}"/>
    <cellStyle name="Output 2 9 2 6 4 2" xfId="29950" xr:uid="{50FF5A60-7EB2-447B-9188-BB8DE77480F5}"/>
    <cellStyle name="Output 2 9 2 6 4 3" xfId="54032" xr:uid="{1C4728FC-FA99-4552-AB5E-C03592744D57}"/>
    <cellStyle name="Output 2 9 2 6 5" xfId="19835" xr:uid="{AD343A0C-1C96-425F-9BF6-5ACC8D3FCA36}"/>
    <cellStyle name="Output 2 9 2 6 5 2" xfId="26213" xr:uid="{E01373E3-41E4-4853-9AD2-A89A850D32A2}"/>
    <cellStyle name="Output 2 9 2 6 6" xfId="43903" xr:uid="{96C32DA0-77CE-40D5-81AB-3F901CAB2ABB}"/>
    <cellStyle name="Output 2 9 2 7" xfId="6786" xr:uid="{00000000-0005-0000-0000-000025080000}"/>
    <cellStyle name="Output 2 9 2 7 2" xfId="13636" xr:uid="{A060BA9F-0C0E-430E-94F8-C30E8D3AA47E}"/>
    <cellStyle name="Output 2 9 2 7 2 2" xfId="36120" xr:uid="{E2AB523F-3549-4A60-BAC3-B0789391F1CF}"/>
    <cellStyle name="Output 2 9 2 7 2 3" xfId="50521" xr:uid="{2E79FE21-3C66-49DA-B68E-A33C6268C647}"/>
    <cellStyle name="Output 2 9 2 7 3" xfId="18723" xr:uid="{E6E2177D-0F46-4290-800E-64FDD9189483}"/>
    <cellStyle name="Output 2 9 2 7 3 2" xfId="41113" xr:uid="{82B86A45-D73F-4863-841F-8C6A3D748C39}"/>
    <cellStyle name="Output 2 9 2 7 3 3" xfId="43626" xr:uid="{C4DF8A26-136B-45B0-9546-B6BE27FF6B38}"/>
    <cellStyle name="Output 2 9 2 7 4" xfId="16219" xr:uid="{A800F99A-2E49-476E-B703-6130DEA390BE}"/>
    <cellStyle name="Output 2 9 2 7 4 2" xfId="38617" xr:uid="{D693C2DE-FB57-4372-B61F-9506B8448CED}"/>
    <cellStyle name="Output 2 9 2 7 4 3" xfId="27600" xr:uid="{30C4EA0B-B832-4B80-9926-F60F4A4FF85B}"/>
    <cellStyle name="Output 2 9 2 7 5" xfId="23147" xr:uid="{2BA610C0-17C6-4B48-B933-D96475BF0A5A}"/>
    <cellStyle name="Output 2 9 2 7 5 2" xfId="48908" xr:uid="{E049358F-4185-4713-97A5-BB38CDBF1B77}"/>
    <cellStyle name="Output 2 9 2 7 6" xfId="47889" xr:uid="{4B6AB6D7-76D5-4FF6-A8BC-E6DDF4F01692}"/>
    <cellStyle name="Output 2 9 2 8" xfId="7345" xr:uid="{064C4BB3-4067-46B6-A38E-7E0A62B15E56}"/>
    <cellStyle name="Output 2 9 2 8 2" xfId="30031" xr:uid="{646466A8-4065-4DD5-865A-C5558868AA71}"/>
    <cellStyle name="Output 2 9 2 8 3" xfId="50764" xr:uid="{69408E3F-F15D-4C92-A7CA-AA82717D405E}"/>
    <cellStyle name="Output 2 9 2 9" xfId="20436" xr:uid="{3DFAD423-B245-4CF0-B4D7-A895D1675560}"/>
    <cellStyle name="Output 2 9 2 9 2" xfId="42728" xr:uid="{1B402973-CEED-47EF-B642-C8767C8695AC}"/>
    <cellStyle name="Output 2 9 2 9 3" xfId="49672" xr:uid="{651992FB-460B-404B-8504-72A66899A5BF}"/>
    <cellStyle name="Output 2 9 3" xfId="842" xr:uid="{00000000-0005-0000-0000-000029080000}"/>
    <cellStyle name="Output 2 9 3 10" xfId="20918" xr:uid="{11240030-8E13-43CF-911C-D8BCB1BE59D6}"/>
    <cellStyle name="Output 2 9 3 10 2" xfId="27675" xr:uid="{F14A40AC-3C09-450A-9C5B-5109569061B5}"/>
    <cellStyle name="Output 2 9 3 11" xfId="52121" xr:uid="{5496F12C-AA80-4A29-9B6D-5F138F15ECEC}"/>
    <cellStyle name="Output 2 9 3 2" xfId="1827" xr:uid="{00000000-0005-0000-0000-00002A080000}"/>
    <cellStyle name="Output 2 9 3 2 10" xfId="14511" xr:uid="{6DD80B0D-6917-4ECD-9183-9846BB82CD0C}"/>
    <cellStyle name="Output 2 9 3 2 10 2" xfId="36972" xr:uid="{0445F8E2-7A9B-4BB2-8CCE-A03D08043DE6}"/>
    <cellStyle name="Output 2 9 3 2 10 3" xfId="30593" xr:uid="{A2E3E2FE-C436-4588-8134-F62A278B8393}"/>
    <cellStyle name="Output 2 9 3 2 11" xfId="20182" xr:uid="{74D0A585-B356-480C-9FC5-432D3106DAC3}"/>
    <cellStyle name="Output 2 9 3 2 11 2" xfId="42492" xr:uid="{FFC0DBE8-C5E3-4CC2-9230-B37B6DE11200}"/>
    <cellStyle name="Output 2 9 3 2 11 3" xfId="37550" xr:uid="{D1B48E33-F022-43B0-940B-93AE63ECE585}"/>
    <cellStyle name="Output 2 9 3 2 12" xfId="20518" xr:uid="{DA4B3E89-99C6-4584-9042-5ACEAD09F4BE}"/>
    <cellStyle name="Output 2 9 3 2 12 2" xfId="50686" xr:uid="{56DF96FB-8A7E-4C52-A871-7EA7DBD2D277}"/>
    <cellStyle name="Output 2 9 3 2 13" xfId="47203" xr:uid="{1FC651F8-0B62-4B06-9BED-33B69F2155F3}"/>
    <cellStyle name="Output 2 9 3 2 2" xfId="3925" xr:uid="{00000000-0005-0000-0000-000028080000}"/>
    <cellStyle name="Output 2 9 3 2 2 2" xfId="10829" xr:uid="{8DC128C2-72A5-4A37-8172-6A2480B54858}"/>
    <cellStyle name="Output 2 9 3 2 2 2 2" xfId="33315" xr:uid="{46B57410-D9E1-4B00-9823-AA1E0F1BB15A}"/>
    <cellStyle name="Output 2 9 3 2 2 2 3" xfId="50613" xr:uid="{49FE603C-3DAA-4F33-B1F1-D450E8D45CE9}"/>
    <cellStyle name="Output 2 9 3 2 2 3" xfId="15967" xr:uid="{DB261816-B1D2-4FFE-862C-51FF53F12A08}"/>
    <cellStyle name="Output 2 9 3 2 2 3 2" xfId="38370" xr:uid="{55F6B89C-9AE4-4C2E-A72A-93BC141E3938}"/>
    <cellStyle name="Output 2 9 3 2 2 3 3" xfId="51306" xr:uid="{0EDAD4B5-58BD-460C-8A3B-6A206843AC0E}"/>
    <cellStyle name="Output 2 9 3 2 2 4" xfId="15240" xr:uid="{73A0FE08-643E-43AF-9295-4874A289F737}"/>
    <cellStyle name="Output 2 9 3 2 2 4 2" xfId="37676" xr:uid="{62D529FE-DC59-43CD-BDAA-ACE7C5E758B9}"/>
    <cellStyle name="Output 2 9 3 2 2 4 3" xfId="52467" xr:uid="{14D90B1E-9D5C-45CD-932B-C3D98F6834D5}"/>
    <cellStyle name="Output 2 9 3 2 2 5" xfId="14765" xr:uid="{46F844D6-4CE9-4C8D-9DC0-51A04E5E37E7}"/>
    <cellStyle name="Output 2 9 3 2 2 5 2" xfId="49967" xr:uid="{CD29FC8E-2A32-469E-A92F-3CD9FA897B07}"/>
    <cellStyle name="Output 2 9 3 2 2 6" xfId="53336" xr:uid="{4690B14C-6BF8-471C-8D63-01DA0021CEAB}"/>
    <cellStyle name="Output 2 9 3 2 3" xfId="5320" xr:uid="{00000000-0005-0000-0000-000028080000}"/>
    <cellStyle name="Output 2 9 3 2 3 2" xfId="12212" xr:uid="{06DDD8DA-1B9D-44AD-AEB3-5B37AB184F0B}"/>
    <cellStyle name="Output 2 9 3 2 3 2 2" xfId="34697" xr:uid="{73C146F5-BA34-4CC0-91C1-FABBD972C43D}"/>
    <cellStyle name="Output 2 9 3 2 3 2 3" xfId="30092" xr:uid="{7FFC7D73-C753-4239-92A3-C846F230B7BF}"/>
    <cellStyle name="Output 2 9 3 2 3 3" xfId="17257" xr:uid="{722FA7AE-AD62-4BE5-84EB-DA08807CF8AB}"/>
    <cellStyle name="Output 2 9 3 2 3 3 2" xfId="39647" xr:uid="{6F5F9F1C-6F4A-40B2-B8D7-7FE188FFE5CB}"/>
    <cellStyle name="Output 2 9 3 2 3 3 3" xfId="42844" xr:uid="{B26890C0-2323-4651-969F-68FE649D49D6}"/>
    <cellStyle name="Output 2 9 3 2 3 4" xfId="14231" xr:uid="{1E2A767E-625B-46E5-902D-58BDF54E2943}"/>
    <cellStyle name="Output 2 9 3 2 3 4 2" xfId="36704" xr:uid="{A22DD313-7CF7-4332-B992-ED85E9A8BABC}"/>
    <cellStyle name="Output 2 9 3 2 3 4 3" xfId="51284" xr:uid="{26EBA31F-B0E0-4696-8584-C8FB18F65D27}"/>
    <cellStyle name="Output 2 9 3 2 3 5" xfId="21681" xr:uid="{C6EF1768-6A68-4279-A393-DBD40898C49A}"/>
    <cellStyle name="Output 2 9 3 2 3 5 2" xfId="49314" xr:uid="{B54A07ED-FE14-4D5B-BA78-99C19172ACCF}"/>
    <cellStyle name="Output 2 9 3 2 3 6" xfId="48677" xr:uid="{1F6111BD-9D1B-404F-8325-57A1E64E1C6C}"/>
    <cellStyle name="Output 2 9 3 2 4" xfId="5730" xr:uid="{00000000-0005-0000-0000-000028080000}"/>
    <cellStyle name="Output 2 9 3 2 4 2" xfId="12614" xr:uid="{AB446C49-339D-426D-AF0A-87E04649D359}"/>
    <cellStyle name="Output 2 9 3 2 4 2 2" xfId="35099" xr:uid="{F1D270D9-37F9-4936-A2E6-8C182910C5EC}"/>
    <cellStyle name="Output 2 9 3 2 4 2 3" xfId="44957" xr:uid="{E4349A39-E526-49F0-8A70-54155D5000DF}"/>
    <cellStyle name="Output 2 9 3 2 4 3" xfId="17667" xr:uid="{544DC3C9-5E08-44C6-82F3-BA0509EAC95A}"/>
    <cellStyle name="Output 2 9 3 2 4 3 2" xfId="40057" xr:uid="{10883BD7-3B0F-415A-87E6-38EC45975F7B}"/>
    <cellStyle name="Output 2 9 3 2 4 3 3" xfId="29210" xr:uid="{D25A93EA-FBFC-4BF2-BE55-A1E22E094C0F}"/>
    <cellStyle name="Output 2 9 3 2 4 4" xfId="19689" xr:uid="{68989A9F-EC97-48A8-BFBE-E124996F4EA9}"/>
    <cellStyle name="Output 2 9 3 2 4 4 2" xfId="42036" xr:uid="{2F9E4E58-BBD7-4B00-AB6C-B0434390E1CF}"/>
    <cellStyle name="Output 2 9 3 2 4 4 3" xfId="44838" xr:uid="{B64A21D9-DCCB-45BF-8EB9-6EE4E4C9A6EF}"/>
    <cellStyle name="Output 2 9 3 2 4 5" xfId="22091" xr:uid="{95A15FBA-42C0-4D5D-8CD6-635AA8CECC6C}"/>
    <cellStyle name="Output 2 9 3 2 4 5 2" xfId="52628" xr:uid="{2424CD5E-AE44-4249-9871-AE6F27831C31}"/>
    <cellStyle name="Output 2 9 3 2 4 6" xfId="25900" xr:uid="{CFCF703D-546F-4650-9124-B53DA5211358}"/>
    <cellStyle name="Output 2 9 3 2 5" xfId="6084" xr:uid="{00000000-0005-0000-0000-000028080000}"/>
    <cellStyle name="Output 2 9 3 2 5 2" xfId="12962" xr:uid="{693ADFC5-9187-4671-A15A-3A80B086BCB0}"/>
    <cellStyle name="Output 2 9 3 2 5 2 2" xfId="35446" xr:uid="{8A8C8C7B-9A7B-4ED7-8764-E40A99F78669}"/>
    <cellStyle name="Output 2 9 3 2 5 2 3" xfId="27732" xr:uid="{FB7BD13C-A026-4DC4-AA33-0964E421108F}"/>
    <cellStyle name="Output 2 9 3 2 5 3" xfId="18021" xr:uid="{91BEF7D5-9BDE-4ED4-BF3C-00C1DC54E749}"/>
    <cellStyle name="Output 2 9 3 2 5 3 2" xfId="40411" xr:uid="{C2208934-4B4A-46B6-A90E-034300373BEC}"/>
    <cellStyle name="Output 2 9 3 2 5 3 3" xfId="27541" xr:uid="{671529B8-EAD0-4D65-805A-64268115BB9C}"/>
    <cellStyle name="Output 2 9 3 2 5 4" xfId="19179" xr:uid="{E4F45E0D-D8DB-4C0D-B3DD-5A29F9D32CA1}"/>
    <cellStyle name="Output 2 9 3 2 5 4 2" xfId="41569" xr:uid="{7A5C04BB-51AB-4B39-9ECD-6C5048FE73A3}"/>
    <cellStyle name="Output 2 9 3 2 5 4 3" xfId="30305" xr:uid="{511057FE-B3F3-41EE-8654-3DDEAE3519C3}"/>
    <cellStyle name="Output 2 9 3 2 5 5" xfId="22445" xr:uid="{125D668B-C8AD-4180-9D11-31D2D7215AA5}"/>
    <cellStyle name="Output 2 9 3 2 5 5 2" xfId="52624" xr:uid="{B1E9BA4A-8F07-464A-ACDC-3827F5782896}"/>
    <cellStyle name="Output 2 9 3 2 5 6" xfId="49583" xr:uid="{B77146D5-900E-443C-B374-FE2F2C3DF6BC}"/>
    <cellStyle name="Output 2 9 3 2 6" xfId="6459" xr:uid="{00000000-0005-0000-0000-000028080000}"/>
    <cellStyle name="Output 2 9 3 2 6 2" xfId="13329" xr:uid="{57EEB6AB-E398-4DA4-BCC6-C2BB0DD02496}"/>
    <cellStyle name="Output 2 9 3 2 6 2 2" xfId="35813" xr:uid="{FC41F57C-FE2C-40FE-B005-DFF28FAAFC4C}"/>
    <cellStyle name="Output 2 9 3 2 6 2 3" xfId="51079" xr:uid="{F92228C5-B9BE-4EE6-AD60-92B70A2A2742}"/>
    <cellStyle name="Output 2 9 3 2 6 3" xfId="18396" xr:uid="{6F28756F-7D83-4EF2-AF13-E5DD408EFD8C}"/>
    <cellStyle name="Output 2 9 3 2 6 3 2" xfId="40786" xr:uid="{4D360E67-F39C-45ED-8C04-57930D28F50F}"/>
    <cellStyle name="Output 2 9 3 2 6 3 3" xfId="24809" xr:uid="{FE305461-98E7-49D4-9D61-9B3A344735EF}"/>
    <cellStyle name="Output 2 9 3 2 6 4" xfId="19901" xr:uid="{1ED51BA6-C583-457D-8436-82B0DE64EF20}"/>
    <cellStyle name="Output 2 9 3 2 6 4 2" xfId="42234" xr:uid="{CA6A39D9-D99C-4E94-833A-8E902DC9AAC3}"/>
    <cellStyle name="Output 2 9 3 2 6 4 3" xfId="26177" xr:uid="{F375C2F6-63ED-438F-AF7A-FED44AD2BC9D}"/>
    <cellStyle name="Output 2 9 3 2 6 5" xfId="22820" xr:uid="{584A162D-8DF0-4497-B916-C9DE530D30D3}"/>
    <cellStyle name="Output 2 9 3 2 6 5 2" xfId="29052" xr:uid="{296797DB-4B3B-4639-AEF5-3743270FA3AA}"/>
    <cellStyle name="Output 2 9 3 2 6 6" xfId="47699" xr:uid="{1A7BA0F6-F40C-446E-801B-CD04D2CB1B2B}"/>
    <cellStyle name="Output 2 9 3 2 7" xfId="4351" xr:uid="{00000000-0005-0000-0000-000028080000}"/>
    <cellStyle name="Output 2 9 3 2 7 2" xfId="11254" xr:uid="{5728B466-5FBA-4D5D-B0FD-5E4DCF62911F}"/>
    <cellStyle name="Output 2 9 3 2 7 2 2" xfId="33740" xr:uid="{2135C7C4-BC3F-4F21-B8EA-3628EBE9D79B}"/>
    <cellStyle name="Output 2 9 3 2 7 2 3" xfId="43386" xr:uid="{5EEE1F5B-3472-413D-8E46-9AE16982D3D1}"/>
    <cellStyle name="Output 2 9 3 2 7 3" xfId="16288" xr:uid="{8CF94117-62B5-4DC2-A6B6-4B428301E353}"/>
    <cellStyle name="Output 2 9 3 2 7 3 2" xfId="38678" xr:uid="{8CF60CD6-E5E5-4176-A7DD-4B507C51EB18}"/>
    <cellStyle name="Output 2 9 3 2 7 3 3" xfId="24163" xr:uid="{F908EAC8-6B54-4000-B653-BC9C57860DB4}"/>
    <cellStyle name="Output 2 9 3 2 7 4" xfId="13964" xr:uid="{F6F2FF63-80A5-4980-BCD9-1688B9340DC7}"/>
    <cellStyle name="Output 2 9 3 2 7 4 2" xfId="36448" xr:uid="{DA53C5F2-4988-44E9-B2C1-11BAB82691DD}"/>
    <cellStyle name="Output 2 9 3 2 7 4 3" xfId="46764" xr:uid="{AF0ECBD1-7DD1-4CBE-A09E-34C5B1290730}"/>
    <cellStyle name="Output 2 9 3 2 7 5" xfId="19516" xr:uid="{5F2D1CE1-22E4-4619-94F7-EC8DDD36BF74}"/>
    <cellStyle name="Output 2 9 3 2 7 5 2" xfId="43964" xr:uid="{AA1A5126-7428-443E-807B-C8765D55E8C2}"/>
    <cellStyle name="Output 2 9 3 2 7 6" xfId="49455" xr:uid="{8FAD5272-44CC-4769-BEF3-D774F0805B81}"/>
    <cellStyle name="Output 2 9 3 2 8" xfId="6959" xr:uid="{00000000-0005-0000-0000-000028080000}"/>
    <cellStyle name="Output 2 9 3 2 8 2" xfId="13796" xr:uid="{0BC8B3E8-27C3-4527-9511-7F1CBE245EED}"/>
    <cellStyle name="Output 2 9 3 2 8 2 2" xfId="36280" xr:uid="{ECC524E2-ED69-4D82-8A94-2E2891B36592}"/>
    <cellStyle name="Output 2 9 3 2 8 2 3" xfId="29501" xr:uid="{ADC3D771-7C18-4BB9-8916-B6A7C57DEED6}"/>
    <cellStyle name="Output 2 9 3 2 8 3" xfId="18896" xr:uid="{D16E12A0-9585-421F-9B9A-A7D7D9CF6EFE}"/>
    <cellStyle name="Output 2 9 3 2 8 3 2" xfId="41286" xr:uid="{7F73C3EB-1EFD-476E-832A-E791D2B25CD6}"/>
    <cellStyle name="Output 2 9 3 2 8 3 3" xfId="43791" xr:uid="{C0C760EA-476B-4570-8465-ABD783D5A185}"/>
    <cellStyle name="Output 2 9 3 2 8 4" xfId="20787" xr:uid="{662F00CD-6033-4AFB-8501-643C370A5265}"/>
    <cellStyle name="Output 2 9 3 2 8 4 2" xfId="43055" xr:uid="{1D6CA0CB-FD70-4D82-8281-8E30169DC895}"/>
    <cellStyle name="Output 2 9 3 2 8 4 3" xfId="46855" xr:uid="{E1FB61BA-18AD-4BC5-B13C-0159329ADD04}"/>
    <cellStyle name="Output 2 9 3 2 8 5" xfId="23320" xr:uid="{10C949E7-76BD-4BEE-97E2-30C7FA2BE2C0}"/>
    <cellStyle name="Output 2 9 3 2 8 5 2" xfId="42017" xr:uid="{B67A4A34-36E0-4B30-9AF6-E9AED1922BE2}"/>
    <cellStyle name="Output 2 9 3 2 8 6" xfId="24157" xr:uid="{2A108019-509D-46BC-8A78-525FEFC06BE2}"/>
    <cellStyle name="Output 2 9 3 2 9" xfId="5772" xr:uid="{00000000-0005-0000-0000-000028080000}"/>
    <cellStyle name="Output 2 9 3 2 9 2" xfId="17709" xr:uid="{A681A56B-B864-4C3A-847D-E416FFF98D67}"/>
    <cellStyle name="Output 2 9 3 2 9 2 2" xfId="40099" xr:uid="{EEB64A60-2281-40E6-9D0E-DF35947C254E}"/>
    <cellStyle name="Output 2 9 3 2 9 2 3" xfId="30828" xr:uid="{69204442-6564-4801-9A2C-AEB17339FF88}"/>
    <cellStyle name="Output 2 9 3 2 9 3" xfId="14819" xr:uid="{A9879CF6-7359-4C8B-9072-E7BBFF62576D}"/>
    <cellStyle name="Output 2 9 3 2 9 3 2" xfId="37274" xr:uid="{AD42D6EB-E41D-4C07-BF2F-0437079634FF}"/>
    <cellStyle name="Output 2 9 3 2 9 3 3" xfId="53122" xr:uid="{69BC272C-DD12-4ADA-AAAC-39A14C4BE5B9}"/>
    <cellStyle name="Output 2 9 3 2 9 4" xfId="22133" xr:uid="{D52B3112-979A-4D50-84C7-B0084DF82DF9}"/>
    <cellStyle name="Output 2 9 3 2 9 4 2" xfId="28946" xr:uid="{9DBE23A3-F686-4DF2-A6FD-9907D0B271C2}"/>
    <cellStyle name="Output 2 9 3 2 9 5" xfId="52069" xr:uid="{E0692F9D-8844-4906-8389-04D2A388F431}"/>
    <cellStyle name="Output 2 9 3 3" xfId="2975" xr:uid="{00000000-0005-0000-0000-000027080000}"/>
    <cellStyle name="Output 2 9 3 3 2" xfId="9884" xr:uid="{E741A9CE-4477-466D-8B8C-FDDEC78430F2}"/>
    <cellStyle name="Output 2 9 3 3 2 2" xfId="32407" xr:uid="{1CF752CB-ACAA-40E4-8F79-C938C2D72390}"/>
    <cellStyle name="Output 2 9 3 3 2 3" xfId="47164" xr:uid="{E66A38A4-E24A-4784-95E7-D3EA80C18A96}"/>
    <cellStyle name="Output 2 9 3 3 3" xfId="15322" xr:uid="{959DBB74-96F7-47EA-B850-51E388B87F9A}"/>
    <cellStyle name="Output 2 9 3 3 3 2" xfId="37754" xr:uid="{F2D6404C-751C-4A77-AB9E-8B8DA8A5C9EC}"/>
    <cellStyle name="Output 2 9 3 3 3 3" xfId="47973" xr:uid="{96849735-8D84-474D-8942-6FEE4C2F0A82}"/>
    <cellStyle name="Output 2 9 3 3 4" xfId="14263" xr:uid="{516230CE-7ABB-43DB-962C-C959593124BD}"/>
    <cellStyle name="Output 2 9 3 3 4 2" xfId="36734" xr:uid="{19180215-8456-474D-8D6E-C2887D7AFF21}"/>
    <cellStyle name="Output 2 9 3 3 4 3" xfId="46367" xr:uid="{ABB7A356-A3F9-48B6-8FEE-BA2AD93962FF}"/>
    <cellStyle name="Output 2 9 3 3 5" xfId="20068" xr:uid="{6CA35114-EBCA-4B75-9D9F-F0C1DDC15950}"/>
    <cellStyle name="Output 2 9 3 3 5 2" xfId="41818" xr:uid="{032587DB-4D7A-4150-B0D9-89FA0A601094}"/>
    <cellStyle name="Output 2 9 3 3 6" xfId="43729" xr:uid="{D3487B33-0CE6-4F0F-8058-3DA0AFDA234E}"/>
    <cellStyle name="Output 2 9 3 4" xfId="4686" xr:uid="{00000000-0005-0000-0000-000027080000}"/>
    <cellStyle name="Output 2 9 3 4 2" xfId="11584" xr:uid="{ACA24284-6018-429B-9AD5-0D631810F21C}"/>
    <cellStyle name="Output 2 9 3 4 2 2" xfId="34070" xr:uid="{35E19276-D343-4A90-9FAB-47D6115C55F3}"/>
    <cellStyle name="Output 2 9 3 4 2 3" xfId="32097" xr:uid="{EA0440FF-F271-4EB3-83FA-1577636EE6D3}"/>
    <cellStyle name="Output 2 9 3 4 3" xfId="16623" xr:uid="{18C34380-F23C-4E83-A283-D086EC4A46B6}"/>
    <cellStyle name="Output 2 9 3 4 3 2" xfId="39013" xr:uid="{984A7983-4188-425E-8B31-E7314DCF1E91}"/>
    <cellStyle name="Output 2 9 3 4 3 3" xfId="29223" xr:uid="{A6B77C62-5656-48E5-A223-F854A4645737}"/>
    <cellStyle name="Output 2 9 3 4 4" xfId="19824" xr:uid="{8A89ECD2-693B-4B9F-B204-B4E626EBE613}"/>
    <cellStyle name="Output 2 9 3 4 4 2" xfId="42162" xr:uid="{C21B6136-DED6-43E5-A3B2-D98C4BB5499F}"/>
    <cellStyle name="Output 2 9 3 4 4 3" xfId="28111" xr:uid="{F93FFED4-375D-4125-B878-98C36E3813A6}"/>
    <cellStyle name="Output 2 9 3 4 5" xfId="20958" xr:uid="{09C809DA-0383-4B91-873B-B3AAD678496B}"/>
    <cellStyle name="Output 2 9 3 4 5 2" xfId="47764" xr:uid="{D8C140B4-79AA-4ADB-8461-807DB9E04092}"/>
    <cellStyle name="Output 2 9 3 4 6" xfId="48882" xr:uid="{E85F2D0B-E792-425E-A169-1E95E9239EE5}"/>
    <cellStyle name="Output 2 9 3 5" xfId="4884" xr:uid="{00000000-0005-0000-0000-000027080000}"/>
    <cellStyle name="Output 2 9 3 5 2" xfId="11779" xr:uid="{47A6AC09-3446-4E03-A9E0-3507B1F1FDBF}"/>
    <cellStyle name="Output 2 9 3 5 2 2" xfId="34265" xr:uid="{C3E9E692-FBDB-4F18-93BC-210EFF38DE1A}"/>
    <cellStyle name="Output 2 9 3 5 2 3" xfId="44609" xr:uid="{6F9E5A50-DC6A-45C3-B895-8D34BEDB19EC}"/>
    <cellStyle name="Output 2 9 3 5 3" xfId="16821" xr:uid="{F7A501C7-5364-4C13-B5B1-26ACB3562119}"/>
    <cellStyle name="Output 2 9 3 5 3 2" xfId="39211" xr:uid="{48500763-14E5-4F10-B192-F85B97EC1868}"/>
    <cellStyle name="Output 2 9 3 5 3 3" xfId="26518" xr:uid="{E0C91F85-D60F-4C84-A1A2-518B88054634}"/>
    <cellStyle name="Output 2 9 3 5 4" xfId="14624" xr:uid="{E94734A1-2D66-494D-AF3B-25770FB1C8CD}"/>
    <cellStyle name="Output 2 9 3 5 4 2" xfId="37085" xr:uid="{8EC624F2-1AEB-4C2A-9E5F-726C41037259}"/>
    <cellStyle name="Output 2 9 3 5 4 3" xfId="51214" xr:uid="{C3FD664F-6A5F-4499-A518-036592157B49}"/>
    <cellStyle name="Output 2 9 3 5 5" xfId="21170" xr:uid="{9B53BAA8-4DBF-4287-86BD-500166F4E69E}"/>
    <cellStyle name="Output 2 9 3 5 5 2" xfId="53414" xr:uid="{337304EC-6AA3-423B-A050-F36833629432}"/>
    <cellStyle name="Output 2 9 3 5 6" xfId="50695" xr:uid="{B297EA9C-8A22-4BA4-AFA9-B530996C3E69}"/>
    <cellStyle name="Output 2 9 3 6" xfId="5350" xr:uid="{00000000-0005-0000-0000-000027080000}"/>
    <cellStyle name="Output 2 9 3 6 2" xfId="12242" xr:uid="{BA78E5F0-600B-497A-8BD3-517829643D55}"/>
    <cellStyle name="Output 2 9 3 6 2 2" xfId="34727" xr:uid="{F2057CBD-6C46-4C23-9C87-3EEE1B2D65E0}"/>
    <cellStyle name="Output 2 9 3 6 2 3" xfId="45099" xr:uid="{C87701F2-C902-45AC-B4EB-33FFCF0A532A}"/>
    <cellStyle name="Output 2 9 3 6 3" xfId="17287" xr:uid="{3E4B8D3F-5D4C-4D4F-AC46-069D9CEF7480}"/>
    <cellStyle name="Output 2 9 3 6 3 2" xfId="39677" xr:uid="{3A76EC79-29C1-4E11-83FF-9A656BB47394}"/>
    <cellStyle name="Output 2 9 3 6 3 3" xfId="29627" xr:uid="{56E0E80C-6257-4E59-BB52-BFEBD38F9E25}"/>
    <cellStyle name="Output 2 9 3 6 4" xfId="7957" xr:uid="{AB0D922A-04E3-497A-8E44-CD3BAB7F7E38}"/>
    <cellStyle name="Output 2 9 3 6 4 2" xfId="30580" xr:uid="{F2512BAC-A11C-4472-A8F9-DAE5FCEA8300}"/>
    <cellStyle name="Output 2 9 3 6 4 3" xfId="53830" xr:uid="{F8835904-243B-4500-B45E-53016EA0394D}"/>
    <cellStyle name="Output 2 9 3 6 5" xfId="21711" xr:uid="{E328F879-AC7F-4B20-B2EC-390498548EF3}"/>
    <cellStyle name="Output 2 9 3 6 5 2" xfId="52753" xr:uid="{9BED88F7-130C-4898-8472-066337833AF7}"/>
    <cellStyle name="Output 2 9 3 6 6" xfId="46399" xr:uid="{7FF3D8A1-6B6B-4162-8491-E6A006EAF87C}"/>
    <cellStyle name="Output 2 9 3 7" xfId="6816" xr:uid="{00000000-0005-0000-0000-000027080000}"/>
    <cellStyle name="Output 2 9 3 7 2" xfId="13663" xr:uid="{CD8C4169-AC3F-4A9C-AFC8-F7CDCFC8CC7C}"/>
    <cellStyle name="Output 2 9 3 7 2 2" xfId="36147" xr:uid="{55DB2117-81D3-4554-BEB5-654870ED3952}"/>
    <cellStyle name="Output 2 9 3 7 2 3" xfId="52736" xr:uid="{BD23F440-81BE-40B9-9744-669009F979D3}"/>
    <cellStyle name="Output 2 9 3 7 3" xfId="18753" xr:uid="{1879A7D7-5D90-42EB-9830-77FC1C270026}"/>
    <cellStyle name="Output 2 9 3 7 3 2" xfId="41143" xr:uid="{953F57E8-FE17-4880-96D9-4A6A3BB90CC3}"/>
    <cellStyle name="Output 2 9 3 7 3 3" xfId="28939" xr:uid="{87E926A5-D250-4128-8413-3D5B9A6260E0}"/>
    <cellStyle name="Output 2 9 3 7 4" xfId="15003" xr:uid="{8B12172C-34E1-465C-B925-96FC7BB865EC}"/>
    <cellStyle name="Output 2 9 3 7 4 2" xfId="37453" xr:uid="{1670570C-4267-40B6-9672-F52B1BA4694C}"/>
    <cellStyle name="Output 2 9 3 7 4 3" xfId="27853" xr:uid="{11AC8895-E832-4C55-AC8A-BE730FA42DA8}"/>
    <cellStyle name="Output 2 9 3 7 5" xfId="23177" xr:uid="{6C5F37F7-A822-4A6B-9016-E03D2C31A3AA}"/>
    <cellStyle name="Output 2 9 3 7 5 2" xfId="51230" xr:uid="{B7E6483A-20B5-4347-BB51-FA4D3F522E17}"/>
    <cellStyle name="Output 2 9 3 7 6" xfId="54042" xr:uid="{61BB6024-4404-4414-B6D5-34AEF0B048C8}"/>
    <cellStyle name="Output 2 9 3 8" xfId="7286" xr:uid="{A1FD1752-E928-427E-A2C8-8254136C8F91}"/>
    <cellStyle name="Output 2 9 3 8 2" xfId="29974" xr:uid="{DA2CC8FC-82F9-42FF-A6A2-127FDAE972B1}"/>
    <cellStyle name="Output 2 9 3 8 3" xfId="52960" xr:uid="{7795D155-9DD4-4849-9D8B-0426C93D6C9B}"/>
    <cellStyle name="Output 2 9 3 9" xfId="19874" xr:uid="{A1E76888-8BEE-45B6-9F9D-CBEC13629A8D}"/>
    <cellStyle name="Output 2 9 3 9 2" xfId="42208" xr:uid="{030B3AF3-EB81-40A2-A311-374EE42BE5A4}"/>
    <cellStyle name="Output 2 9 3 9 3" xfId="28841" xr:uid="{BE983D43-157D-4987-B504-0E70BA5BBD61}"/>
    <cellStyle name="Output 2 9 4" xfId="1029" xr:uid="{00000000-0005-0000-0000-00002B080000}"/>
    <cellStyle name="Output 2 9 4 10" xfId="20279" xr:uid="{E3963CCD-24FB-45D0-A292-A82E1D25FEF6}"/>
    <cellStyle name="Output 2 9 4 10 2" xfId="52677" xr:uid="{61C6C35C-A3C5-417C-A841-6705B2E58284}"/>
    <cellStyle name="Output 2 9 4 11" xfId="50780" xr:uid="{EDA9958C-6814-45E7-8B45-64332D5358EB}"/>
    <cellStyle name="Output 2 9 4 2" xfId="1919" xr:uid="{00000000-0005-0000-0000-00002C080000}"/>
    <cellStyle name="Output 2 9 4 2 10" xfId="14589" xr:uid="{58C2D4EB-BC9E-45EF-91EA-48439D465155}"/>
    <cellStyle name="Output 2 9 4 2 10 2" xfId="37050" xr:uid="{D5497FA3-4EA1-4446-8AAD-C02A2B9514F6}"/>
    <cellStyle name="Output 2 9 4 2 10 3" xfId="52743" xr:uid="{B5BD12FD-2E9C-4164-8529-445B781FF5D5}"/>
    <cellStyle name="Output 2 9 4 2 11" xfId="20209" xr:uid="{FF4CEEDF-10DC-4F84-AAE1-A09A2A42D2B0}"/>
    <cellStyle name="Output 2 9 4 2 11 2" xfId="42517" xr:uid="{40784513-5E72-4067-AF28-C72D9DBDC755}"/>
    <cellStyle name="Output 2 9 4 2 11 3" xfId="44186" xr:uid="{D8510C70-18F4-4AC2-9CD4-25F2E37D3D0E}"/>
    <cellStyle name="Output 2 9 4 2 12" xfId="21035" xr:uid="{250CD8A0-4B54-45D2-9957-8CD5B6DFFD85}"/>
    <cellStyle name="Output 2 9 4 2 12 2" xfId="27183" xr:uid="{0F0C573D-E868-48DF-A526-AB6B62068C0E}"/>
    <cellStyle name="Output 2 9 4 2 13" xfId="44498" xr:uid="{6D4231BC-A6EE-410A-9776-3F43F2C8EA9C}"/>
    <cellStyle name="Output 2 9 4 2 2" xfId="4016" xr:uid="{00000000-0005-0000-0000-00002A080000}"/>
    <cellStyle name="Output 2 9 4 2 2 2" xfId="10920" xr:uid="{BFD288BE-69BE-41AD-80D6-3EEA75C54CCD}"/>
    <cellStyle name="Output 2 9 4 2 2 2 2" xfId="33406" xr:uid="{41FE28AD-D750-4943-AE9D-0793D35EC0BE}"/>
    <cellStyle name="Output 2 9 4 2 2 2 3" xfId="49660" xr:uid="{3E8B914F-249E-4780-8B3A-9DA46F6EFD79}"/>
    <cellStyle name="Output 2 9 4 2 2 3" xfId="16040" xr:uid="{E7889D6F-5FE9-4F59-9A65-E2F917CCB198}"/>
    <cellStyle name="Output 2 9 4 2 2 3 2" xfId="38441" xr:uid="{A66C01A7-227C-413D-8B61-E77438A6CF34}"/>
    <cellStyle name="Output 2 9 4 2 2 3 3" xfId="47179" xr:uid="{E2C08FED-1DC0-4755-A2C4-35DF1A2DD8FF}"/>
    <cellStyle name="Output 2 9 4 2 2 4" xfId="20286" xr:uid="{946B1998-695E-466B-89B3-35E904764F96}"/>
    <cellStyle name="Output 2 9 4 2 2 4 2" xfId="42586" xr:uid="{403E01E7-7566-44AC-B2AC-998176FA5164}"/>
    <cellStyle name="Output 2 9 4 2 2 4 3" xfId="42865" xr:uid="{FB1B86B2-2E42-45B2-9F0E-78EFA6304863}"/>
    <cellStyle name="Output 2 9 4 2 2 5" xfId="8954" xr:uid="{F63A2DC7-2EB8-4CA3-8B92-1BB6725A91FF}"/>
    <cellStyle name="Output 2 9 4 2 2 5 2" xfId="44298" xr:uid="{48E37D44-ED9B-457E-B83A-830762AFBC34}"/>
    <cellStyle name="Output 2 9 4 2 2 6" xfId="38173" xr:uid="{EBD5373B-9E44-46A4-96A4-7A986F8718C3}"/>
    <cellStyle name="Output 2 9 4 2 3" xfId="5391" xr:uid="{00000000-0005-0000-0000-00002A080000}"/>
    <cellStyle name="Output 2 9 4 2 3 2" xfId="12282" xr:uid="{C4570695-11C9-47C4-A41E-B7C8FC75BFC6}"/>
    <cellStyle name="Output 2 9 4 2 3 2 2" xfId="34767" xr:uid="{038C245E-1254-4726-8B17-36CF2D660FB2}"/>
    <cellStyle name="Output 2 9 4 2 3 2 3" xfId="28665" xr:uid="{A0633C7A-3B5B-44F7-B578-5367EDD2F417}"/>
    <cellStyle name="Output 2 9 4 2 3 3" xfId="17328" xr:uid="{9F0D94D8-474F-4B8B-96CF-B7012DE33895}"/>
    <cellStyle name="Output 2 9 4 2 3 3 2" xfId="39718" xr:uid="{8B5BB37E-B8A1-46BF-991B-BE54C01B749B}"/>
    <cellStyle name="Output 2 9 4 2 3 3 3" xfId="24792" xr:uid="{DEA239C6-31F9-45CC-BDEE-0BFFCDE61565}"/>
    <cellStyle name="Output 2 9 4 2 3 4" xfId="16264" xr:uid="{7FE4859E-F247-4039-8FEE-6976C8CFDF51}"/>
    <cellStyle name="Output 2 9 4 2 3 4 2" xfId="38656" xr:uid="{12D21E38-983B-44EB-80C8-509073B33ECE}"/>
    <cellStyle name="Output 2 9 4 2 3 4 3" xfId="44364" xr:uid="{2CD54DF9-5B99-473F-A220-3F2D131EA4B0}"/>
    <cellStyle name="Output 2 9 4 2 3 5" xfId="21752" xr:uid="{C38B30FB-D77E-4E10-8902-B51CE80E487E}"/>
    <cellStyle name="Output 2 9 4 2 3 5 2" xfId="53554" xr:uid="{94EDB6B9-6EC1-4D86-BCF9-5626F53D33E6}"/>
    <cellStyle name="Output 2 9 4 2 3 6" xfId="52999" xr:uid="{2CDD5406-7EF5-4DF8-9C4D-1598A1B65240}"/>
    <cellStyle name="Output 2 9 4 2 4" xfId="5804" xr:uid="{00000000-0005-0000-0000-00002A080000}"/>
    <cellStyle name="Output 2 9 4 2 4 2" xfId="12687" xr:uid="{E1FECC78-04EE-4746-B543-9E2712985962}"/>
    <cellStyle name="Output 2 9 4 2 4 2 2" xfId="35172" xr:uid="{372DBF77-A4A0-4429-B787-690C81D66753}"/>
    <cellStyle name="Output 2 9 4 2 4 2 3" xfId="27758" xr:uid="{4B7F2B29-FF1A-4DA5-8299-091E0DE2BF31}"/>
    <cellStyle name="Output 2 9 4 2 4 3" xfId="17741" xr:uid="{41A827B4-B3C6-48CD-88EF-E148E15C01A8}"/>
    <cellStyle name="Output 2 9 4 2 4 3 2" xfId="40131" xr:uid="{384F2C80-5E16-4AA7-9DED-F81DC6002213}"/>
    <cellStyle name="Output 2 9 4 2 4 3 3" xfId="29673" xr:uid="{6FD002BD-4B49-498A-9B13-D9B71DB5FD33}"/>
    <cellStyle name="Output 2 9 4 2 4 4" xfId="14351" xr:uid="{C6CA51D3-76D7-4C30-8497-DC71677DB38E}"/>
    <cellStyle name="Output 2 9 4 2 4 4 2" xfId="36819" xr:uid="{108B41DB-3E02-4BF1-8653-781027ECE6BB}"/>
    <cellStyle name="Output 2 9 4 2 4 4 3" xfId="52935" xr:uid="{CCDA1E4A-E3D2-4DD8-A536-9FE23D83C462}"/>
    <cellStyle name="Output 2 9 4 2 4 5" xfId="22165" xr:uid="{13508D9B-3964-424A-8AFB-1D2B2DA95B9B}"/>
    <cellStyle name="Output 2 9 4 2 4 5 2" xfId="53425" xr:uid="{C3A2FD18-884F-4515-8B86-96FEB3D0D955}"/>
    <cellStyle name="Output 2 9 4 2 4 6" xfId="51935" xr:uid="{295F2353-2229-4031-904C-C1C0171BE7E4}"/>
    <cellStyle name="Output 2 9 4 2 5" xfId="6148" xr:uid="{00000000-0005-0000-0000-00002A080000}"/>
    <cellStyle name="Output 2 9 4 2 5 2" xfId="13025" xr:uid="{504A13B2-BAC9-46A7-A3B1-5B840C2D8AE4}"/>
    <cellStyle name="Output 2 9 4 2 5 2 2" xfId="35509" xr:uid="{E09AF60F-A0E8-467B-B72D-41BF4581D1CD}"/>
    <cellStyle name="Output 2 9 4 2 5 2 3" xfId="44796" xr:uid="{23A52FDC-AF54-42EB-BD0A-EBD462CE2AE9}"/>
    <cellStyle name="Output 2 9 4 2 5 3" xfId="18085" xr:uid="{49139767-E424-4906-AF54-339D757EC413}"/>
    <cellStyle name="Output 2 9 4 2 5 3 2" xfId="40475" xr:uid="{3857BFED-909D-43FE-87C9-E786D553D7D2}"/>
    <cellStyle name="Output 2 9 4 2 5 3 3" xfId="26949" xr:uid="{D19804D3-515A-4A8E-B391-0C287DCC6116}"/>
    <cellStyle name="Output 2 9 4 2 5 4" xfId="16256" xr:uid="{17086748-6466-4C9E-A674-48B7D9578D62}"/>
    <cellStyle name="Output 2 9 4 2 5 4 2" xfId="38648" xr:uid="{F9409FBE-16BE-48AB-8E6F-35CD00E983BA}"/>
    <cellStyle name="Output 2 9 4 2 5 4 3" xfId="43659" xr:uid="{93163231-514B-4582-909F-F45E298E126C}"/>
    <cellStyle name="Output 2 9 4 2 5 5" xfId="22509" xr:uid="{C607DC56-69DB-4E8F-B4E8-6F774C60DDCE}"/>
    <cellStyle name="Output 2 9 4 2 5 5 2" xfId="48777" xr:uid="{05E741DE-B79B-4C05-92C7-208FE30E1AA0}"/>
    <cellStyle name="Output 2 9 4 2 5 6" xfId="29552" xr:uid="{F04B17CE-2737-48D2-99FF-4221B5EC2647}"/>
    <cellStyle name="Output 2 9 4 2 6" xfId="6521" xr:uid="{00000000-0005-0000-0000-00002A080000}"/>
    <cellStyle name="Output 2 9 4 2 6 2" xfId="13390" xr:uid="{6E28FE86-3D07-4821-BABD-2745C471284E}"/>
    <cellStyle name="Output 2 9 4 2 6 2 2" xfId="35874" xr:uid="{6407B55C-3DB1-49AA-9BF3-DFDDE9E3A46E}"/>
    <cellStyle name="Output 2 9 4 2 6 2 3" xfId="23819" xr:uid="{E1C097DA-6948-4018-B0AA-C6AA19BAE145}"/>
    <cellStyle name="Output 2 9 4 2 6 3" xfId="18458" xr:uid="{854BD7FD-A29F-4FDB-A5F6-44EA4BC4D113}"/>
    <cellStyle name="Output 2 9 4 2 6 3 2" xfId="40848" xr:uid="{4DAD62F5-76B3-49CC-B1BE-33451E75C394}"/>
    <cellStyle name="Output 2 9 4 2 6 3 3" xfId="45903" xr:uid="{9AC1A0ED-E92A-4E1E-B69E-8A407BFD9A7F}"/>
    <cellStyle name="Output 2 9 4 2 6 4" xfId="7716" xr:uid="{D8847334-4A7C-4363-8F53-39B3DB185787}"/>
    <cellStyle name="Output 2 9 4 2 6 4 2" xfId="30365" xr:uid="{7C0F5109-CC32-4E68-8F7C-B3008FA9FD4D}"/>
    <cellStyle name="Output 2 9 4 2 6 4 3" xfId="47218" xr:uid="{BF40AE30-59E7-4E22-94C6-77CB531C6E55}"/>
    <cellStyle name="Output 2 9 4 2 6 5" xfId="22882" xr:uid="{B5526D97-C54D-4B68-9816-48DA9BAE63ED}"/>
    <cellStyle name="Output 2 9 4 2 6 5 2" xfId="51168" xr:uid="{117A590E-3185-4CB0-8F3F-9E46362E6C1C}"/>
    <cellStyle name="Output 2 9 4 2 6 6" xfId="48712" xr:uid="{758DA128-006C-47CD-9328-590A1DD5A8C7}"/>
    <cellStyle name="Output 2 9 4 2 7" xfId="4494" xr:uid="{00000000-0005-0000-0000-00002A080000}"/>
    <cellStyle name="Output 2 9 4 2 7 2" xfId="11396" xr:uid="{C132D7EA-8176-4D4D-A611-E74CF5B7AF3B}"/>
    <cellStyle name="Output 2 9 4 2 7 2 2" xfId="33882" xr:uid="{415F2356-3692-451F-A1CD-5A5E1B97CA32}"/>
    <cellStyle name="Output 2 9 4 2 7 2 3" xfId="26696" xr:uid="{46E3DAD6-47DE-4542-B72D-6487E9180219}"/>
    <cellStyle name="Output 2 9 4 2 7 3" xfId="16431" xr:uid="{AA35A60A-1FB2-4F16-AC1A-89ADE493E473}"/>
    <cellStyle name="Output 2 9 4 2 7 3 2" xfId="38821" xr:uid="{E9662037-5009-4A7E-80B1-E4E1A1E39E92}"/>
    <cellStyle name="Output 2 9 4 2 7 3 3" xfId="38657" xr:uid="{C0D2C075-960F-4FA1-AAB0-333CCDA7B50B}"/>
    <cellStyle name="Output 2 9 4 2 7 4" xfId="19499" xr:uid="{47C7E38F-B18B-4184-948F-815B0A4E3565}"/>
    <cellStyle name="Output 2 9 4 2 7 4 2" xfId="41863" xr:uid="{91DC0C63-5A25-4C4A-8563-256D4145D01A}"/>
    <cellStyle name="Output 2 9 4 2 7 4 3" xfId="28689" xr:uid="{B204357E-DBF1-49BD-BEE6-BA6F1AE4DE0D}"/>
    <cellStyle name="Output 2 9 4 2 7 5" xfId="19281" xr:uid="{456C98F0-C369-43B0-B49B-DF53EEE86CF0}"/>
    <cellStyle name="Output 2 9 4 2 7 5 2" xfId="44998" xr:uid="{565BDC80-8DB7-45D6-9283-1C402B3505D9}"/>
    <cellStyle name="Output 2 9 4 2 7 6" xfId="48491" xr:uid="{19DF50B5-F0EE-4115-BC72-99AA148E54DD}"/>
    <cellStyle name="Output 2 9 4 2 8" xfId="7005" xr:uid="{00000000-0005-0000-0000-00002A080000}"/>
    <cellStyle name="Output 2 9 4 2 8 2" xfId="13842" xr:uid="{3DEC0CAA-9F48-4DFD-B2A3-DD5A4DE63823}"/>
    <cellStyle name="Output 2 9 4 2 8 2 2" xfId="36326" xr:uid="{C3A988DB-26A3-4BAB-BBC5-AC60693E8151}"/>
    <cellStyle name="Output 2 9 4 2 8 2 3" xfId="49405" xr:uid="{C91136B5-931C-4AE1-9A1F-DE9A4553A9B2}"/>
    <cellStyle name="Output 2 9 4 2 8 3" xfId="18942" xr:uid="{646FD602-1795-4075-83CF-5DBDC991D1C3}"/>
    <cellStyle name="Output 2 9 4 2 8 3 2" xfId="41332" xr:uid="{4AA04A7F-1010-4A08-921F-6096A38B029E}"/>
    <cellStyle name="Output 2 9 4 2 8 3 3" xfId="30660" xr:uid="{2F50DEAF-5B83-42DC-BC58-24833DA67914}"/>
    <cellStyle name="Output 2 9 4 2 8 4" xfId="7591" xr:uid="{E2BEAE8E-385F-48BD-A6D7-8B51368774E6}"/>
    <cellStyle name="Output 2 9 4 2 8 4 2" xfId="30252" xr:uid="{51271534-4331-40E6-918F-EF3F1F8223E4}"/>
    <cellStyle name="Output 2 9 4 2 8 4 3" xfId="52489" xr:uid="{87AB89BF-CE5A-4E38-89CC-2817221CD9E3}"/>
    <cellStyle name="Output 2 9 4 2 8 5" xfId="23366" xr:uid="{DC8296C5-416C-4F23-9F9C-FE47DCB38616}"/>
    <cellStyle name="Output 2 9 4 2 8 5 2" xfId="47362" xr:uid="{5AFA40F9-BF0B-479A-BCFF-31DA783AC549}"/>
    <cellStyle name="Output 2 9 4 2 8 6" xfId="49280" xr:uid="{79E8AF4A-75D1-437E-9626-3202C4BD6BCF}"/>
    <cellStyle name="Output 2 9 4 2 9" xfId="6488" xr:uid="{00000000-0005-0000-0000-00002A080000}"/>
    <cellStyle name="Output 2 9 4 2 9 2" xfId="18425" xr:uid="{72B35797-1394-46C2-8F7C-44C5B6B8C6DE}"/>
    <cellStyle name="Output 2 9 4 2 9 2 2" xfId="40815" xr:uid="{2F1C0051-E4B7-4FB9-8F8D-F4C6F20988DA}"/>
    <cellStyle name="Output 2 9 4 2 9 2 3" xfId="27991" xr:uid="{4B4A7236-FBD7-44AF-81C0-4ACD0807FFBB}"/>
    <cellStyle name="Output 2 9 4 2 9 3" xfId="20794" xr:uid="{48B76EDC-F262-467F-8BEE-CAE0C970FEB4}"/>
    <cellStyle name="Output 2 9 4 2 9 3 2" xfId="43061" xr:uid="{2352D377-C2F9-4BD1-A2D2-0B8D8491793C}"/>
    <cellStyle name="Output 2 9 4 2 9 3 3" xfId="49586" xr:uid="{B4B2B326-A1D4-4382-9DD9-35CE6E327C9F}"/>
    <cellStyle name="Output 2 9 4 2 9 4" xfId="22849" xr:uid="{34CE05F2-5238-47F1-AE7E-36E6B2766D1D}"/>
    <cellStyle name="Output 2 9 4 2 9 4 2" xfId="49235" xr:uid="{BFDDE222-967A-4B48-9F41-36C0F46344CF}"/>
    <cellStyle name="Output 2 9 4 2 9 5" xfId="49144" xr:uid="{F3B32890-166F-48C2-B10C-EA65BE47A378}"/>
    <cellStyle name="Output 2 9 4 3" xfId="3153" xr:uid="{00000000-0005-0000-0000-000029080000}"/>
    <cellStyle name="Output 2 9 4 3 2" xfId="10062" xr:uid="{1680E504-64EE-439D-9DF1-4F39484D6570}"/>
    <cellStyle name="Output 2 9 4 3 2 2" xfId="32569" xr:uid="{53A12D25-89B4-4055-A296-29E04426A14E}"/>
    <cellStyle name="Output 2 9 4 3 2 3" xfId="44942" xr:uid="{C72AD2F1-03F2-494E-BC80-8A944B19B7A4}"/>
    <cellStyle name="Output 2 9 4 3 3" xfId="15440" xr:uid="{EAC05F00-DD21-4F36-B774-DD3C0E991F1E}"/>
    <cellStyle name="Output 2 9 4 3 3 2" xfId="37866" xr:uid="{BD8ACF70-268A-4E79-A129-D18C785BDCD1}"/>
    <cellStyle name="Output 2 9 4 3 3 3" xfId="52080" xr:uid="{288E7139-40D4-4306-A38A-B2509ACFB489}"/>
    <cellStyle name="Output 2 9 4 3 4" xfId="14616" xr:uid="{98E7D5A5-966E-4E95-A921-B34B07528B3E}"/>
    <cellStyle name="Output 2 9 4 3 4 2" xfId="37077" xr:uid="{EA0CE7AD-517C-4E22-A874-014CF985AE0E}"/>
    <cellStyle name="Output 2 9 4 3 4 3" xfId="49711" xr:uid="{DC20BB87-E392-46C6-9889-7B63D3AACFFA}"/>
    <cellStyle name="Output 2 9 4 3 5" xfId="19681" xr:uid="{E6211537-4343-4C49-AC45-67DEF6010BF9}"/>
    <cellStyle name="Output 2 9 4 3 5 2" xfId="27759" xr:uid="{45B5F5A6-E8D7-49B7-B6D7-A2D70E4A4337}"/>
    <cellStyle name="Output 2 9 4 3 6" xfId="26001" xr:uid="{D3022195-FC89-4D24-9DBB-7CB5D9A1E7A1}"/>
    <cellStyle name="Output 2 9 4 4" xfId="4803" xr:uid="{00000000-0005-0000-0000-000029080000}"/>
    <cellStyle name="Output 2 9 4 4 2" xfId="11700" xr:uid="{95388447-F1E3-4F1B-A95B-7D9000ECC3D1}"/>
    <cellStyle name="Output 2 9 4 4 2 2" xfId="34186" xr:uid="{EF026F06-6A0B-49AA-B993-FE827AB3137C}"/>
    <cellStyle name="Output 2 9 4 4 2 3" xfId="41929" xr:uid="{11A7C822-A129-42D5-8422-4FDB2A5C36C5}"/>
    <cellStyle name="Output 2 9 4 4 3" xfId="16740" xr:uid="{E993E101-E38B-460C-AE3B-C067CDE5EBD6}"/>
    <cellStyle name="Output 2 9 4 4 3 2" xfId="39130" xr:uid="{7EDEC2C3-C145-4D1A-9186-B96683C677EC}"/>
    <cellStyle name="Output 2 9 4 4 3 3" xfId="44037" xr:uid="{26577F72-8AD2-4713-8223-CBF243EEA86F}"/>
    <cellStyle name="Output 2 9 4 4 4" xfId="8113" xr:uid="{22B228FA-3CAE-4A3F-8822-FE8490161F29}"/>
    <cellStyle name="Output 2 9 4 4 4 2" xfId="30726" xr:uid="{8E64FC95-0BBA-46D2-80D9-AC6547094EC1}"/>
    <cellStyle name="Output 2 9 4 4 4 3" xfId="46952" xr:uid="{8AB87642-ACA8-4413-811E-F3A61B9A0FE9}"/>
    <cellStyle name="Output 2 9 4 4 5" xfId="15390" xr:uid="{9174ADE1-84B4-4702-8759-216E28FB90F5}"/>
    <cellStyle name="Output 2 9 4 4 5 2" xfId="49833" xr:uid="{7C2B9D38-1420-4DC5-8723-CAB925E25F2F}"/>
    <cellStyle name="Output 2 9 4 4 6" xfId="47658" xr:uid="{7C0B05B9-1380-49E3-B470-A480E82D5B90}"/>
    <cellStyle name="Output 2 9 4 5" xfId="4639" xr:uid="{00000000-0005-0000-0000-000029080000}"/>
    <cellStyle name="Output 2 9 4 5 2" xfId="11539" xr:uid="{F38318D7-3BD2-411E-AA74-882086077122}"/>
    <cellStyle name="Output 2 9 4 5 2 2" xfId="34025" xr:uid="{84E97FB0-0B21-486A-9F08-7F51A8339C16}"/>
    <cellStyle name="Output 2 9 4 5 2 3" xfId="23974" xr:uid="{FFFE0D57-0F72-48D5-811D-FC455CF4B206}"/>
    <cellStyle name="Output 2 9 4 5 3" xfId="16576" xr:uid="{646C3AE4-E2E1-403E-BDA5-7D42F8086870}"/>
    <cellStyle name="Output 2 9 4 5 3 2" xfId="38966" xr:uid="{1079C3DF-9FD7-421D-B5A5-576E98363AE2}"/>
    <cellStyle name="Output 2 9 4 5 3 3" xfId="24443" xr:uid="{84CF8844-EA31-4441-9B5B-DB0154D157BE}"/>
    <cellStyle name="Output 2 9 4 5 4" xfId="8961" xr:uid="{999134C9-8A11-4FDD-921F-A309C32E71C4}"/>
    <cellStyle name="Output 2 9 4 5 4 2" xfId="31540" xr:uid="{CEEAC510-096C-41BC-B44A-BBB0B1FE5B04}"/>
    <cellStyle name="Output 2 9 4 5 4 3" xfId="45631" xr:uid="{3852153B-5FDB-4C2D-8FD2-DEA92551F245}"/>
    <cellStyle name="Output 2 9 4 5 5" xfId="14224" xr:uid="{58BF071B-3ACC-4521-8CB2-B5D054F7BD8E}"/>
    <cellStyle name="Output 2 9 4 5 5 2" xfId="50175" xr:uid="{3CC9DE63-2DD2-481D-847F-778338172907}"/>
    <cellStyle name="Output 2 9 4 5 6" xfId="49436" xr:uid="{A02E0B2C-A725-4EA8-8E28-E2F138305A12}"/>
    <cellStyle name="Output 2 9 4 6" xfId="5920" xr:uid="{00000000-0005-0000-0000-000029080000}"/>
    <cellStyle name="Output 2 9 4 6 2" xfId="12801" xr:uid="{F882BE04-DD14-431B-AF99-00CE0FD969A7}"/>
    <cellStyle name="Output 2 9 4 6 2 2" xfId="35285" xr:uid="{9D2E42F3-3D43-4246-B02A-E05FA1381537}"/>
    <cellStyle name="Output 2 9 4 6 2 3" xfId="47527" xr:uid="{381FFEB0-FAD5-4199-A629-5FA615987FC2}"/>
    <cellStyle name="Output 2 9 4 6 3" xfId="17857" xr:uid="{0BAB25F3-62BF-48F3-B8C8-78C215A1E997}"/>
    <cellStyle name="Output 2 9 4 6 3 2" xfId="40247" xr:uid="{0FD2B8C1-990B-473A-B86F-94E586572138}"/>
    <cellStyle name="Output 2 9 4 6 3 3" xfId="38553" xr:uid="{C3B7C9D8-3547-478D-8B90-F555FE66D4BE}"/>
    <cellStyle name="Output 2 9 4 6 4" xfId="14486" xr:uid="{7D8F0651-0318-4F1B-8358-54351CF2B9E3}"/>
    <cellStyle name="Output 2 9 4 6 4 2" xfId="36948" xr:uid="{D12D6A90-7ED7-4FD0-AAC2-FFDBC5A9A0DA}"/>
    <cellStyle name="Output 2 9 4 6 4 3" xfId="49510" xr:uid="{6EDE3853-1A4C-4F4F-A556-803387A31C7B}"/>
    <cellStyle name="Output 2 9 4 6 5" xfId="22281" xr:uid="{A7CB00B2-CE77-4FD0-BA7E-0E3B3F430B2E}"/>
    <cellStyle name="Output 2 9 4 6 5 2" xfId="47625" xr:uid="{ABE303B3-EF94-4930-A986-16C8EFE030D1}"/>
    <cellStyle name="Output 2 9 4 6 6" xfId="42914" xr:uid="{D4817BEC-E481-478C-8D11-049C80AD734A}"/>
    <cellStyle name="Output 2 9 4 7" xfId="6686" xr:uid="{00000000-0005-0000-0000-000029080000}"/>
    <cellStyle name="Output 2 9 4 7 2" xfId="13552" xr:uid="{47B9B2B2-3664-43C6-ADE1-1067C0C36B75}"/>
    <cellStyle name="Output 2 9 4 7 2 2" xfId="36036" xr:uid="{DC031D5C-E3D8-4859-8BE7-6B336DC4A847}"/>
    <cellStyle name="Output 2 9 4 7 2 3" xfId="26413" xr:uid="{9A335077-0A38-45EB-8424-C3511B367CD8}"/>
    <cellStyle name="Output 2 9 4 7 3" xfId="18623" xr:uid="{6751C715-19E9-442A-A76D-241408D1029B}"/>
    <cellStyle name="Output 2 9 4 7 3 2" xfId="41013" xr:uid="{B77263F8-B9E1-4127-AEFB-181BD4A8B7BF}"/>
    <cellStyle name="Output 2 9 4 7 3 3" xfId="42029" xr:uid="{4B84C543-774D-4EA6-8298-C1C5BF96D103}"/>
    <cellStyle name="Output 2 9 4 7 4" xfId="19211" xr:uid="{D823FA37-1D2F-41EA-A42E-410BA85AF091}"/>
    <cellStyle name="Output 2 9 4 7 4 2" xfId="41599" xr:uid="{C5B28D78-6A5E-4DF0-B026-406FEF9610E0}"/>
    <cellStyle name="Output 2 9 4 7 4 3" xfId="32163" xr:uid="{F0E85B3B-BBD9-43E2-A5F6-79A1534E7AE0}"/>
    <cellStyle name="Output 2 9 4 7 5" xfId="23047" xr:uid="{21AB8863-3E71-4BB4-9A1A-973F9D5ED785}"/>
    <cellStyle name="Output 2 9 4 7 5 2" xfId="49540" xr:uid="{AEFFAA67-3D1B-44D2-A769-DC018AC3B0BB}"/>
    <cellStyle name="Output 2 9 4 7 6" xfId="25292" xr:uid="{0B554A41-F472-4A86-A34C-999DC4E37AF9}"/>
    <cellStyle name="Output 2 9 4 8" xfId="8833" xr:uid="{B6BB4819-BA32-45E2-A557-C5A6EC3168C9}"/>
    <cellStyle name="Output 2 9 4 8 2" xfId="31414" xr:uid="{5F747409-F310-47FC-A3F8-D78FCB40A2F1}"/>
    <cellStyle name="Output 2 9 4 8 3" xfId="53731" xr:uid="{413D523F-5107-49C8-B209-9F41C1A1A65B}"/>
    <cellStyle name="Output 2 9 4 9" xfId="8723" xr:uid="{F1FD961B-5281-43C5-85F2-94CE5BAF51AA}"/>
    <cellStyle name="Output 2 9 4 9 2" xfId="31308" xr:uid="{3AA0B7BA-7A03-47CA-A576-323CD61AE4C3}"/>
    <cellStyle name="Output 2 9 4 9 3" xfId="53572" xr:uid="{6F348D00-92A7-4B54-858C-DDED6655FA38}"/>
    <cellStyle name="Output 2 9 5" xfId="1213" xr:uid="{00000000-0005-0000-0000-00002D080000}"/>
    <cellStyle name="Output 2 9 5 10" xfId="21221" xr:uid="{5E2E79EB-D4C8-41BA-A7E4-B2EA7F82C07B}"/>
    <cellStyle name="Output 2 9 5 10 2" xfId="53426" xr:uid="{52ADB713-D564-4F60-9C87-48F91A31F81F}"/>
    <cellStyle name="Output 2 9 5 11" xfId="26937" xr:uid="{96238DEF-AFD8-43EB-951D-A3FF983D17DC}"/>
    <cellStyle name="Output 2 9 5 2" xfId="2013" xr:uid="{00000000-0005-0000-0000-00002E080000}"/>
    <cellStyle name="Output 2 9 5 2 10" xfId="14661" xr:uid="{2911DD3A-F8FF-4919-AC15-A12158FF0DC0}"/>
    <cellStyle name="Output 2 9 5 2 10 2" xfId="37121" xr:uid="{AFB4C9D4-A9FB-49C5-9785-DCE7DBFF82AA}"/>
    <cellStyle name="Output 2 9 5 2 10 3" xfId="47822" xr:uid="{DC032D14-459B-4890-A3AE-80B70476A712}"/>
    <cellStyle name="Output 2 9 5 2 11" xfId="14475" xr:uid="{6EA9F8D5-8B7E-48F5-8DEB-9D42528C8A07}"/>
    <cellStyle name="Output 2 9 5 2 11 2" xfId="36938" xr:uid="{2588272F-001C-41CB-87CF-293B4FBE7964}"/>
    <cellStyle name="Output 2 9 5 2 11 3" xfId="45565" xr:uid="{BE2E58D4-AF37-4370-9F35-533CCEDE9048}"/>
    <cellStyle name="Output 2 9 5 2 12" xfId="19248" xr:uid="{5D12CE87-09C3-44C8-8E40-86F1C9DBFA7E}"/>
    <cellStyle name="Output 2 9 5 2 12 2" xfId="43716" xr:uid="{AF4D25AA-373B-4BD7-88FB-045EAF93DAA6}"/>
    <cellStyle name="Output 2 9 5 2 13" xfId="49494" xr:uid="{84163B10-9C8C-41FE-808E-D7C68AB48007}"/>
    <cellStyle name="Output 2 9 5 2 2" xfId="4108" xr:uid="{00000000-0005-0000-0000-00002C080000}"/>
    <cellStyle name="Output 2 9 5 2 2 2" xfId="11012" xr:uid="{B5FD5507-AC9C-4804-BA15-E15B9E1645F6}"/>
    <cellStyle name="Output 2 9 5 2 2 2 2" xfId="33498" xr:uid="{717A3F09-2A6C-46EC-B9B0-85FEBCE80539}"/>
    <cellStyle name="Output 2 9 5 2 2 2 3" xfId="26542" xr:uid="{ACAADB8C-E6F7-4A21-93F3-B855DE100EFD}"/>
    <cellStyle name="Output 2 9 5 2 2 3" xfId="16112" xr:uid="{FEEA6E55-8E06-4AB4-B9A2-27771062D5E8}"/>
    <cellStyle name="Output 2 9 5 2 2 3 2" xfId="38512" xr:uid="{A3DAD6C6-E7D3-4DF8-A30F-BAB8D4744165}"/>
    <cellStyle name="Output 2 9 5 2 2 3 3" xfId="26249" xr:uid="{30125D16-B60B-433E-A46D-7BC69A5F63AC}"/>
    <cellStyle name="Output 2 9 5 2 2 4" xfId="15002" xr:uid="{93E236E4-625F-4DF6-B688-C4584F69B321}"/>
    <cellStyle name="Output 2 9 5 2 2 4 2" xfId="37452" xr:uid="{F9952FDF-0771-4A1A-BF37-B921C11B7D46}"/>
    <cellStyle name="Output 2 9 5 2 2 4 3" xfId="46691" xr:uid="{E29DA249-D8A8-434B-9AFE-B64D406B3854}"/>
    <cellStyle name="Output 2 9 5 2 2 5" xfId="8419" xr:uid="{CE3CA7DA-D791-4E4D-BBA9-8E638DA9C457}"/>
    <cellStyle name="Output 2 9 5 2 2 5 2" xfId="52274" xr:uid="{38D3D7E4-42A2-405D-A1EC-7C1266DD2B68}"/>
    <cellStyle name="Output 2 9 5 2 2 6" xfId="30642" xr:uid="{7B611FBE-06D6-443F-B44C-74CE09CCEED5}"/>
    <cellStyle name="Output 2 9 5 2 3" xfId="5454" xr:uid="{00000000-0005-0000-0000-00002C080000}"/>
    <cellStyle name="Output 2 9 5 2 3 2" xfId="12343" xr:uid="{D3C075D7-AD1C-419B-A71C-2B5E411FB210}"/>
    <cellStyle name="Output 2 9 5 2 3 2 2" xfId="34828" xr:uid="{F9599160-9045-44C7-9719-BB7C3633A6EE}"/>
    <cellStyle name="Output 2 9 5 2 3 2 3" xfId="24036" xr:uid="{FA9E962F-F6B7-4CC5-BF62-46A26C49A5D4}"/>
    <cellStyle name="Output 2 9 5 2 3 3" xfId="17391" xr:uid="{746CBD82-0421-4E66-9084-DD5D89FC3AC7}"/>
    <cellStyle name="Output 2 9 5 2 3 3 2" xfId="39781" xr:uid="{EF58D2DA-C762-4999-87C4-9D114D7B98FB}"/>
    <cellStyle name="Output 2 9 5 2 3 3 3" xfId="41877" xr:uid="{3DEFE2C6-B85D-43CC-A424-B925BA31CB56}"/>
    <cellStyle name="Output 2 9 5 2 3 4" xfId="15233" xr:uid="{A864A1A5-E705-4FE6-80FD-369703C769DF}"/>
    <cellStyle name="Output 2 9 5 2 3 4 2" xfId="37669" xr:uid="{47A10F2A-BADD-456C-9C83-DDC1F63D4987}"/>
    <cellStyle name="Output 2 9 5 2 3 4 3" xfId="50137" xr:uid="{3CD06D79-13E2-4137-A74E-771BF0806810}"/>
    <cellStyle name="Output 2 9 5 2 3 5" xfId="21815" xr:uid="{BE6B8A16-4234-492B-B8D9-1450129216D8}"/>
    <cellStyle name="Output 2 9 5 2 3 5 2" xfId="53705" xr:uid="{300A2665-07E5-4643-95EF-BDD65A942EE4}"/>
    <cellStyle name="Output 2 9 5 2 3 6" xfId="24739" xr:uid="{5E094D97-EF6B-419A-AEF4-5D412FBCF794}"/>
    <cellStyle name="Output 2 9 5 2 4" xfId="5877" xr:uid="{00000000-0005-0000-0000-00002C080000}"/>
    <cellStyle name="Output 2 9 5 2 4 2" xfId="12759" xr:uid="{77A27B5E-97A7-45C3-8B37-C2CD3643C032}"/>
    <cellStyle name="Output 2 9 5 2 4 2 2" xfId="35243" xr:uid="{B5FF9A89-F287-4194-92A6-D515C3564967}"/>
    <cellStyle name="Output 2 9 5 2 4 2 3" xfId="41694" xr:uid="{7775262B-4E80-447F-8499-C7C2E52534FF}"/>
    <cellStyle name="Output 2 9 5 2 4 3" xfId="17814" xr:uid="{D02067A2-4FBC-4E47-B797-F7B6DB1DB0D1}"/>
    <cellStyle name="Output 2 9 5 2 4 3 2" xfId="40204" xr:uid="{39FF83F5-9506-47AF-89EF-41CB09953880}"/>
    <cellStyle name="Output 2 9 5 2 4 3 3" xfId="44582" xr:uid="{1EA5DF05-2EC3-4A4A-9CD2-C1BADC5095A9}"/>
    <cellStyle name="Output 2 9 5 2 4 4" xfId="19630" xr:uid="{1F01622A-F0B3-4182-9C08-DECE081D4C45}"/>
    <cellStyle name="Output 2 9 5 2 4 4 2" xfId="41981" xr:uid="{8F927379-0395-4252-920B-CA4B5AFC9D01}"/>
    <cellStyle name="Output 2 9 5 2 4 4 3" xfId="27844" xr:uid="{754CDC7F-4537-4829-A692-7EBB4A44D41B}"/>
    <cellStyle name="Output 2 9 5 2 4 5" xfId="22238" xr:uid="{8A7750EE-37A4-41FA-A6D3-D22726101733}"/>
    <cellStyle name="Output 2 9 5 2 4 5 2" xfId="46877" xr:uid="{774C3547-B010-418C-8D1B-39691CD792FC}"/>
    <cellStyle name="Output 2 9 5 2 4 6" xfId="28414" xr:uid="{FE004E06-70B9-48BA-9DE8-0A882892B3BC}"/>
    <cellStyle name="Output 2 9 5 2 5" xfId="6215" xr:uid="{00000000-0005-0000-0000-00002C080000}"/>
    <cellStyle name="Output 2 9 5 2 5 2" xfId="13090" xr:uid="{347390AA-1892-4DC2-A898-B9D5091E186B}"/>
    <cellStyle name="Output 2 9 5 2 5 2 2" xfId="35574" xr:uid="{0DE603D4-A84A-4870-9F45-9E9248599B57}"/>
    <cellStyle name="Output 2 9 5 2 5 2 3" xfId="50960" xr:uid="{44ACDD25-ADFB-4C9E-BA18-029BF3C44B0D}"/>
    <cellStyle name="Output 2 9 5 2 5 3" xfId="18152" xr:uid="{4CA5445E-7283-46F4-91F0-11B16D633C92}"/>
    <cellStyle name="Output 2 9 5 2 5 3 2" xfId="40542" xr:uid="{070FAD74-8E37-4D09-9EEA-F64A4F6F7F4F}"/>
    <cellStyle name="Output 2 9 5 2 5 3 3" xfId="29905" xr:uid="{D80EC4F4-CDC7-42CF-88B4-9A2E9911F4BD}"/>
    <cellStyle name="Output 2 9 5 2 5 4" xfId="13591" xr:uid="{FA86DA68-7145-4B9B-904B-D5894C5EA8B9}"/>
    <cellStyle name="Output 2 9 5 2 5 4 2" xfId="36075" xr:uid="{C8CA19E3-7456-4E4E-8513-9A801AD10D5A}"/>
    <cellStyle name="Output 2 9 5 2 5 4 3" xfId="31095" xr:uid="{861AAF11-7DAA-4F01-BBE9-368240A23A78}"/>
    <cellStyle name="Output 2 9 5 2 5 5" xfId="22576" xr:uid="{629EE187-3F4B-459A-99D8-A0F2D04A18D1}"/>
    <cellStyle name="Output 2 9 5 2 5 5 2" xfId="47653" xr:uid="{6D141C72-3E53-43B6-BEA9-55086F169FFD}"/>
    <cellStyle name="Output 2 9 5 2 5 6" xfId="42673" xr:uid="{90A63AD9-4634-4E9D-A8BA-56105A87DB8F}"/>
    <cellStyle name="Output 2 9 5 2 6" xfId="6581" xr:uid="{00000000-0005-0000-0000-00002C080000}"/>
    <cellStyle name="Output 2 9 5 2 6 2" xfId="13447" xr:uid="{70796933-1FE2-4FF6-B998-527A3AD9CA29}"/>
    <cellStyle name="Output 2 9 5 2 6 2 2" xfId="35931" xr:uid="{B6CB76BF-F175-4F26-800F-5635045B7F75}"/>
    <cellStyle name="Output 2 9 5 2 6 2 3" xfId="51014" xr:uid="{E2E7BE08-B661-4D81-9F36-0058E2FB4909}"/>
    <cellStyle name="Output 2 9 5 2 6 3" xfId="18518" xr:uid="{7B2A5E9D-5FDC-488F-A782-2BD6D359DE1B}"/>
    <cellStyle name="Output 2 9 5 2 6 3 2" xfId="40908" xr:uid="{DACFC96E-B482-4736-B64C-6D87F5A4A2EA}"/>
    <cellStyle name="Output 2 9 5 2 6 3 3" xfId="42266" xr:uid="{2A1432E3-CD4F-40C5-BA89-96164555549D}"/>
    <cellStyle name="Output 2 9 5 2 6 4" xfId="19328" xr:uid="{27D3AD85-9E50-40C8-8D65-6F315B6713D2}"/>
    <cellStyle name="Output 2 9 5 2 6 4 2" xfId="41705" xr:uid="{03FD1CA2-A9E4-43D1-8356-2C30B33FD39E}"/>
    <cellStyle name="Output 2 9 5 2 6 4 3" xfId="27681" xr:uid="{4993F045-A24D-4E0B-BD3D-9F27DFA8D5E8}"/>
    <cellStyle name="Output 2 9 5 2 6 5" xfId="22942" xr:uid="{9CD22B4E-EDC3-4E0C-8676-1EB50AA8B888}"/>
    <cellStyle name="Output 2 9 5 2 6 5 2" xfId="27694" xr:uid="{AFD10BF1-0C19-4CA1-8261-043F6C9B6C02}"/>
    <cellStyle name="Output 2 9 5 2 6 6" xfId="52612" xr:uid="{3E7C68CE-3BE1-4E86-8957-ECE95BDA7EBB}"/>
    <cellStyle name="Output 2 9 5 2 7" xfId="6664" xr:uid="{00000000-0005-0000-0000-00002C080000}"/>
    <cellStyle name="Output 2 9 5 2 7 2" xfId="13530" xr:uid="{6498A87D-1B6A-4270-B163-B52142FD6089}"/>
    <cellStyle name="Output 2 9 5 2 7 2 2" xfId="36014" xr:uid="{6D96A063-001A-4ECB-A5FC-D60EE7FB7A9D}"/>
    <cellStyle name="Output 2 9 5 2 7 2 3" xfId="24320" xr:uid="{1EC9E2EE-5E99-48FA-981E-CBA8801A5203}"/>
    <cellStyle name="Output 2 9 5 2 7 3" xfId="18601" xr:uid="{40740CF5-B0E8-42C2-AB73-1EFCCFB1C53E}"/>
    <cellStyle name="Output 2 9 5 2 7 3 2" xfId="40991" xr:uid="{0231B304-5F08-4890-844C-F0F0AC7A44AC}"/>
    <cellStyle name="Output 2 9 5 2 7 3 3" xfId="26270" xr:uid="{90D80D57-A55B-4455-87BA-DEFE025A55CD}"/>
    <cellStyle name="Output 2 9 5 2 7 4" xfId="19794" xr:uid="{B5D0E3A0-4002-4E45-931D-AAE844C1F6A0}"/>
    <cellStyle name="Output 2 9 5 2 7 4 2" xfId="42132" xr:uid="{6746ADF2-D44E-417A-A1A3-0249D36016B1}"/>
    <cellStyle name="Output 2 9 5 2 7 4 3" xfId="25923" xr:uid="{316784D7-7703-4A72-84FC-98CBAA406FAB}"/>
    <cellStyle name="Output 2 9 5 2 7 5" xfId="23025" xr:uid="{91DDEBD7-2EB4-4A4C-B12B-6F65E4BB73CD}"/>
    <cellStyle name="Output 2 9 5 2 7 5 2" xfId="26409" xr:uid="{13FD578E-28F6-4EA3-AA52-AFE05C511A12}"/>
    <cellStyle name="Output 2 9 5 2 7 6" xfId="51636" xr:uid="{2FE172F4-8C48-44F0-9D05-A46754CF6BC8}"/>
    <cellStyle name="Output 2 9 5 2 8" xfId="7051" xr:uid="{00000000-0005-0000-0000-00002C080000}"/>
    <cellStyle name="Output 2 9 5 2 8 2" xfId="13887" xr:uid="{66F637F6-F7D7-4913-B4D4-FD4C06F31347}"/>
    <cellStyle name="Output 2 9 5 2 8 2 2" xfId="36371" xr:uid="{FB18E4C6-B918-4EE4-A878-9785C4AD95E8}"/>
    <cellStyle name="Output 2 9 5 2 8 2 3" xfId="28934" xr:uid="{9C4DDFBD-9F00-4DF4-A0F9-C01D8AEABCC8}"/>
    <cellStyle name="Output 2 9 5 2 8 3" xfId="18988" xr:uid="{E25DD77F-753E-4CD6-B18D-6D318C8C37C7}"/>
    <cellStyle name="Output 2 9 5 2 8 3 2" xfId="41378" xr:uid="{3599D425-EA68-4EBD-ADEF-2E72AF3215AC}"/>
    <cellStyle name="Output 2 9 5 2 8 3 3" xfId="27306" xr:uid="{3B6EDD48-C757-459B-9F30-713D1576F66E}"/>
    <cellStyle name="Output 2 9 5 2 8 4" xfId="21165" xr:uid="{65BF2FE6-787A-43D9-9D2A-EB2B06948D54}"/>
    <cellStyle name="Output 2 9 5 2 8 4 2" xfId="43407" xr:uid="{B45202FD-4E49-4BEE-9D4C-C2E17332905D}"/>
    <cellStyle name="Output 2 9 5 2 8 4 3" xfId="28625" xr:uid="{41FC29B7-3191-48DC-8A4D-D9D5C3D15B6D}"/>
    <cellStyle name="Output 2 9 5 2 8 5" xfId="23412" xr:uid="{56FCCA89-14AA-4149-B45F-7267FF025CC5}"/>
    <cellStyle name="Output 2 9 5 2 8 5 2" xfId="53545" xr:uid="{37FDE231-1069-4440-B8DD-2DE28C7A5F44}"/>
    <cellStyle name="Output 2 9 5 2 8 6" xfId="26048" xr:uid="{A72EC036-0313-4AAD-B4BF-80F81AEA4A29}"/>
    <cellStyle name="Output 2 9 5 2 9" xfId="7166" xr:uid="{00000000-0005-0000-0000-00002C080000}"/>
    <cellStyle name="Output 2 9 5 2 9 2" xfId="19103" xr:uid="{5BD6BFC6-3516-4AD7-9A0F-8B484EBDC3E2}"/>
    <cellStyle name="Output 2 9 5 2 9 2 2" xfId="41493" xr:uid="{57DD2CF9-86C5-4039-A563-F3E472ABC38A}"/>
    <cellStyle name="Output 2 9 5 2 9 2 3" xfId="45525" xr:uid="{1DB4AE64-3D17-4CED-9813-3C305FB790AA}"/>
    <cellStyle name="Output 2 9 5 2 9 3" xfId="19909" xr:uid="{F0C09250-401E-4886-B607-7566D532BD51}"/>
    <cellStyle name="Output 2 9 5 2 9 3 2" xfId="42241" xr:uid="{E8E91E7F-4BE5-4A9B-A465-131B2C6A9703}"/>
    <cellStyle name="Output 2 9 5 2 9 3 3" xfId="26307" xr:uid="{C5BDCD84-4D03-4402-BD20-75BCA982BE1A}"/>
    <cellStyle name="Output 2 9 5 2 9 4" xfId="23527" xr:uid="{13D0D0A1-F2CC-4073-B0DE-61C2D1D207FE}"/>
    <cellStyle name="Output 2 9 5 2 9 4 2" xfId="48387" xr:uid="{B58D3B33-DC7F-43B7-9258-C81FC3C595DD}"/>
    <cellStyle name="Output 2 9 5 2 9 5" xfId="25813" xr:uid="{4910A5B8-6825-4829-BC8C-C54DC18757B8}"/>
    <cellStyle name="Output 2 9 5 3" xfId="3327" xr:uid="{00000000-0005-0000-0000-00002B080000}"/>
    <cellStyle name="Output 2 9 5 3 2" xfId="10235" xr:uid="{D19794D7-0C5D-499F-BDBD-454BF5F63A88}"/>
    <cellStyle name="Output 2 9 5 3 2 2" xfId="32729" xr:uid="{DC9F5A46-FCD7-4AFC-9D4B-D22E6D79A9B5}"/>
    <cellStyle name="Output 2 9 5 3 2 3" xfId="47768" xr:uid="{661B10E7-B498-4BBB-B8C9-D079D9E3D4EE}"/>
    <cellStyle name="Output 2 9 5 3 3" xfId="15553" xr:uid="{62AB5F36-82FB-4875-9F28-D0AE296A931D}"/>
    <cellStyle name="Output 2 9 5 3 3 2" xfId="37972" xr:uid="{7F069097-AB46-46D3-813D-EAB1E1256003}"/>
    <cellStyle name="Output 2 9 5 3 3 3" xfId="28481" xr:uid="{1618F2FE-DD6D-4653-B250-285F1496841F}"/>
    <cellStyle name="Output 2 9 5 3 4" xfId="14629" xr:uid="{976634BD-CF21-48E4-8047-AAF400EA2726}"/>
    <cellStyle name="Output 2 9 5 3 4 2" xfId="37090" xr:uid="{440B17D4-25BF-489D-99FB-167F87AF25A3}"/>
    <cellStyle name="Output 2 9 5 3 4 3" xfId="26470" xr:uid="{CFB265BE-2626-43D8-BABC-47613FFEF92C}"/>
    <cellStyle name="Output 2 9 5 3 5" xfId="19314" xr:uid="{32049B88-4E2F-45F8-AA5C-BAF80C84A77B}"/>
    <cellStyle name="Output 2 9 5 3 5 2" xfId="23907" xr:uid="{03A13949-EF45-4227-BEC9-A5908BEFC289}"/>
    <cellStyle name="Output 2 9 5 3 6" xfId="48608" xr:uid="{21660C92-BF7A-4C50-A29A-A992D9BC870D}"/>
    <cellStyle name="Output 2 9 5 4" xfId="4913" xr:uid="{00000000-0005-0000-0000-00002B080000}"/>
    <cellStyle name="Output 2 9 5 4 2" xfId="11808" xr:uid="{1FF39685-FD2A-4F72-B89D-EB9860EA55B5}"/>
    <cellStyle name="Output 2 9 5 4 2 2" xfId="34294" xr:uid="{CBDB0258-EB58-4FA8-9E46-6F95B600206E}"/>
    <cellStyle name="Output 2 9 5 4 2 3" xfId="29466" xr:uid="{5E9AFA93-B95C-4CAA-9EDE-CDF7B3FB376E}"/>
    <cellStyle name="Output 2 9 5 4 3" xfId="16850" xr:uid="{FD1EEBAB-2D2B-4EC7-9CAA-ACD43949B6ED}"/>
    <cellStyle name="Output 2 9 5 4 3 2" xfId="39240" xr:uid="{323A264A-655D-468B-A47F-F047AB9426F6}"/>
    <cellStyle name="Output 2 9 5 4 3 3" xfId="28448" xr:uid="{67F92718-8326-4EA3-A838-AB883BA59B82}"/>
    <cellStyle name="Output 2 9 5 4 4" xfId="15408" xr:uid="{08C303FA-9895-4BB3-961A-B053B7DC689E}"/>
    <cellStyle name="Output 2 9 5 4 4 2" xfId="37834" xr:uid="{1A5EF07A-DBA1-481E-A0CE-8DBBC9EFE717}"/>
    <cellStyle name="Output 2 9 5 4 4 3" xfId="54000" xr:uid="{65B5781F-C612-46BB-BB30-0D036C04E85F}"/>
    <cellStyle name="Output 2 9 5 4 5" xfId="7595" xr:uid="{FEC2AA4C-32F9-4CC2-8BF1-1DCE8BBEC7AE}"/>
    <cellStyle name="Output 2 9 5 4 5 2" xfId="49178" xr:uid="{2E78C3D2-81D8-485A-AB65-D9D5D95A8842}"/>
    <cellStyle name="Output 2 9 5 4 6" xfId="51982" xr:uid="{21E63F04-5744-49EB-AA3F-347E8B45FD0F}"/>
    <cellStyle name="Output 2 9 5 5" xfId="4983" xr:uid="{00000000-0005-0000-0000-00002B080000}"/>
    <cellStyle name="Output 2 9 5 5 2" xfId="11878" xr:uid="{70398E91-3835-460B-8DB8-56262EAD5D81}"/>
    <cellStyle name="Output 2 9 5 5 2 2" xfId="34364" xr:uid="{E0689F61-2DD9-4AFE-86AE-067C5936317D}"/>
    <cellStyle name="Output 2 9 5 5 2 3" xfId="37819" xr:uid="{A6C467F8-93EC-44DD-89C6-6838A008677A}"/>
    <cellStyle name="Output 2 9 5 5 3" xfId="16920" xr:uid="{83442D0F-38A1-4D04-87B2-DE26FD2179F1}"/>
    <cellStyle name="Output 2 9 5 5 3 2" xfId="39310" xr:uid="{3DBF79F3-08E9-49FA-961A-775087D9A76B}"/>
    <cellStyle name="Output 2 9 5 5 3 3" xfId="42034" xr:uid="{39A37F6F-5576-4579-BDAA-DB7C25713063}"/>
    <cellStyle name="Output 2 9 5 5 4" xfId="14217" xr:uid="{01944081-A00C-4D62-99EB-9AE22EACDE2E}"/>
    <cellStyle name="Output 2 9 5 5 4 2" xfId="36692" xr:uid="{DBCD14CA-D429-45DA-9F48-A8611999AF5B}"/>
    <cellStyle name="Output 2 9 5 5 4 3" xfId="47510" xr:uid="{A719F2E5-BAF6-4E19-9849-8BF643CC81D7}"/>
    <cellStyle name="Output 2 9 5 5 5" xfId="21344" xr:uid="{8BEA1C7C-0185-49F2-980E-ACA6D248975A}"/>
    <cellStyle name="Output 2 9 5 5 5 2" xfId="44513" xr:uid="{6D14C29C-2596-4511-B21D-2BBCD4E6C9CC}"/>
    <cellStyle name="Output 2 9 5 5 6" xfId="32498" xr:uid="{5C21060C-7A48-4313-80B2-651514ED99BC}"/>
    <cellStyle name="Output 2 9 5 6" xfId="4498" xr:uid="{00000000-0005-0000-0000-00002B080000}"/>
    <cellStyle name="Output 2 9 5 6 2" xfId="11400" xr:uid="{B9AD0974-D195-443C-9F84-68B46E918584}"/>
    <cellStyle name="Output 2 9 5 6 2 2" xfId="33886" xr:uid="{A788CF94-876B-43DD-BEB8-0C2FE034C8FE}"/>
    <cellStyle name="Output 2 9 5 6 2 3" xfId="24119" xr:uid="{4CC0E6B1-C7CD-4D89-855E-D763F7C955F4}"/>
    <cellStyle name="Output 2 9 5 6 3" xfId="16435" xr:uid="{85BC236C-2668-462A-A210-1C78B7A6670F}"/>
    <cellStyle name="Output 2 9 5 6 3 2" xfId="38825" xr:uid="{2FCC7B25-2D0D-4704-BFC2-75B731F8ED55}"/>
    <cellStyle name="Output 2 9 5 6 3 3" xfId="28264" xr:uid="{89CE2046-A81A-4E05-B95D-87CB449A5A82}"/>
    <cellStyle name="Output 2 9 5 6 4" xfId="19852" xr:uid="{3F06D904-9007-4B26-9E67-5170AAA5ED85}"/>
    <cellStyle name="Output 2 9 5 6 4 2" xfId="42187" xr:uid="{1909AE5E-CEAF-4085-BC23-38E1C7993F96}"/>
    <cellStyle name="Output 2 9 5 6 4 3" xfId="44983" xr:uid="{472F88C0-41D7-4EC8-9DAA-EDCED056C7DA}"/>
    <cellStyle name="Output 2 9 5 6 5" xfId="15212" xr:uid="{282161C7-1A08-40AB-B07B-AE77E87867D7}"/>
    <cellStyle name="Output 2 9 5 6 5 2" xfId="44825" xr:uid="{D9C87820-156E-44C4-905D-7286CB6F99AF}"/>
    <cellStyle name="Output 2 9 5 6 6" xfId="51870" xr:uid="{966A6E3E-B8EC-4C21-9C8A-32452B108114}"/>
    <cellStyle name="Output 2 9 5 7" xfId="6857" xr:uid="{00000000-0005-0000-0000-00002B080000}"/>
    <cellStyle name="Output 2 9 5 7 2" xfId="13699" xr:uid="{93012671-058D-4489-B484-9BFCE395A678}"/>
    <cellStyle name="Output 2 9 5 7 2 2" xfId="36183" xr:uid="{C4B0BA3E-A9A9-47FB-B508-6B7BC42F0100}"/>
    <cellStyle name="Output 2 9 5 7 2 3" xfId="50241" xr:uid="{56F562C8-FF5E-48C8-A389-D46FDF10F4F9}"/>
    <cellStyle name="Output 2 9 5 7 3" xfId="18794" xr:uid="{CD398036-2EBD-49DD-87CD-D93D320EF042}"/>
    <cellStyle name="Output 2 9 5 7 3 2" xfId="41184" xr:uid="{EFC00445-F8A0-4A62-B32F-00CB6580E4B1}"/>
    <cellStyle name="Output 2 9 5 7 3 3" xfId="24439" xr:uid="{77B91378-51F0-47C4-9A17-EB474068268E}"/>
    <cellStyle name="Output 2 9 5 7 4" xfId="20640" xr:uid="{1EF87A1B-507E-47A7-8911-03A01F996D2A}"/>
    <cellStyle name="Output 2 9 5 7 4 2" xfId="42918" xr:uid="{B59192C5-685D-480D-AC4D-38A1FF9ECE3E}"/>
    <cellStyle name="Output 2 9 5 7 4 3" xfId="28419" xr:uid="{A58C4E81-60B5-4209-A417-234017660ED2}"/>
    <cellStyle name="Output 2 9 5 7 5" xfId="23218" xr:uid="{5502706D-5E41-46CF-904A-1DE8D443F6BF}"/>
    <cellStyle name="Output 2 9 5 7 5 2" xfId="24136" xr:uid="{92095615-73F7-4E3B-9F4C-6AB22C6C49C0}"/>
    <cellStyle name="Output 2 9 5 7 6" xfId="48977" xr:uid="{02F22C6A-0C03-43F1-9FCF-D46F16082C62}"/>
    <cellStyle name="Output 2 9 5 8" xfId="14088" xr:uid="{CD0E4AED-E2A2-4503-BD4C-A6D07BCBEA18}"/>
    <cellStyle name="Output 2 9 5 8 2" xfId="36566" xr:uid="{5CF85FAC-7231-4279-AB6D-18B660A011FB}"/>
    <cellStyle name="Output 2 9 5 8 3" xfId="51817" xr:uid="{3DF33F7D-24BA-4BB3-9A7B-CAA066DFF5DF}"/>
    <cellStyle name="Output 2 9 5 9" xfId="21240" xr:uid="{30A66733-FB9A-4667-AAA2-BBB6EA4460F9}"/>
    <cellStyle name="Output 2 9 5 9 2" xfId="43476" xr:uid="{B66E0869-12FF-4189-9A8A-7FCC858177F7}"/>
    <cellStyle name="Output 2 9 5 9 3" xfId="44504" xr:uid="{271229C3-8AB8-4186-8418-1761A33F795F}"/>
    <cellStyle name="Output 2 9 6" xfId="1375" xr:uid="{00000000-0005-0000-0000-00002F080000}"/>
    <cellStyle name="Output 2 9 6 10" xfId="19972" xr:uid="{94791C19-D18E-4FA3-8F90-C428BEC510B9}"/>
    <cellStyle name="Output 2 9 6 10 2" xfId="28512" xr:uid="{32ABC47E-55B2-4B69-8B9F-4EA8BFECDAA5}"/>
    <cellStyle name="Output 2 9 6 11" xfId="51222" xr:uid="{0B61352E-EE74-4543-A391-510DE1E8923E}"/>
    <cellStyle name="Output 2 9 6 2" xfId="2104" xr:uid="{00000000-0005-0000-0000-000030080000}"/>
    <cellStyle name="Output 2 9 6 2 10" xfId="14733" xr:uid="{2DA374C9-0012-4D46-87B6-B67FF4B59427}"/>
    <cellStyle name="Output 2 9 6 2 10 2" xfId="37191" xr:uid="{06B52CEE-2510-4263-A9F9-D590C087B981}"/>
    <cellStyle name="Output 2 9 6 2 10 3" xfId="48603" xr:uid="{DBDB59A3-6344-4C48-89C6-F6A37AACC6A3}"/>
    <cellStyle name="Output 2 9 6 2 11" xfId="20021" xr:uid="{4767DA7B-449B-44DC-90E3-1D3174EEDCCE}"/>
    <cellStyle name="Output 2 9 6 2 11 2" xfId="42345" xr:uid="{CC5E97A4-0074-471A-B208-9A4DF07AA00F}"/>
    <cellStyle name="Output 2 9 6 2 11 3" xfId="24233" xr:uid="{5143EACC-5B68-4D12-B674-8C08A0E1B7DA}"/>
    <cellStyle name="Output 2 9 6 2 12" xfId="14478" xr:uid="{9533F681-C37E-4C9A-B49D-6E24E2DFA53A}"/>
    <cellStyle name="Output 2 9 6 2 12 2" xfId="52528" xr:uid="{D28E7E97-DBD5-41B7-B9DD-5E0EE1F37532}"/>
    <cellStyle name="Output 2 9 6 2 13" xfId="49418" xr:uid="{EE72B523-3392-48ED-ABC0-070F8C1ED580}"/>
    <cellStyle name="Output 2 9 6 2 2" xfId="4197" xr:uid="{00000000-0005-0000-0000-00002E080000}"/>
    <cellStyle name="Output 2 9 6 2 2 2" xfId="11101" xr:uid="{644B8A12-A035-4C90-B460-762C9846BE20}"/>
    <cellStyle name="Output 2 9 6 2 2 2 2" xfId="33587" xr:uid="{B8ABC6E3-CFD8-445D-AD7C-02F115218742}"/>
    <cellStyle name="Output 2 9 6 2 2 2 3" xfId="47291" xr:uid="{26285A36-A1DD-488C-BCFB-324881C49B7B}"/>
    <cellStyle name="Output 2 9 6 2 2 3" xfId="16190" xr:uid="{A3E5CC38-7F12-4CF2-B0A3-B182AB2C84DB}"/>
    <cellStyle name="Output 2 9 6 2 2 3 2" xfId="38589" xr:uid="{9672EBBF-A52B-4643-B60A-046D3A190A88}"/>
    <cellStyle name="Output 2 9 6 2 2 3 3" xfId="28582" xr:uid="{44B70E52-B237-44D0-BC87-FE05BE5686D5}"/>
    <cellStyle name="Output 2 9 6 2 2 4" xfId="15738" xr:uid="{AE15EABA-646D-4D75-8D80-4DE8B605EB64}"/>
    <cellStyle name="Output 2 9 6 2 2 4 2" xfId="38150" xr:uid="{85B9355D-3297-43CC-8C54-B14D61297EC7}"/>
    <cellStyle name="Output 2 9 6 2 2 4 3" xfId="47908" xr:uid="{03E47C9B-308D-4942-ABD6-E45F2434C0F2}"/>
    <cellStyle name="Output 2 9 6 2 2 5" xfId="20804" xr:uid="{16A2B39A-D204-4942-B283-EDBA86533E24}"/>
    <cellStyle name="Output 2 9 6 2 2 5 2" xfId="53992" xr:uid="{9DA6C6B8-68F9-4AC2-B286-6107127E6BE1}"/>
    <cellStyle name="Output 2 9 6 2 2 6" xfId="50711" xr:uid="{E4B5596E-B406-40B0-B6D4-9809DC8CB367}"/>
    <cellStyle name="Output 2 9 6 2 3" xfId="5523" xr:uid="{00000000-0005-0000-0000-00002E080000}"/>
    <cellStyle name="Output 2 9 6 2 3 2" xfId="12412" xr:uid="{43DCC4CA-8B72-46FA-93AD-D48404659215}"/>
    <cellStyle name="Output 2 9 6 2 3 2 2" xfId="34897" xr:uid="{00B63E8E-5B10-4621-89A7-76A75501D756}"/>
    <cellStyle name="Output 2 9 6 2 3 2 3" xfId="45904" xr:uid="{9F9F9642-33CD-4B52-A431-F308FCF2EBAE}"/>
    <cellStyle name="Output 2 9 6 2 3 3" xfId="17460" xr:uid="{45B926DC-1F43-40D7-AF5F-40F335EF3951}"/>
    <cellStyle name="Output 2 9 6 2 3 3 2" xfId="39850" xr:uid="{64064BEB-89AA-427D-A93A-694A8D416C4A}"/>
    <cellStyle name="Output 2 9 6 2 3 3 3" xfId="42570" xr:uid="{24C29F38-E5C8-478B-B629-B523D0019295}"/>
    <cellStyle name="Output 2 9 6 2 3 4" xfId="19198" xr:uid="{DED52E42-F451-44F4-A113-ADCBE49C6ACC}"/>
    <cellStyle name="Output 2 9 6 2 3 4 2" xfId="41587" xr:uid="{75A8189A-E209-45ED-92A2-E648941F8AF9}"/>
    <cellStyle name="Output 2 9 6 2 3 4 3" xfId="30925" xr:uid="{3E0485EB-F750-4777-998E-612FF7DA65B5}"/>
    <cellStyle name="Output 2 9 6 2 3 5" xfId="21884" xr:uid="{8ADCFD8B-4FF6-49CB-A8C1-872D6ECA3D40}"/>
    <cellStyle name="Output 2 9 6 2 3 5 2" xfId="46892" xr:uid="{12BA9533-4D69-46D6-9DC3-C284EC1F9A6C}"/>
    <cellStyle name="Output 2 9 6 2 3 6" xfId="47713" xr:uid="{14CEB416-2C51-478C-BE9C-76AFDA84FC9E}"/>
    <cellStyle name="Output 2 9 6 2 4" xfId="5945" xr:uid="{00000000-0005-0000-0000-00002E080000}"/>
    <cellStyle name="Output 2 9 6 2 4 2" xfId="12826" xr:uid="{6172D5F0-D6D2-4D6D-85C2-AE0355EB92D3}"/>
    <cellStyle name="Output 2 9 6 2 4 2 2" xfId="35310" xr:uid="{C236372E-9E14-45F9-B13E-62A4BD85D603}"/>
    <cellStyle name="Output 2 9 6 2 4 2 3" xfId="29127" xr:uid="{A0E484CB-B46A-4B5A-B649-9B46C778495F}"/>
    <cellStyle name="Output 2 9 6 2 4 3" xfId="17882" xr:uid="{5CE3E074-5678-4FB9-9A0D-8F8EC14579AE}"/>
    <cellStyle name="Output 2 9 6 2 4 3 2" xfId="40272" xr:uid="{AB7721A4-2A2C-498F-A61C-7F4038CA9E2E}"/>
    <cellStyle name="Output 2 9 6 2 4 3 3" xfId="44068" xr:uid="{7BB57753-13E3-4197-B0B4-40BE13FCDA4F}"/>
    <cellStyle name="Output 2 9 6 2 4 4" xfId="7322" xr:uid="{5C127485-C5FD-46F9-AFB9-A16E1F092FBA}"/>
    <cellStyle name="Output 2 9 6 2 4 4 2" xfId="30010" xr:uid="{FD4A8734-35B7-4F51-9626-644D718609CF}"/>
    <cellStyle name="Output 2 9 6 2 4 4 3" xfId="46279" xr:uid="{20FA282F-F6C2-458B-925B-BCB4F9ADBEEA}"/>
    <cellStyle name="Output 2 9 6 2 4 5" xfId="22306" xr:uid="{D25375D1-6E41-4D72-A605-95756CF9E268}"/>
    <cellStyle name="Output 2 9 6 2 4 5 2" xfId="42152" xr:uid="{DAFD18E2-7244-4C00-A384-9E0706A23714}"/>
    <cellStyle name="Output 2 9 6 2 4 6" xfId="48855" xr:uid="{99F889AB-FBD5-4A0C-8968-10955B4CC329}"/>
    <cellStyle name="Output 2 9 6 2 5" xfId="6285" xr:uid="{00000000-0005-0000-0000-00002E080000}"/>
    <cellStyle name="Output 2 9 6 2 5 2" xfId="13157" xr:uid="{CDAE0FF1-B531-463B-BF3C-3A49EB940402}"/>
    <cellStyle name="Output 2 9 6 2 5 2 2" xfId="35641" xr:uid="{27FD86D8-CF4F-4A72-8526-384E13948AB6}"/>
    <cellStyle name="Output 2 9 6 2 5 2 3" xfId="30840" xr:uid="{91C85DB4-256D-4F22-A1F2-1D166333018E}"/>
    <cellStyle name="Output 2 9 6 2 5 3" xfId="18222" xr:uid="{9DFB28D8-16AB-493D-98E9-BABF5CE8FC9E}"/>
    <cellStyle name="Output 2 9 6 2 5 3 2" xfId="40612" xr:uid="{C23E2B15-6DAB-433A-86B7-714B671BA985}"/>
    <cellStyle name="Output 2 9 6 2 5 3 3" xfId="28503" xr:uid="{FEBB2273-23E7-45FC-93E6-FC9FAA7039F9}"/>
    <cellStyle name="Output 2 9 6 2 5 4" xfId="15459" xr:uid="{5C6BD35C-1955-4E35-B0FF-52B4F7158448}"/>
    <cellStyle name="Output 2 9 6 2 5 4 2" xfId="37885" xr:uid="{2FC9FB05-DF3A-4A9B-B7D2-FCDBEE3D3EDB}"/>
    <cellStyle name="Output 2 9 6 2 5 4 3" xfId="25511" xr:uid="{A18F395F-C4D6-4A9D-87A7-A8DEF60F3A2E}"/>
    <cellStyle name="Output 2 9 6 2 5 5" xfId="22646" xr:uid="{15371AD7-9049-407D-95A5-1154FCD6C1E2}"/>
    <cellStyle name="Output 2 9 6 2 5 5 2" xfId="50435" xr:uid="{E9B830B9-5EF1-402C-8E14-9B31A9562C38}"/>
    <cellStyle name="Output 2 9 6 2 5 6" xfId="51637" xr:uid="{561BB2C5-6D91-4F66-9BD0-34A9E7F2B822}"/>
    <cellStyle name="Output 2 9 6 2 6" xfId="6640" xr:uid="{00000000-0005-0000-0000-00002E080000}"/>
    <cellStyle name="Output 2 9 6 2 6 2" xfId="13506" xr:uid="{DBF646EA-E54E-41BE-9AFD-781840C63A56}"/>
    <cellStyle name="Output 2 9 6 2 6 2 2" xfId="35990" xr:uid="{E7EAA8B8-0BC9-4077-AC64-FA33B6AD0AF1}"/>
    <cellStyle name="Output 2 9 6 2 6 2 3" xfId="26403" xr:uid="{F2D8EBE4-EBC2-42E4-8FC2-58011C49AA2D}"/>
    <cellStyle name="Output 2 9 6 2 6 3" xfId="18577" xr:uid="{CB287522-F9C3-49EF-AA09-C2B23D3F4BBC}"/>
    <cellStyle name="Output 2 9 6 2 6 3 2" xfId="40967" xr:uid="{6B3E2DB8-566C-44DF-8C47-88CF98C66758}"/>
    <cellStyle name="Output 2 9 6 2 6 3 3" xfId="24052" xr:uid="{D219E9AF-9403-471D-BA85-500A0BBBE282}"/>
    <cellStyle name="Output 2 9 6 2 6 4" xfId="14784" xr:uid="{5C0D31F4-61C9-493C-8ABC-E14D23BA2745}"/>
    <cellStyle name="Output 2 9 6 2 6 4 2" xfId="37240" xr:uid="{50A701FF-DE70-41F2-91AC-B288449C6E59}"/>
    <cellStyle name="Output 2 9 6 2 6 4 3" xfId="51833" xr:uid="{0BCA73FD-ABC3-44B6-834D-7DC8CA4031FE}"/>
    <cellStyle name="Output 2 9 6 2 6 5" xfId="23001" xr:uid="{8F62588E-4DAC-4F32-89C1-A40687532F6F}"/>
    <cellStyle name="Output 2 9 6 2 6 5 2" xfId="32598" xr:uid="{0132DCF4-3C2E-4895-A81E-2A7557A295E4}"/>
    <cellStyle name="Output 2 9 6 2 6 6" xfId="44506" xr:uid="{0ED5D7B6-D1EF-4913-ACAD-DD9653A17BAF}"/>
    <cellStyle name="Output 2 9 6 2 7" xfId="3156" xr:uid="{00000000-0005-0000-0000-00002E080000}"/>
    <cellStyle name="Output 2 9 6 2 7 2" xfId="10065" xr:uid="{1E1220AA-C5A2-4DD5-BEA6-3099DE6FD272}"/>
    <cellStyle name="Output 2 9 6 2 7 2 2" xfId="32572" xr:uid="{5CD42348-6B99-4572-9533-739672D973D7}"/>
    <cellStyle name="Output 2 9 6 2 7 2 3" xfId="48044" xr:uid="{7BABFB41-735A-438B-B070-7F97043AF596}"/>
    <cellStyle name="Output 2 9 6 2 7 3" xfId="15443" xr:uid="{45635306-005C-4C51-BDE1-D85757CCD9DE}"/>
    <cellStyle name="Output 2 9 6 2 7 3 2" xfId="37869" xr:uid="{97D9A97B-71F1-49D4-8908-0B81B7F1B8FA}"/>
    <cellStyle name="Output 2 9 6 2 7 3 3" xfId="26076" xr:uid="{7056D69E-7F42-47B8-ABEC-427727A36095}"/>
    <cellStyle name="Output 2 9 6 2 7 4" xfId="14232" xr:uid="{5EEF6D84-D05F-4E31-AA7D-E8F1BF07B5D3}"/>
    <cellStyle name="Output 2 9 6 2 7 4 2" xfId="36705" xr:uid="{F807DD20-C7C5-48CD-8706-F826558B0FED}"/>
    <cellStyle name="Output 2 9 6 2 7 4 3" xfId="49411" xr:uid="{E8AF2071-7F34-43FB-8626-2D5656CCA9D5}"/>
    <cellStyle name="Output 2 9 6 2 7 5" xfId="19919" xr:uid="{901DF790-C1B9-4970-9F54-60C2EFF8A724}"/>
    <cellStyle name="Output 2 9 6 2 7 5 2" xfId="29260" xr:uid="{81DDF5FB-BE5D-4604-A35C-6678BCE6849D}"/>
    <cellStyle name="Output 2 9 6 2 7 6" xfId="28099" xr:uid="{155A4ACB-9C8C-4008-A783-C4DC38D7AD06}"/>
    <cellStyle name="Output 2 9 6 2 8" xfId="7095" xr:uid="{00000000-0005-0000-0000-00002E080000}"/>
    <cellStyle name="Output 2 9 6 2 8 2" xfId="13931" xr:uid="{22E80CB8-BED3-497E-BD3B-19E1403E12AF}"/>
    <cellStyle name="Output 2 9 6 2 8 2 2" xfId="36415" xr:uid="{C353622E-7ACD-4C01-84ED-38F15F99A049}"/>
    <cellStyle name="Output 2 9 6 2 8 2 3" xfId="50588" xr:uid="{DE901F9C-62FB-40F4-9EAB-1D1BFF8326B9}"/>
    <cellStyle name="Output 2 9 6 2 8 3" xfId="19032" xr:uid="{01D50564-24D2-4D2C-A137-3EACC552EEFB}"/>
    <cellStyle name="Output 2 9 6 2 8 3 2" xfId="41422" xr:uid="{65A0B1E7-F2AA-423A-AE55-D674905BB8E3}"/>
    <cellStyle name="Output 2 9 6 2 8 3 3" xfId="44096" xr:uid="{216D6A6C-501E-482B-8242-96E695487A72}"/>
    <cellStyle name="Output 2 9 6 2 8 4" xfId="7972" xr:uid="{174F09A5-639C-4ACC-96B3-202AD065AD0C}"/>
    <cellStyle name="Output 2 9 6 2 8 4 2" xfId="30595" xr:uid="{89643337-125D-4E18-81F4-8F30E4C9CDFC}"/>
    <cellStyle name="Output 2 9 6 2 8 4 3" xfId="48059" xr:uid="{6174C75E-203D-4721-AB0F-FEAD67316027}"/>
    <cellStyle name="Output 2 9 6 2 8 5" xfId="23456" xr:uid="{A677249C-4E91-4344-868C-9224FA3DE4AB}"/>
    <cellStyle name="Output 2 9 6 2 8 5 2" xfId="50410" xr:uid="{11E7A667-7083-4803-9CAB-D6DDCE2E3C39}"/>
    <cellStyle name="Output 2 9 6 2 8 6" xfId="30122" xr:uid="{D8CDEEE6-07B7-460C-B1E9-1DF4878218DB}"/>
    <cellStyle name="Output 2 9 6 2 9" xfId="7210" xr:uid="{00000000-0005-0000-0000-00002E080000}"/>
    <cellStyle name="Output 2 9 6 2 9 2" xfId="19147" xr:uid="{6C7BC1FC-53FA-47A0-92A4-3798789902CC}"/>
    <cellStyle name="Output 2 9 6 2 9 2 2" xfId="41537" xr:uid="{F8B6DF64-54AF-400E-8549-DE3953F8AA8C}"/>
    <cellStyle name="Output 2 9 6 2 9 2 3" xfId="31997" xr:uid="{C8961605-3EDF-493C-A9BB-2632E86685B2}"/>
    <cellStyle name="Output 2 9 6 2 9 3" xfId="14466" xr:uid="{F046CAF3-AD43-4C8D-BC6C-1DDEB7352C3E}"/>
    <cellStyle name="Output 2 9 6 2 9 3 2" xfId="36931" xr:uid="{3E4C6CAE-2375-4BFA-9FA8-FC0E47413619}"/>
    <cellStyle name="Output 2 9 6 2 9 3 3" xfId="50204" xr:uid="{C966A004-770A-4A07-9B7F-A8B0F24E8A51}"/>
    <cellStyle name="Output 2 9 6 2 9 4" xfId="23571" xr:uid="{F3893B74-8A0B-4E5C-89D8-F2BF481B8CDC}"/>
    <cellStyle name="Output 2 9 6 2 9 4 2" xfId="28342" xr:uid="{A49E9074-B10E-4BA9-9C3C-3743BEC80128}"/>
    <cellStyle name="Output 2 9 6 2 9 5" xfId="28052" xr:uid="{5EF69850-5517-4847-AF79-14FE7A76D755}"/>
    <cellStyle name="Output 2 9 6 3" xfId="3479" xr:uid="{00000000-0005-0000-0000-00002D080000}"/>
    <cellStyle name="Output 2 9 6 3 2" xfId="10386" xr:uid="{4645C03B-D6D4-4F17-A060-912E86ABFE89}"/>
    <cellStyle name="Output 2 9 6 3 2 2" xfId="32873" xr:uid="{36C73314-BF09-4A78-90EF-204A2651A368}"/>
    <cellStyle name="Output 2 9 6 3 2 3" xfId="49863" xr:uid="{E6931C44-0DDA-4728-AAD1-C07324718C73}"/>
    <cellStyle name="Output 2 9 6 3 3" xfId="15657" xr:uid="{A1B643C7-26E6-4E0B-AFEB-70607F0B8668}"/>
    <cellStyle name="Output 2 9 6 3 3 2" xfId="38073" xr:uid="{38F5F3E6-6EA6-499B-8022-D84C6708C2D0}"/>
    <cellStyle name="Output 2 9 6 3 3 3" xfId="29780" xr:uid="{9E6F9D2D-01C9-4650-AF10-61E8BB600C21}"/>
    <cellStyle name="Output 2 9 6 3 4" xfId="20213" xr:uid="{A84D7016-535D-4839-9FFD-5C392C1A31C8}"/>
    <cellStyle name="Output 2 9 6 3 4 2" xfId="42521" xr:uid="{CADDBD18-11CA-4742-8562-489C0822C21A}"/>
    <cellStyle name="Output 2 9 6 3 4 3" xfId="25643" xr:uid="{67AEBBBE-D45B-4135-A1C5-D81272BFB857}"/>
    <cellStyle name="Output 2 9 6 3 5" xfId="20637" xr:uid="{98829F10-FAE1-454B-A7CD-15CFBFA4E424}"/>
    <cellStyle name="Output 2 9 6 3 5 2" xfId="49080" xr:uid="{BB1A0694-76FC-4769-AC10-E36DF45C9514}"/>
    <cellStyle name="Output 2 9 6 3 6" xfId="24418" xr:uid="{E34C0EA0-6ED8-4F8E-B082-AA25A791CC23}"/>
    <cellStyle name="Output 2 9 6 4" xfId="5012" xr:uid="{00000000-0005-0000-0000-00002D080000}"/>
    <cellStyle name="Output 2 9 6 4 2" xfId="11906" xr:uid="{8A2F2B47-8E49-4478-8470-FE52DD355E85}"/>
    <cellStyle name="Output 2 9 6 4 2 2" xfId="34392" xr:uid="{38945B7C-D217-4E76-AEB9-1E610E5468C8}"/>
    <cellStyle name="Output 2 9 6 4 2 3" xfId="43752" xr:uid="{DFE9322A-99CA-4256-9B83-6D95DA7B5E50}"/>
    <cellStyle name="Output 2 9 6 4 3" xfId="16949" xr:uid="{58FFCC08-831F-48EA-B4CC-4DE93CDAA4CF}"/>
    <cellStyle name="Output 2 9 6 4 3 2" xfId="39339" xr:uid="{452D22BD-1C24-4C87-86D3-C2693BEA9DE8}"/>
    <cellStyle name="Output 2 9 6 4 3 3" xfId="30484" xr:uid="{899B3CAA-C7BD-44C4-9055-662327BA0D34}"/>
    <cellStyle name="Output 2 9 6 4 4" xfId="14899" xr:uid="{8094A737-F0D8-4C0B-ADFE-59C6CB7E883F}"/>
    <cellStyle name="Output 2 9 6 4 4 2" xfId="37353" xr:uid="{64D45DB5-F7C3-4E55-A9DE-511E0C773040}"/>
    <cellStyle name="Output 2 9 6 4 4 3" xfId="53592" xr:uid="{96C8E90F-D22D-4682-93E0-7CAD13362678}"/>
    <cellStyle name="Output 2 9 6 4 5" xfId="21373" xr:uid="{45A1C669-6793-494C-B899-CFB1A37C881F}"/>
    <cellStyle name="Output 2 9 6 4 5 2" xfId="46007" xr:uid="{990012E7-5565-49AE-B4CA-E5700307C39E}"/>
    <cellStyle name="Output 2 9 6 4 6" xfId="41935" xr:uid="{36D08B80-9116-4B53-A13F-B89DE04D74A8}"/>
    <cellStyle name="Output 2 9 6 5" xfId="6011" xr:uid="{00000000-0005-0000-0000-00002D080000}"/>
    <cellStyle name="Output 2 9 6 5 2" xfId="12892" xr:uid="{6811B45C-EB3D-48D9-B22E-CDFBC9EB4091}"/>
    <cellStyle name="Output 2 9 6 5 2 2" xfId="35376" xr:uid="{48979EA4-0596-4C84-8686-6546170D47C8}"/>
    <cellStyle name="Output 2 9 6 5 2 3" xfId="52957" xr:uid="{A785603B-D067-426C-B04A-B8EFC3F3A684}"/>
    <cellStyle name="Output 2 9 6 5 3" xfId="17948" xr:uid="{CBD887A6-0205-4896-9379-D595645B578A}"/>
    <cellStyle name="Output 2 9 6 5 3 2" xfId="40338" xr:uid="{72D287F1-99F2-4BA9-9977-B5AB0E10CCE6}"/>
    <cellStyle name="Output 2 9 6 5 3 3" xfId="42889" xr:uid="{7289D7D1-DCB2-47E7-85BF-6E77FC7E4A86}"/>
    <cellStyle name="Output 2 9 6 5 4" xfId="15623" xr:uid="{6139E378-A36F-46D8-8BD2-5EF98FB69116}"/>
    <cellStyle name="Output 2 9 6 5 4 2" xfId="38039" xr:uid="{23BAFC95-96C6-4460-8913-6580E52C84E0}"/>
    <cellStyle name="Output 2 9 6 5 4 3" xfId="50331" xr:uid="{0CDA0888-F5DB-499A-A900-0BB302E76B06}"/>
    <cellStyle name="Output 2 9 6 5 5" xfId="22372" xr:uid="{4FBEDF84-FE9B-4B62-82BB-B1A9FC53F49F}"/>
    <cellStyle name="Output 2 9 6 5 5 2" xfId="49164" xr:uid="{611210CB-3AC5-42C8-B379-76C8DB79DBF3}"/>
    <cellStyle name="Output 2 9 6 5 6" xfId="48531" xr:uid="{C0E355B5-BEFC-4DA7-B90D-C21F26F1345D}"/>
    <cellStyle name="Output 2 9 6 6" xfId="4387" xr:uid="{00000000-0005-0000-0000-00002D080000}"/>
    <cellStyle name="Output 2 9 6 6 2" xfId="11289" xr:uid="{A5D64331-4E44-4DC3-86BB-13D570A38017}"/>
    <cellStyle name="Output 2 9 6 6 2 2" xfId="33775" xr:uid="{BAD7C5EB-1908-4554-9316-0A55738AEBCB}"/>
    <cellStyle name="Output 2 9 6 6 2 3" xfId="29006" xr:uid="{E1B2636B-0597-45B2-8E6C-719B77465D2A}"/>
    <cellStyle name="Output 2 9 6 6 3" xfId="16324" xr:uid="{6697A9EF-8768-4013-825F-293E1BEC2056}"/>
    <cellStyle name="Output 2 9 6 6 3 2" xfId="38714" xr:uid="{FBE41423-1638-4E20-921D-ADE5F1E5B6F5}"/>
    <cellStyle name="Output 2 9 6 6 3 3" xfId="28072" xr:uid="{4EF0904E-090E-4CAD-89D3-F3EA32E018E5}"/>
    <cellStyle name="Output 2 9 6 6 4" xfId="14952" xr:uid="{3CFC390F-CBAC-43FC-92F6-2F75F01A7ADC}"/>
    <cellStyle name="Output 2 9 6 6 4 2" xfId="37405" xr:uid="{89329FA1-2F49-4DA7-8D95-56F5F42F6B03}"/>
    <cellStyle name="Output 2 9 6 6 4 3" xfId="52371" xr:uid="{5AEE2FF2-6B4B-4681-843B-4638270F63D7}"/>
    <cellStyle name="Output 2 9 6 6 5" xfId="19408" xr:uid="{67C407F8-F6C5-4E82-BF2C-B7B98D68F569}"/>
    <cellStyle name="Output 2 9 6 6 5 2" xfId="36701" xr:uid="{39382BF2-285F-418D-BD9F-264F5B4F8131}"/>
    <cellStyle name="Output 2 9 6 6 6" xfId="29122" xr:uid="{F0F6FF73-99C6-4436-9650-FF51502B49F2}"/>
    <cellStyle name="Output 2 9 6 7" xfId="6484" xr:uid="{00000000-0005-0000-0000-00002D080000}"/>
    <cellStyle name="Output 2 9 6 7 2" xfId="13354" xr:uid="{96F969A4-E3D3-4793-BBC3-6CBDD8E66A91}"/>
    <cellStyle name="Output 2 9 6 7 2 2" xfId="35838" xr:uid="{ABBCB51A-2C57-47C2-86A6-10F2E1E57963}"/>
    <cellStyle name="Output 2 9 6 7 2 3" xfId="45634" xr:uid="{31BD8074-06AC-4D50-B239-7057B496FAD3}"/>
    <cellStyle name="Output 2 9 6 7 3" xfId="18421" xr:uid="{ED735E3E-8BE8-4328-B198-B915CA95BAA8}"/>
    <cellStyle name="Output 2 9 6 7 3 2" xfId="40811" xr:uid="{9D4F475B-3370-4B77-B071-E47813904D65}"/>
    <cellStyle name="Output 2 9 6 7 3 3" xfId="45370" xr:uid="{BC0177BE-54AF-4522-BD17-93B84CFE1D03}"/>
    <cellStyle name="Output 2 9 6 7 4" xfId="19813" xr:uid="{700F6CD8-D0FD-468D-9F01-818704724C42}"/>
    <cellStyle name="Output 2 9 6 7 4 2" xfId="42151" xr:uid="{D59B6DC6-E96A-480F-B942-523502DCF9A7}"/>
    <cellStyle name="Output 2 9 6 7 4 3" xfId="43005" xr:uid="{ED874E23-B0C3-4557-9214-145A8234983F}"/>
    <cellStyle name="Output 2 9 6 7 5" xfId="22845" xr:uid="{4F625861-FD19-4F82-8EA4-52980CE248A9}"/>
    <cellStyle name="Output 2 9 6 7 5 2" xfId="52958" xr:uid="{ECE721E8-7460-4372-AF70-B5A49DFF07E8}"/>
    <cellStyle name="Output 2 9 6 7 6" xfId="46657" xr:uid="{62476266-333A-4AD4-8753-0BBFE7D3A36E}"/>
    <cellStyle name="Output 2 9 6 8" xfId="14194" xr:uid="{B27BF67D-A513-49F0-8DAF-823BC1CA0114}"/>
    <cellStyle name="Output 2 9 6 8 2" xfId="36669" xr:uid="{E0E9EDF5-1FFB-43F2-8174-087E5E838AC1}"/>
    <cellStyle name="Output 2 9 6 8 3" xfId="44405" xr:uid="{005879EB-CF7E-47B9-AE41-87A228CDEEC1}"/>
    <cellStyle name="Output 2 9 6 9" xfId="7604" xr:uid="{2296CAAC-14C2-4D79-815E-23EB371522DD}"/>
    <cellStyle name="Output 2 9 6 9 2" xfId="30265" xr:uid="{98731B0D-468E-45E8-AF40-D95BBC1B5BC8}"/>
    <cellStyle name="Output 2 9 6 9 3" xfId="51936" xr:uid="{A982F44B-44B8-4663-B5A6-14A7942D1AEC}"/>
    <cellStyle name="Output 2 9 7" xfId="1647" xr:uid="{00000000-0005-0000-0000-000031080000}"/>
    <cellStyle name="Output 2 9 7 10" xfId="14361" xr:uid="{1B8CC99B-228C-4284-9F39-63193074F83A}"/>
    <cellStyle name="Output 2 9 7 10 2" xfId="36829" xr:uid="{21DBBA72-D74E-4F9F-8E3D-B69B54B60556}"/>
    <cellStyle name="Output 2 9 7 10 3" xfId="48194" xr:uid="{DE9ABA62-8762-4AFE-AF1E-9001F0B50F31}"/>
    <cellStyle name="Output 2 9 7 11" xfId="20380" xr:uid="{3C4BD724-D11A-44F7-ABF4-515FE1142DE8}"/>
    <cellStyle name="Output 2 9 7 11 2" xfId="42676" xr:uid="{8A45BE97-57B2-40A2-9B16-5F860804E705}"/>
    <cellStyle name="Output 2 9 7 11 3" xfId="51308" xr:uid="{04DAF779-667D-4A18-8859-EBA7BABB6ECA}"/>
    <cellStyle name="Output 2 9 7 12" xfId="15047" xr:uid="{B23A8FB4-92F9-4B6D-9A3B-74629B903F14}"/>
    <cellStyle name="Output 2 9 7 12 2" xfId="53687" xr:uid="{7F8B962E-9A14-4DE6-839D-52417E3A0BE7}"/>
    <cellStyle name="Output 2 9 7 13" xfId="51274" xr:uid="{356B7E06-0708-4A78-868C-503D5D51B3E7}"/>
    <cellStyle name="Output 2 9 7 2" xfId="3745" xr:uid="{00000000-0005-0000-0000-00002F080000}"/>
    <cellStyle name="Output 2 9 7 2 2" xfId="10649" xr:uid="{18760C67-35E7-49FC-A05C-A87D370B6D4C}"/>
    <cellStyle name="Output 2 9 7 2 2 2" xfId="33135" xr:uid="{EA696ED0-2D20-4747-BE08-1369ABE9C831}"/>
    <cellStyle name="Output 2 9 7 2 2 3" xfId="50896" xr:uid="{23FEB272-5457-43B6-A976-8076E53E8412}"/>
    <cellStyle name="Output 2 9 7 2 3" xfId="15826" xr:uid="{8C352B76-3138-4151-9869-39173FD14D80}"/>
    <cellStyle name="Output 2 9 7 2 3 2" xfId="38234" xr:uid="{FDBA0142-EAB7-4BFC-A839-DB2D44D34DFC}"/>
    <cellStyle name="Output 2 9 7 2 3 3" xfId="50277" xr:uid="{EFD957B8-56F6-4D7D-9CFE-F1860430EFE6}"/>
    <cellStyle name="Output 2 9 7 2 4" xfId="14029" xr:uid="{4EAE1CBD-DE9F-4A2B-883D-736E2DF319DF}"/>
    <cellStyle name="Output 2 9 7 2 4 2" xfId="36512" xr:uid="{36AED450-C40B-495B-B3DB-9BA09231144D}"/>
    <cellStyle name="Output 2 9 7 2 4 3" xfId="51503" xr:uid="{D4F18881-9A83-4BD8-A515-E1C556ED49E4}"/>
    <cellStyle name="Output 2 9 7 2 5" xfId="19980" xr:uid="{27E37F95-8F90-4BB8-BF4B-9FE3B5AEFACC}"/>
    <cellStyle name="Output 2 9 7 2 5 2" xfId="45377" xr:uid="{35414A67-D43E-4E9A-AE2A-79BF5A168FAD}"/>
    <cellStyle name="Output 2 9 7 2 6" xfId="46098" xr:uid="{1AFB7C36-62CC-4FCF-A087-5E5B31E3850E}"/>
    <cellStyle name="Output 2 9 7 3" xfId="5180" xr:uid="{00000000-0005-0000-0000-00002F080000}"/>
    <cellStyle name="Output 2 9 7 3 2" xfId="12073" xr:uid="{0721B94F-5123-43A6-8449-635148E14960}"/>
    <cellStyle name="Output 2 9 7 3 2 2" xfId="34559" xr:uid="{A395D33F-CDB5-41D9-B90C-622F3E954CC9}"/>
    <cellStyle name="Output 2 9 7 3 2 3" xfId="28860" xr:uid="{46E6B76B-8CA3-451C-995B-6BC30B7005B8}"/>
    <cellStyle name="Output 2 9 7 3 3" xfId="17117" xr:uid="{9DE543DF-96AA-49C7-AC2F-5A7A12A38A66}"/>
    <cellStyle name="Output 2 9 7 3 3 2" xfId="39507" xr:uid="{F13C2667-414B-4369-B856-860004C31E9D}"/>
    <cellStyle name="Output 2 9 7 3 3 3" xfId="32235" xr:uid="{BFE0D19E-4932-40DA-9102-1832BCA62240}"/>
    <cellStyle name="Output 2 9 7 3 4" xfId="15734" xr:uid="{6DB69691-CDF8-4ADB-92C5-34E0766F2E3F}"/>
    <cellStyle name="Output 2 9 7 3 4 2" xfId="38147" xr:uid="{B22E71DA-2669-4A9B-AC92-03976F07FCC8}"/>
    <cellStyle name="Output 2 9 7 3 4 3" xfId="42219" xr:uid="{74375DED-8D00-4A9B-9E4C-2BC9FBE22B05}"/>
    <cellStyle name="Output 2 9 7 3 5" xfId="21541" xr:uid="{9CF15A8F-D0C8-46ED-8E63-E354AF434841}"/>
    <cellStyle name="Output 2 9 7 3 5 2" xfId="26098" xr:uid="{23334177-B368-4212-B2FB-D9C6EB11D734}"/>
    <cellStyle name="Output 2 9 7 3 6" xfId="53224" xr:uid="{D24EBF14-774B-493E-8613-EE2FF8B8A0B7}"/>
    <cellStyle name="Output 2 9 7 4" xfId="4357" xr:uid="{00000000-0005-0000-0000-00002F080000}"/>
    <cellStyle name="Output 2 9 7 4 2" xfId="11260" xr:uid="{5A74180C-16F9-4C53-8398-240D80E19717}"/>
    <cellStyle name="Output 2 9 7 4 2 2" xfId="33746" xr:uid="{560A12E4-D6D7-43BA-B535-F3398FDC885D}"/>
    <cellStyle name="Output 2 9 7 4 2 3" xfId="31888" xr:uid="{A6468080-B403-414E-9CB0-09EACA01F650}"/>
    <cellStyle name="Output 2 9 7 4 3" xfId="16294" xr:uid="{AA5681AC-406F-4B20-B258-49107B3CB11E}"/>
    <cellStyle name="Output 2 9 7 4 3 2" xfId="38684" xr:uid="{7353870B-B1D0-4146-8A2A-126CB9445C77}"/>
    <cellStyle name="Output 2 9 7 4 3 3" xfId="29031" xr:uid="{D45F0B85-965A-41F5-86CB-1667F71D139C}"/>
    <cellStyle name="Output 2 9 7 4 4" xfId="19419" xr:uid="{21E7014A-7957-4DE6-A144-5AD46DE6BC0A}"/>
    <cellStyle name="Output 2 9 7 4 4 2" xfId="41791" xr:uid="{C7B837B8-3844-4244-83ED-3E22331E7024}"/>
    <cellStyle name="Output 2 9 7 4 4 3" xfId="42922" xr:uid="{E57F7561-86B8-469E-AF9F-6E7E817E4891}"/>
    <cellStyle name="Output 2 9 7 4 5" xfId="14563" xr:uid="{18E6EB9A-3CFF-48BA-B362-14950971ABC0}"/>
    <cellStyle name="Output 2 9 7 4 5 2" xfId="48454" xr:uid="{FF6E1F9E-49E3-48BD-8621-2DF0C9F93945}"/>
    <cellStyle name="Output 2 9 7 4 6" xfId="46225" xr:uid="{D54D703C-8860-48FA-9251-4DEE57746819}"/>
    <cellStyle name="Output 2 9 7 5" xfId="5564" xr:uid="{00000000-0005-0000-0000-00002F080000}"/>
    <cellStyle name="Output 2 9 7 5 2" xfId="12450" xr:uid="{7514C1E2-68BC-4FA6-92D6-4ABCB23ACB62}"/>
    <cellStyle name="Output 2 9 7 5 2 2" xfId="34935" xr:uid="{39E51444-9836-4182-85F6-190B278A3BD0}"/>
    <cellStyle name="Output 2 9 7 5 2 3" xfId="44555" xr:uid="{342B228E-C3BE-477E-9F79-16FA2AA04C99}"/>
    <cellStyle name="Output 2 9 7 5 3" xfId="17501" xr:uid="{27E8FC8C-258D-47A9-B00D-E7D2274ECB33}"/>
    <cellStyle name="Output 2 9 7 5 3 2" xfId="39891" xr:uid="{7CF8F373-21D7-4C2F-9B14-4161C1C3C023}"/>
    <cellStyle name="Output 2 9 7 5 3 3" xfId="32326" xr:uid="{0EA7CF3D-580E-4B60-A10E-C55A18881283}"/>
    <cellStyle name="Output 2 9 7 5 4" xfId="19637" xr:uid="{66D2D7CF-67DF-42B2-A0A1-038672843819}"/>
    <cellStyle name="Output 2 9 7 5 4 2" xfId="41987" xr:uid="{9C7DDEFF-6227-4581-9988-54950FA4B788}"/>
    <cellStyle name="Output 2 9 7 5 4 3" xfId="25915" xr:uid="{4708F14D-5B4F-4E8E-8532-3EDE12A0B423}"/>
    <cellStyle name="Output 2 9 7 5 5" xfId="21925" xr:uid="{F90DE631-B2F2-47B6-9C04-C84AD6072E74}"/>
    <cellStyle name="Output 2 9 7 5 5 2" xfId="53965" xr:uid="{7B7F6B1C-FCAF-4CFF-B928-4EA067F4E16B}"/>
    <cellStyle name="Output 2 9 7 5 6" xfId="52446" xr:uid="{DEC29465-E4FC-4375-9E32-A6A0F928496A}"/>
    <cellStyle name="Output 2 9 7 6" xfId="5126" xr:uid="{00000000-0005-0000-0000-00002F080000}"/>
    <cellStyle name="Output 2 9 7 6 2" xfId="12019" xr:uid="{538FB8B6-ADC4-4639-AF1B-5521F8B5CBCE}"/>
    <cellStyle name="Output 2 9 7 6 2 2" xfId="34505" xr:uid="{2E17A0E3-A9D7-4BF5-91CD-73DA0EE9618A}"/>
    <cellStyle name="Output 2 9 7 6 2 3" xfId="42805" xr:uid="{E5AE0B3F-B68A-4275-AF69-6A593382E02A}"/>
    <cellStyle name="Output 2 9 7 6 3" xfId="17063" xr:uid="{9CA34307-55BE-49C9-803D-1A562AA93F93}"/>
    <cellStyle name="Output 2 9 7 6 3 2" xfId="39453" xr:uid="{F5EAF01A-777B-4F9C-9F6E-73D153FB979B}"/>
    <cellStyle name="Output 2 9 7 6 3 3" xfId="42012" xr:uid="{FDEFE663-85AE-4831-A937-1A8A468EF616}"/>
    <cellStyle name="Output 2 9 7 6 4" xfId="14407" xr:uid="{4571F219-2716-4DBF-8AD9-C86D8B528613}"/>
    <cellStyle name="Output 2 9 7 6 4 2" xfId="36873" xr:uid="{48FEBFB9-A174-4B66-A8DD-A76512A0822C}"/>
    <cellStyle name="Output 2 9 7 6 4 3" xfId="50255" xr:uid="{5C0869C2-3747-41CD-8193-3AF7913E778E}"/>
    <cellStyle name="Output 2 9 7 6 5" xfId="21487" xr:uid="{A354C4B4-D456-41DC-AC08-0F97D090187E}"/>
    <cellStyle name="Output 2 9 7 6 5 2" xfId="51739" xr:uid="{E445D449-D0DF-4197-AB40-0BC2D1CBE4CC}"/>
    <cellStyle name="Output 2 9 7 6 6" xfId="43131" xr:uid="{CAC279E4-2B4E-4904-AA28-B72EFE3010CA}"/>
    <cellStyle name="Output 2 9 7 7" xfId="6710" xr:uid="{00000000-0005-0000-0000-00002F080000}"/>
    <cellStyle name="Output 2 9 7 7 2" xfId="13573" xr:uid="{AC4558B3-382F-4881-BD64-1771961C758E}"/>
    <cellStyle name="Output 2 9 7 7 2 2" xfId="36057" xr:uid="{E3AA8BBD-A8B8-46D7-A4E5-221A07AA6E6F}"/>
    <cellStyle name="Output 2 9 7 7 2 3" xfId="50811" xr:uid="{24D5C618-00A2-46B5-9D9D-29943CE45C8E}"/>
    <cellStyle name="Output 2 9 7 7 3" xfId="18647" xr:uid="{32B152F0-8DD7-457D-BDF6-A18E6CF85202}"/>
    <cellStyle name="Output 2 9 7 7 3 2" xfId="41037" xr:uid="{D934457B-11DD-4E90-B0B1-352E5E68984F}"/>
    <cellStyle name="Output 2 9 7 7 3 3" xfId="27742" xr:uid="{5B298588-C182-45C4-84DE-69B00F7A33CC}"/>
    <cellStyle name="Output 2 9 7 7 4" xfId="13985" xr:uid="{C58EC17D-D0FB-4F15-8270-6269E61F8D6C}"/>
    <cellStyle name="Output 2 9 7 7 4 2" xfId="36469" xr:uid="{01099FE7-9FE0-4E56-98DE-5E8F34753039}"/>
    <cellStyle name="Output 2 9 7 7 4 3" xfId="53703" xr:uid="{D5631F58-A0A9-4BB0-8991-6EE6E740FE3F}"/>
    <cellStyle name="Output 2 9 7 7 5" xfId="23071" xr:uid="{F845C18B-CE49-42DA-99B4-67DC15CF8516}"/>
    <cellStyle name="Output 2 9 7 7 5 2" xfId="47257" xr:uid="{4DD630D6-077E-4B0E-A9D9-EDF626661E9C}"/>
    <cellStyle name="Output 2 9 7 7 6" xfId="28907" xr:uid="{AA79F891-6C32-4780-8DE1-0034675CD390}"/>
    <cellStyle name="Output 2 9 7 8" xfId="5996" xr:uid="{00000000-0005-0000-0000-00002F080000}"/>
    <cellStyle name="Output 2 9 7 8 2" xfId="12877" xr:uid="{A03C1A2C-61CF-421F-9540-4A936C0FD941}"/>
    <cellStyle name="Output 2 9 7 8 2 2" xfId="35361" xr:uid="{864A249D-ED77-4B29-AFA1-B79A75D2176C}"/>
    <cellStyle name="Output 2 9 7 8 2 3" xfId="50041" xr:uid="{481CBEE8-46D9-40BB-B552-1EE4E486418A}"/>
    <cellStyle name="Output 2 9 7 8 3" xfId="17933" xr:uid="{EB68D7D6-A4ED-4429-89A1-1C9A8659CC9F}"/>
    <cellStyle name="Output 2 9 7 8 3 2" xfId="40323" xr:uid="{58E8435F-A4C6-4F92-9804-E13C884D588B}"/>
    <cellStyle name="Output 2 9 7 8 3 3" xfId="42687" xr:uid="{AE1A7191-3F0D-4EAB-BC85-735322C3FFEE}"/>
    <cellStyle name="Output 2 9 7 8 4" xfId="15381" xr:uid="{F12859E1-FD29-430D-8009-E869D811C883}"/>
    <cellStyle name="Output 2 9 7 8 4 2" xfId="37811" xr:uid="{190ACED1-7723-492A-8DA9-45B3D1C07705}"/>
    <cellStyle name="Output 2 9 7 8 4 3" xfId="26158" xr:uid="{6B4C16A4-C8EB-4B71-A2CD-74FD73C2D651}"/>
    <cellStyle name="Output 2 9 7 8 5" xfId="22357" xr:uid="{DFFC3135-4F4E-4E5F-9C6A-4293E62057C8}"/>
    <cellStyle name="Output 2 9 7 8 5 2" xfId="30454" xr:uid="{6886DA4D-479D-4380-82F2-981334AC3967}"/>
    <cellStyle name="Output 2 9 7 8 6" xfId="49031" xr:uid="{01F8F49E-4332-4BF2-A331-5E882CE2AD7C}"/>
    <cellStyle name="Output 2 9 7 9" xfId="6491" xr:uid="{00000000-0005-0000-0000-00002F080000}"/>
    <cellStyle name="Output 2 9 7 9 2" xfId="18428" xr:uid="{A654CAA6-EA3F-4BF8-969D-7671CF005A23}"/>
    <cellStyle name="Output 2 9 7 9 2 2" xfId="40818" xr:uid="{C3F2D174-24F9-4B57-A79A-A86DC2858040}"/>
    <cellStyle name="Output 2 9 7 9 2 3" xfId="24168" xr:uid="{B712A4D2-7DA1-4A39-A75E-E102922D4D21}"/>
    <cellStyle name="Output 2 9 7 9 3" xfId="19326" xr:uid="{5054559E-3D5D-4348-A4E4-862DA4C020D1}"/>
    <cellStyle name="Output 2 9 7 9 3 2" xfId="41703" xr:uid="{37B42C9F-45DD-468D-B19A-51DEB9928FA3}"/>
    <cellStyle name="Output 2 9 7 9 3 3" xfId="44882" xr:uid="{63A919C0-548F-42F0-8C9C-FD60B5582506}"/>
    <cellStyle name="Output 2 9 7 9 4" xfId="22852" xr:uid="{1EF60F04-F4C7-4FF4-ACC6-8CA36EDE97B7}"/>
    <cellStyle name="Output 2 9 7 9 4 2" xfId="29660" xr:uid="{8CFFC2D7-5408-4B3B-97EB-7D3C680BB5B7}"/>
    <cellStyle name="Output 2 9 7 9 5" xfId="52236" xr:uid="{724EDE97-9E9E-42D9-9250-D1D6C75E9831}"/>
    <cellStyle name="Output 2 9 8" xfId="2597" xr:uid="{00000000-0005-0000-0000-000024080000}"/>
    <cellStyle name="Output 2 9 8 2" xfId="9506" xr:uid="{99AFE451-6A7D-420E-A1C3-3C95682E261C}"/>
    <cellStyle name="Output 2 9 8 2 2" xfId="32058" xr:uid="{773E9ABD-5333-4A18-A9CD-473A17745F68}"/>
    <cellStyle name="Output 2 9 8 2 3" xfId="50057" xr:uid="{DA869E6A-8FAF-4D1F-87EB-84E6DE45BC24}"/>
    <cellStyle name="Output 2 9 8 3" xfId="15075" xr:uid="{27A2E28C-C97B-468C-A6E0-D612F1E62417}"/>
    <cellStyle name="Output 2 9 8 3 2" xfId="37520" xr:uid="{C0A6B72E-07B2-485A-9BAC-BE30C8044377}"/>
    <cellStyle name="Output 2 9 8 3 3" xfId="53877" xr:uid="{D5512328-302C-41BA-BDE8-E50327047478}"/>
    <cellStyle name="Output 2 9 8 4" xfId="19841" xr:uid="{38747887-5140-471E-BE9D-DD1E47623617}"/>
    <cellStyle name="Output 2 9 8 4 2" xfId="42177" xr:uid="{E280EDA8-38DA-4002-9DE3-864DDEB5B87E}"/>
    <cellStyle name="Output 2 9 8 4 3" xfId="29329" xr:uid="{46598818-28F9-488E-8546-07AFC54D0351}"/>
    <cellStyle name="Output 2 9 8 5" xfId="20117" xr:uid="{3225017F-18EB-47F6-BD1C-0246CDAD0D31}"/>
    <cellStyle name="Output 2 9 8 5 2" xfId="29064" xr:uid="{6CE1E727-98CB-4AD3-AF26-B977DFBCB696}"/>
    <cellStyle name="Output 2 9 8 6" xfId="29467" xr:uid="{C7523FFB-447D-4E81-9FDD-C569019F0947}"/>
    <cellStyle name="Output 2 9 9" xfId="4425" xr:uid="{00000000-0005-0000-0000-000024080000}"/>
    <cellStyle name="Output 2 9 9 2" xfId="11327" xr:uid="{94B92018-B3DE-4E6A-A06A-C0DB73C0CC9F}"/>
    <cellStyle name="Output 2 9 9 2 2" xfId="33813" xr:uid="{7D9A1F35-578E-4C65-89D3-76A9D5761D82}"/>
    <cellStyle name="Output 2 9 9 2 3" xfId="28304" xr:uid="{98C28660-EC00-48E1-A1ED-8AD9E2CBB448}"/>
    <cellStyle name="Output 2 9 9 3" xfId="16362" xr:uid="{B3EAE1C0-E262-4DC9-8DA7-3352A7F8A00C}"/>
    <cellStyle name="Output 2 9 9 3 2" xfId="38752" xr:uid="{450B8336-387C-45D4-841E-FC46A3BF5BB3}"/>
    <cellStyle name="Output 2 9 9 3 3" xfId="45147" xr:uid="{A54A3ECB-E627-41A9-8677-CEC7BAC7AF5D}"/>
    <cellStyle name="Output 2 9 9 4" xfId="19468" xr:uid="{6435967A-5E9A-41FA-AF02-2FF83E578F74}"/>
    <cellStyle name="Output 2 9 9 4 2" xfId="41835" xr:uid="{704A671B-FAE8-4021-901C-8A95E8D720A6}"/>
    <cellStyle name="Output 2 9 9 4 3" xfId="24063" xr:uid="{3C3B244D-1F7E-424F-9C07-BFB843188C68}"/>
    <cellStyle name="Output 2 9 9 5" xfId="14061" xr:uid="{E791EE83-1D91-4537-9DD3-6B13E87E1B3F}"/>
    <cellStyle name="Output 2 9 9 5 2" xfId="49104" xr:uid="{9AB66608-AC1B-4CFB-9A5F-A07579134BB2}"/>
    <cellStyle name="Output 2 9 9 6" xfId="44464" xr:uid="{0C93E734-B9CE-4EDB-A3B4-084F11197449}"/>
    <cellStyle name="Percent" xfId="2245" builtinId="5"/>
    <cellStyle name="Percent 10" xfId="2255" xr:uid="{00000000-0005-0000-0000-000033080000}"/>
    <cellStyle name="Percent 10 2" xfId="9167" xr:uid="{C93365D6-35F3-4AC0-A66B-C5491B053707}"/>
    <cellStyle name="Percent 10 2 2" xfId="31742" xr:uid="{993B35B1-71AC-4DE3-BCBA-42F4045B3488}"/>
    <cellStyle name="Percent 10 3" xfId="25622" xr:uid="{A4640192-9FA3-44FA-96CD-6A217491BA61}"/>
    <cellStyle name="Percent 2" xfId="12" xr:uid="{00000000-0005-0000-0000-000034080000}"/>
    <cellStyle name="Percent 2 2" xfId="20" xr:uid="{00000000-0005-0000-0000-000035080000}"/>
    <cellStyle name="Percent 2 2 2" xfId="41" xr:uid="{00000000-0005-0000-0000-000036080000}"/>
    <cellStyle name="Percent 2 2 2 2" xfId="122" xr:uid="{00000000-0005-0000-0000-000037080000}"/>
    <cellStyle name="Percent 2 2 2 3" xfId="143" xr:uid="{00000000-0005-0000-0000-000038080000}"/>
    <cellStyle name="Percent 2 2 2 4" xfId="164" xr:uid="{00000000-0005-0000-0000-000039080000}"/>
    <cellStyle name="Percent 2 2 2 5" xfId="185" xr:uid="{00000000-0005-0000-0000-00003A080000}"/>
    <cellStyle name="Percent 2 2 2 6" xfId="206" xr:uid="{00000000-0005-0000-0000-00003B080000}"/>
    <cellStyle name="Percent 2 3" xfId="34" xr:uid="{00000000-0005-0000-0000-00003C080000}"/>
    <cellStyle name="Percent 2 3 2" xfId="115" xr:uid="{00000000-0005-0000-0000-00003D080000}"/>
    <cellStyle name="Percent 2 3 3" xfId="136" xr:uid="{00000000-0005-0000-0000-00003E080000}"/>
    <cellStyle name="Percent 2 3 4" xfId="157" xr:uid="{00000000-0005-0000-0000-00003F080000}"/>
    <cellStyle name="Percent 2 3 5" xfId="178" xr:uid="{00000000-0005-0000-0000-000040080000}"/>
    <cellStyle name="Percent 2 3 6" xfId="199" xr:uid="{00000000-0005-0000-0000-000041080000}"/>
    <cellStyle name="Percent 2 4" xfId="226" xr:uid="{00000000-0005-0000-0000-000042080000}"/>
    <cellStyle name="Percent 2 4 2" xfId="416" xr:uid="{00000000-0005-0000-0000-000043080000}"/>
    <cellStyle name="Percent 2 4 3" xfId="573" xr:uid="{00000000-0005-0000-0000-000044080000}"/>
    <cellStyle name="Percent 2 4 4" xfId="817" xr:uid="{00000000-0005-0000-0000-000045080000}"/>
    <cellStyle name="Percent 2 4 5" xfId="1003" xr:uid="{00000000-0005-0000-0000-000046080000}"/>
    <cellStyle name="Percent 2 4 6" xfId="1187" xr:uid="{00000000-0005-0000-0000-000047080000}"/>
    <cellStyle name="Percent 2 4 7" xfId="1349" xr:uid="{00000000-0005-0000-0000-000048080000}"/>
    <cellStyle name="Percent 3" xfId="13" xr:uid="{00000000-0005-0000-0000-000049080000}"/>
    <cellStyle name="Percent 3 2" xfId="24" xr:uid="{00000000-0005-0000-0000-00004A080000}"/>
    <cellStyle name="Percent 4" xfId="93" xr:uid="{00000000-0005-0000-0000-00004B080000}"/>
    <cellStyle name="Percent 5" xfId="221" xr:uid="{00000000-0005-0000-0000-00004C080000}"/>
    <cellStyle name="Percent 5 10" xfId="1566" xr:uid="{00000000-0005-0000-0000-00004D080000}"/>
    <cellStyle name="Percent 5 10 2" xfId="3667" xr:uid="{00000000-0005-0000-0000-00004A080000}"/>
    <cellStyle name="Percent 5 10 2 2" xfId="10571" xr:uid="{DC0A812D-A1A6-4AF8-8972-18CC78DE7FDC}"/>
    <cellStyle name="Percent 5 10 2 2 2" xfId="33057" xr:uid="{05131FFB-3299-4204-AE56-EFFB4FD02328}"/>
    <cellStyle name="Percent 5 10 2 3" xfId="26878" xr:uid="{3A976499-43D8-4335-9DE3-6925E1B13102}"/>
    <cellStyle name="Percent 5 10 3" xfId="8603" xr:uid="{0A7B7C07-CFE9-4547-8A59-357EF277C596}"/>
    <cellStyle name="Percent 5 10 3 2" xfId="31190" xr:uid="{BB8AC746-44E6-4A4B-BCBF-9BC040AC7181}"/>
    <cellStyle name="Percent 5 10 4" xfId="24988" xr:uid="{6A59CAF0-30D9-4000-92FB-D601A7C75AF7}"/>
    <cellStyle name="Percent 5 11" xfId="2390" xr:uid="{00000000-0005-0000-0000-000049080000}"/>
    <cellStyle name="Percent 5 11 2" xfId="9299" xr:uid="{3F09552B-7EEC-4D4B-864A-1D2C4E0D59D2}"/>
    <cellStyle name="Percent 5 11 2 2" xfId="31874" xr:uid="{0DDF7A90-E6F9-4586-A64E-250A266D2DE6}"/>
    <cellStyle name="Percent 5 11 3" xfId="25743" xr:uid="{93B80E70-F72A-4978-BD44-8A420008D498}"/>
    <cellStyle name="Percent 5 12" xfId="7392" xr:uid="{794E92F3-E1F9-4C35-B441-52AC2109E8AB}"/>
    <cellStyle name="Percent 5 12 2" xfId="30076" xr:uid="{CAFBD7B4-1319-4E17-81F1-B0AA7C8E31C4}"/>
    <cellStyle name="Percent 5 13" xfId="23789" xr:uid="{99E4C8D3-BEB5-477B-A6E3-4984DFF3EA7E}"/>
    <cellStyle name="Percent 5 2" xfId="412" xr:uid="{00000000-0005-0000-0000-00004E080000}"/>
    <cellStyle name="Percent 5 2 2" xfId="1622" xr:uid="{00000000-0005-0000-0000-00004F080000}"/>
    <cellStyle name="Percent 5 2 2 2" xfId="3723" xr:uid="{00000000-0005-0000-0000-00004C080000}"/>
    <cellStyle name="Percent 5 2 2 2 2" xfId="10627" xr:uid="{7A71B011-C3F1-4B10-A78B-BE4E1957AF71}"/>
    <cellStyle name="Percent 5 2 2 2 2 2" xfId="33113" xr:uid="{C22C6F31-CF01-49D4-BBF5-8E1A241FEBB1}"/>
    <cellStyle name="Percent 5 2 2 2 3" xfId="26934" xr:uid="{15F0E5E1-4144-4CFA-BA84-9CC5A3D8407D}"/>
    <cellStyle name="Percent 5 2 2 3" xfId="8657" xr:uid="{12E08905-6736-472F-AD6E-3A87AD7F7774}"/>
    <cellStyle name="Percent 5 2 2 3 2" xfId="31243" xr:uid="{CC529B3C-813E-423F-8816-019E5E12966F}"/>
    <cellStyle name="Percent 5 2 2 4" xfId="25043" xr:uid="{C0C25A7F-3273-4EA5-9942-461DA2B0043A}"/>
    <cellStyle name="Percent 5 2 3" xfId="2571" xr:uid="{00000000-0005-0000-0000-00004B080000}"/>
    <cellStyle name="Percent 5 2 3 2" xfId="9480" xr:uid="{B9EA4C26-6E01-4E03-8D18-247D224C0739}"/>
    <cellStyle name="Percent 5 2 3 2 2" xfId="32032" xr:uid="{E4632444-9095-4013-A4F7-4E6A7849E3B7}"/>
    <cellStyle name="Percent 5 2 3 3" xfId="25896" xr:uid="{EBFBFA6C-F7C0-40FE-8252-619749599D41}"/>
    <cellStyle name="Percent 5 2 4" xfId="7575" xr:uid="{3042F8FE-FFA0-46A7-B992-3427D54BF97E}"/>
    <cellStyle name="Percent 5 2 4 2" xfId="30238" xr:uid="{EB55B995-C1A7-4A1A-9111-420676D63D65}"/>
    <cellStyle name="Percent 5 2 5" xfId="23956" xr:uid="{925DF24C-1D34-46CF-B861-FF464F705FBF}"/>
    <cellStyle name="Percent 5 3" xfId="569" xr:uid="{00000000-0005-0000-0000-000050080000}"/>
    <cellStyle name="Percent 5 3 2" xfId="1707" xr:uid="{00000000-0005-0000-0000-000051080000}"/>
    <cellStyle name="Percent 5 3 2 2" xfId="3805" xr:uid="{00000000-0005-0000-0000-00004E080000}"/>
    <cellStyle name="Percent 5 3 2 2 2" xfId="10709" xr:uid="{9F6F86CE-7E21-4DD9-A15E-75304EDCF23E}"/>
    <cellStyle name="Percent 5 3 2 2 2 2" xfId="33195" xr:uid="{90122095-EB57-495A-B194-504EF1149876}"/>
    <cellStyle name="Percent 5 3 2 2 3" xfId="27012" xr:uid="{F2DE3660-F8DA-409E-97DF-E9A4CB8F7256}"/>
    <cellStyle name="Percent 5 3 2 3" xfId="8722" xr:uid="{41FF4D80-839A-4D13-A008-851236F1F654}"/>
    <cellStyle name="Percent 5 3 2 3 2" xfId="31307" xr:uid="{34831AE4-732F-4A7D-BD24-1952D21213EA}"/>
    <cellStyle name="Percent 5 3 2 4" xfId="25122" xr:uid="{F471FBFB-16C9-4A0E-A822-8669E9F8BB48}"/>
    <cellStyle name="Percent 5 3 3" xfId="2720" xr:uid="{00000000-0005-0000-0000-00004D080000}"/>
    <cellStyle name="Percent 5 3 3 2" xfId="9629" xr:uid="{09DE36BB-71D6-4117-8B61-482FA11C9FA4}"/>
    <cellStyle name="Percent 5 3 3 2 2" xfId="32177" xr:uid="{B36D586B-29FD-46B0-9357-CE802D747EA9}"/>
    <cellStyle name="Percent 5 3 3 3" xfId="26029" xr:uid="{0FF82B35-8576-4B4C-91BE-21C81E37FFCC}"/>
    <cellStyle name="Percent 5 3 4" xfId="7712" xr:uid="{C4D055A2-597D-4FF2-B196-D7B47F9AE701}"/>
    <cellStyle name="Percent 5 3 4 2" xfId="30361" xr:uid="{588DC16A-809A-4B96-A16A-8AF40417758D}"/>
    <cellStyle name="Percent 5 3 5" xfId="24095" xr:uid="{14196188-21C8-4762-9EFB-54637137C660}"/>
    <cellStyle name="Percent 5 4" xfId="812" xr:uid="{00000000-0005-0000-0000-000052080000}"/>
    <cellStyle name="Percent 5 4 2" xfId="1804" xr:uid="{00000000-0005-0000-0000-000053080000}"/>
    <cellStyle name="Percent 5 4 2 2" xfId="3902" xr:uid="{00000000-0005-0000-0000-000050080000}"/>
    <cellStyle name="Percent 5 4 2 2 2" xfId="10806" xr:uid="{EE920C4A-6AE9-4791-9E35-5BF24A223A1A}"/>
    <cellStyle name="Percent 5 4 2 2 2 2" xfId="33292" xr:uid="{FFB1F8A7-7198-48BC-B627-E9C344EB9AD4}"/>
    <cellStyle name="Percent 5 4 2 2 3" xfId="27101" xr:uid="{0CB8561B-2962-4E6E-A784-8C6F4956527A}"/>
    <cellStyle name="Percent 5 4 2 3" xfId="8804" xr:uid="{BBC2A870-9FCE-40BF-8B9E-81F8646B705C}"/>
    <cellStyle name="Percent 5 4 2 3 2" xfId="31387" xr:uid="{F0145484-C1E2-4987-A984-596297E9B853}"/>
    <cellStyle name="Percent 5 4 2 4" xfId="25210" xr:uid="{F1013BA4-5580-4A8A-B2C2-A6EA5ABE0D7A}"/>
    <cellStyle name="Percent 5 4 3" xfId="2950" xr:uid="{00000000-0005-0000-0000-00004F080000}"/>
    <cellStyle name="Percent 5 4 3 2" xfId="9859" xr:uid="{10B68DE9-1291-49AF-A3C3-E26A85C4F863}"/>
    <cellStyle name="Percent 5 4 3 2 2" xfId="32383" xr:uid="{9FF065D8-329F-4CDA-84DE-FD30A211CFDE}"/>
    <cellStyle name="Percent 5 4 3 3" xfId="26236" xr:uid="{6329F749-ED22-452B-9BAE-2B8B239D7DB7}"/>
    <cellStyle name="Percent 5 4 4" xfId="7933" xr:uid="{D3D9931D-6B14-49F7-8347-FC78DF986087}"/>
    <cellStyle name="Percent 5 4 4 2" xfId="30558" xr:uid="{B90E9E7B-2458-4B4A-ACE2-8278E5DB9AA2}"/>
    <cellStyle name="Percent 5 4 5" xfId="24308" xr:uid="{DE7303A4-4FE5-47E4-9522-826D0D20E152}"/>
    <cellStyle name="Percent 5 5" xfId="998" xr:uid="{00000000-0005-0000-0000-000054080000}"/>
    <cellStyle name="Percent 5 5 2" xfId="1893" xr:uid="{00000000-0005-0000-0000-000055080000}"/>
    <cellStyle name="Percent 5 5 2 2" xfId="3991" xr:uid="{00000000-0005-0000-0000-000052080000}"/>
    <cellStyle name="Percent 5 5 2 2 2" xfId="10895" xr:uid="{DF35EA4D-8869-4588-8CAB-F75F24898F41}"/>
    <cellStyle name="Percent 5 5 2 2 2 2" xfId="33381" xr:uid="{20C1EBA1-6D5F-4380-8A74-3DDAE0AD1CA6}"/>
    <cellStyle name="Percent 5 5 2 2 3" xfId="27182" xr:uid="{4D621D95-5810-40F7-849C-C0958C37A8C6}"/>
    <cellStyle name="Percent 5 5 2 3" xfId="8876" xr:uid="{4D39E250-5DF0-4038-B70B-F81C58F6638E}"/>
    <cellStyle name="Percent 5 5 2 3 2" xfId="31457" xr:uid="{E81DCEDB-5D94-4E15-BC26-B497E5D60CE4}"/>
    <cellStyle name="Percent 5 5 2 4" xfId="25289" xr:uid="{8F03863C-7DAD-4C11-B1B1-F2D9773028E2}"/>
    <cellStyle name="Percent 5 5 3" xfId="3126" xr:uid="{00000000-0005-0000-0000-000051080000}"/>
    <cellStyle name="Percent 5 5 3 2" xfId="10035" xr:uid="{0F5FBB71-5728-41E4-B245-E238CDED38F6}"/>
    <cellStyle name="Percent 5 5 3 2 2" xfId="32543" xr:uid="{AED8A5D1-E095-4B18-912E-18B665B8DD79}"/>
    <cellStyle name="Percent 5 5 3 3" xfId="26383" xr:uid="{26EAA211-B678-4633-9C0B-F6DE58544425}"/>
    <cellStyle name="Percent 5 5 4" xfId="8099" xr:uid="{78AEC0B0-69E3-4166-85DF-E605D50C061E}"/>
    <cellStyle name="Percent 5 5 4 2" xfId="30714" xr:uid="{EB736564-8528-401C-98E1-165CF262312D}"/>
    <cellStyle name="Percent 5 5 5" xfId="24474" xr:uid="{1768D53C-1336-444B-A62B-3CA24C1D5F3E}"/>
    <cellStyle name="Percent 5 6" xfId="1182" xr:uid="{00000000-0005-0000-0000-000056080000}"/>
    <cellStyle name="Percent 5 6 2" xfId="1988" xr:uid="{00000000-0005-0000-0000-000057080000}"/>
    <cellStyle name="Percent 5 6 2 2" xfId="4084" xr:uid="{00000000-0005-0000-0000-000054080000}"/>
    <cellStyle name="Percent 5 6 2 2 2" xfId="10988" xr:uid="{60DE5F1D-0CA3-4D06-9065-C0FF5670E68B}"/>
    <cellStyle name="Percent 5 6 2 2 2 2" xfId="33474" xr:uid="{83478293-EFE0-45B9-A3D3-1441680139B8}"/>
    <cellStyle name="Percent 5 6 2 2 3" xfId="27269" xr:uid="{F9BCFDE1-E9DA-43F5-A537-79AC1140F02D}"/>
    <cellStyle name="Percent 5 6 2 3" xfId="8946" xr:uid="{974B7124-0F26-4F85-B1E3-071B070BEF67}"/>
    <cellStyle name="Percent 5 6 2 3 2" xfId="31525" xr:uid="{3B103B5A-EF40-4690-837F-B7BA4137A8B4}"/>
    <cellStyle name="Percent 5 6 2 4" xfId="25374" xr:uid="{6150BC1A-0A26-45BF-AF79-A1DA9BEA01E7}"/>
    <cellStyle name="Percent 5 6 3" xfId="3300" xr:uid="{00000000-0005-0000-0000-000053080000}"/>
    <cellStyle name="Percent 5 6 3 2" xfId="10208" xr:uid="{3F8E38F7-180C-456F-AD46-5AE604446B7D}"/>
    <cellStyle name="Percent 5 6 3 2 2" xfId="32703" xr:uid="{E3DD4910-F626-4AAB-83B6-F5145C796533}"/>
    <cellStyle name="Percent 5 6 3 3" xfId="26536" xr:uid="{1BB11F4C-F24F-4D65-95DF-080CF2965697}"/>
    <cellStyle name="Percent 5 6 4" xfId="8264" xr:uid="{A01EB404-0908-4E73-B976-26599ECBFA6D}"/>
    <cellStyle name="Percent 5 6 4 2" xfId="30868" xr:uid="{7E06C660-D1BA-4EA4-958B-A91978D0E03C}"/>
    <cellStyle name="Percent 5 6 5" xfId="24633" xr:uid="{1B883D67-F377-4844-A33A-18AACAD95E1F}"/>
    <cellStyle name="Percent 5 7" xfId="1345" xr:uid="{00000000-0005-0000-0000-000058080000}"/>
    <cellStyle name="Percent 5 7 2" xfId="2078" xr:uid="{00000000-0005-0000-0000-000059080000}"/>
    <cellStyle name="Percent 5 7 2 2" xfId="4173" xr:uid="{00000000-0005-0000-0000-000056080000}"/>
    <cellStyle name="Percent 5 7 2 2 2" xfId="11077" xr:uid="{E59AD06C-672F-4014-9A41-D99312DDFC72}"/>
    <cellStyle name="Percent 5 7 2 2 2 2" xfId="33563" xr:uid="{960966F4-E92D-4C2D-9027-E61291E20B6F}"/>
    <cellStyle name="Percent 5 7 2 2 3" xfId="27351" xr:uid="{48741029-BC4F-4C37-9F40-3A753E7F540F}"/>
    <cellStyle name="Percent 5 7 2 3" xfId="9017" xr:uid="{4278A205-0BC6-472D-9525-7EF105389D35}"/>
    <cellStyle name="Percent 5 7 2 3 2" xfId="31595" xr:uid="{AD0CC119-75E1-411E-A21E-1A03D304026F}"/>
    <cellStyle name="Percent 5 7 2 4" xfId="25458" xr:uid="{23D0BF65-B1CB-4B06-98F4-E2F05CDAF2EC}"/>
    <cellStyle name="Percent 5 7 3" xfId="3453" xr:uid="{00000000-0005-0000-0000-000055080000}"/>
    <cellStyle name="Percent 5 7 3 2" xfId="10361" xr:uid="{2DD2B0CE-D944-47C0-96EB-B8E2877FE3A1}"/>
    <cellStyle name="Percent 5 7 3 2 2" xfId="32848" xr:uid="{802C9ED2-DB99-4ABA-AAB0-22B54801C13D}"/>
    <cellStyle name="Percent 5 7 3 3" xfId="26674" xr:uid="{2E6C3A68-1C0A-4926-A80D-DF165460E702}"/>
    <cellStyle name="Percent 5 7 4" xfId="8411" xr:uid="{8AEE6A08-6F86-4F79-8F5D-046A84CD77AA}"/>
    <cellStyle name="Percent 5 7 4 2" xfId="30999" xr:uid="{82A8EC4A-5092-4339-917F-B198F3B7E7D6}"/>
    <cellStyle name="Percent 5 7 5" xfId="24773" xr:uid="{D4D6CD72-82A6-4581-9730-54E0FE6F70E7}"/>
    <cellStyle name="Percent 5 8" xfId="1410" xr:uid="{00000000-0005-0000-0000-00005A080000}"/>
    <cellStyle name="Percent 5 8 2" xfId="2139" xr:uid="{00000000-0005-0000-0000-00005B080000}"/>
    <cellStyle name="Percent 5 8 2 2" xfId="4232" xr:uid="{00000000-0005-0000-0000-000058080000}"/>
    <cellStyle name="Percent 5 8 2 2 2" xfId="11136" xr:uid="{9D355E5F-4439-4929-A01F-08121129541C}"/>
    <cellStyle name="Percent 5 8 2 2 2 2" xfId="33622" xr:uid="{9E1F68B2-ECD0-4F41-92DC-A6CD09F3F8CD}"/>
    <cellStyle name="Percent 5 8 2 2 3" xfId="27404" xr:uid="{0B226B2E-F892-48EF-AF36-978504B4599C}"/>
    <cellStyle name="Percent 5 8 2 3" xfId="9057" xr:uid="{E1062F65-F3C4-42D0-B3E5-6F0B39CBF4F7}"/>
    <cellStyle name="Percent 5 8 2 3 2" xfId="31633" xr:uid="{E3274C90-BE95-4F16-89A9-E64A6EC024A0}"/>
    <cellStyle name="Percent 5 8 2 4" xfId="25509" xr:uid="{AF200F19-939C-46C7-80AA-B512D036669A}"/>
    <cellStyle name="Percent 5 8 3" xfId="3512" xr:uid="{00000000-0005-0000-0000-000057080000}"/>
    <cellStyle name="Percent 5 8 3 2" xfId="10419" xr:uid="{08391915-2E89-4866-B48A-77F1515C70A1}"/>
    <cellStyle name="Percent 5 8 3 2 2" xfId="32906" xr:uid="{8D95C228-0099-4A57-A935-4822A3D611EF}"/>
    <cellStyle name="Percent 5 8 3 3" xfId="26725" xr:uid="{9D49C7E2-8D4A-44B2-8053-3E912E235FF3}"/>
    <cellStyle name="Percent 5 8 4" xfId="8454" xr:uid="{0F814FE9-5AFE-42C4-9BBA-6ED754DC3548}"/>
    <cellStyle name="Percent 5 8 4 2" xfId="31041" xr:uid="{09DB49DF-DF85-432F-B973-48387339E1DD}"/>
    <cellStyle name="Percent 5 8 5" xfId="24834" xr:uid="{3B49258E-E747-4C2B-B0E1-9161A73C88F5}"/>
    <cellStyle name="Percent 5 9" xfId="1508" xr:uid="{00000000-0005-0000-0000-00005C080000}"/>
    <cellStyle name="Percent 5 9 2" xfId="2235" xr:uid="{00000000-0005-0000-0000-00005D080000}"/>
    <cellStyle name="Percent 5 9 2 2" xfId="4328" xr:uid="{00000000-0005-0000-0000-00005A080000}"/>
    <cellStyle name="Percent 5 9 2 2 2" xfId="11232" xr:uid="{206320AB-7FB3-4010-B53E-03C1CF6E97CC}"/>
    <cellStyle name="Percent 5 9 2 2 2 2" xfId="33718" xr:uid="{59164633-DF17-44AF-B24B-0505B425F219}"/>
    <cellStyle name="Percent 5 9 2 2 3" xfId="27500" xr:uid="{E313E859-0678-4F9B-8DB9-40F9D9059075}"/>
    <cellStyle name="Percent 5 9 2 3" xfId="9148" xr:uid="{551BF411-95C8-400D-8522-D567C7F9077D}"/>
    <cellStyle name="Percent 5 9 2 3 2" xfId="31724" xr:uid="{1FF9E9CC-1C87-46FB-823C-F6C11406E60A}"/>
    <cellStyle name="Percent 5 9 2 4" xfId="25603" xr:uid="{4834CA03-9DDF-47B8-8839-5164066636CF}"/>
    <cellStyle name="Percent 5 9 3" xfId="3609" xr:uid="{00000000-0005-0000-0000-000059080000}"/>
    <cellStyle name="Percent 5 9 3 2" xfId="10514" xr:uid="{6A794F27-AA94-43E4-91C6-FF5F746F29B8}"/>
    <cellStyle name="Percent 5 9 3 2 2" xfId="33001" xr:uid="{F0EFF2BF-80FB-4021-9BC1-5CD4B31D18F9}"/>
    <cellStyle name="Percent 5 9 3 3" xfId="26822" xr:uid="{6218DEA8-FD27-4840-9738-02EEFB6E35DE}"/>
    <cellStyle name="Percent 5 9 4" xfId="8550" xr:uid="{C07C0AAC-D9CC-4FCF-9C00-244E85B2800E}"/>
    <cellStyle name="Percent 5 9 4 2" xfId="31137" xr:uid="{B21728DC-EB9B-4A43-8397-9F2FA115A198}"/>
    <cellStyle name="Percent 5 9 5" xfId="24930" xr:uid="{2740226C-1C95-4EDE-824F-69B8EC0704E3}"/>
    <cellStyle name="Percent 6" xfId="1426" xr:uid="{00000000-0005-0000-0000-00005E080000}"/>
    <cellStyle name="Percent 6 2" xfId="3527" xr:uid="{00000000-0005-0000-0000-00005B080000}"/>
    <cellStyle name="Percent 7" xfId="1510" xr:uid="{00000000-0005-0000-0000-00005F080000}"/>
    <cellStyle name="Percent 7 2" xfId="3611" xr:uid="{00000000-0005-0000-0000-00005C080000}"/>
    <cellStyle name="Percent 8" xfId="2238" xr:uid="{00000000-0005-0000-0000-000060080000}"/>
    <cellStyle name="Percent 8 2" xfId="2253" xr:uid="{00000000-0005-0000-0000-000061080000}"/>
    <cellStyle name="Percent 8 2 2" xfId="4345" xr:uid="{00000000-0005-0000-0000-00005E080000}"/>
    <cellStyle name="Percent 8 2 2 2" xfId="11248" xr:uid="{1D8C21EA-A8E4-44A6-BBDF-B86E6FFF625A}"/>
    <cellStyle name="Percent 8 2 2 2 2" xfId="33734" xr:uid="{D3412C0E-F024-49B4-A778-CCBD072E0861}"/>
    <cellStyle name="Percent 8 2 2 3" xfId="27516" xr:uid="{360FC89C-B514-4AE3-9137-3F51B1AAB650}"/>
    <cellStyle name="Percent 8 2 3" xfId="9165" xr:uid="{05555DE0-AE44-44EF-B12D-C5D5FB4ED13A}"/>
    <cellStyle name="Percent 8 2 3 2" xfId="31740" xr:uid="{73180646-9CE7-46AA-9BC3-803506A31C6C}"/>
    <cellStyle name="Percent 8 2 4" xfId="25620" xr:uid="{1B04CB10-17EE-454E-A393-50B6B15B1B6F}"/>
    <cellStyle name="Percent 8 3" xfId="4331" xr:uid="{00000000-0005-0000-0000-00005D080000}"/>
    <cellStyle name="Percent 8 3 2" xfId="11235" xr:uid="{BC65D24B-E650-462C-9805-BCEAEB20EB26}"/>
    <cellStyle name="Percent 8 3 2 2" xfId="33721" xr:uid="{A5942D54-BB79-424B-87BC-11D7F3DC1D1C}"/>
    <cellStyle name="Percent 8 3 3" xfId="27503" xr:uid="{8106AF99-CB91-4E2B-898F-FDEE0C4FDE19}"/>
    <cellStyle name="Percent 8 4" xfId="9150" xr:uid="{F5009E84-3F61-403F-B6E2-FF9EE060F45C}"/>
    <cellStyle name="Percent 8 4 2" xfId="31726" xr:uid="{8C4F0DC0-D47A-464F-A1AB-54D68EFA0EA7}"/>
    <cellStyle name="Percent 8 5" xfId="25607" xr:uid="{A6B4927A-8C80-4D7A-95A1-3DF0316F1F2A}"/>
    <cellStyle name="Percent 9" xfId="2247" xr:uid="{00000000-0005-0000-0000-000062080000}"/>
    <cellStyle name="Percent 9 2" xfId="4339" xr:uid="{00000000-0005-0000-0000-00005F080000}"/>
    <cellStyle name="Percent 9 2 2" xfId="11242" xr:uid="{23A80562-6273-45E4-A0FB-C812B301C184}"/>
    <cellStyle name="Percent 9 2 2 2" xfId="33728" xr:uid="{20CDF009-A01B-4CE4-8E10-FA2334EBE64D}"/>
    <cellStyle name="Percent 9 2 3" xfId="27510" xr:uid="{84B98AD8-D777-4C77-9FB5-27FD615F5B2C}"/>
    <cellStyle name="Percent 9 3" xfId="9159" xr:uid="{B8301EEF-CA4D-4C6A-ACC0-C40F7A1A9937}"/>
    <cellStyle name="Percent 9 3 2" xfId="31734" xr:uid="{4B8E599A-E469-4349-AD56-2905EAAEAC19}"/>
    <cellStyle name="Percent 9 4" xfId="25614" xr:uid="{1A2FADD7-007B-4881-9E09-80483E880D06}"/>
    <cellStyle name="Title 2" xfId="84" xr:uid="{00000000-0005-0000-0000-000063080000}"/>
    <cellStyle name="Total 2" xfId="85" xr:uid="{00000000-0005-0000-0000-000064080000}"/>
    <cellStyle name="Total 2 10" xfId="295" xr:uid="{00000000-0005-0000-0000-000065080000}"/>
    <cellStyle name="Total 2 10 10" xfId="16213" xr:uid="{4441617C-6A01-4CFF-AFF4-50C3D4015B80}"/>
    <cellStyle name="Total 2 10 10 2" xfId="43896" xr:uid="{933E8D75-CC5A-450D-87F4-65CC9A3782F6}"/>
    <cellStyle name="Total 2 10 11" xfId="50367" xr:uid="{54533EEC-9357-48A5-9BDA-281240714309}"/>
    <cellStyle name="Total 2 10 2" xfId="1580" xr:uid="{00000000-0005-0000-0000-000066080000}"/>
    <cellStyle name="Total 2 10 2 10" xfId="14317" xr:uid="{44CAE3FD-7087-462B-BF47-BA55F7D74EF0}"/>
    <cellStyle name="Total 2 10 2 10 2" xfId="36786" xr:uid="{6111229A-AB52-420C-A6ED-41E62144DDE5}"/>
    <cellStyle name="Total 2 10 2 10 3" xfId="50281" xr:uid="{7F3369C5-2BEC-44B6-A6E6-738FC7C404CB}"/>
    <cellStyle name="Total 2 10 2 11" xfId="20630" xr:uid="{C9383F47-C30F-4B35-937B-6D64A5DA57CE}"/>
    <cellStyle name="Total 2 10 2 11 2" xfId="42909" xr:uid="{6A8124F9-06B2-401D-BFBD-77F7BFF3BFEC}"/>
    <cellStyle name="Total 2 10 2 11 3" xfId="49433" xr:uid="{913098EB-2386-401C-9456-314695C18EFD}"/>
    <cellStyle name="Total 2 10 2 12" xfId="20917" xr:uid="{0D531AC6-56E3-4CD3-B936-36216B938DD0}"/>
    <cellStyle name="Total 2 10 2 12 2" xfId="28458" xr:uid="{0B12F359-9E04-4373-9906-94936CD1FA2A}"/>
    <cellStyle name="Total 2 10 2 13" xfId="47761" xr:uid="{21EF4082-1827-444B-9892-79737EC204BD}"/>
    <cellStyle name="Total 2 10 2 2" xfId="3681" xr:uid="{00000000-0005-0000-0000-000063080000}"/>
    <cellStyle name="Total 2 10 2 2 2" xfId="10585" xr:uid="{74FCD617-224A-4381-A94A-76490AC18D16}"/>
    <cellStyle name="Total 2 10 2 2 2 2" xfId="33071" xr:uid="{4486D767-7BA8-4B64-8F3D-0D985427C902}"/>
    <cellStyle name="Total 2 10 2 2 2 3" xfId="52964" xr:uid="{4BB62E44-0D6B-410C-983E-DEFA88EACF2A}"/>
    <cellStyle name="Total 2 10 2 2 3" xfId="15786" xr:uid="{F7DFAF07-A6CD-4BB2-B6E6-7E3B8480F87F}"/>
    <cellStyle name="Total 2 10 2 2 3 2" xfId="38196" xr:uid="{BFF2D9A0-6AC1-41C5-8EE5-63D20034A96E}"/>
    <cellStyle name="Total 2 10 2 2 3 3" xfId="48429" xr:uid="{C163AEAC-7D78-4E26-B782-1472E50EA289}"/>
    <cellStyle name="Total 2 10 2 2 4" xfId="20649" xr:uid="{B124F452-417B-4A69-B971-8ED42BE888EC}"/>
    <cellStyle name="Total 2 10 2 2 4 2" xfId="42927" xr:uid="{E52BBB53-B97E-4B90-ACC5-D5B0809297E1}"/>
    <cellStyle name="Total 2 10 2 2 4 3" xfId="52750" xr:uid="{5EB4DCF4-AF23-4CB2-8DCC-C9F84B040AF0}"/>
    <cellStyle name="Total 2 10 2 2 5" xfId="20899" xr:uid="{3C7B5F4B-78D8-4C34-A6A7-6E3EF2148B5A}"/>
    <cellStyle name="Total 2 10 2 2 5 2" xfId="53876" xr:uid="{D4489969-2525-444B-9DF2-5A8936C51F67}"/>
    <cellStyle name="Total 2 10 2 2 6" xfId="48210" xr:uid="{B2F13938-EC24-4259-BB4F-D20936CCDFD6}"/>
    <cellStyle name="Total 2 10 2 3" xfId="5132" xr:uid="{00000000-0005-0000-0000-000063080000}"/>
    <cellStyle name="Total 2 10 2 3 2" xfId="12025" xr:uid="{2CCC3138-37CB-4654-9EE8-B2CD410A4F8E}"/>
    <cellStyle name="Total 2 10 2 3 2 2" xfId="34511" xr:uid="{BFDA6CCE-F1CA-4EC0-988E-BE15B8CD947C}"/>
    <cellStyle name="Total 2 10 2 3 2 3" xfId="29595" xr:uid="{15F45B21-BC60-465F-A894-DDC6FC66F6EC}"/>
    <cellStyle name="Total 2 10 2 3 3" xfId="17069" xr:uid="{09F2443E-AD2A-4409-83DF-D5551875BEEE}"/>
    <cellStyle name="Total 2 10 2 3 3 2" xfId="39459" xr:uid="{4CFBE2AB-258D-425D-B582-FE6D2E6D81C5}"/>
    <cellStyle name="Total 2 10 2 3 3 3" xfId="32660" xr:uid="{B252D15C-1E3F-4045-A191-F2D6CCD312F0}"/>
    <cellStyle name="Total 2 10 2 3 4" xfId="19351" xr:uid="{5A9E5C6D-77CA-4337-993E-FB3D93474CDE}"/>
    <cellStyle name="Total 2 10 2 3 4 2" xfId="41726" xr:uid="{51746C09-635D-47E1-8AB4-5CF0C31D6C3D}"/>
    <cellStyle name="Total 2 10 2 3 4 3" xfId="30425" xr:uid="{42F6CA4A-8EB9-45ED-8B66-C956B0AD2A4D}"/>
    <cellStyle name="Total 2 10 2 3 5" xfId="21493" xr:uid="{49C95493-3956-476A-B69E-B8849A74C5D3}"/>
    <cellStyle name="Total 2 10 2 3 5 2" xfId="52073" xr:uid="{B86D6090-9D38-47B0-81E6-66933BDFA8A9}"/>
    <cellStyle name="Total 2 10 2 3 6" xfId="52257" xr:uid="{6D915B5C-EA3D-44FA-8290-0980305FA73E}"/>
    <cellStyle name="Total 2 10 2 4" xfId="4969" xr:uid="{00000000-0005-0000-0000-000063080000}"/>
    <cellStyle name="Total 2 10 2 4 2" xfId="11864" xr:uid="{5F82A91D-50C3-4CAE-AA11-44530DFA7B63}"/>
    <cellStyle name="Total 2 10 2 4 2 2" xfId="34350" xr:uid="{4E83B33C-41D5-416B-BB70-A3A8A39A8AE8}"/>
    <cellStyle name="Total 2 10 2 4 2 3" xfId="24151" xr:uid="{083131D4-8448-47D4-8091-142B052D6AF7}"/>
    <cellStyle name="Total 2 10 2 4 3" xfId="16906" xr:uid="{F1361956-8506-4517-9C09-73F336A4C4BD}"/>
    <cellStyle name="Total 2 10 2 4 3 2" xfId="39296" xr:uid="{64048E4E-1DBA-4B26-97BF-3ADEADF7CDF0}"/>
    <cellStyle name="Total 2 10 2 4 3 3" xfId="36916" xr:uid="{AF5CC982-655B-4C32-B354-BF4302D984AB}"/>
    <cellStyle name="Total 2 10 2 4 4" xfId="8887" xr:uid="{46F20E20-9747-456D-BB38-9A49C2D9A21B}"/>
    <cellStyle name="Total 2 10 2 4 4 2" xfId="31467" xr:uid="{FF5184F6-B177-417D-8D81-C26491B98A52}"/>
    <cellStyle name="Total 2 10 2 4 4 3" xfId="28779" xr:uid="{03BDF501-6A1D-4B9F-9E18-C2ECF5C24024}"/>
    <cellStyle name="Total 2 10 2 4 5" xfId="21330" xr:uid="{E2F797A5-D535-4AC8-BB1F-779239EDC4DE}"/>
    <cellStyle name="Total 2 10 2 4 5 2" xfId="51588" xr:uid="{96D397B2-297B-4A54-89BF-E1B36FC1B8F5}"/>
    <cellStyle name="Total 2 10 2 4 6" xfId="52788" xr:uid="{BD755E2E-BBA3-49A4-B76B-957FE5E8040B}"/>
    <cellStyle name="Total 2 10 2 5" xfId="4604" xr:uid="{00000000-0005-0000-0000-000063080000}"/>
    <cellStyle name="Total 2 10 2 5 2" xfId="11505" xr:uid="{21BB7294-977E-439C-90FC-72EBE5EC3C45}"/>
    <cellStyle name="Total 2 10 2 5 2 2" xfId="33991" xr:uid="{D2FECA75-6270-4779-94A7-CCF6B5402B31}"/>
    <cellStyle name="Total 2 10 2 5 2 3" xfId="45459" xr:uid="{054CC8D1-022B-4D5E-B95A-BAADECF72806}"/>
    <cellStyle name="Total 2 10 2 5 3" xfId="16541" xr:uid="{9F1F086D-3D14-4120-9268-200B7E80CC7F}"/>
    <cellStyle name="Total 2 10 2 5 3 2" xfId="38931" xr:uid="{73581768-8DED-4294-908D-963058F2CEA3}"/>
    <cellStyle name="Total 2 10 2 5 3 3" xfId="30207" xr:uid="{73166A9D-E343-4C8F-BF50-45F390843AF3}"/>
    <cellStyle name="Total 2 10 2 5 4" xfId="15926" xr:uid="{7A7EA518-C21A-4E7F-80F8-DD62EC579FD9}"/>
    <cellStyle name="Total 2 10 2 5 4 2" xfId="38332" xr:uid="{D997C8D0-7929-4D4D-8F9F-EDADAFF82EFE}"/>
    <cellStyle name="Total 2 10 2 5 4 3" xfId="46405" xr:uid="{E3839D9A-59A1-4BDC-8658-949885A30CB0}"/>
    <cellStyle name="Total 2 10 2 5 5" xfId="15756" xr:uid="{D26FBF32-BD58-4730-AD39-0E46CD0E0E21}"/>
    <cellStyle name="Total 2 10 2 5 5 2" xfId="48869" xr:uid="{C5B7BCC8-DE4A-4BEC-B2BA-F6E1707C7047}"/>
    <cellStyle name="Total 2 10 2 5 6" xfId="46165" xr:uid="{509311D0-F7CD-425C-A42C-681A19F44C70}"/>
    <cellStyle name="Total 2 10 2 6" xfId="2580" xr:uid="{00000000-0005-0000-0000-000063080000}"/>
    <cellStyle name="Total 2 10 2 6 2" xfId="9489" xr:uid="{5CC956C6-9B10-47A3-A6DF-C1D646A0D791}"/>
    <cellStyle name="Total 2 10 2 6 2 2" xfId="32041" xr:uid="{737A78D1-89DF-4122-B120-9DE5C218A9A4}"/>
    <cellStyle name="Total 2 10 2 6 2 3" xfId="53864" xr:uid="{48BCB8F9-97AE-4FB4-B62F-DCAB579F9ED6}"/>
    <cellStyle name="Total 2 10 2 6 3" xfId="15058" xr:uid="{924D6739-C443-49E5-96C9-4D76B65A97D1}"/>
    <cellStyle name="Total 2 10 2 6 3 2" xfId="37503" xr:uid="{A34C6BAF-250B-472B-B75B-BC32BF308DD6}"/>
    <cellStyle name="Total 2 10 2 6 3 3" xfId="26257" xr:uid="{70A02F3F-C2F4-4E30-A021-B767DD708BA0}"/>
    <cellStyle name="Total 2 10 2 6 4" xfId="7601" xr:uid="{4C0E50ED-6D49-471C-9659-637A2AA36339}"/>
    <cellStyle name="Total 2 10 2 6 4 2" xfId="30262" xr:uid="{A904E8FE-B475-4770-B553-DEDD2D33095B}"/>
    <cellStyle name="Total 2 10 2 6 4 3" xfId="46644" xr:uid="{132E1752-2DF1-4BD1-8722-1940045227F0}"/>
    <cellStyle name="Total 2 10 2 6 5" xfId="19437" xr:uid="{8C0EDFDB-8181-47E5-9CA7-DC41AC200AC8}"/>
    <cellStyle name="Total 2 10 2 6 5 2" xfId="44341" xr:uid="{8D9F1CB1-6641-4982-998E-A4142F9BE883}"/>
    <cellStyle name="Total 2 10 2 6 6" xfId="49410" xr:uid="{1192BD8F-7DBF-4C97-8DB4-0B1F378AC52E}"/>
    <cellStyle name="Total 2 10 2 7" xfId="4461" xr:uid="{00000000-0005-0000-0000-000063080000}"/>
    <cellStyle name="Total 2 10 2 7 2" xfId="11363" xr:uid="{C773BB43-3D83-49DD-B301-4262F5F1A603}"/>
    <cellStyle name="Total 2 10 2 7 2 2" xfId="33849" xr:uid="{9108886E-8AF2-4D3A-982E-290B242AF2A7}"/>
    <cellStyle name="Total 2 10 2 7 2 3" xfId="27821" xr:uid="{C03DA103-B76D-4DBA-85B7-F5FC0D6AF51B}"/>
    <cellStyle name="Total 2 10 2 7 3" xfId="16398" xr:uid="{2F110E6C-3F82-44DE-8D94-A9DCF1B10FF8}"/>
    <cellStyle name="Total 2 10 2 7 3 2" xfId="38788" xr:uid="{D6585422-AA28-41A3-B494-B5413A00F486}"/>
    <cellStyle name="Total 2 10 2 7 3 3" xfId="25680" xr:uid="{28DD3BD2-3935-4753-956F-47E8FB03B581}"/>
    <cellStyle name="Total 2 10 2 7 4" xfId="19464" xr:uid="{FB99A099-7DF5-4953-9CDA-715454AFC4B1}"/>
    <cellStyle name="Total 2 10 2 7 4 2" xfId="41831" xr:uid="{F8E2E025-E406-4266-9248-CCBD62D606D9}"/>
    <cellStyle name="Total 2 10 2 7 4 3" xfId="30319" xr:uid="{DFB6F70F-816C-447A-998A-AD9D5BDEF12C}"/>
    <cellStyle name="Total 2 10 2 7 5" xfId="16147" xr:uid="{680CDE5C-A2F3-4FF0-A842-9A406F8C8948}"/>
    <cellStyle name="Total 2 10 2 7 5 2" xfId="28466" xr:uid="{C74140CB-82B4-462C-9B51-FFE724157307}"/>
    <cellStyle name="Total 2 10 2 7 6" xfId="51551" xr:uid="{36346057-A3EC-45E5-9025-FB179B83608E}"/>
    <cellStyle name="Total 2 10 2 8" xfId="4725" xr:uid="{00000000-0005-0000-0000-000063080000}"/>
    <cellStyle name="Total 2 10 2 8 2" xfId="11623" xr:uid="{D83796B9-7A9C-4A9A-BF84-DFE7DD20D6A7}"/>
    <cellStyle name="Total 2 10 2 8 2 2" xfId="34109" xr:uid="{CD7E3598-9E00-49D0-A1B2-04336758224C}"/>
    <cellStyle name="Total 2 10 2 8 2 3" xfId="45167" xr:uid="{8005AFF6-26E8-462F-9DB6-1A80AECD2E95}"/>
    <cellStyle name="Total 2 10 2 8 3" xfId="16662" xr:uid="{D9443E34-C2C0-436F-8125-528B2E7ACEB7}"/>
    <cellStyle name="Total 2 10 2 8 3 2" xfId="39052" xr:uid="{2017BC70-BC81-4FDF-AB14-0883C602B83B}"/>
    <cellStyle name="Total 2 10 2 8 3 3" xfId="27135" xr:uid="{3D5239B8-8E97-472B-8F69-BB15F68C67F9}"/>
    <cellStyle name="Total 2 10 2 8 4" xfId="19344" xr:uid="{FD32434F-A8CB-4D1C-A440-6A309AF6A9A9}"/>
    <cellStyle name="Total 2 10 2 8 4 2" xfId="41721" xr:uid="{9510BE36-D8C9-4749-AA7A-DB0B4D89D23B}"/>
    <cellStyle name="Total 2 10 2 8 4 3" xfId="24650" xr:uid="{C99866D5-DE14-425F-BA8C-C67553633E38}"/>
    <cellStyle name="Total 2 10 2 8 5" xfId="19721" xr:uid="{C5795C43-AEF8-42EB-9FDD-0D74467E5FAF}"/>
    <cellStyle name="Total 2 10 2 8 5 2" xfId="28806" xr:uid="{F62AED01-00EE-40EF-91E6-34AA2F1E3FB3}"/>
    <cellStyle name="Total 2 10 2 8 6" xfId="51565" xr:uid="{0AC7D892-FC0B-4F38-8E89-E55D4AD885CD}"/>
    <cellStyle name="Total 2 10 2 9" xfId="6119" xr:uid="{00000000-0005-0000-0000-000063080000}"/>
    <cellStyle name="Total 2 10 2 9 2" xfId="18056" xr:uid="{07D4F459-9E37-4BA8-B78B-55B0F087F790}"/>
    <cellStyle name="Total 2 10 2 9 2 2" xfId="40446" xr:uid="{1B20F868-5EE0-49FE-A5D0-F322F707D767}"/>
    <cellStyle name="Total 2 10 2 9 2 3" xfId="43745" xr:uid="{6AD3A054-2208-42EE-9A85-14E11B920CF5}"/>
    <cellStyle name="Total 2 10 2 9 3" xfId="19340" xr:uid="{DEDB2094-FC96-4AD9-873D-5D67DAD44915}"/>
    <cellStyle name="Total 2 10 2 9 3 2" xfId="41717" xr:uid="{14781CC6-CAB9-4CC6-A92F-64BBED4D0287}"/>
    <cellStyle name="Total 2 10 2 9 3 3" xfId="44308" xr:uid="{6E50A1FC-15B3-46CF-B27A-9F2CF0CFD91D}"/>
    <cellStyle name="Total 2 10 2 9 4" xfId="22480" xr:uid="{15B648E3-A5BC-4CFE-8D7B-2C740C96FB72}"/>
    <cellStyle name="Total 2 10 2 9 4 2" xfId="48936" xr:uid="{E312D05C-C7A0-43EB-BE98-B92CD19131CB}"/>
    <cellStyle name="Total 2 10 2 9 5" xfId="46886" xr:uid="{9DF61F42-33E5-497E-BB08-6BC46C7D896B}"/>
    <cellStyle name="Total 2 10 3" xfId="2459" xr:uid="{00000000-0005-0000-0000-000062080000}"/>
    <cellStyle name="Total 2 10 3 2" xfId="9368" xr:uid="{AA85B39D-545F-4F7C-9B95-8CCCDB073B62}"/>
    <cellStyle name="Total 2 10 3 2 2" xfId="31933" xr:uid="{974C35FE-6236-4BB6-95E7-AFF2C915012F}"/>
    <cellStyle name="Total 2 10 3 2 3" xfId="24732" xr:uid="{AEFBCD4F-EE44-481D-9916-40C16B9D939F}"/>
    <cellStyle name="Total 2 10 3 3" xfId="14984" xr:uid="{580C4AE8-470F-4DE5-8907-2C1B22F47AE7}"/>
    <cellStyle name="Total 2 10 3 3 2" xfId="37435" xr:uid="{C388C687-C365-41CD-8438-6EA0F9C6D879}"/>
    <cellStyle name="Total 2 10 3 3 3" xfId="53283" xr:uid="{9A72D71A-2E20-47F5-89A6-7452B93B7943}"/>
    <cellStyle name="Total 2 10 3 4" xfId="20434" xr:uid="{4FD2D211-44CF-4275-954E-E94C16E13ADC}"/>
    <cellStyle name="Total 2 10 3 4 2" xfId="42726" xr:uid="{EF43980C-398D-48C8-802C-806D9AC108D2}"/>
    <cellStyle name="Total 2 10 3 4 3" xfId="29735" xr:uid="{427E7CD8-3E91-48D5-BD32-52482FEE5CEA}"/>
    <cellStyle name="Total 2 10 3 5" xfId="19321" xr:uid="{699FAE3F-BD5E-4271-911B-B2EDFD4567C0}"/>
    <cellStyle name="Total 2 10 3 5 2" xfId="29608" xr:uid="{ED3C3B91-10B4-4932-84F0-4BE19A19E50E}"/>
    <cellStyle name="Total 2 10 3 6" xfId="50719" xr:uid="{D6F1C738-A1EA-4B22-A2EB-734A85624B39}"/>
    <cellStyle name="Total 2 10 4" xfId="2290" xr:uid="{00000000-0005-0000-0000-000062080000}"/>
    <cellStyle name="Total 2 10 4 2" xfId="9201" xr:uid="{C2051E60-E1EA-443F-9978-B0445A479BA8}"/>
    <cellStyle name="Total 2 10 4 2 2" xfId="31776" xr:uid="{534C2542-983C-45BA-8E4F-2B05A0F5D6AC}"/>
    <cellStyle name="Total 2 10 4 2 3" xfId="43522" xr:uid="{56FADA10-30EC-464E-95A3-C39298C0623C}"/>
    <cellStyle name="Total 2 10 4 3" xfId="14857" xr:uid="{3A86E9C6-2BDC-438F-A05B-B37EEA185517}"/>
    <cellStyle name="Total 2 10 4 3 2" xfId="37311" xr:uid="{48D1D272-A8AF-4BF5-9592-1E401F2E0240}"/>
    <cellStyle name="Total 2 10 4 3 3" xfId="44894" xr:uid="{43545A80-DC2A-4214-88E2-B29A80D34959}"/>
    <cellStyle name="Total 2 10 4 4" xfId="19703" xr:uid="{4573F7A3-5949-4AA7-83C5-46B895B68316}"/>
    <cellStyle name="Total 2 10 4 4 2" xfId="42050" xr:uid="{FEB957EC-39EF-45ED-95F7-0BE71EDFBDE1}"/>
    <cellStyle name="Total 2 10 4 4 3" xfId="32835" xr:uid="{054F1B7D-A054-466A-BC46-5867248B8F69}"/>
    <cellStyle name="Total 2 10 4 5" xfId="19227" xr:uid="{2127284B-1E27-476C-9C90-CEF9804F6496}"/>
    <cellStyle name="Total 2 10 4 5 2" xfId="25992" xr:uid="{CC5E3DB5-764C-4201-94EC-9B913AF3F9ED}"/>
    <cellStyle name="Total 2 10 4 6" xfId="47552" xr:uid="{7E2A28FC-DBF1-4CBD-87A2-531E70EF3E57}"/>
    <cellStyle name="Total 2 10 5" xfId="4740" xr:uid="{00000000-0005-0000-0000-000062080000}"/>
    <cellStyle name="Total 2 10 5 2" xfId="11638" xr:uid="{4834AAB4-662E-439D-89CB-4C51F3ADB70B}"/>
    <cellStyle name="Total 2 10 5 2 2" xfId="34124" xr:uid="{64F5D164-BA39-449D-9217-DE5F9BD95320}"/>
    <cellStyle name="Total 2 10 5 2 3" xfId="29183" xr:uid="{839FF3BA-1E72-488C-9A34-E6C3FF350AA0}"/>
    <cellStyle name="Total 2 10 5 3" xfId="16677" xr:uid="{2BF07BFF-7F1D-4255-83EF-FC6DF608E0B1}"/>
    <cellStyle name="Total 2 10 5 3 2" xfId="39067" xr:uid="{29D695B3-EA8D-4B2D-BB38-F90CD7B47AE6}"/>
    <cellStyle name="Total 2 10 5 3 3" xfId="30109" xr:uid="{78E94EDB-ED1A-43D0-97DD-98339F01C550}"/>
    <cellStyle name="Total 2 10 5 4" xfId="8889" xr:uid="{1731FCC1-9ED6-4AE7-B670-A62A4F4D0F31}"/>
    <cellStyle name="Total 2 10 5 4 2" xfId="31469" xr:uid="{6AA6679E-2F2D-4EB1-9142-663CF04E984F}"/>
    <cellStyle name="Total 2 10 5 4 3" xfId="50778" xr:uid="{30553B83-7FAD-4801-AA6F-75267FC285D2}"/>
    <cellStyle name="Total 2 10 5 5" xfId="20635" xr:uid="{5DC29919-D1DC-48F8-A4F7-43DF9F2B9D9A}"/>
    <cellStyle name="Total 2 10 5 5 2" xfId="47477" xr:uid="{BB459070-A588-4E86-A236-A720DACB441A}"/>
    <cellStyle name="Total 2 10 5 6" xfId="50775" xr:uid="{6364E547-D86A-420D-A5CE-46B2177C0CA9}"/>
    <cellStyle name="Total 2 10 6" xfId="2312" xr:uid="{00000000-0005-0000-0000-000062080000}"/>
    <cellStyle name="Total 2 10 6 2" xfId="9222" xr:uid="{4F4B6429-0A42-4FA8-8644-0D3B7B77E5DD}"/>
    <cellStyle name="Total 2 10 6 2 2" xfId="31797" xr:uid="{6F1C0081-74EB-4F6B-9474-703A4AE09410}"/>
    <cellStyle name="Total 2 10 6 2 3" xfId="53431" xr:uid="{1A92A7B5-1D55-47F1-BB13-919109296C5A}"/>
    <cellStyle name="Total 2 10 6 3" xfId="14876" xr:uid="{3DA1FAEF-235E-422D-8FA1-83DE1F783D6E}"/>
    <cellStyle name="Total 2 10 6 3 2" xfId="37330" xr:uid="{90FB0F97-67E9-4BFF-9303-C45DAAC1EF83}"/>
    <cellStyle name="Total 2 10 6 3 3" xfId="46401" xr:uid="{C8362E7C-CB9F-4353-A956-8A4893E324EB}"/>
    <cellStyle name="Total 2 10 6 4" xfId="21137" xr:uid="{85774869-AA61-46F8-A59A-1E08B8B8D8B1}"/>
    <cellStyle name="Total 2 10 6 4 2" xfId="43381" xr:uid="{701422B8-4378-4AA4-8A17-D926AC39014B}"/>
    <cellStyle name="Total 2 10 6 4 3" xfId="46196" xr:uid="{45F1E572-8032-4E94-924C-9FAD1CED6214}"/>
    <cellStyle name="Total 2 10 6 5" xfId="8725" xr:uid="{62B7A779-553C-4A18-A0A3-122A1D38BF8B}"/>
    <cellStyle name="Total 2 10 6 5 2" xfId="47275" xr:uid="{E2994AE4-F4EF-4F05-B13E-5DCA99EB80A8}"/>
    <cellStyle name="Total 2 10 6 6" xfId="26161" xr:uid="{0F5593E7-F0FF-4371-9F46-B115D76824F7}"/>
    <cellStyle name="Total 2 10 7" xfId="4379" xr:uid="{00000000-0005-0000-0000-000062080000}"/>
    <cellStyle name="Total 2 10 7 2" xfId="11281" xr:uid="{5694BF30-591C-4129-8EDF-0A16C63999F8}"/>
    <cellStyle name="Total 2 10 7 2 2" xfId="33767" xr:uid="{3F1683BA-AE9E-4221-9D77-141A7D42D9B7}"/>
    <cellStyle name="Total 2 10 7 2 3" xfId="25074" xr:uid="{3ED8B0F1-0D48-4618-B809-8C110D821FF5}"/>
    <cellStyle name="Total 2 10 7 3" xfId="16316" xr:uid="{FFA8AEBC-1AE5-461D-BAAA-623C54AAECB2}"/>
    <cellStyle name="Total 2 10 7 3 2" xfId="38706" xr:uid="{CDAF7A1F-035D-4616-A671-9E0F3DD2CE19}"/>
    <cellStyle name="Total 2 10 7 3 3" xfId="44027" xr:uid="{FA7E471E-240E-4A9E-ADB8-507B3DDACB1B}"/>
    <cellStyle name="Total 2 10 7 4" xfId="15377" xr:uid="{80D24AD5-BAAE-43E0-AD6B-D695FA96831C}"/>
    <cellStyle name="Total 2 10 7 4 2" xfId="37807" xr:uid="{FA62EC4A-7E14-4D0A-A0CD-D3B8396CAE2B}"/>
    <cellStyle name="Total 2 10 7 4 3" xfId="48736" xr:uid="{B3E88EF7-5C89-479E-BFBA-D2FA4ED630DA}"/>
    <cellStyle name="Total 2 10 7 5" xfId="20406" xr:uid="{A81503C7-3BEE-4496-810C-22B7D19155AF}"/>
    <cellStyle name="Total 2 10 7 5 2" xfId="26398" xr:uid="{F2EF9160-1808-48E0-8C16-DDB5C6FCAB9E}"/>
    <cellStyle name="Total 2 10 7 6" xfId="31957" xr:uid="{B5C9603A-EC53-4BE7-81A4-E65572A33ADC}"/>
    <cellStyle name="Total 2 10 8" xfId="13966" xr:uid="{2BCA7D85-1491-4DE0-AC26-279B5C023E1C}"/>
    <cellStyle name="Total 2 10 8 2" xfId="36450" xr:uid="{3504B899-47BC-47BF-B526-BB4D7DCDEB63}"/>
    <cellStyle name="Total 2 10 8 3" xfId="52576" xr:uid="{EA487E59-A6A9-4D6B-914A-715BB34F4ECF}"/>
    <cellStyle name="Total 2 10 9" xfId="20386" xr:uid="{FC9D8D19-5D92-4FAC-A273-30C159E86D95}"/>
    <cellStyle name="Total 2 10 9 2" xfId="42681" xr:uid="{8A2CCA3A-6018-43CB-956C-34FFE50E55B1}"/>
    <cellStyle name="Total 2 10 9 3" xfId="45062" xr:uid="{30781B20-7B5C-4E4C-A701-C8DEC5119AFF}"/>
    <cellStyle name="Total 2 11" xfId="683" xr:uid="{00000000-0005-0000-0000-000067080000}"/>
    <cellStyle name="Total 2 11 10" xfId="19961" xr:uid="{470F48DB-7F2D-409E-95D1-B554303B9C14}"/>
    <cellStyle name="Total 2 11 10 2" xfId="44381" xr:uid="{8B90BC15-88BD-4CF6-AEE9-F5BC168EA25F}"/>
    <cellStyle name="Total 2 11 11" xfId="51292" xr:uid="{53E90605-194B-4D79-AF74-1B33D0E116B5}"/>
    <cellStyle name="Total 2 11 2" xfId="1761" xr:uid="{00000000-0005-0000-0000-000068080000}"/>
    <cellStyle name="Total 2 11 2 10" xfId="14459" xr:uid="{34460947-BCA6-4341-B9C1-7551A1F59F4A}"/>
    <cellStyle name="Total 2 11 2 10 2" xfId="36924" xr:uid="{4285DCC3-9A40-4937-B287-278CEF7207C4}"/>
    <cellStyle name="Total 2 11 2 10 3" xfId="47318" xr:uid="{4218658A-2F40-42BF-BB76-9BC261882D67}"/>
    <cellStyle name="Total 2 11 2 11" xfId="15602" xr:uid="{2C6913AC-B3AC-4826-8E21-CB6F103E22BD}"/>
    <cellStyle name="Total 2 11 2 11 2" xfId="38019" xr:uid="{B2340960-DE54-42CC-93DF-BCDB81AC8134}"/>
    <cellStyle name="Total 2 11 2 11 3" xfId="50129" xr:uid="{5FB518AC-A6C2-44F7-B75E-611647F46B3A}"/>
    <cellStyle name="Total 2 11 2 12" xfId="15703" xr:uid="{03358EE9-55B5-419D-ACA5-FF28BD8C983A}"/>
    <cellStyle name="Total 2 11 2 12 2" xfId="54065" xr:uid="{1DF625C0-2336-4019-9149-7B8D39BB2CFC}"/>
    <cellStyle name="Total 2 11 2 13" xfId="48353" xr:uid="{F64BFD8A-7C3A-4211-B7A0-BA0287955C15}"/>
    <cellStyle name="Total 2 11 2 2" xfId="3859" xr:uid="{00000000-0005-0000-0000-000065080000}"/>
    <cellStyle name="Total 2 11 2 2 2" xfId="10763" xr:uid="{67ADBC4C-4608-47BE-86FB-E72104B5DB61}"/>
    <cellStyle name="Total 2 11 2 2 2 2" xfId="33249" xr:uid="{DFFD04DA-818E-498E-862D-93B9385C766A}"/>
    <cellStyle name="Total 2 11 2 2 2 3" xfId="50211" xr:uid="{1E940E00-5378-4797-A1E2-A8101F48D046}"/>
    <cellStyle name="Total 2 11 2 2 3" xfId="15915" xr:uid="{6C80E415-E966-4ED9-859E-FFD56C626280}"/>
    <cellStyle name="Total 2 11 2 2 3 2" xfId="38321" xr:uid="{E13B8690-4929-4C73-8671-F126839EED0D}"/>
    <cellStyle name="Total 2 11 2 2 3 3" xfId="26015" xr:uid="{2EBFD46C-6093-4A5C-8AF4-07F1EC67909D}"/>
    <cellStyle name="Total 2 11 2 2 4" xfId="20982" xr:uid="{6B24D433-CF2B-4647-91B4-C3F36BB8C1DF}"/>
    <cellStyle name="Total 2 11 2 2 4 2" xfId="43236" xr:uid="{442178E4-A14E-4A19-823E-57371C1FFAD3}"/>
    <cellStyle name="Total 2 11 2 2 4 3" xfId="29720" xr:uid="{5DD479A7-E4BD-4D89-8EF2-322567AE7599}"/>
    <cellStyle name="Total 2 11 2 2 5" xfId="20384" xr:uid="{08A93DDE-2F31-4DB3-863A-4A732C32B615}"/>
    <cellStyle name="Total 2 11 2 2 5 2" xfId="51361" xr:uid="{A5218F6A-088F-49E4-A466-D13F710A1E18}"/>
    <cellStyle name="Total 2 11 2 2 6" xfId="51638" xr:uid="{CEF7CFED-757E-48D6-B2C4-DDBB4C5CB332}"/>
    <cellStyle name="Total 2 11 2 3" xfId="5273" xr:uid="{00000000-0005-0000-0000-000065080000}"/>
    <cellStyle name="Total 2 11 2 3 2" xfId="12165" xr:uid="{183018A5-A894-4580-A35B-6F53691E3E8E}"/>
    <cellStyle name="Total 2 11 2 3 2 2" xfId="34650" xr:uid="{3E5A281E-A315-44FC-BF63-005A2ABFA78F}"/>
    <cellStyle name="Total 2 11 2 3 2 3" xfId="25472" xr:uid="{2E5F5ACD-15CB-4509-AECD-6825D0B558A0}"/>
    <cellStyle name="Total 2 11 2 3 3" xfId="17210" xr:uid="{FB5FDD95-41B4-41C2-BD1B-C6644085442E}"/>
    <cellStyle name="Total 2 11 2 3 3 2" xfId="39600" xr:uid="{4DD93156-8A22-41C2-9AE4-F6FC6C049DE4}"/>
    <cellStyle name="Total 2 11 2 3 3 3" xfId="30184" xr:uid="{C66D8E3D-AD3C-4802-9347-B17030A01E25}"/>
    <cellStyle name="Total 2 11 2 3 4" xfId="16011" xr:uid="{C901C496-3890-4A16-8CB0-181EED68071D}"/>
    <cellStyle name="Total 2 11 2 3 4 2" xfId="38412" xr:uid="{E23541FE-FD49-43A6-805C-7EE6C32B87E5}"/>
    <cellStyle name="Total 2 11 2 3 4 3" xfId="50415" xr:uid="{A05B59D2-9575-4E4E-A5EB-20FFA23C6025}"/>
    <cellStyle name="Total 2 11 2 3 5" xfId="21634" xr:uid="{29A728F4-EA87-498C-B32F-10BE7269D0DC}"/>
    <cellStyle name="Total 2 11 2 3 5 2" xfId="53782" xr:uid="{E5B3029D-5BF0-4DC2-8B25-5E6C0EB72344}"/>
    <cellStyle name="Total 2 11 2 3 6" xfId="26216" xr:uid="{01B227B4-C455-4967-A451-B406373E4325}"/>
    <cellStyle name="Total 2 11 2 4" xfId="5683" xr:uid="{00000000-0005-0000-0000-000065080000}"/>
    <cellStyle name="Total 2 11 2 4 2" xfId="12567" xr:uid="{1D5C5F67-7CB8-4E98-B755-144E1F36D97A}"/>
    <cellStyle name="Total 2 11 2 4 2 2" xfId="35052" xr:uid="{1F4312DB-317D-4AD0-8C8D-0D913ADBFBAD}"/>
    <cellStyle name="Total 2 11 2 4 2 3" xfId="41784" xr:uid="{711D2D90-3A32-4C5B-AD91-E0F4D66EF03E}"/>
    <cellStyle name="Total 2 11 2 4 3" xfId="17620" xr:uid="{E6E29536-780F-4C50-840C-AA654A2A11F6}"/>
    <cellStyle name="Total 2 11 2 4 3 2" xfId="40010" xr:uid="{F1FA223A-E0A9-4796-A3AD-8EE36719F2E8}"/>
    <cellStyle name="Total 2 11 2 4 3 3" xfId="25815" xr:uid="{66F05025-04B5-4163-9511-11EC34EF7B30}"/>
    <cellStyle name="Total 2 11 2 4 4" xfId="7740" xr:uid="{AF08611A-6435-44CA-8912-98CAB794DBAB}"/>
    <cellStyle name="Total 2 11 2 4 4 2" xfId="30389" xr:uid="{85B7E46D-1377-49F1-8E70-0C2AE01684D3}"/>
    <cellStyle name="Total 2 11 2 4 4 3" xfId="47835" xr:uid="{2FE8B182-F0BB-4FC8-A3C4-59341CA274CA}"/>
    <cellStyle name="Total 2 11 2 4 5" xfId="22044" xr:uid="{029FE9DE-19A1-410E-AD78-123D04A67593}"/>
    <cellStyle name="Total 2 11 2 4 5 2" xfId="23678" xr:uid="{97AC7200-A5CF-4B3C-A409-1B907B399AD2}"/>
    <cellStyle name="Total 2 11 2 4 6" xfId="25681" xr:uid="{A26591B5-26E0-4EB6-8091-AAA2F176C9C1}"/>
    <cellStyle name="Total 2 11 2 5" xfId="6044" xr:uid="{00000000-0005-0000-0000-000065080000}"/>
    <cellStyle name="Total 2 11 2 5 2" xfId="12923" xr:uid="{691B7E5A-C836-405F-916D-E5FF0C1FB7CE}"/>
    <cellStyle name="Total 2 11 2 5 2 2" xfId="35407" xr:uid="{389C3FCB-A90A-41E4-87F5-DA0ADA2F79E2}"/>
    <cellStyle name="Total 2 11 2 5 2 3" xfId="53683" xr:uid="{38DBBD95-CCFA-4727-8D84-038C398929EB}"/>
    <cellStyle name="Total 2 11 2 5 3" xfId="17981" xr:uid="{25BC3626-BBCD-4631-9881-B0300329498C}"/>
    <cellStyle name="Total 2 11 2 5 3 2" xfId="40371" xr:uid="{E30EE305-2FF9-4655-B2B4-58BB927B2D8C}"/>
    <cellStyle name="Total 2 11 2 5 3 3" xfId="44612" xr:uid="{FE7ED5CD-32F5-426B-BD29-78FA55CC6A19}"/>
    <cellStyle name="Total 2 11 2 5 4" xfId="13303" xr:uid="{42137A78-AD57-4948-BFAA-33FCA516C864}"/>
    <cellStyle name="Total 2 11 2 5 4 2" xfId="35787" xr:uid="{A611F50D-DEA6-4476-AC5D-72665A89B6F9}"/>
    <cellStyle name="Total 2 11 2 5 4 3" xfId="52437" xr:uid="{1AB893D1-FB7F-4EDB-9DB3-FD914C1F4790}"/>
    <cellStyle name="Total 2 11 2 5 5" xfId="22405" xr:uid="{C5B98DA3-5BDA-4312-AA36-09A9E157D283}"/>
    <cellStyle name="Total 2 11 2 5 5 2" xfId="47176" xr:uid="{DE944268-6BE6-4D01-B1AF-E1ECD404480E}"/>
    <cellStyle name="Total 2 11 2 5 6" xfId="53230" xr:uid="{8445E29D-A33C-45D6-AF2C-A0AFEC8FC392}"/>
    <cellStyle name="Total 2 11 2 6" xfId="6422" xr:uid="{00000000-0005-0000-0000-000065080000}"/>
    <cellStyle name="Total 2 11 2 6 2" xfId="13294" xr:uid="{B0E42731-9427-4475-9A83-BB05A5599F1C}"/>
    <cellStyle name="Total 2 11 2 6 2 2" xfId="35778" xr:uid="{9B7B0A0F-350C-4C8B-AB85-DD6B849EAC2E}"/>
    <cellStyle name="Total 2 11 2 6 2 3" xfId="49141" xr:uid="{70302787-4137-4EA1-A18A-B2AD18F524CE}"/>
    <cellStyle name="Total 2 11 2 6 3" xfId="18359" xr:uid="{F820FC5D-0400-4622-B2A1-A1A42F740256}"/>
    <cellStyle name="Total 2 11 2 6 3 2" xfId="40749" xr:uid="{117EFBAB-C3D1-4931-BD9B-648A80FAC8FD}"/>
    <cellStyle name="Total 2 11 2 6 3 3" xfId="29848" xr:uid="{FF56749A-C992-488F-A29D-9730DB6683A3}"/>
    <cellStyle name="Total 2 11 2 6 4" xfId="20594" xr:uid="{5491B003-2962-4E89-8A8C-A20D3FECBD29}"/>
    <cellStyle name="Total 2 11 2 6 4 2" xfId="42876" xr:uid="{6610BD33-CAE4-4127-9F40-DAF08BECB17A}"/>
    <cellStyle name="Total 2 11 2 6 4 3" xfId="23655" xr:uid="{3BDCB3D6-4744-4116-B6F2-D891C3ABAE83}"/>
    <cellStyle name="Total 2 11 2 6 5" xfId="22783" xr:uid="{7B706174-C95E-464A-9728-CDEA0B7C95B6}"/>
    <cellStyle name="Total 2 11 2 6 5 2" xfId="23712" xr:uid="{38CF2CD0-9C75-4033-BF81-C6F375A967D7}"/>
    <cellStyle name="Total 2 11 2 6 6" xfId="44376" xr:uid="{767526F7-F1DA-44C0-B9F1-898F240B2627}"/>
    <cellStyle name="Total 2 11 2 7" xfId="5837" xr:uid="{00000000-0005-0000-0000-000065080000}"/>
    <cellStyle name="Total 2 11 2 7 2" xfId="12720" xr:uid="{F1E7AD62-FB42-4C02-84F9-ECD1B6B291E1}"/>
    <cellStyle name="Total 2 11 2 7 2 2" xfId="35204" xr:uid="{EC9CC9DF-EA80-4191-B65D-2228A7E05C46}"/>
    <cellStyle name="Total 2 11 2 7 2 3" xfId="26678" xr:uid="{84492948-977D-4B3D-81BA-2D29B6C93808}"/>
    <cellStyle name="Total 2 11 2 7 3" xfId="17774" xr:uid="{8C54D13F-8A7F-4928-81BA-5A5F702943DA}"/>
    <cellStyle name="Total 2 11 2 7 3 2" xfId="40164" xr:uid="{40957BA2-4A57-4242-BC5A-5EECEF580930}"/>
    <cellStyle name="Total 2 11 2 7 3 3" xfId="28220" xr:uid="{2B91F61D-F356-4329-AF21-8DCF4F8D835F}"/>
    <cellStyle name="Total 2 11 2 7 4" xfId="14279" xr:uid="{E9B6E22D-40CE-455B-B91C-CD504D2A220D}"/>
    <cellStyle name="Total 2 11 2 7 4 2" xfId="36749" xr:uid="{D44853E1-41DA-4CD6-8F81-AB4FF2051996}"/>
    <cellStyle name="Total 2 11 2 7 4 3" xfId="28913" xr:uid="{6BDEF465-8638-4A7F-B83B-7CD0DA059E9E}"/>
    <cellStyle name="Total 2 11 2 7 5" xfId="22198" xr:uid="{24280B4A-5BDB-4272-9E88-45DCD9A6AEC2}"/>
    <cellStyle name="Total 2 11 2 7 5 2" xfId="48361" xr:uid="{2713E338-BE05-42B0-B957-2929DAD0279D}"/>
    <cellStyle name="Total 2 11 2 7 6" xfId="43993" xr:uid="{B0B89873-E143-4433-926D-7182CE0D10FC}"/>
    <cellStyle name="Total 2 11 2 8" xfId="6935" xr:uid="{00000000-0005-0000-0000-000065080000}"/>
    <cellStyle name="Total 2 11 2 8 2" xfId="13773" xr:uid="{7DE6D9C5-C33E-46B8-95E5-9F5578ACB0BD}"/>
    <cellStyle name="Total 2 11 2 8 2 2" xfId="36257" xr:uid="{A6C550C6-5A51-4621-8BBC-5BFE9BF1ECBB}"/>
    <cellStyle name="Total 2 11 2 8 2 3" xfId="52519" xr:uid="{93EDDAAA-6504-4CD8-AED5-570F9E61CC96}"/>
    <cellStyle name="Total 2 11 2 8 3" xfId="18872" xr:uid="{6CE4724A-3254-47FA-A8CD-899B3A4D6C0E}"/>
    <cellStyle name="Total 2 11 2 8 3 2" xfId="41262" xr:uid="{C5865AED-99FF-43DB-96D2-178A3CF81056}"/>
    <cellStyle name="Total 2 11 2 8 3 3" xfId="43617" xr:uid="{112C2F03-D460-42E1-8468-32CE7F847C18}"/>
    <cellStyle name="Total 2 11 2 8 4" xfId="8761" xr:uid="{F4940DE0-AE43-4FB5-BBB1-CD98EDE064DF}"/>
    <cellStyle name="Total 2 11 2 8 4 2" xfId="31344" xr:uid="{33528CB0-AAD3-4197-8C54-0ADACD267703}"/>
    <cellStyle name="Total 2 11 2 8 4 3" xfId="48344" xr:uid="{853B905F-E120-40AB-AE09-7F15FD1F01A9}"/>
    <cellStyle name="Total 2 11 2 8 5" xfId="23296" xr:uid="{87EB5F6C-900F-468D-918D-332C2414BCA3}"/>
    <cellStyle name="Total 2 11 2 8 5 2" xfId="43960" xr:uid="{626D242D-39EC-4A2C-9956-074607780C61}"/>
    <cellStyle name="Total 2 11 2 8 6" xfId="27841" xr:uid="{41E1EFA6-E337-4DFB-BB00-438300062404}"/>
    <cellStyle name="Total 2 11 2 9" xfId="5544" xr:uid="{00000000-0005-0000-0000-000065080000}"/>
    <cellStyle name="Total 2 11 2 9 2" xfId="17481" xr:uid="{0C905629-BA72-44CC-B67D-7E89F626E6B8}"/>
    <cellStyle name="Total 2 11 2 9 2 2" xfId="39871" xr:uid="{0DF64E9A-20A8-4F73-BDA8-44DAEEF99AD2}"/>
    <cellStyle name="Total 2 11 2 9 2 3" xfId="28104" xr:uid="{A825E2F9-4409-49D2-8CA6-0E792F87B82E}"/>
    <cellStyle name="Total 2 11 2 9 3" xfId="19857" xr:uid="{9B97EEC5-56C9-45FE-B2B4-0009F7E566E2}"/>
    <cellStyle name="Total 2 11 2 9 3 2" xfId="42192" xr:uid="{27288548-9D76-4ADE-B934-4321D9AE5DD1}"/>
    <cellStyle name="Total 2 11 2 9 3 3" xfId="29269" xr:uid="{0E45700C-7940-4FF5-9CA0-F829F3B29C88}"/>
    <cellStyle name="Total 2 11 2 9 4" xfId="21905" xr:uid="{B166D355-9C0D-4BFC-B345-00FCD47819C2}"/>
    <cellStyle name="Total 2 11 2 9 4 2" xfId="24266" xr:uid="{5D0790A7-6E4E-4D3E-AD46-C35E67AFF068}"/>
    <cellStyle name="Total 2 11 2 9 5" xfId="37429" xr:uid="{1BB91F3C-EE03-4057-8D84-540AAE9B9AF3}"/>
    <cellStyle name="Total 2 11 3" xfId="2825" xr:uid="{00000000-0005-0000-0000-000064080000}"/>
    <cellStyle name="Total 2 11 3 2" xfId="9734" xr:uid="{E8E9DAED-AC50-43CE-85CF-11F18E47FD6D}"/>
    <cellStyle name="Total 2 11 3 2 2" xfId="32272" xr:uid="{EE827E4B-BA2C-4CB9-8780-FC2CF19F9757}"/>
    <cellStyle name="Total 2 11 3 2 3" xfId="52155" xr:uid="{3BD9B5AA-E96E-41E2-B795-724096592D17}"/>
    <cellStyle name="Total 2 11 3 3" xfId="15224" xr:uid="{5780C991-3C4A-41FC-8498-92927ECE25CE}"/>
    <cellStyle name="Total 2 11 3 3 2" xfId="37661" xr:uid="{7FC1A23E-1167-42B8-B4A0-5477A57557A1}"/>
    <cellStyle name="Total 2 11 3 3 3" xfId="53564" xr:uid="{34A93487-EA24-46C5-86B2-5F353C251A62}"/>
    <cellStyle name="Total 2 11 3 4" xfId="19354" xr:uid="{7BF488B8-E415-4BDA-BCBD-861F37E92AF3}"/>
    <cellStyle name="Total 2 11 3 4 2" xfId="41728" xr:uid="{D9FD2681-3FD1-4D91-8875-617B068BF04E}"/>
    <cellStyle name="Total 2 11 3 4 3" xfId="27772" xr:uid="{D5C9E86A-3F8D-4B76-A799-3000A0F08FFB}"/>
    <cellStyle name="Total 2 11 3 5" xfId="15106" xr:uid="{9C7B7466-4D68-4396-9A35-1C39F1560C4D}"/>
    <cellStyle name="Total 2 11 3 5 2" xfId="53646" xr:uid="{C0615DE1-12D5-47C7-BC51-83731CB5E0C4}"/>
    <cellStyle name="Total 2 11 3 6" xfId="47345" xr:uid="{7224B667-E2F2-49BD-AD4A-954FF6B8AB46}"/>
    <cellStyle name="Total 2 11 4" xfId="4590" xr:uid="{00000000-0005-0000-0000-000064080000}"/>
    <cellStyle name="Total 2 11 4 2" xfId="11492" xr:uid="{D8EB9D93-A836-4F12-9316-924B2DB26308}"/>
    <cellStyle name="Total 2 11 4 2 2" xfId="33978" xr:uid="{FF320C9C-2F82-4EAE-AA2A-33D304E78399}"/>
    <cellStyle name="Total 2 11 4 2 3" xfId="32220" xr:uid="{F2AF0F1E-2A91-4535-8C5F-66F7CD8F113F}"/>
    <cellStyle name="Total 2 11 4 3" xfId="16527" xr:uid="{85D43DDD-86E1-4390-8622-8575828A1B08}"/>
    <cellStyle name="Total 2 11 4 3 2" xfId="38917" xr:uid="{F0443726-7CE2-470D-9E33-9411DE9F783E}"/>
    <cellStyle name="Total 2 11 4 3 3" xfId="44055" xr:uid="{ED0AEB72-5FC5-4B59-BC9C-9271181B9599}"/>
    <cellStyle name="Total 2 11 4 4" xfId="19692" xr:uid="{163D1207-5254-4E2F-8348-42C4662FBA04}"/>
    <cellStyle name="Total 2 11 4 4 2" xfId="42039" xr:uid="{8C5234BF-1847-4C0D-B3AF-02EDEBFBA2AA}"/>
    <cellStyle name="Total 2 11 4 4 3" xfId="26399" xr:uid="{6EC8EE36-DE43-43F6-820C-AAEC8A465553}"/>
    <cellStyle name="Total 2 11 4 5" xfId="7271" xr:uid="{D6599261-8589-45BA-BFED-4FC06218FA86}"/>
    <cellStyle name="Total 2 11 4 5 2" xfId="53718" xr:uid="{1B177224-E5E2-46FC-8808-02A006E4020B}"/>
    <cellStyle name="Total 2 11 4 6" xfId="30299" xr:uid="{C54F8246-98A3-4BCD-A7CB-38CD66B95856}"/>
    <cellStyle name="Total 2 11 5" xfId="4865" xr:uid="{00000000-0005-0000-0000-000064080000}"/>
    <cellStyle name="Total 2 11 5 2" xfId="11761" xr:uid="{7A2F053B-8CEA-485C-90A6-44597F4CC052}"/>
    <cellStyle name="Total 2 11 5 2 2" xfId="34247" xr:uid="{9597C3C4-FD05-4E86-B485-DD7E1421E3E0}"/>
    <cellStyle name="Total 2 11 5 2 3" xfId="45665" xr:uid="{26A0B1F6-69C7-49EE-9F09-8FBCD1DD4603}"/>
    <cellStyle name="Total 2 11 5 3" xfId="16802" xr:uid="{14CBC981-729E-4623-8D82-D453ECCAE249}"/>
    <cellStyle name="Total 2 11 5 3 2" xfId="39192" xr:uid="{BB920182-8BD3-49F4-A682-CF79138FCCC8}"/>
    <cellStyle name="Total 2 11 5 3 3" xfId="29262" xr:uid="{29BF9C4F-072C-49A6-99C1-7D6BDEFBF177}"/>
    <cellStyle name="Total 2 11 5 4" xfId="14267" xr:uid="{D2652FD9-487D-42D6-9552-3C378D7E8892}"/>
    <cellStyle name="Total 2 11 5 4 2" xfId="36738" xr:uid="{1F8D6A09-7449-4156-93A6-DE8168DC025E}"/>
    <cellStyle name="Total 2 11 5 4 3" xfId="44239" xr:uid="{9CD952F7-FB91-4C63-B24A-0205B13FC570}"/>
    <cellStyle name="Total 2 11 5 5" xfId="15513" xr:uid="{CC42B668-67BB-450C-834B-B6CA636405D2}"/>
    <cellStyle name="Total 2 11 5 5 2" xfId="46271" xr:uid="{E9B64FA0-E99D-4ED4-A157-966C54F62186}"/>
    <cellStyle name="Total 2 11 5 6" xfId="48620" xr:uid="{03812F28-EB0E-43B8-948F-C6480488C72C}"/>
    <cellStyle name="Total 2 11 6" xfId="6052" xr:uid="{00000000-0005-0000-0000-000064080000}"/>
    <cellStyle name="Total 2 11 6 2" xfId="12931" xr:uid="{6A92584E-5B19-4129-9E4A-6CF416BBD650}"/>
    <cellStyle name="Total 2 11 6 2 2" xfId="35415" xr:uid="{72E7A559-AB86-4B1D-AAAF-9717A0E35238}"/>
    <cellStyle name="Total 2 11 6 2 3" xfId="53213" xr:uid="{0168F862-1250-4B90-89CE-3F42527A61CB}"/>
    <cellStyle name="Total 2 11 6 3" xfId="17989" xr:uid="{1178DBC1-66DC-4F35-9C69-926FB94AF525}"/>
    <cellStyle name="Total 2 11 6 3 2" xfId="40379" xr:uid="{F10FC073-98A0-4D32-8AEA-9ADF269FDEE5}"/>
    <cellStyle name="Total 2 11 6 3 3" xfId="42657" xr:uid="{A8192C46-87C9-46EB-BFB1-8210E225F5CF}"/>
    <cellStyle name="Total 2 11 6 4" xfId="8431" xr:uid="{018D3785-2A23-417F-8087-E4FAF7AF80FE}"/>
    <cellStyle name="Total 2 11 6 4 2" xfId="31019" xr:uid="{EEECA144-C211-4884-B1DF-CA5E65759F6C}"/>
    <cellStyle name="Total 2 11 6 4 3" xfId="50324" xr:uid="{9C98CE68-21DC-44A4-9113-9DBBA1B96A9C}"/>
    <cellStyle name="Total 2 11 6 5" xfId="22413" xr:uid="{E56D862C-BFE8-40CD-90B0-2E5A469ABDEC}"/>
    <cellStyle name="Total 2 11 6 5 2" xfId="46427" xr:uid="{23E7313B-C7A0-4199-BC01-6181977F5876}"/>
    <cellStyle name="Total 2 11 6 6" xfId="46656" xr:uid="{0526C1BA-D26F-4092-9E14-0EE74D7E3248}"/>
    <cellStyle name="Total 2 11 7" xfId="6246" xr:uid="{00000000-0005-0000-0000-000064080000}"/>
    <cellStyle name="Total 2 11 7 2" xfId="13119" xr:uid="{BA555494-953E-4528-87B8-02ADB82F0958}"/>
    <cellStyle name="Total 2 11 7 2 2" xfId="35603" xr:uid="{C934B3A6-843B-4396-BC45-EAB71637387F}"/>
    <cellStyle name="Total 2 11 7 2 3" xfId="29273" xr:uid="{D1865337-1B64-4E77-8675-91EA06D3F8BB}"/>
    <cellStyle name="Total 2 11 7 3" xfId="18183" xr:uid="{AFBBBB63-2412-4FCD-8287-7FBEB584D9D6}"/>
    <cellStyle name="Total 2 11 7 3 2" xfId="40573" xr:uid="{A7C857DC-B357-4D73-9163-71D1F9B0A182}"/>
    <cellStyle name="Total 2 11 7 3 3" xfId="25842" xr:uid="{61DECEBB-AA7F-4DE1-8F13-3841A09A003C}"/>
    <cellStyle name="Total 2 11 7 4" xfId="14811" xr:uid="{0F12856D-D009-46BF-8240-C1AD847889DB}"/>
    <cellStyle name="Total 2 11 7 4 2" xfId="37266" xr:uid="{404CC47A-B0FA-4EB9-AF9A-145FBDC5E454}"/>
    <cellStyle name="Total 2 11 7 4 3" xfId="53613" xr:uid="{0D631FF3-3836-45B9-8128-EAF9C1D3FFB0}"/>
    <cellStyle name="Total 2 11 7 5" xfId="22607" xr:uid="{9026A716-744B-497A-A670-4BDB4FA27453}"/>
    <cellStyle name="Total 2 11 7 5 2" xfId="27353" xr:uid="{6ADF1818-B76D-491A-BA31-BAF6B33ACCC8}"/>
    <cellStyle name="Total 2 11 7 6" xfId="52484" xr:uid="{343B3C59-420F-427C-B9E3-896E46791D14}"/>
    <cellStyle name="Total 2 11 8" xfId="13655" xr:uid="{8421EBCA-4ECA-4F92-9CB6-9300FB4669B3}"/>
    <cellStyle name="Total 2 11 8 2" xfId="36139" xr:uid="{4254C9E5-7674-4F8E-95A0-89C93236BC81}"/>
    <cellStyle name="Total 2 11 8 3" xfId="51787" xr:uid="{D1057484-9460-40C8-842A-C58052731CDE}"/>
    <cellStyle name="Total 2 11 9" xfId="20592" xr:uid="{69DE2483-A5FF-4AA5-8858-7CCFD4BBF122}"/>
    <cellStyle name="Total 2 11 9 2" xfId="42874" xr:uid="{0F028246-2AD3-47F9-AE77-7697D131C658}"/>
    <cellStyle name="Total 2 11 9 3" xfId="48582" xr:uid="{78ECFFA4-72A6-43D0-B371-F11F22568743}"/>
    <cellStyle name="Total 2 12" xfId="875" xr:uid="{00000000-0005-0000-0000-000069080000}"/>
    <cellStyle name="Total 2 12 10" xfId="20995" xr:uid="{0E6EB9B2-CF36-4E3E-B811-6E9F0E00C3AE}"/>
    <cellStyle name="Total 2 12 10 2" xfId="53284" xr:uid="{CC230AA8-E15D-4D4D-B7AF-6DB51E5EA02B}"/>
    <cellStyle name="Total 2 12 11" xfId="53863" xr:uid="{D90F7D77-F3CF-4941-BD13-0BAF58BABF3E}"/>
    <cellStyle name="Total 2 12 2" xfId="1851" xr:uid="{00000000-0005-0000-0000-00006A080000}"/>
    <cellStyle name="Total 2 12 2 10" xfId="14535" xr:uid="{3B54EAF0-41E3-40E5-8539-FFD20DEA5DF6}"/>
    <cellStyle name="Total 2 12 2 10 2" xfId="36996" xr:uid="{8A47B8B1-2D68-44DE-821D-5E005109DB48}"/>
    <cellStyle name="Total 2 12 2 10 3" xfId="45200" xr:uid="{A1047AC0-7491-44FB-8A66-A728B76E2CAD}"/>
    <cellStyle name="Total 2 12 2 11" xfId="21195" xr:uid="{D36DFE9C-C75B-471D-8469-5256E5F28595}"/>
    <cellStyle name="Total 2 12 2 11 2" xfId="43435" xr:uid="{53864B1A-6131-4C38-A911-DD82DBE27090}"/>
    <cellStyle name="Total 2 12 2 11 3" xfId="48336" xr:uid="{8393C2B2-4E12-4BAE-9554-B164A71B3B93}"/>
    <cellStyle name="Total 2 12 2 12" xfId="14908" xr:uid="{46989A2A-80CF-42A6-9DC6-C83FEEAE1135}"/>
    <cellStyle name="Total 2 12 2 12 2" xfId="48455" xr:uid="{30ECF5C4-576F-4A95-AAE7-7A110EEE5E8D}"/>
    <cellStyle name="Total 2 12 2 13" xfId="47825" xr:uid="{337A6837-5302-4F25-BBB8-395B5322B04B}"/>
    <cellStyle name="Total 2 12 2 2" xfId="3949" xr:uid="{00000000-0005-0000-0000-000067080000}"/>
    <cellStyle name="Total 2 12 2 2 2" xfId="10853" xr:uid="{FAF0F6A9-38B2-46BD-8291-636220BA880F}"/>
    <cellStyle name="Total 2 12 2 2 2 2" xfId="33339" xr:uid="{3123C7E7-5E96-4AA1-A40D-8BA5D0C4ACA0}"/>
    <cellStyle name="Total 2 12 2 2 2 3" xfId="50089" xr:uid="{CB5D731C-1D30-47D1-A3FA-2E73A4BF6D47}"/>
    <cellStyle name="Total 2 12 2 2 3" xfId="15991" xr:uid="{5D2A20A9-1925-4CA9-88E8-00AE1BCFAF57}"/>
    <cellStyle name="Total 2 12 2 2 3 2" xfId="38394" xr:uid="{A014FA63-2393-40C1-A847-F6BB6A47C9C7}"/>
    <cellStyle name="Total 2 12 2 2 3 3" xfId="51776" xr:uid="{6DADC20C-2B11-46C9-9666-8E5C9B4B097A}"/>
    <cellStyle name="Total 2 12 2 2 4" xfId="20979" xr:uid="{07A60630-3CCA-4AD5-8C82-E113BD4BFE99}"/>
    <cellStyle name="Total 2 12 2 2 4 2" xfId="43233" xr:uid="{A8570388-D506-4068-B8BC-D157F10B4147}"/>
    <cellStyle name="Total 2 12 2 2 4 3" xfId="29618" xr:uid="{C1B5E1BE-AC9C-4EB6-B241-EA508971E8F8}"/>
    <cellStyle name="Total 2 12 2 2 5" xfId="21058" xr:uid="{9FB0D536-E651-47A1-9A96-39C72041F2EE}"/>
    <cellStyle name="Total 2 12 2 2 5 2" xfId="46993" xr:uid="{508C68F4-62B8-4956-BA7E-BC684F2FBA2F}"/>
    <cellStyle name="Total 2 12 2 2 6" xfId="51706" xr:uid="{AF331745-DB04-42FE-AE3B-A6F0C835ECBB}"/>
    <cellStyle name="Total 2 12 2 3" xfId="5343" xr:uid="{00000000-0005-0000-0000-000067080000}"/>
    <cellStyle name="Total 2 12 2 3 2" xfId="12235" xr:uid="{32733FC7-341F-4609-BE28-87C15563A704}"/>
    <cellStyle name="Total 2 12 2 3 2 2" xfId="34720" xr:uid="{4D11D707-A56D-44B6-8535-B7581C13F386}"/>
    <cellStyle name="Total 2 12 2 3 2 3" xfId="31412" xr:uid="{23996682-B86C-4E37-B0DF-FA7744246F61}"/>
    <cellStyle name="Total 2 12 2 3 3" xfId="17280" xr:uid="{7117A02B-238B-4EBE-8689-2ADE0288A384}"/>
    <cellStyle name="Total 2 12 2 3 3 2" xfId="39670" xr:uid="{B8C75F03-72E5-4607-AE45-4C7D750B66E6}"/>
    <cellStyle name="Total 2 12 2 3 3 3" xfId="30461" xr:uid="{939CBF66-306F-4057-B689-47C09AB4B517}"/>
    <cellStyle name="Total 2 12 2 3 4" xfId="15404" xr:uid="{224B088D-E55E-4147-91EC-B270B6F8CCB1}"/>
    <cellStyle name="Total 2 12 2 3 4 2" xfId="37830" xr:uid="{5C3E9260-C81B-46B8-9EFC-F1761FDE103A}"/>
    <cellStyle name="Total 2 12 2 3 4 3" xfId="45220" xr:uid="{C2E1DA83-C542-4417-93A8-D4D9C78E010E}"/>
    <cellStyle name="Total 2 12 2 3 5" xfId="21704" xr:uid="{648644F7-66B1-4C87-BEE1-176C0E33F130}"/>
    <cellStyle name="Total 2 12 2 3 5 2" xfId="49776" xr:uid="{CD1EB1AC-0AA7-472B-884C-C3936F834683}"/>
    <cellStyle name="Total 2 12 2 3 6" xfId="51717" xr:uid="{FEACB913-C36E-4053-9D66-C123E6681751}"/>
    <cellStyle name="Total 2 12 2 4" xfId="5754" xr:uid="{00000000-0005-0000-0000-000067080000}"/>
    <cellStyle name="Total 2 12 2 4 2" xfId="12638" xr:uid="{6E929365-3F31-4333-979F-01E9E99E51EB}"/>
    <cellStyle name="Total 2 12 2 4 2 2" xfId="35123" xr:uid="{1F7BCA75-9E01-4FB6-8F58-D1AFCE254213}"/>
    <cellStyle name="Total 2 12 2 4 2 3" xfId="25736" xr:uid="{7F982E93-DD81-48AB-8357-BEA8FCB84458}"/>
    <cellStyle name="Total 2 12 2 4 3" xfId="17691" xr:uid="{09ADC525-604E-4977-AEA4-8DDF74E96236}"/>
    <cellStyle name="Total 2 12 2 4 3 2" xfId="40081" xr:uid="{5567B7FA-86FE-4C56-943A-9620A67967B1}"/>
    <cellStyle name="Total 2 12 2 4 3 3" xfId="41606" xr:uid="{603585CB-9051-4F81-AC73-AB1E15394D83}"/>
    <cellStyle name="Total 2 12 2 4 4" xfId="19845" xr:uid="{7FC30509-00BE-4E13-9022-DD82E88E91FC}"/>
    <cellStyle name="Total 2 12 2 4 4 2" xfId="42180" xr:uid="{8AD6364D-D163-4EF2-999E-7E7B5FF0CFA7}"/>
    <cellStyle name="Total 2 12 2 4 4 3" xfId="45189" xr:uid="{C4E176FD-CD0D-46CF-8633-29415CF73466}"/>
    <cellStyle name="Total 2 12 2 4 5" xfId="22115" xr:uid="{B844E1E5-5A2C-404F-9981-521C4E1E8C67}"/>
    <cellStyle name="Total 2 12 2 4 5 2" xfId="50575" xr:uid="{A258A043-2737-4CF8-8B9B-06C0BE361F4B}"/>
    <cellStyle name="Total 2 12 2 4 6" xfId="47062" xr:uid="{BB24AD82-D476-478B-AD5C-DD79E99AA4F3}"/>
    <cellStyle name="Total 2 12 2 5" xfId="6108" xr:uid="{00000000-0005-0000-0000-000067080000}"/>
    <cellStyle name="Total 2 12 2 5 2" xfId="12986" xr:uid="{6C17E901-A3E5-41E8-A820-CF7F41E6E638}"/>
    <cellStyle name="Total 2 12 2 5 2 2" xfId="35470" xr:uid="{D0430E0D-8DD5-42E2-9C96-D766E4AA67FE}"/>
    <cellStyle name="Total 2 12 2 5 2 3" xfId="53394" xr:uid="{99CB498E-91AF-4E9A-BFC2-3E821CB54DD7}"/>
    <cellStyle name="Total 2 12 2 5 3" xfId="18045" xr:uid="{ACA4D80E-C5AB-40F5-8784-F3E0139E7B00}"/>
    <cellStyle name="Total 2 12 2 5 3 2" xfId="40435" xr:uid="{B3CA5433-CC3B-4748-A0EB-A3AB4C0EAB73}"/>
    <cellStyle name="Total 2 12 2 5 3 3" xfId="32312" xr:uid="{8BEC5368-DA4F-4386-B2C7-630601EC55C5}"/>
    <cellStyle name="Total 2 12 2 5 4" xfId="19257" xr:uid="{0C463E88-8E59-4ECF-8449-84DB08A4ED6E}"/>
    <cellStyle name="Total 2 12 2 5 4 2" xfId="41640" xr:uid="{B1C093B4-9D86-4547-83F8-9BE7C80E263A}"/>
    <cellStyle name="Total 2 12 2 5 4 3" xfId="25001" xr:uid="{8421890C-FBF5-4813-B0F8-29C53F9A32F9}"/>
    <cellStyle name="Total 2 12 2 5 5" xfId="22469" xr:uid="{4D696206-F20C-4386-AFDE-70F513C18BD5}"/>
    <cellStyle name="Total 2 12 2 5 5 2" xfId="50571" xr:uid="{4873037E-5BF1-4249-A6A0-E65861067CD4}"/>
    <cellStyle name="Total 2 12 2 5 6" xfId="50740" xr:uid="{EA141835-28D9-4F08-90FF-45510315CA28}"/>
    <cellStyle name="Total 2 12 2 6" xfId="6483" xr:uid="{00000000-0005-0000-0000-000067080000}"/>
    <cellStyle name="Total 2 12 2 6 2" xfId="13353" xr:uid="{0483A522-7AE2-43A0-8348-433288E56135}"/>
    <cellStyle name="Total 2 12 2 6 2 2" xfId="35837" xr:uid="{B5ABB39E-B1CB-4417-B923-4DE5E617B5B0}"/>
    <cellStyle name="Total 2 12 2 6 2 3" xfId="49099" xr:uid="{BB4E5A66-30F3-4875-BA04-FDA2AB19311A}"/>
    <cellStyle name="Total 2 12 2 6 3" xfId="18420" xr:uid="{4DA9E306-A21A-4231-B881-9CCAA683A94A}"/>
    <cellStyle name="Total 2 12 2 6 3 2" xfId="40810" xr:uid="{46104E5D-8BD3-47A2-ADD6-6B0AB182EC4F}"/>
    <cellStyle name="Total 2 12 2 6 3 3" xfId="44149" xr:uid="{6159E3BA-B4D7-4136-AC53-A79C8D0AF2B0}"/>
    <cellStyle name="Total 2 12 2 6 4" xfId="20462" xr:uid="{BF0DB016-A3D0-4981-B802-B24168289DC3}"/>
    <cellStyle name="Total 2 12 2 6 4 2" xfId="42751" xr:uid="{1575003D-DEA1-495C-BCEE-33990DA31B3B}"/>
    <cellStyle name="Total 2 12 2 6 4 3" xfId="53392" xr:uid="{B4940E0A-25D9-4EDF-99C0-6FF242DACA62}"/>
    <cellStyle name="Total 2 12 2 6 5" xfId="22844" xr:uid="{AA4A6F10-8529-48C7-985C-132B0D099C4D}"/>
    <cellStyle name="Total 2 12 2 6 5 2" xfId="44061" xr:uid="{3FAD6596-F067-4D1A-8F54-3154D2A6C855}"/>
    <cellStyle name="Total 2 12 2 6 6" xfId="50012" xr:uid="{CB8FDD79-0565-46F0-B290-AAF8263F1334}"/>
    <cellStyle name="Total 2 12 2 7" xfId="6730" xr:uid="{00000000-0005-0000-0000-000067080000}"/>
    <cellStyle name="Total 2 12 2 7 2" xfId="13589" xr:uid="{9BD1AA34-3E7C-4C97-9064-B78EB7A9B22B}"/>
    <cellStyle name="Total 2 12 2 7 2 2" xfId="36073" xr:uid="{C71EDC18-4DE4-41C5-B974-B4B299F8272B}"/>
    <cellStyle name="Total 2 12 2 7 2 3" xfId="49183" xr:uid="{EA64641A-CDF6-4536-A817-2FA2EA948CC8}"/>
    <cellStyle name="Total 2 12 2 7 3" xfId="18667" xr:uid="{CA5C01E3-37E2-4B12-B8E1-F6E7F1B3D446}"/>
    <cellStyle name="Total 2 12 2 7 3 2" xfId="41057" xr:uid="{0197A1A6-149A-4971-9970-A1F30FC0190F}"/>
    <cellStyle name="Total 2 12 2 7 3 3" xfId="27583" xr:uid="{DC1DB1A0-8E3B-4083-9C13-76FA4D2FADE0}"/>
    <cellStyle name="Total 2 12 2 7 4" xfId="14686" xr:uid="{225EC10F-BCFC-4424-BD6E-51E8CF8E3A69}"/>
    <cellStyle name="Total 2 12 2 7 4 2" xfId="37146" xr:uid="{CA163428-1B15-4FA5-A6A2-0BD7EF043F87}"/>
    <cellStyle name="Total 2 12 2 7 4 3" xfId="51105" xr:uid="{5D039C3A-A91F-481E-B520-605E54A98C89}"/>
    <cellStyle name="Total 2 12 2 7 5" xfId="23091" xr:uid="{2C5E308F-B0A7-418E-B7FB-32FC86F19DFA}"/>
    <cellStyle name="Total 2 12 2 7 5 2" xfId="48018" xr:uid="{6A447F8B-83FF-4936-9C07-878752DE621A}"/>
    <cellStyle name="Total 2 12 2 7 6" xfId="36520" xr:uid="{06D97DAD-F128-462E-856F-15F69F78CC66}"/>
    <cellStyle name="Total 2 12 2 8" xfId="6982" xr:uid="{00000000-0005-0000-0000-000067080000}"/>
    <cellStyle name="Total 2 12 2 8 2" xfId="13819" xr:uid="{52C4FBAD-36B6-43FB-9EF3-2031E3B9D974}"/>
    <cellStyle name="Total 2 12 2 8 2 2" xfId="36303" xr:uid="{9E4E63C0-229E-401F-8C1E-24017D1409E1}"/>
    <cellStyle name="Total 2 12 2 8 2 3" xfId="42509" xr:uid="{513A85CD-9CF1-4DE4-9289-F7146A84233B}"/>
    <cellStyle name="Total 2 12 2 8 3" xfId="18919" xr:uid="{41270505-CC48-4DBA-9DCE-E5C99A1D72BE}"/>
    <cellStyle name="Total 2 12 2 8 3 2" xfId="41309" xr:uid="{D042617A-FC64-490B-8A7D-45EDDB81EA69}"/>
    <cellStyle name="Total 2 12 2 8 3 3" xfId="45884" xr:uid="{77C7E963-B513-43B0-8792-41FB05102D05}"/>
    <cellStyle name="Total 2 12 2 8 4" xfId="14874" xr:uid="{F3D327B6-A079-4734-A982-E532A650018D}"/>
    <cellStyle name="Total 2 12 2 8 4 2" xfId="37328" xr:uid="{1EFA26D6-B25B-4FB0-BF43-87DA634A714F}"/>
    <cellStyle name="Total 2 12 2 8 4 3" xfId="52672" xr:uid="{61B99DEC-885E-447C-814A-EAE4043732E7}"/>
    <cellStyle name="Total 2 12 2 8 5" xfId="23343" xr:uid="{4601AAF2-7105-430F-AC6A-77FCEBEC0663}"/>
    <cellStyle name="Total 2 12 2 8 5 2" xfId="45950" xr:uid="{D2E9761D-8006-4FB1-A76C-9B04C26D3E08}"/>
    <cellStyle name="Total 2 12 2 8 6" xfId="50245" xr:uid="{2174024A-A3B8-465D-B0A8-1879A8093163}"/>
    <cellStyle name="Total 2 12 2 9" xfId="6704" xr:uid="{00000000-0005-0000-0000-000067080000}"/>
    <cellStyle name="Total 2 12 2 9 2" xfId="18641" xr:uid="{7445F4D2-2F78-4088-AD51-646A1B3BB624}"/>
    <cellStyle name="Total 2 12 2 9 2 2" xfId="41031" xr:uid="{AF0D51F1-D531-4AB8-A305-6434DE70BECF}"/>
    <cellStyle name="Total 2 12 2 9 2 3" xfId="24756" xr:uid="{BD475F91-89E2-42CA-89C1-EBB9C601DC77}"/>
    <cellStyle name="Total 2 12 2 9 3" xfId="20134" xr:uid="{934975BE-21E6-47F9-BAF0-64B681DAAA9A}"/>
    <cellStyle name="Total 2 12 2 9 3 2" xfId="42448" xr:uid="{87C08D47-C393-4D6B-854F-90042747A969}"/>
    <cellStyle name="Total 2 12 2 9 3 3" xfId="38671" xr:uid="{89BC787A-37C4-43F0-BFCC-CF5A3A7F09F2}"/>
    <cellStyle name="Total 2 12 2 9 4" xfId="23065" xr:uid="{3F889FDD-3A6E-4752-9EAB-83048E21B947}"/>
    <cellStyle name="Total 2 12 2 9 4 2" xfId="48403" xr:uid="{C9689B48-DD61-404F-81B7-F2CB8DA3FAE0}"/>
    <cellStyle name="Total 2 12 2 9 5" xfId="49004" xr:uid="{34A20460-D8A0-4850-B6ED-17B1AF96DA0D}"/>
    <cellStyle name="Total 2 12 3" xfId="3005" xr:uid="{00000000-0005-0000-0000-000066080000}"/>
    <cellStyle name="Total 2 12 3 2" xfId="9914" xr:uid="{B292F81C-0636-4926-A757-43EDB784A42D}"/>
    <cellStyle name="Total 2 12 3 2 2" xfId="32435" xr:uid="{6F08E871-21A0-4FC1-BCB7-5216ED67B448}"/>
    <cellStyle name="Total 2 12 3 2 3" xfId="52719" xr:uid="{F5853F63-480E-4E94-842B-2862C371D45A}"/>
    <cellStyle name="Total 2 12 3 3" xfId="15347" xr:uid="{4A1F8971-7D5F-466C-AEEB-0214F9A87F2F}"/>
    <cellStyle name="Total 2 12 3 3 2" xfId="37779" xr:uid="{36841073-1FAA-4719-8773-DC33688F7D2A}"/>
    <cellStyle name="Total 2 12 3 3 3" xfId="51200" xr:uid="{0F90C75B-3FC8-40E5-98E7-7FA3241C54F0}"/>
    <cellStyle name="Total 2 12 3 4" xfId="19647" xr:uid="{297FB50E-0F13-4C0A-A7D8-6E47F52FECB7}"/>
    <cellStyle name="Total 2 12 3 4 2" xfId="41995" xr:uid="{38120F72-F057-4FE8-8EC5-C451B5DCF306}"/>
    <cellStyle name="Total 2 12 3 4 3" xfId="32127" xr:uid="{6535995E-3512-4DA1-9AC0-D4E071E0809D}"/>
    <cellStyle name="Total 2 12 3 5" xfId="7342" xr:uid="{761A5255-36D4-4687-952E-B41A67A1808E}"/>
    <cellStyle name="Total 2 12 3 5 2" xfId="44550" xr:uid="{634A59DA-825D-4566-85EB-8341938F4BAA}"/>
    <cellStyle name="Total 2 12 3 6" xfId="53388" xr:uid="{EDF1FBBF-6B5C-476D-8F49-DC63B80AC320}"/>
    <cellStyle name="Total 2 12 4" xfId="4713" xr:uid="{00000000-0005-0000-0000-000066080000}"/>
    <cellStyle name="Total 2 12 4 2" xfId="11611" xr:uid="{93101961-C594-453D-A36F-A6623FDCD226}"/>
    <cellStyle name="Total 2 12 4 2 2" xfId="34097" xr:uid="{09CD507F-9DAF-4070-891C-E265505662FF}"/>
    <cellStyle name="Total 2 12 4 2 3" xfId="28533" xr:uid="{6797F14C-DD76-4F9A-B5B5-DD1019648A02}"/>
    <cellStyle name="Total 2 12 4 3" xfId="16650" xr:uid="{380BEE06-4EF8-4733-942A-0941A7F84127}"/>
    <cellStyle name="Total 2 12 4 3 2" xfId="39040" xr:uid="{22C0D807-C057-4F61-B50B-932791BE8CAD}"/>
    <cellStyle name="Total 2 12 4 3 3" xfId="28517" xr:uid="{133848A1-2A09-4ED8-AD6F-5B71F51B5869}"/>
    <cellStyle name="Total 2 12 4 4" xfId="15575" xr:uid="{E735E3C5-5D3A-487D-B48F-3BC092FD1FFF}"/>
    <cellStyle name="Total 2 12 4 4 2" xfId="37994" xr:uid="{637DD11F-686B-4545-B769-0D61669F718C}"/>
    <cellStyle name="Total 2 12 4 4 3" xfId="49370" xr:uid="{4F860BAF-51F8-430D-AAA4-B0FB45A5EA5F}"/>
    <cellStyle name="Total 2 12 4 5" xfId="19190" xr:uid="{79C7386F-28B3-4DCD-A740-8AB36AAAB23C}"/>
    <cellStyle name="Total 2 12 4 5 2" xfId="26071" xr:uid="{10BA341A-AE3C-45D2-A9A0-6ABA3FDC6929}"/>
    <cellStyle name="Total 2 12 4 6" xfId="24345" xr:uid="{41888A8B-0854-4774-8666-1612860FD530}"/>
    <cellStyle name="Total 2 12 5" xfId="5054" xr:uid="{00000000-0005-0000-0000-000066080000}"/>
    <cellStyle name="Total 2 12 5 2" xfId="11947" xr:uid="{3CD35344-F362-4E95-B23B-E7DEA37DF747}"/>
    <cellStyle name="Total 2 12 5 2 2" xfId="34433" xr:uid="{5B389A2F-9DAC-4A1E-9A64-5D2D686945AD}"/>
    <cellStyle name="Total 2 12 5 2 3" xfId="42470" xr:uid="{94C2165E-DFB1-47DF-9BB7-6D4FCB4E439E}"/>
    <cellStyle name="Total 2 12 5 3" xfId="16991" xr:uid="{E4A8DEBD-2466-4941-B871-1F5E1207EA09}"/>
    <cellStyle name="Total 2 12 5 3 2" xfId="39381" xr:uid="{A820373F-14A5-4823-8FBD-46A6FD3F10F1}"/>
    <cellStyle name="Total 2 12 5 3 3" xfId="43342" xr:uid="{3A97317F-93EE-4821-8966-CC1203CD2592}"/>
    <cellStyle name="Total 2 12 5 4" xfId="8962" xr:uid="{5F6A0D59-E988-4DA6-AB67-021D34AB0F58}"/>
    <cellStyle name="Total 2 12 5 4 2" xfId="31541" xr:uid="{74AA5DD6-2620-47C6-8BAB-3453605511E9}"/>
    <cellStyle name="Total 2 12 5 4 3" xfId="43779" xr:uid="{D6626D52-8D28-402F-A815-B7DD253757C2}"/>
    <cellStyle name="Total 2 12 5 5" xfId="21415" xr:uid="{AFAE7EF1-C4BB-464D-AB62-FCA6B4D9AF99}"/>
    <cellStyle name="Total 2 12 5 5 2" xfId="50042" xr:uid="{4003E7D6-BAF4-44D3-83D3-9CA0B6D077E7}"/>
    <cellStyle name="Total 2 12 5 6" xfId="51427" xr:uid="{B0B1C4D9-BE8D-415E-A3EE-6221BC578083}"/>
    <cellStyle name="Total 2 12 6" xfId="5836" xr:uid="{00000000-0005-0000-0000-000066080000}"/>
    <cellStyle name="Total 2 12 6 2" xfId="12719" xr:uid="{42618A7E-1A4C-4310-9E63-F1D72CF297B7}"/>
    <cellStyle name="Total 2 12 6 2 2" xfId="35203" xr:uid="{555BF1DB-6AD4-4899-AFC4-32AA807A3177}"/>
    <cellStyle name="Total 2 12 6 2 3" xfId="28965" xr:uid="{FF260B87-0A30-4DB5-9BC7-035D3F60C4B8}"/>
    <cellStyle name="Total 2 12 6 3" xfId="17773" xr:uid="{E3C077F1-57E0-4B06-840B-53EE7855A9BD}"/>
    <cellStyle name="Total 2 12 6 3 2" xfId="40163" xr:uid="{945A9537-FEE9-4F59-A8CB-DDCA131DE630}"/>
    <cellStyle name="Total 2 12 6 3 3" xfId="27521" xr:uid="{C7C7A57A-AC87-4243-8E70-420207AF93AF}"/>
    <cellStyle name="Total 2 12 6 4" xfId="16078" xr:uid="{8EA80399-AC26-4FBD-913E-E79C2B5DACB1}"/>
    <cellStyle name="Total 2 12 6 4 2" xfId="38478" xr:uid="{54C7D751-C360-4478-9967-F12F460E56A6}"/>
    <cellStyle name="Total 2 12 6 4 3" xfId="49787" xr:uid="{4B452EED-C31C-49E4-9567-8987916B39B6}"/>
    <cellStyle name="Total 2 12 6 5" xfId="22197" xr:uid="{58940722-B17A-4A85-A176-CAC59900C36D}"/>
    <cellStyle name="Total 2 12 6 5 2" xfId="51318" xr:uid="{79DABA50-AD16-4575-B83E-FA685F83D602}"/>
    <cellStyle name="Total 2 12 6 6" xfId="46506" xr:uid="{24AFEF8C-E58C-4A68-9818-BAD6F7DA5972}"/>
    <cellStyle name="Total 2 12 7" xfId="6367" xr:uid="{00000000-0005-0000-0000-000066080000}"/>
    <cellStyle name="Total 2 12 7 2" xfId="13239" xr:uid="{C809DA8C-1565-4A20-BFD3-32A0004D9683}"/>
    <cellStyle name="Total 2 12 7 2 2" xfId="35723" xr:uid="{3CBFBA12-DFD1-4A8F-ACB3-4B1CD88491A6}"/>
    <cellStyle name="Total 2 12 7 2 3" xfId="24274" xr:uid="{74A74981-385A-48E8-A0D3-89CD90671980}"/>
    <cellStyle name="Total 2 12 7 3" xfId="18304" xr:uid="{49EA293C-E484-4A53-A532-01809859098D}"/>
    <cellStyle name="Total 2 12 7 3 2" xfId="40694" xr:uid="{A8DC036C-8983-43EA-AA34-A3C3E31E0AED}"/>
    <cellStyle name="Total 2 12 7 3 3" xfId="28579" xr:uid="{1E0E6285-DA4C-4E3F-A7B2-3B154C58074C}"/>
    <cellStyle name="Total 2 12 7 4" xfId="15768" xr:uid="{662CD054-61A4-44F1-95BE-D15254AE9FF7}"/>
    <cellStyle name="Total 2 12 7 4 2" xfId="38179" xr:uid="{9A6F9465-353F-4C77-857F-E28C85800BC5}"/>
    <cellStyle name="Total 2 12 7 4 3" xfId="46329" xr:uid="{0E836E76-D504-4805-A067-3466E3B786B5}"/>
    <cellStyle name="Total 2 12 7 5" xfId="22728" xr:uid="{B63A8871-1193-40E5-B6A5-5ACDEE9D72DE}"/>
    <cellStyle name="Total 2 12 7 5 2" xfId="30681" xr:uid="{3D1941DB-9B02-400F-8DE4-AC48C3FDE5A3}"/>
    <cellStyle name="Total 2 12 7 6" xfId="48528" xr:uid="{FCF62954-86AA-4846-A7B1-12A19E87B6BB}"/>
    <cellStyle name="Total 2 12 8" xfId="7338" xr:uid="{7F8383B3-AF75-49E7-8C65-54411D8DBA3A}"/>
    <cellStyle name="Total 2 12 8 2" xfId="30026" xr:uid="{EC886BCD-DE9A-4C55-9764-0D83EF6B7C1C}"/>
    <cellStyle name="Total 2 12 8 3" xfId="53323" xr:uid="{F0B8EFE5-BFA8-4A41-A12B-D600357C5121}"/>
    <cellStyle name="Total 2 12 9" xfId="19595" xr:uid="{3253601C-3406-4A54-9320-65C7D1F9B955}"/>
    <cellStyle name="Total 2 12 9 2" xfId="41950" xr:uid="{86D0C090-6924-481E-9DC6-2E41713FB325}"/>
    <cellStyle name="Total 2 12 9 3" xfId="43157" xr:uid="{43F18BFD-FF1A-4AA5-8472-351C670A2438}"/>
    <cellStyle name="Total 2 13" xfId="1057" xr:uid="{00000000-0005-0000-0000-00006B080000}"/>
    <cellStyle name="Total 2 13 10" xfId="19453" xr:uid="{C05433E1-B854-4914-BBC2-CA34C0035359}"/>
    <cellStyle name="Total 2 13 10 2" xfId="25723" xr:uid="{21642A1B-FCB6-4F0F-9638-305F818C1238}"/>
    <cellStyle name="Total 2 13 11" xfId="43849" xr:uid="{326A4469-EE87-4F3F-B695-5E55F951B32D}"/>
    <cellStyle name="Total 2 13 2" xfId="1946" xr:uid="{00000000-0005-0000-0000-00006C080000}"/>
    <cellStyle name="Total 2 13 2 10" xfId="14613" xr:uid="{583B126D-F39D-449A-881E-1F49546AB62F}"/>
    <cellStyle name="Total 2 13 2 10 2" xfId="37074" xr:uid="{81DC602A-1F0E-49E3-AE6B-CC5D7E9DC4B9}"/>
    <cellStyle name="Total 2 13 2 10 3" xfId="45980" xr:uid="{44D2D1CE-50AE-4760-9CE8-EF469C9023A6}"/>
    <cellStyle name="Total 2 13 2 11" xfId="20284" xr:uid="{49E2A2B9-322B-42D8-BD1D-C10DC95B0C7A}"/>
    <cellStyle name="Total 2 13 2 11 2" xfId="42584" xr:uid="{05160B00-72D9-4E45-80EF-249804220C4A}"/>
    <cellStyle name="Total 2 13 2 11 3" xfId="48536" xr:uid="{02CF715F-5469-44BD-BC17-2CD5268744DF}"/>
    <cellStyle name="Total 2 13 2 12" xfId="14797" xr:uid="{8876E0B1-D191-4B22-AE94-3B9444363830}"/>
    <cellStyle name="Total 2 13 2 12 2" xfId="48622" xr:uid="{A3AF6692-948D-40E5-89AF-F2090A222E34}"/>
    <cellStyle name="Total 2 13 2 13" xfId="48711" xr:uid="{7FB61F85-44E5-49F2-9133-A2006824122C}"/>
    <cellStyle name="Total 2 13 2 2" xfId="4042" xr:uid="{00000000-0005-0000-0000-000069080000}"/>
    <cellStyle name="Total 2 13 2 2 2" xfId="10946" xr:uid="{9E6FD3A2-795B-4921-88A4-970D2FD33EA8}"/>
    <cellStyle name="Total 2 13 2 2 2 2" xfId="33432" xr:uid="{7AACBA4A-A164-450A-B849-FACD6A086D47}"/>
    <cellStyle name="Total 2 13 2 2 2 3" xfId="52942" xr:uid="{5C8570E1-004C-409B-9B47-CE95C88E3C34}"/>
    <cellStyle name="Total 2 13 2 2 3" xfId="16063" xr:uid="{374B0767-7C91-4F03-B068-8CBC4825374F}"/>
    <cellStyle name="Total 2 13 2 2 3 2" xfId="38464" xr:uid="{0A61B5C8-ECF6-4C84-8B4A-4331F0E2420C}"/>
    <cellStyle name="Total 2 13 2 2 3 3" xfId="45990" xr:uid="{DDEADEF8-4098-4EA0-8B4F-B0528E2E78E5}"/>
    <cellStyle name="Total 2 13 2 2 4" xfId="20971" xr:uid="{B5BA0244-9FD5-483E-833A-D1FC8F7DF1AC}"/>
    <cellStyle name="Total 2 13 2 2 4 2" xfId="43225" xr:uid="{13027DAE-D47C-43B1-BB49-D6F737A5021A}"/>
    <cellStyle name="Total 2 13 2 2 4 3" xfId="44729" xr:uid="{C0623B5B-CAA3-4437-B341-7F960F42DF4F}"/>
    <cellStyle name="Total 2 13 2 2 5" xfId="19432" xr:uid="{0254AF43-14AF-44DF-8A35-482347C02CC4}"/>
    <cellStyle name="Total 2 13 2 2 5 2" xfId="43830" xr:uid="{E8A9A1BE-4E75-4ACA-B16B-9D4A58AC1D47}"/>
    <cellStyle name="Total 2 13 2 2 6" xfId="44716" xr:uid="{60B2049E-6CC6-4828-B474-7C9C3312150B}"/>
    <cellStyle name="Total 2 13 2 3" xfId="5415" xr:uid="{00000000-0005-0000-0000-000069080000}"/>
    <cellStyle name="Total 2 13 2 3 2" xfId="12306" xr:uid="{330BF93D-20DB-4DB8-8F69-4FDAD6AD373C}"/>
    <cellStyle name="Total 2 13 2 3 2 2" xfId="34791" xr:uid="{DCC65577-6BF6-4C11-A840-4B967135D269}"/>
    <cellStyle name="Total 2 13 2 3 2 3" xfId="45032" xr:uid="{C3410812-5250-450C-B064-82EB93ABDCB8}"/>
    <cellStyle name="Total 2 13 2 3 3" xfId="17352" xr:uid="{6C7A5396-85BC-4F3F-87D4-9DD8FB278BF2}"/>
    <cellStyle name="Total 2 13 2 3 3 2" xfId="39742" xr:uid="{6B6B266F-E7C1-4108-9944-BF4BFF31A8E4}"/>
    <cellStyle name="Total 2 13 2 3 3 3" xfId="29601" xr:uid="{AA5F08E8-85BB-4234-AB49-35DA5C2B8418}"/>
    <cellStyle name="Total 2 13 2 3 4" xfId="7328" xr:uid="{E423B8E2-C054-4626-B2AC-55CA1FE4186A}"/>
    <cellStyle name="Total 2 13 2 3 4 2" xfId="30016" xr:uid="{BF6A6F03-ED84-408F-BBF7-8EF51677DED3}"/>
    <cellStyle name="Total 2 13 2 3 4 3" xfId="29671" xr:uid="{4EF22EDE-0645-4E2F-87D6-B7A38BDA7F3B}"/>
    <cellStyle name="Total 2 13 2 3 5" xfId="21776" xr:uid="{DA033D8B-541D-4887-804E-BA775BF16CEA}"/>
    <cellStyle name="Total 2 13 2 3 5 2" xfId="51385" xr:uid="{90446E97-31D8-471A-B824-775F641759F2}"/>
    <cellStyle name="Total 2 13 2 3 6" xfId="51724" xr:uid="{A52ABB46-12E7-460A-8D8A-670077977523}"/>
    <cellStyle name="Total 2 13 2 4" xfId="5827" xr:uid="{00000000-0005-0000-0000-000069080000}"/>
    <cellStyle name="Total 2 13 2 4 2" xfId="12710" xr:uid="{030C70C3-21AD-496F-9CC3-27A5AFA44396}"/>
    <cellStyle name="Total 2 13 2 4 2 2" xfId="35195" xr:uid="{A03C7A29-C9B3-491D-A2C0-B0A134C39350}"/>
    <cellStyle name="Total 2 13 2 4 2 3" xfId="42634" xr:uid="{15EADE8C-CFA9-40B6-BB98-6DB363807E26}"/>
    <cellStyle name="Total 2 13 2 4 3" xfId="17764" xr:uid="{20A39D59-E07A-4640-9654-77B48B7B080D}"/>
    <cellStyle name="Total 2 13 2 4 3 2" xfId="40154" xr:uid="{87DD33F0-9EBE-48BD-9D3C-CE3EE24F495E}"/>
    <cellStyle name="Total 2 13 2 4 3 3" xfId="28763" xr:uid="{F2786DBB-F618-4EDD-B558-93CD0658F625}"/>
    <cellStyle name="Total 2 13 2 4 4" xfId="15299" xr:uid="{12BB933E-5331-4617-B83B-7642E9DEE858}"/>
    <cellStyle name="Total 2 13 2 4 4 2" xfId="37731" xr:uid="{BE8FB8E1-41D2-4889-B075-B821DA921279}"/>
    <cellStyle name="Total 2 13 2 4 4 3" xfId="43184" xr:uid="{3BF4C28E-7EF0-49E7-8466-D559867606E4}"/>
    <cellStyle name="Total 2 13 2 4 5" xfId="22188" xr:uid="{81116249-C02B-4D05-B47E-4FCC3E5707B0}"/>
    <cellStyle name="Total 2 13 2 4 5 2" xfId="28447" xr:uid="{A19D3BCD-28FC-4E97-9894-80615584A403}"/>
    <cellStyle name="Total 2 13 2 4 6" xfId="45043" xr:uid="{570377D7-CD1C-4D61-8BF5-068CCF1EEA31}"/>
    <cellStyle name="Total 2 13 2 5" xfId="6173" xr:uid="{00000000-0005-0000-0000-000069080000}"/>
    <cellStyle name="Total 2 13 2 5 2" xfId="13050" xr:uid="{CDD413AD-4E2A-4811-9320-171A8F2945BF}"/>
    <cellStyle name="Total 2 13 2 5 2 2" xfId="35534" xr:uid="{4656757B-D68E-4060-A731-113F0F4BEA2F}"/>
    <cellStyle name="Total 2 13 2 5 2 3" xfId="50189" xr:uid="{B93B1EB9-3543-470A-B445-F43BD51E646E}"/>
    <cellStyle name="Total 2 13 2 5 3" xfId="18110" xr:uid="{4AB45C14-DA19-4477-97C6-9C6343083243}"/>
    <cellStyle name="Total 2 13 2 5 3 2" xfId="40500" xr:uid="{A3596F64-DCBC-4150-A2E2-94B5FE34D41F}"/>
    <cellStyle name="Total 2 13 2 5 3 3" xfId="29101" xr:uid="{815CE75B-4CA5-4827-9612-BBAF5F42587F}"/>
    <cellStyle name="Total 2 13 2 5 4" xfId="8157" xr:uid="{891923F0-788B-4ABE-9E23-562EB656FC3B}"/>
    <cellStyle name="Total 2 13 2 5 4 2" xfId="30769" xr:uid="{40C0A490-2DCE-4418-AB3B-A2FAF3ACF320}"/>
    <cellStyle name="Total 2 13 2 5 4 3" xfId="43887" xr:uid="{A407F69D-AF93-4425-8665-DCBCB360D11A}"/>
    <cellStyle name="Total 2 13 2 5 5" xfId="22534" xr:uid="{DA5B2182-2BE2-4A45-B66D-107ACEB15111}"/>
    <cellStyle name="Total 2 13 2 5 5 2" xfId="25749" xr:uid="{A1F5A24C-FEFA-44F9-AD63-702DCD072357}"/>
    <cellStyle name="Total 2 13 2 5 6" xfId="53814" xr:uid="{29BB2F21-FE93-417F-BDCB-2EF534540B9D}"/>
    <cellStyle name="Total 2 13 2 6" xfId="6544" xr:uid="{00000000-0005-0000-0000-000069080000}"/>
    <cellStyle name="Total 2 13 2 6 2" xfId="13413" xr:uid="{109AE227-A0C4-46BF-8FE8-F32CCE39A852}"/>
    <cellStyle name="Total 2 13 2 6 2 2" xfId="35897" xr:uid="{CD250B1D-3222-40F0-8E00-68181E248E87}"/>
    <cellStyle name="Total 2 13 2 6 2 3" xfId="45562" xr:uid="{1EC1E2FD-D6EC-42AF-A3E0-9A440F7EC52A}"/>
    <cellStyle name="Total 2 13 2 6 3" xfId="18481" xr:uid="{7C0BFDBD-82B4-4E51-8A8F-DF3E4077F248}"/>
    <cellStyle name="Total 2 13 2 6 3 2" xfId="40871" xr:uid="{3E996273-EDB4-4B49-AE34-3F5B2EE96065}"/>
    <cellStyle name="Total 2 13 2 6 3 3" xfId="44904" xr:uid="{17BC630A-3E8D-4B7C-A110-CA9E0BA46EA8}"/>
    <cellStyle name="Total 2 13 2 6 4" xfId="19618" xr:uid="{E9BD3439-81D1-4CB8-8742-D0508F1577CD}"/>
    <cellStyle name="Total 2 13 2 6 4 2" xfId="41970" xr:uid="{78B29C46-A8EC-4611-8702-F813B90E7DAF}"/>
    <cellStyle name="Total 2 13 2 6 4 3" xfId="28351" xr:uid="{88645A7D-467C-480B-8650-08520AA75517}"/>
    <cellStyle name="Total 2 13 2 6 5" xfId="22905" xr:uid="{5CF4B614-BC94-4767-B7CD-E0D22F025F33}"/>
    <cellStyle name="Total 2 13 2 6 5 2" xfId="49988" xr:uid="{94460054-5A01-4CE4-BE2D-3B0004C52B16}"/>
    <cellStyle name="Total 2 13 2 6 6" xfId="26646" xr:uid="{493D6BDB-64FD-4104-900A-F2E7C913E9FC}"/>
    <cellStyle name="Total 2 13 2 7" xfId="6608" xr:uid="{00000000-0005-0000-0000-000069080000}"/>
    <cellStyle name="Total 2 13 2 7 2" xfId="13474" xr:uid="{0A1DDD09-674C-4786-86D5-20BF602F0B5D}"/>
    <cellStyle name="Total 2 13 2 7 2 2" xfId="35958" xr:uid="{838CED34-C097-4E5B-AAE0-37D3C77C5443}"/>
    <cellStyle name="Total 2 13 2 7 2 3" xfId="52492" xr:uid="{35B734EB-3D35-420F-81E1-EF1E4F62676A}"/>
    <cellStyle name="Total 2 13 2 7 3" xfId="18545" xr:uid="{61AF08B4-220D-4C78-854E-C93D10FA14FA}"/>
    <cellStyle name="Total 2 13 2 7 3 2" xfId="40935" xr:uid="{18AA6B40-AEF5-4CAD-806B-33C0F533D816}"/>
    <cellStyle name="Total 2 13 2 7 3 3" xfId="23944" xr:uid="{206F4F25-3BE8-47B6-B9F0-DDB51BFBEF11}"/>
    <cellStyle name="Total 2 13 2 7 4" xfId="20008" xr:uid="{15DC74A3-217D-455F-8DC9-743CAF31270E}"/>
    <cellStyle name="Total 2 13 2 7 4 2" xfId="42333" xr:uid="{8648D6DA-32E1-4A2D-908D-29726D50B01E}"/>
    <cellStyle name="Total 2 13 2 7 4 3" xfId="29394" xr:uid="{F6211D72-5E5A-4294-A6A5-F2947271C4E9}"/>
    <cellStyle name="Total 2 13 2 7 5" xfId="22969" xr:uid="{3F8EA389-8F37-4214-A712-99D827D60B3D}"/>
    <cellStyle name="Total 2 13 2 7 5 2" xfId="45615" xr:uid="{B8E3CF1A-A779-4E13-A2DA-C3D2E1042A6C}"/>
    <cellStyle name="Total 2 13 2 7 6" xfId="47486" xr:uid="{EA1327D7-D370-48CE-9CDE-B19737888DA9}"/>
    <cellStyle name="Total 2 13 2 8" xfId="7028" xr:uid="{00000000-0005-0000-0000-000069080000}"/>
    <cellStyle name="Total 2 13 2 8 2" xfId="13865" xr:uid="{1D7E4571-1093-4FCB-9CCF-35C533549A0C}"/>
    <cellStyle name="Total 2 13 2 8 2 2" xfId="36349" xr:uid="{818F6BED-E4D3-401F-B828-79B699A34B15}"/>
    <cellStyle name="Total 2 13 2 8 2 3" xfId="48568" xr:uid="{E7A7C26B-EDD9-4351-B3EC-AD54A3A6A868}"/>
    <cellStyle name="Total 2 13 2 8 3" xfId="18965" xr:uid="{D3AAC0B0-BAA8-4CE2-8158-B74B51B4235B}"/>
    <cellStyle name="Total 2 13 2 8 3 2" xfId="41355" xr:uid="{C1520F6D-3B75-4946-9987-A33FB5FB4A41}"/>
    <cellStyle name="Total 2 13 2 8 3 3" xfId="43920" xr:uid="{4B558EEA-E433-45DC-B497-350A9DE0D3E5}"/>
    <cellStyle name="Total 2 13 2 8 4" xfId="15607" xr:uid="{2804F0F5-F300-4EDC-AE64-F9854A657A1E}"/>
    <cellStyle name="Total 2 13 2 8 4 2" xfId="38023" xr:uid="{C5E883F9-C2DA-49EE-A5C5-6874CEA37685}"/>
    <cellStyle name="Total 2 13 2 8 4 3" xfId="46503" xr:uid="{55375141-AD08-461B-82D8-572DA2AB939E}"/>
    <cellStyle name="Total 2 13 2 8 5" xfId="23389" xr:uid="{4D03DF5C-495D-4FC1-8E82-F302D9512EF2}"/>
    <cellStyle name="Total 2 13 2 8 5 2" xfId="27755" xr:uid="{40497995-33C0-47EE-B59F-F49667CC0223}"/>
    <cellStyle name="Total 2 13 2 8 6" xfId="47781" xr:uid="{5EB2B2DC-8EFF-43B6-8F58-9AA5EADAAB4D}"/>
    <cellStyle name="Total 2 13 2 9" xfId="7144" xr:uid="{00000000-0005-0000-0000-000069080000}"/>
    <cellStyle name="Total 2 13 2 9 2" xfId="19081" xr:uid="{9DFD0A54-2CA8-4226-8570-777AAC22D7F5}"/>
    <cellStyle name="Total 2 13 2 9 2 2" xfId="41471" xr:uid="{00D7CD7E-4E03-4CFC-8476-0AC4F8E2336A}"/>
    <cellStyle name="Total 2 13 2 9 2 3" xfId="27026" xr:uid="{4CE7788B-5C52-45D0-9F44-0FE1E2B3F685}"/>
    <cellStyle name="Total 2 13 2 9 3" xfId="20722" xr:uid="{EB45A5DC-81FB-4D8A-B2BD-02ED646E8868}"/>
    <cellStyle name="Total 2 13 2 9 3 2" xfId="42993" xr:uid="{BADA8E13-F8F2-4221-A738-45F010EB6546}"/>
    <cellStyle name="Total 2 13 2 9 3 3" xfId="51566" xr:uid="{9836652A-0509-4DE8-9FCC-EE71D36D3B64}"/>
    <cellStyle name="Total 2 13 2 9 4" xfId="23505" xr:uid="{0BC0F636-36EF-4399-B6DE-497E08E93646}"/>
    <cellStyle name="Total 2 13 2 9 4 2" xfId="43070" xr:uid="{61B563E1-2FD2-442C-905B-E858D25D758F}"/>
    <cellStyle name="Total 2 13 2 9 5" xfId="42185" xr:uid="{62EF4D1A-DB87-41A5-BB0D-B4987F8DBCFF}"/>
    <cellStyle name="Total 2 13 3" xfId="3177" xr:uid="{00000000-0005-0000-0000-000068080000}"/>
    <cellStyle name="Total 2 13 3 2" xfId="10086" xr:uid="{7C4CFC82-D43B-472B-9DEC-E69473DBA37F}"/>
    <cellStyle name="Total 2 13 3 2 2" xfId="32593" xr:uid="{FF34A4C1-789D-4A98-9B82-4D4536B54ED6}"/>
    <cellStyle name="Total 2 13 3 2 3" xfId="45953" xr:uid="{61776F5C-AC64-428A-9200-191AC646E8F0}"/>
    <cellStyle name="Total 2 13 3 3" xfId="15463" xr:uid="{48582832-8F00-4DC6-AAB6-62301477F6B7}"/>
    <cellStyle name="Total 2 13 3 3 2" xfId="37889" xr:uid="{05CF4BB7-BE9D-4FBD-AE94-7FF9930B32BB}"/>
    <cellStyle name="Total 2 13 3 3 3" xfId="44118" xr:uid="{CD845C8C-7C61-40A0-B98B-75FAC18732FA}"/>
    <cellStyle name="Total 2 13 3 4" xfId="16142" xr:uid="{4529FDC6-E1B9-43DD-8B81-F7F73B1EBC1C}"/>
    <cellStyle name="Total 2 13 3 4 2" xfId="38542" xr:uid="{74F172B0-7AE7-4FE1-8815-CF92447D600E}"/>
    <cellStyle name="Total 2 13 3 4 3" xfId="25482" xr:uid="{620CDC3A-A836-4DA2-B8DC-FE751E82B6D8}"/>
    <cellStyle name="Total 2 13 3 5" xfId="14158" xr:uid="{36D2CEB5-ED8A-41DE-9DBD-400B1C2443CE}"/>
    <cellStyle name="Total 2 13 3 5 2" xfId="52823" xr:uid="{48AF1B05-0868-4C05-ABBA-C0ED79830E42}"/>
    <cellStyle name="Total 2 13 3 6" xfId="30984" xr:uid="{5C7393BA-4FAA-48AA-83C8-2858CF75FF5B}"/>
    <cellStyle name="Total 2 13 4" xfId="4830" xr:uid="{00000000-0005-0000-0000-000068080000}"/>
    <cellStyle name="Total 2 13 4 2" xfId="11727" xr:uid="{D3493989-707D-49DE-89EC-A7F00AACBB2D}"/>
    <cellStyle name="Total 2 13 4 2 2" xfId="34213" xr:uid="{FB655E5A-CC98-4FCD-BE27-D8F7AFC4EE15}"/>
    <cellStyle name="Total 2 13 4 2 3" xfId="27191" xr:uid="{3B227749-A130-47AD-BB09-E9D29D997C2B}"/>
    <cellStyle name="Total 2 13 4 3" xfId="16767" xr:uid="{EEF82287-28B9-4476-9011-BE950928D8A1}"/>
    <cellStyle name="Total 2 13 4 3 2" xfId="39157" xr:uid="{01263345-BFA7-4BAE-A093-17574204CF0C}"/>
    <cellStyle name="Total 2 13 4 3 3" xfId="25399" xr:uid="{DAE970BE-DFF8-4A2C-9449-6A174D288650}"/>
    <cellStyle name="Total 2 13 4 4" xfId="15210" xr:uid="{4D1F0888-B1DF-4ED7-83A1-47768F2FA556}"/>
    <cellStyle name="Total 2 13 4 4 2" xfId="37648" xr:uid="{26AB84A1-8401-4EA2-9FBB-69A9659E10CF}"/>
    <cellStyle name="Total 2 13 4 4 3" xfId="48508" xr:uid="{E37AC6E6-E14A-4D2F-913E-CB3E019F8834}"/>
    <cellStyle name="Total 2 13 4 5" xfId="20073" xr:uid="{216F6054-6ACB-41AC-8BF9-9A6F41D891FC}"/>
    <cellStyle name="Total 2 13 4 5 2" xfId="44473" xr:uid="{A1DB90BA-6998-4604-8451-1EE67003878B}"/>
    <cellStyle name="Total 2 13 4 6" xfId="51271" xr:uid="{D71EE9CD-6B82-4BA8-A5F0-C0ABACA64EEB}"/>
    <cellStyle name="Total 2 13 5" xfId="5121" xr:uid="{00000000-0005-0000-0000-000068080000}"/>
    <cellStyle name="Total 2 13 5 2" xfId="12014" xr:uid="{1AF043C9-4764-4B2B-8032-B068F65DB631}"/>
    <cellStyle name="Total 2 13 5 2 2" xfId="34500" xr:uid="{AA901673-8AA0-46B7-A217-9528DDDFF30A}"/>
    <cellStyle name="Total 2 13 5 2 3" xfId="45262" xr:uid="{1D29BB22-C1A3-40AA-A9D3-58E8601A34E3}"/>
    <cellStyle name="Total 2 13 5 3" xfId="17058" xr:uid="{DBF1B39C-C5C2-48B9-8058-B4FF83CDAB13}"/>
    <cellStyle name="Total 2 13 5 3 2" xfId="39448" xr:uid="{2DF4D5CE-DABD-4A8D-A13D-958A858D0C2B}"/>
    <cellStyle name="Total 2 13 5 3 3" xfId="36797" xr:uid="{0AE64CA2-BBAF-4D8C-87AB-E5F91818730A}"/>
    <cellStyle name="Total 2 13 5 4" xfId="19265" xr:uid="{0C087E47-F117-41FC-870F-28962339D40F}"/>
    <cellStyle name="Total 2 13 5 4 2" xfId="41648" xr:uid="{A5667B17-E7AF-439F-AAF6-D09A7CAA18C7}"/>
    <cellStyle name="Total 2 13 5 4 3" xfId="44285" xr:uid="{F136C846-DD5A-4FDD-AF09-9664623BF411}"/>
    <cellStyle name="Total 2 13 5 5" xfId="21482" xr:uid="{CD1DB655-064F-498E-A7DD-7715AEC07D48}"/>
    <cellStyle name="Total 2 13 5 5 2" xfId="48567" xr:uid="{70129AF0-1B88-4C3B-ACAF-94F19766D265}"/>
    <cellStyle name="Total 2 13 5 6" xfId="45774" xr:uid="{209A7CD8-AA0E-46CD-A958-36BBEF63C037}"/>
    <cellStyle name="Total 2 13 6" xfId="4622" xr:uid="{00000000-0005-0000-0000-000068080000}"/>
    <cellStyle name="Total 2 13 6 2" xfId="11523" xr:uid="{6B9CCDAE-84F5-4CB8-AC1E-F5CA538CE1D2}"/>
    <cellStyle name="Total 2 13 6 2 2" xfId="34009" xr:uid="{7899CA7C-6D18-44E3-9CC1-1AB75EB1AFAF}"/>
    <cellStyle name="Total 2 13 6 2 3" xfId="38106" xr:uid="{F2AD5A7A-39CE-471A-BC8F-D99EF48B5224}"/>
    <cellStyle name="Total 2 13 6 3" xfId="16559" xr:uid="{B8D9AA47-237D-46B3-BE38-9481E3DBA21C}"/>
    <cellStyle name="Total 2 13 6 3 2" xfId="38949" xr:uid="{42B1EBB0-FC20-443F-8F3C-CB52E2A8D59A}"/>
    <cellStyle name="Total 2 13 6 3 3" xfId="43512" xr:uid="{FD602DDE-ABC4-4D44-B4A1-D3C675E31855}"/>
    <cellStyle name="Total 2 13 6 4" xfId="19733" xr:uid="{3C2FDC12-DB77-4BEC-9D83-EB7E7AEF3F30}"/>
    <cellStyle name="Total 2 13 6 4 2" xfId="42079" xr:uid="{B5A3AE57-54C9-4C62-8131-6A96672F095C}"/>
    <cellStyle name="Total 2 13 6 4 3" xfId="32489" xr:uid="{760D0EA2-4F1F-403F-83C3-2C555F328E27}"/>
    <cellStyle name="Total 2 13 6 5" xfId="14772" xr:uid="{B0150C80-640C-4D68-ABE3-CA1D81575ACC}"/>
    <cellStyle name="Total 2 13 6 5 2" xfId="44428" xr:uid="{E25CFCE3-BC89-48FE-93C8-BE5A5FBC9B57}"/>
    <cellStyle name="Total 2 13 6 6" xfId="51893" xr:uid="{9916387C-B415-429E-9ABC-857F89FDA7C3}"/>
    <cellStyle name="Total 2 13 7" xfId="6749" xr:uid="{00000000-0005-0000-0000-000068080000}"/>
    <cellStyle name="Total 2 13 7 2" xfId="13605" xr:uid="{10327B7D-629B-483F-9677-9A1C63C2AB4D}"/>
    <cellStyle name="Total 2 13 7 2 2" xfId="36089" xr:uid="{1AAA3530-2DB4-48DD-BC4F-C2C84CDEFFFF}"/>
    <cellStyle name="Total 2 13 7 2 3" xfId="49519" xr:uid="{C603A369-DB9D-4D13-8263-F5D4CB32BE21}"/>
    <cellStyle name="Total 2 13 7 3" xfId="18686" xr:uid="{D38FCBD8-9C5A-478F-B49C-55732B63CD53}"/>
    <cellStyle name="Total 2 13 7 3 2" xfId="41076" xr:uid="{63840EA6-FBA2-496C-AB30-AA457CF9A7DF}"/>
    <cellStyle name="Total 2 13 7 3 3" xfId="43894" xr:uid="{AD1760D2-ECA3-4AE9-8EEC-83418460A94B}"/>
    <cellStyle name="Total 2 13 7 4" xfId="20881" xr:uid="{5ECBD2F8-439B-4D95-B858-438FFB3405BE}"/>
    <cellStyle name="Total 2 13 7 4 2" xfId="43145" xr:uid="{6189496B-C4F6-4DD4-8AEE-44C2FCB0EBDE}"/>
    <cellStyle name="Total 2 13 7 4 3" xfId="46842" xr:uid="{3612CDBA-00E3-48B3-BBEC-E62C2F295C5F}"/>
    <cellStyle name="Total 2 13 7 5" xfId="23110" xr:uid="{FEBE770B-90FD-47DD-88F8-BD8A4A4B64B1}"/>
    <cellStyle name="Total 2 13 7 5 2" xfId="41951" xr:uid="{36E18A6B-D609-40E8-868D-E704562C812E}"/>
    <cellStyle name="Total 2 13 7 6" xfId="47052" xr:uid="{8D1761CD-2B72-4E99-891E-6D01DBE72D43}"/>
    <cellStyle name="Total 2 13 8" xfId="8421" xr:uid="{58413370-1008-4074-88AB-52CF467F4F2E}"/>
    <cellStyle name="Total 2 13 8 2" xfId="31009" xr:uid="{F1C7595C-17BD-4F4F-B5FA-1E203B49E6D9}"/>
    <cellStyle name="Total 2 13 8 3" xfId="53676" xr:uid="{B660A257-7884-4B3C-8234-AEF2803EDB6B}"/>
    <cellStyle name="Total 2 13 9" xfId="8300" xr:uid="{57E5E43A-4BFA-4A6B-AF2D-18154A73C6A0}"/>
    <cellStyle name="Total 2 13 9 2" xfId="30899" xr:uid="{02085DCF-E8DE-4F1B-BBB0-D7F2E48E5920}"/>
    <cellStyle name="Total 2 13 9 3" xfId="49098" xr:uid="{12FB5E09-4673-4720-A08E-1890AB940A88}"/>
    <cellStyle name="Total 2 14" xfId="1236" xr:uid="{00000000-0005-0000-0000-00006D080000}"/>
    <cellStyle name="Total 2 14 10" xfId="9039" xr:uid="{1343FADC-8807-41AD-8351-8BA2B495B7EA}"/>
    <cellStyle name="Total 2 14 10 2" xfId="49383" xr:uid="{0CC5E707-9917-4646-8D81-F9416B23096C}"/>
    <cellStyle name="Total 2 14 11" xfId="47598" xr:uid="{CD05AA76-B870-4297-974A-83E126E3D259}"/>
    <cellStyle name="Total 2 14 2" xfId="2036" xr:uid="{00000000-0005-0000-0000-00006E080000}"/>
    <cellStyle name="Total 2 14 2 10" xfId="14684" xr:uid="{1B68F47C-58D3-40CE-A64B-197035646687}"/>
    <cellStyle name="Total 2 14 2 10 2" xfId="37144" xr:uid="{1BF9491F-D8C1-4385-B785-DBDF760E0CA6}"/>
    <cellStyle name="Total 2 14 2 10 3" xfId="23775" xr:uid="{3088ED28-45AA-41B1-824B-CD938FDCA826}"/>
    <cellStyle name="Total 2 14 2 11" xfId="20765" xr:uid="{89B03E81-74E7-42F8-8D6D-612DD144C468}"/>
    <cellStyle name="Total 2 14 2 11 2" xfId="43033" xr:uid="{1CE63A3D-E208-4EAD-B296-371A90B4F85A}"/>
    <cellStyle name="Total 2 14 2 11 3" xfId="52937" xr:uid="{5E91AE7A-1D82-4ED2-A389-F11D07019C7E}"/>
    <cellStyle name="Total 2 14 2 12" xfId="20681" xr:uid="{D3BB079B-7275-40D4-8D5A-3CE0D0A5C2D4}"/>
    <cellStyle name="Total 2 14 2 12 2" xfId="28358" xr:uid="{B73DF571-C786-48B6-8E41-E0D00AA82545}"/>
    <cellStyle name="Total 2 14 2 13" xfId="52178" xr:uid="{6B51C8F6-0AAC-4697-A305-43092662F129}"/>
    <cellStyle name="Total 2 14 2 2" xfId="4131" xr:uid="{00000000-0005-0000-0000-00006B080000}"/>
    <cellStyle name="Total 2 14 2 2 2" xfId="11035" xr:uid="{E8F35099-7AFA-4D93-A8CE-34C736744724}"/>
    <cellStyle name="Total 2 14 2 2 2 2" xfId="33521" xr:uid="{9F0B3739-CE77-4C03-A04A-35ED5DB79192}"/>
    <cellStyle name="Total 2 14 2 2 2 3" xfId="27103" xr:uid="{3D159DA3-92A5-4AEA-B687-155E71E40858}"/>
    <cellStyle name="Total 2 14 2 2 3" xfId="16135" xr:uid="{2F17DAB9-DBF8-40B4-ACB5-A19DB1D1157C}"/>
    <cellStyle name="Total 2 14 2 2 3 2" xfId="38535" xr:uid="{B0CCFF34-9579-4246-9D58-CA480CD40658}"/>
    <cellStyle name="Total 2 14 2 2 3 3" xfId="43982" xr:uid="{BD2F2684-7EA3-424F-A458-D22DE83828C7}"/>
    <cellStyle name="Total 2 14 2 2 4" xfId="20188" xr:uid="{E538818B-54A9-4719-90BE-F8B237C41297}"/>
    <cellStyle name="Total 2 14 2 2 4 2" xfId="42498" xr:uid="{3249CD6F-F09F-4E2E-B70E-1E3241576612}"/>
    <cellStyle name="Total 2 14 2 2 4 3" xfId="29511" xr:uid="{98A2ABAE-9053-4C1F-AFDB-4415D97006DB}"/>
    <cellStyle name="Total 2 14 2 2 5" xfId="20478" xr:uid="{73B73A7B-BE3A-4D5C-B79D-F77AA8431E75}"/>
    <cellStyle name="Total 2 14 2 2 5 2" xfId="52317" xr:uid="{33096DE6-F494-47CF-B7EA-DB60E0CD188E}"/>
    <cellStyle name="Total 2 14 2 2 6" xfId="28618" xr:uid="{8BBB99C5-D1DD-4AC9-BE25-E0EE50ED6BE1}"/>
    <cellStyle name="Total 2 14 2 3" xfId="5476" xr:uid="{00000000-0005-0000-0000-00006B080000}"/>
    <cellStyle name="Total 2 14 2 3 2" xfId="12365" xr:uid="{024FA4CB-E497-461D-A285-2141251F27A4}"/>
    <cellStyle name="Total 2 14 2 3 2 2" xfId="34850" xr:uid="{163CBFAB-8D78-493D-BECC-D69F9D69B858}"/>
    <cellStyle name="Total 2 14 2 3 2 3" xfId="29589" xr:uid="{3BAC93AB-73FB-4C2C-9146-556EE807928E}"/>
    <cellStyle name="Total 2 14 2 3 3" xfId="17413" xr:uid="{A48AB51A-6E09-4465-8A31-EA0202DEB841}"/>
    <cellStyle name="Total 2 14 2 3 3 2" xfId="39803" xr:uid="{02BB9DAA-2263-4D8A-B9E0-8B091D7C657B}"/>
    <cellStyle name="Total 2 14 2 3 3 3" xfId="23725" xr:uid="{AA66A708-4525-4EDA-9151-BC7E9CF81C4D}"/>
    <cellStyle name="Total 2 14 2 3 4" xfId="19827" xr:uid="{9816BE49-0C9E-4DAA-8921-19F830C14510}"/>
    <cellStyle name="Total 2 14 2 3 4 2" xfId="42164" xr:uid="{FD057472-FBEC-4F80-A10C-0496587500E7}"/>
    <cellStyle name="Total 2 14 2 3 4 3" xfId="30186" xr:uid="{4304F2FE-8D9D-4F2A-87BD-CFEFA1977961}"/>
    <cellStyle name="Total 2 14 2 3 5" xfId="21837" xr:uid="{2DF13125-537C-4215-84AA-BB35990278DD}"/>
    <cellStyle name="Total 2 14 2 3 5 2" xfId="48199" xr:uid="{FF9E21E2-9F1D-4114-A205-96C8B7DC7E43}"/>
    <cellStyle name="Total 2 14 2 3 6" xfId="23812" xr:uid="{5D39C652-20C7-454E-B87F-E84A9E572AF1}"/>
    <cellStyle name="Total 2 14 2 4" xfId="5900" xr:uid="{00000000-0005-0000-0000-00006B080000}"/>
    <cellStyle name="Total 2 14 2 4 2" xfId="12782" xr:uid="{D9FB1E3E-313D-4FBE-8565-F7C8320652BB}"/>
    <cellStyle name="Total 2 14 2 4 2 2" xfId="35266" xr:uid="{E551AFC1-D1ED-4613-9CB9-BDC3819B74C0}"/>
    <cellStyle name="Total 2 14 2 4 2 3" xfId="27523" xr:uid="{41583581-972D-41E7-88CC-59A56F4DC824}"/>
    <cellStyle name="Total 2 14 2 4 3" xfId="17837" xr:uid="{D624D977-170D-4DF1-855D-881F804F632C}"/>
    <cellStyle name="Total 2 14 2 4 3 2" xfId="40227" xr:uid="{9B60F9AC-08EF-4C0F-94C3-896A03F2DCA4}"/>
    <cellStyle name="Total 2 14 2 4 3 3" xfId="44966" xr:uid="{2413AE3E-18E4-4BD6-BC66-75D29AB2E443}"/>
    <cellStyle name="Total 2 14 2 4 4" xfId="19363" xr:uid="{78E32E4C-CDA9-4FDF-A69D-8421620F58C8}"/>
    <cellStyle name="Total 2 14 2 4 4 2" xfId="41737" xr:uid="{76853262-5BE4-4A5F-B114-28E3CC7C8FAA}"/>
    <cellStyle name="Total 2 14 2 4 4 3" xfId="29396" xr:uid="{BBD1440C-A8E0-46DE-A625-9DEFD6FB3ADD}"/>
    <cellStyle name="Total 2 14 2 4 5" xfId="22261" xr:uid="{9178A6B8-4FFE-43C0-B4F1-DE70BC373743}"/>
    <cellStyle name="Total 2 14 2 4 5 2" xfId="50329" xr:uid="{6FAA1F0D-3DC8-4C78-98B0-A413F1915DD4}"/>
    <cellStyle name="Total 2 14 2 4 6" xfId="41807" xr:uid="{40EBA21A-0DE3-4353-95CB-1792E46B4DFA}"/>
    <cellStyle name="Total 2 14 2 5" xfId="6238" xr:uid="{00000000-0005-0000-0000-00006B080000}"/>
    <cellStyle name="Total 2 14 2 5 2" xfId="13113" xr:uid="{B4309D3E-6096-4E58-87C5-45C8F9253C5E}"/>
    <cellStyle name="Total 2 14 2 5 2 2" xfId="35597" xr:uid="{BE9FBAEA-AB40-43E9-BAC3-B84180DDED03}"/>
    <cellStyle name="Total 2 14 2 5 2 3" xfId="49857" xr:uid="{B976B61C-0B5A-45CA-9118-0FDFDC5A46FA}"/>
    <cellStyle name="Total 2 14 2 5 3" xfId="18175" xr:uid="{A2B61CD3-4ECF-4C45-B4C9-9D28E94BBE74}"/>
    <cellStyle name="Total 2 14 2 5 3 2" xfId="40565" xr:uid="{1A5A55D4-E637-4CCC-A1DB-8A1C7D7CC776}"/>
    <cellStyle name="Total 2 14 2 5 3 3" xfId="28575" xr:uid="{B26A3E70-15E3-41B4-9F0A-1326A4E8B973}"/>
    <cellStyle name="Total 2 14 2 5 4" xfId="15780" xr:uid="{2DA6ECEB-0EFC-4EEE-8116-B0D4F135A074}"/>
    <cellStyle name="Total 2 14 2 5 4 2" xfId="38190" xr:uid="{6FC3ABC8-ECCA-42E4-A607-998D4792A177}"/>
    <cellStyle name="Total 2 14 2 5 4 3" xfId="47002" xr:uid="{3681F534-1CBA-45F9-8C84-1FC35434ACF7}"/>
    <cellStyle name="Total 2 14 2 5 5" xfId="22599" xr:uid="{71F91669-1922-4B93-BA9A-FACD75C1E701}"/>
    <cellStyle name="Total 2 14 2 5 5 2" xfId="49088" xr:uid="{39465474-21CB-463C-9A05-C048EA18A9EE}"/>
    <cellStyle name="Total 2 14 2 5 6" xfId="50604" xr:uid="{81CB9501-E477-4B7E-BC5E-CBC34ABAD636}"/>
    <cellStyle name="Total 2 14 2 6" xfId="6603" xr:uid="{00000000-0005-0000-0000-00006B080000}"/>
    <cellStyle name="Total 2 14 2 6 2" xfId="13469" xr:uid="{93D783CA-CC90-4F80-BF42-D77B2C4BBF89}"/>
    <cellStyle name="Total 2 14 2 6 2 2" xfId="35953" xr:uid="{9D39474A-6551-44CF-8F58-310007049DED}"/>
    <cellStyle name="Total 2 14 2 6 2 3" xfId="44384" xr:uid="{EF4A73CC-CDE1-4705-989F-28559921C68B}"/>
    <cellStyle name="Total 2 14 2 6 3" xfId="18540" xr:uid="{BC1BE38E-11E4-477B-A7BD-8DF655A0B57A}"/>
    <cellStyle name="Total 2 14 2 6 3 2" xfId="40930" xr:uid="{EC005D8B-650F-4AC1-8293-9E0F866E06A1}"/>
    <cellStyle name="Total 2 14 2 6 3 3" xfId="31901" xr:uid="{9EC2C51B-5BB7-4A59-BF9F-769D710BCF92}"/>
    <cellStyle name="Total 2 14 2 6 4" xfId="20401" xr:uid="{430EDC8A-69BE-4D9C-9F9B-A8AA55026119}"/>
    <cellStyle name="Total 2 14 2 6 4 2" xfId="42696" xr:uid="{7B02ED3F-B367-4972-ADB9-307F537EA0C5}"/>
    <cellStyle name="Total 2 14 2 6 4 3" xfId="47376" xr:uid="{84326BFD-473A-4658-A5CF-A012FCA0BF26}"/>
    <cellStyle name="Total 2 14 2 6 5" xfId="22964" xr:uid="{C875F138-14CF-45C9-8854-1C7B1A304F63}"/>
    <cellStyle name="Total 2 14 2 6 5 2" xfId="49951" xr:uid="{1050C0F6-42AC-4D67-A650-CEA6C0F2296B}"/>
    <cellStyle name="Total 2 14 2 6 6" xfId="47635" xr:uid="{27848AB9-DD55-4280-850D-8D90CF99A354}"/>
    <cellStyle name="Total 2 14 2 7" xfId="5552" xr:uid="{00000000-0005-0000-0000-00006B080000}"/>
    <cellStyle name="Total 2 14 2 7 2" xfId="12440" xr:uid="{9B7173AA-D9C1-441B-BDC0-41F4384863BE}"/>
    <cellStyle name="Total 2 14 2 7 2 2" xfId="34925" xr:uid="{5DDBB8DE-A944-46C7-8075-9EEC3B40E749}"/>
    <cellStyle name="Total 2 14 2 7 2 3" xfId="30985" xr:uid="{70809F97-C882-43C4-BB61-C918BAF2B45B}"/>
    <cellStyle name="Total 2 14 2 7 3" xfId="17489" xr:uid="{7E563D6E-CF2E-43F7-8DB7-F98157A1DEDF}"/>
    <cellStyle name="Total 2 14 2 7 3 2" xfId="39879" xr:uid="{9B14861B-4FB4-40B2-8EC4-4E0432E30657}"/>
    <cellStyle name="Total 2 14 2 7 3 3" xfId="26970" xr:uid="{566CEAA5-7F67-4389-9FD9-D00B24419355}"/>
    <cellStyle name="Total 2 14 2 7 4" xfId="19770" xr:uid="{5532B0B9-D492-4469-B60A-1F85401BB90F}"/>
    <cellStyle name="Total 2 14 2 7 4 2" xfId="42112" xr:uid="{8D3C63B0-4322-4CCB-954B-B8E376ECDCB9}"/>
    <cellStyle name="Total 2 14 2 7 4 3" xfId="24015" xr:uid="{E6F55DD3-8DC1-4528-96E5-C17212C1C322}"/>
    <cellStyle name="Total 2 14 2 7 5" xfId="21913" xr:uid="{C98FCDDB-796D-4026-9678-80E1F23AA8D8}"/>
    <cellStyle name="Total 2 14 2 7 5 2" xfId="27192" xr:uid="{CA252DDD-9EB6-40C5-B623-A5EACCB336CF}"/>
    <cellStyle name="Total 2 14 2 7 6" xfId="49179" xr:uid="{CE835102-1F09-4370-ADA2-64299EEF58BB}"/>
    <cellStyle name="Total 2 14 2 8" xfId="7073" xr:uid="{00000000-0005-0000-0000-00006B080000}"/>
    <cellStyle name="Total 2 14 2 8 2" xfId="13909" xr:uid="{8CBAB9D3-80D8-4782-A7CC-503CC21A9EB9}"/>
    <cellStyle name="Total 2 14 2 8 2 2" xfId="36393" xr:uid="{1D2B0150-7F84-4306-931B-2950849068FF}"/>
    <cellStyle name="Total 2 14 2 8 2 3" xfId="46370" xr:uid="{56F196A3-4D2B-416B-B181-DB871794BAA1}"/>
    <cellStyle name="Total 2 14 2 8 3" xfId="19010" xr:uid="{995BF431-6A2B-4D30-8BBA-8607094E2ABE}"/>
    <cellStyle name="Total 2 14 2 8 3 2" xfId="41400" xr:uid="{90DCEC48-3B57-4780-89B3-EB4F94986A0D}"/>
    <cellStyle name="Total 2 14 2 8 3 3" xfId="38164" xr:uid="{F0FFC2A4-3C0E-4E81-A8F4-8E559C5F7CA0}"/>
    <cellStyle name="Total 2 14 2 8 4" xfId="15028" xr:uid="{AAF2B3A3-C179-48DE-9AAD-C7C280C8F2FD}"/>
    <cellStyle name="Total 2 14 2 8 4 2" xfId="37477" xr:uid="{100FD435-A4F1-4C89-9F04-270F14779677}"/>
    <cellStyle name="Total 2 14 2 8 4 3" xfId="30434" xr:uid="{0A8CD5C4-FD76-459B-919A-88AE49F82BAA}"/>
    <cellStyle name="Total 2 14 2 8 5" xfId="23434" xr:uid="{0A4A2BB6-9FF4-48CB-9F92-D66B4CE52D57}"/>
    <cellStyle name="Total 2 14 2 8 5 2" xfId="38410" xr:uid="{59C13B76-E8BE-4C31-9605-FAEF2DC16C0C}"/>
    <cellStyle name="Total 2 14 2 8 6" xfId="52240" xr:uid="{89AB6D86-054C-4C12-9271-AB06949C0D54}"/>
    <cellStyle name="Total 2 14 2 9" xfId="7188" xr:uid="{00000000-0005-0000-0000-00006B080000}"/>
    <cellStyle name="Total 2 14 2 9 2" xfId="19125" xr:uid="{B43623FD-4E33-49E4-9BD0-EB8EC7D97A7C}"/>
    <cellStyle name="Total 2 14 2 9 2 2" xfId="41515" xr:uid="{E4ECA735-C5B9-4234-98F0-18053F513237}"/>
    <cellStyle name="Total 2 14 2 9 2 3" xfId="28367" xr:uid="{ABF50573-9934-4339-8590-A6CA90973B8D}"/>
    <cellStyle name="Total 2 14 2 9 3" xfId="20902" xr:uid="{3F3247FC-1D63-480E-9CC8-08F16D865C50}"/>
    <cellStyle name="Total 2 14 2 9 3 2" xfId="43163" xr:uid="{CA41D917-8DDC-4AF8-898D-14FC0F935C84}"/>
    <cellStyle name="Total 2 14 2 9 3 3" xfId="30498" xr:uid="{40BEE982-E140-4D7A-B8A6-EDB62FE3D546}"/>
    <cellStyle name="Total 2 14 2 9 4" xfId="23549" xr:uid="{DFD4936C-ED8C-426C-8F20-605C4D18E8F4}"/>
    <cellStyle name="Total 2 14 2 9 4 2" xfId="48060" xr:uid="{5CB17F48-2E1D-44BB-AA12-88D8D38B3FC4}"/>
    <cellStyle name="Total 2 14 2 9 5" xfId="51842" xr:uid="{E08D5D96-A353-43DA-9186-BA55D3E28B92}"/>
    <cellStyle name="Total 2 14 3" xfId="3346" xr:uid="{00000000-0005-0000-0000-00006A080000}"/>
    <cellStyle name="Total 2 14 3 2" xfId="10254" xr:uid="{AED6F775-6C6E-4BCE-88E0-F6D3AB2E3CF6}"/>
    <cellStyle name="Total 2 14 3 2 2" xfId="32748" xr:uid="{C0D4EFE0-E47E-488E-8B03-4B55BEA31E2C}"/>
    <cellStyle name="Total 2 14 3 2 3" xfId="25508" xr:uid="{4DB93499-3C19-4E23-92B4-6E7BE0F67206}"/>
    <cellStyle name="Total 2 14 3 3" xfId="15572" xr:uid="{F458C003-D9FD-4E0F-BB50-E008B720E1AB}"/>
    <cellStyle name="Total 2 14 3 3 2" xfId="37991" xr:uid="{23D77F0D-3D2A-4823-A27B-2E8016B88ED2}"/>
    <cellStyle name="Total 2 14 3 3 3" xfId="46850" xr:uid="{E351E993-82C5-4815-8098-A5D79E9199B1}"/>
    <cellStyle name="Total 2 14 3 4" xfId="14956" xr:uid="{ADBC2DF5-600A-4513-A90A-5F58B2FBCBBF}"/>
    <cellStyle name="Total 2 14 3 4 2" xfId="37408" xr:uid="{2F3910C1-DE32-4CE1-8551-3F49B53D0738}"/>
    <cellStyle name="Total 2 14 3 4 3" xfId="47887" xr:uid="{ECC4C151-CE70-45FC-9B19-CBA03E717E79}"/>
    <cellStyle name="Total 2 14 3 5" xfId="20450" xr:uid="{44E85E89-2646-4800-9D4E-421808962275}"/>
    <cellStyle name="Total 2 14 3 5 2" xfId="53973" xr:uid="{8D2CB515-C95A-479A-827C-66B2D7CF0371}"/>
    <cellStyle name="Total 2 14 3 6" xfId="50685" xr:uid="{B1CFC0B1-53A4-41E2-951E-065D395BF3EE}"/>
    <cellStyle name="Total 2 14 4" xfId="4936" xr:uid="{00000000-0005-0000-0000-00006A080000}"/>
    <cellStyle name="Total 2 14 4 2" xfId="11831" xr:uid="{02F7BE12-E2A4-4CFB-992E-E7D21DE78600}"/>
    <cellStyle name="Total 2 14 4 2 2" xfId="34317" xr:uid="{A6BC18C8-FDFC-4B34-B74A-AC86A3206303}"/>
    <cellStyle name="Total 2 14 4 2 3" xfId="43528" xr:uid="{2D1E25DF-0EF8-4340-9523-6F55370B8869}"/>
    <cellStyle name="Total 2 14 4 3" xfId="16873" xr:uid="{B64F77BE-F246-4EF7-879D-BEDDAA7B9A96}"/>
    <cellStyle name="Total 2 14 4 3 2" xfId="39263" xr:uid="{436DE4CE-3D29-45CE-91C5-E963C3B02DA9}"/>
    <cellStyle name="Total 2 14 4 3 3" xfId="45601" xr:uid="{5FB42085-EA1B-44FE-90A7-F82369F19429}"/>
    <cellStyle name="Total 2 14 4 4" xfId="14696" xr:uid="{E675BB88-1C8D-4F73-A46C-64580DE8B3D5}"/>
    <cellStyle name="Total 2 14 4 4 2" xfId="37154" xr:uid="{330271E5-2AF5-4E44-A08A-9A53E539F011}"/>
    <cellStyle name="Total 2 14 4 4 3" xfId="28455" xr:uid="{B85E5399-AE02-4EE1-9732-C450357E9963}"/>
    <cellStyle name="Total 2 14 4 5" xfId="21297" xr:uid="{604F930E-8F66-4C9B-BE0A-2D0D5A691217}"/>
    <cellStyle name="Total 2 14 4 5 2" xfId="49879" xr:uid="{77D8F3AC-EBAB-49D6-87E4-E9A4C05A4468}"/>
    <cellStyle name="Total 2 14 4 6" xfId="51465" xr:uid="{EC5400DF-398E-4376-8D7E-B8981757F589}"/>
    <cellStyle name="Total 2 14 5" xfId="4862" xr:uid="{00000000-0005-0000-0000-00006A080000}"/>
    <cellStyle name="Total 2 14 5 2" xfId="11758" xr:uid="{090FDD6A-129B-4DDC-A1F3-7485C30222E2}"/>
    <cellStyle name="Total 2 14 5 2 2" xfId="34244" xr:uid="{9AB4F84E-CFC9-4CF8-9006-ED2BFF6F83AE}"/>
    <cellStyle name="Total 2 14 5 2 3" xfId="45452" xr:uid="{D4D32779-23A7-45C5-B717-C1968B3B77D0}"/>
    <cellStyle name="Total 2 14 5 3" xfId="16799" xr:uid="{DFB02F35-C766-4D20-A4E9-AB572FAED88A}"/>
    <cellStyle name="Total 2 14 5 3 2" xfId="39189" xr:uid="{FE1725BB-7899-4D57-A4A4-D712CBE1FEE7}"/>
    <cellStyle name="Total 2 14 5 3 3" xfId="44220" xr:uid="{534D7A25-E89E-48CB-BABD-51D73D5E02DD}"/>
    <cellStyle name="Total 2 14 5 4" xfId="16230" xr:uid="{2668E23B-87F9-4124-9530-230574FF67DD}"/>
    <cellStyle name="Total 2 14 5 4 2" xfId="38627" xr:uid="{859E14BB-B2F8-4EE6-ADB4-B3B7DC6AD2CB}"/>
    <cellStyle name="Total 2 14 5 4 3" xfId="27831" xr:uid="{90775FA0-17CD-4C8D-976F-8C99DCA1203C}"/>
    <cellStyle name="Total 2 14 5 5" xfId="20309" xr:uid="{E9AC5C1A-711D-4F54-96AF-6071E6A31366}"/>
    <cellStyle name="Total 2 14 5 5 2" xfId="52678" xr:uid="{CA444C7C-B3C0-4BCB-830A-1E6A40B5AA18}"/>
    <cellStyle name="Total 2 14 5 6" xfId="45184" xr:uid="{A3637EFD-E825-41C0-975A-61D2EC5A4624}"/>
    <cellStyle name="Total 2 14 6" xfId="5352" xr:uid="{00000000-0005-0000-0000-00006A080000}"/>
    <cellStyle name="Total 2 14 6 2" xfId="12244" xr:uid="{4E18E5C7-5A1F-4D8E-AED1-80A3F64DD586}"/>
    <cellStyle name="Total 2 14 6 2 2" xfId="34729" xr:uid="{1F5E84CC-0929-4398-B1A4-BCCA892AA125}"/>
    <cellStyle name="Total 2 14 6 2 3" xfId="24215" xr:uid="{8F1DF320-5A0C-4C9A-8E27-B4BAC95F5472}"/>
    <cellStyle name="Total 2 14 6 3" xfId="17289" xr:uid="{0DEE55AF-211F-4A8B-9D24-FB4FBEC79654}"/>
    <cellStyle name="Total 2 14 6 3 2" xfId="39679" xr:uid="{C70DC70D-609C-4050-9533-F433A64611BD}"/>
    <cellStyle name="Total 2 14 6 3 3" xfId="26491" xr:uid="{F3D12E10-CC66-4121-BED5-1674FEC5AD68}"/>
    <cellStyle name="Total 2 14 6 4" xfId="7940" xr:uid="{6465CB7E-DCD3-4280-AB94-39CC9DC9B66E}"/>
    <cellStyle name="Total 2 14 6 4 2" xfId="30564" xr:uid="{1FC38D61-9430-464D-A70E-25CC779E4823}"/>
    <cellStyle name="Total 2 14 6 4 3" xfId="47446" xr:uid="{C51100E2-F2A3-4473-A47C-4064E4D98D61}"/>
    <cellStyle name="Total 2 14 6 5" xfId="21713" xr:uid="{B5D20A26-2035-4232-8D78-995E5978C8C6}"/>
    <cellStyle name="Total 2 14 6 5 2" xfId="46482" xr:uid="{D9E77CE8-DBBB-4894-9E4F-8ADF2903F01F}"/>
    <cellStyle name="Total 2 14 6 6" xfId="24569" xr:uid="{BB963F2E-4F80-4935-8F07-67AD61E9293D}"/>
    <cellStyle name="Total 2 14 7" xfId="5598" xr:uid="{00000000-0005-0000-0000-00006A080000}"/>
    <cellStyle name="Total 2 14 7 2" xfId="12483" xr:uid="{B5B92BA3-0506-4C86-9C14-CF18F23D8B64}"/>
    <cellStyle name="Total 2 14 7 2 2" xfId="34968" xr:uid="{C07974D8-35E7-4468-8AE9-0BFC66578093}"/>
    <cellStyle name="Total 2 14 7 2 3" xfId="30339" xr:uid="{7343F2FD-E26D-4EDB-A4D4-89D4DBB3135E}"/>
    <cellStyle name="Total 2 14 7 3" xfId="17535" xr:uid="{5C44D31D-2C4A-4C0A-BE8E-C23FE3DC2BDC}"/>
    <cellStyle name="Total 2 14 7 3 2" xfId="39925" xr:uid="{7818AA57-7FB3-4311-A06F-778CA1780C87}"/>
    <cellStyle name="Total 2 14 7 3 3" xfId="27897" xr:uid="{FF857B09-5817-4BE7-93FA-5A4B968B4183}"/>
    <cellStyle name="Total 2 14 7 4" xfId="15398" xr:uid="{2DE50393-78A5-4165-9BF7-938B07994EC9}"/>
    <cellStyle name="Total 2 14 7 4 2" xfId="37824" xr:uid="{4C849BD0-75FC-453F-92DA-663857679922}"/>
    <cellStyle name="Total 2 14 7 4 3" xfId="49631" xr:uid="{3486DD8F-8523-410F-BC72-70A09536EB7E}"/>
    <cellStyle name="Total 2 14 7 5" xfId="21959" xr:uid="{A55E5A10-B5EB-41A7-817B-46AE2C094508}"/>
    <cellStyle name="Total 2 14 7 5 2" xfId="51718" xr:uid="{B1FC42CC-2F29-4AF7-AA1A-49FD1676F263}"/>
    <cellStyle name="Total 2 14 7 6" xfId="48571" xr:uid="{D51F393A-5638-4145-8480-75BB3C63567C}"/>
    <cellStyle name="Total 2 14 8" xfId="14111" xr:uid="{A17F3B74-5BF7-4BD0-9644-03DF7DBC815E}"/>
    <cellStyle name="Total 2 14 8 2" xfId="36589" xr:uid="{A5200D59-4402-4AEC-B148-5D65D040FB73}"/>
    <cellStyle name="Total 2 14 8 3" xfId="53132" xr:uid="{DF265A6D-9598-45E0-9E78-947D4F198DAE}"/>
    <cellStyle name="Total 2 14 9" xfId="7242" xr:uid="{81FCB488-D362-42AC-9647-C9C94E0843B5}"/>
    <cellStyle name="Total 2 14 9 2" xfId="29932" xr:uid="{AE73CDBA-D065-42CD-9A11-AAF19E37A542}"/>
    <cellStyle name="Total 2 14 9 3" xfId="52903" xr:uid="{376C1EBF-85AD-473B-B95B-891A98FDA55C}"/>
    <cellStyle name="Total 2 15" xfId="1461" xr:uid="{00000000-0005-0000-0000-00006F080000}"/>
    <cellStyle name="Total 2 15 10" xfId="21061" xr:uid="{93FE1159-CF2E-4076-9CD8-5C79D31C74E0}"/>
    <cellStyle name="Total 2 15 10 2" xfId="50060" xr:uid="{F2BB44FE-101C-46C4-9B8A-CDD9BA7793B8}"/>
    <cellStyle name="Total 2 15 11" xfId="50787" xr:uid="{8720FFE6-CD39-4608-A38F-FFC039FF26FD}"/>
    <cellStyle name="Total 2 15 2" xfId="2188" xr:uid="{00000000-0005-0000-0000-000070080000}"/>
    <cellStyle name="Total 2 15 2 10" xfId="14789" xr:uid="{1825A2E5-FC56-428D-A6C8-301821E2CE27}"/>
    <cellStyle name="Total 2 15 2 10 2" xfId="37245" xr:uid="{BB366563-3EA7-41F2-9B40-6012761E3F76}"/>
    <cellStyle name="Total 2 15 2 10 3" xfId="49505" xr:uid="{56672BAC-0F95-4904-913F-50AF36CCEB02}"/>
    <cellStyle name="Total 2 15 2 11" xfId="20938" xr:uid="{FA5D5853-CBF5-4D2E-BA3C-05A884C650DB}"/>
    <cellStyle name="Total 2 15 2 11 2" xfId="43197" xr:uid="{7D8D070C-AB65-4822-A41C-F05BC958B8DA}"/>
    <cellStyle name="Total 2 15 2 11 3" xfId="53079" xr:uid="{13804645-EDE8-44FC-A112-C60FC9B3D85F}"/>
    <cellStyle name="Total 2 15 2 12" xfId="20159" xr:uid="{E2077C46-5455-4553-A96C-318F276547A9}"/>
    <cellStyle name="Total 2 15 2 12 2" xfId="27559" xr:uid="{81C6F200-A53B-47AF-B2A0-B57DDAF4DD25}"/>
    <cellStyle name="Total 2 15 2 13" xfId="49899" xr:uid="{91707057-62F8-4745-B1F0-AF459898D272}"/>
    <cellStyle name="Total 2 15 2 2" xfId="4281" xr:uid="{00000000-0005-0000-0000-00006D080000}"/>
    <cellStyle name="Total 2 15 2 2 2" xfId="11185" xr:uid="{36441964-E34E-4224-B02A-DAA814BE9B06}"/>
    <cellStyle name="Total 2 15 2 2 2 2" xfId="33671" xr:uid="{56D28D8A-BC1A-4AEB-AA05-95886840EADB}"/>
    <cellStyle name="Total 2 15 2 2 2 3" xfId="28736" xr:uid="{D21D9EC4-BB89-4B64-B2D0-E4CE046C4B45}"/>
    <cellStyle name="Total 2 15 2 2 3" xfId="16246" xr:uid="{18D92FFD-278F-434C-B9A1-259360196EFC}"/>
    <cellStyle name="Total 2 15 2 2 3 2" xfId="38639" xr:uid="{FD1171D6-A3CE-44FA-AD8F-DBE5A4D894C4}"/>
    <cellStyle name="Total 2 15 2 2 3 3" xfId="43866" xr:uid="{7FD9D4AB-1A7F-4765-B45A-0B0D08D6C516}"/>
    <cellStyle name="Total 2 15 2 2 4" xfId="19633" xr:uid="{33E6BC7A-0EE0-4807-93C0-6F611C082671}"/>
    <cellStyle name="Total 2 15 2 2 4 2" xfId="41984" xr:uid="{00F37D5C-2A80-4481-A851-DF0552AAE5EE}"/>
    <cellStyle name="Total 2 15 2 2 4 3" xfId="27216" xr:uid="{397C84E1-11D9-4FA6-B9AA-537D58989ADC}"/>
    <cellStyle name="Total 2 15 2 2 5" xfId="21149" xr:uid="{5A9B0626-79B8-4A83-AEC4-989F69E22DEA}"/>
    <cellStyle name="Total 2 15 2 2 5 2" xfId="46234" xr:uid="{36079CA2-6357-4623-BA91-229EDCDE7043}"/>
    <cellStyle name="Total 2 15 2 2 6" xfId="23733" xr:uid="{EDEF6753-33A3-4D49-9F2B-15CE31BD6941}"/>
    <cellStyle name="Total 2 15 2 3" xfId="5583" xr:uid="{00000000-0005-0000-0000-00006D080000}"/>
    <cellStyle name="Total 2 15 2 3 2" xfId="12468" xr:uid="{81853B81-3EB0-4CF9-8E46-680D9D6835D7}"/>
    <cellStyle name="Total 2 15 2 3 2 2" xfId="34953" xr:uid="{7A4E704B-85DC-4AE0-A4C7-32402552CF39}"/>
    <cellStyle name="Total 2 15 2 3 2 3" xfId="45613" xr:uid="{DC9E5646-96C0-488B-9C33-60683B60CB6B}"/>
    <cellStyle name="Total 2 15 2 3 3" xfId="17520" xr:uid="{812548B4-0911-44A7-B392-822837268A8B}"/>
    <cellStyle name="Total 2 15 2 3 3 2" xfId="39910" xr:uid="{C3D3A865-0DF4-41EF-A494-95B2BEA33774}"/>
    <cellStyle name="Total 2 15 2 3 3 3" xfId="29769" xr:uid="{BCC3C50A-9787-444F-B2A8-051969D74D3E}"/>
    <cellStyle name="Total 2 15 2 3 4" xfId="15262" xr:uid="{D80DF618-46E3-4271-A997-81F25281080E}"/>
    <cellStyle name="Total 2 15 2 3 4 2" xfId="37696" xr:uid="{47245F4B-D9A4-4B39-A082-30EBEE338CA3}"/>
    <cellStyle name="Total 2 15 2 3 4 3" xfId="50231" xr:uid="{363D9391-9DFD-4DB0-852D-35AF0EB5DF44}"/>
    <cellStyle name="Total 2 15 2 3 5" xfId="21944" xr:uid="{57C7812D-A1E3-402A-A696-DE83DF4E5863}"/>
    <cellStyle name="Total 2 15 2 3 5 2" xfId="27589" xr:uid="{EF17EDBF-DA79-4783-BB12-BE7F680D9A0F}"/>
    <cellStyle name="Total 2 15 2 3 6" xfId="51832" xr:uid="{E31002D4-BAFF-4024-ABA5-5DEA35C9865E}"/>
    <cellStyle name="Total 2 15 2 4" xfId="5999" xr:uid="{00000000-0005-0000-0000-00006D080000}"/>
    <cellStyle name="Total 2 15 2 4 2" xfId="12880" xr:uid="{160EBBA6-6FA4-4AB4-8331-A919887C39CF}"/>
    <cellStyle name="Total 2 15 2 4 2 2" xfId="35364" xr:uid="{4D2452C5-DD67-49AE-B3B4-436F3F11E9C8}"/>
    <cellStyle name="Total 2 15 2 4 2 3" xfId="32222" xr:uid="{B04295D7-2257-4599-BB7A-0FC79FE4B4A9}"/>
    <cellStyle name="Total 2 15 2 4 3" xfId="17936" xr:uid="{D58F7CD2-A95D-452B-B6CC-8E1FA294D1E7}"/>
    <cellStyle name="Total 2 15 2 4 3 2" xfId="40326" xr:uid="{6EDB1D3D-41C8-42F5-9B02-189DE1C939A9}"/>
    <cellStyle name="Total 2 15 2 4 3 3" xfId="27774" xr:uid="{210621A5-632D-48BD-841B-A376892E24A4}"/>
    <cellStyle name="Total 2 15 2 4 4" xfId="14551" xr:uid="{F0B6EAAE-3006-4EF5-802D-05EF85FC4545}"/>
    <cellStyle name="Total 2 15 2 4 4 2" xfId="37012" xr:uid="{90631D9A-63A1-400F-BBA3-2C82F71BC878}"/>
    <cellStyle name="Total 2 15 2 4 4 3" xfId="46722" xr:uid="{AED39F0B-6ABC-4EB6-ABE0-CF0F60108A28}"/>
    <cellStyle name="Total 2 15 2 4 5" xfId="22360" xr:uid="{C4441D57-A7F6-4141-ADF3-DFCA49BA86D7}"/>
    <cellStyle name="Total 2 15 2 4 5 2" xfId="46512" xr:uid="{1D0E4ED1-1C29-4960-AFB9-75022357A27F}"/>
    <cellStyle name="Total 2 15 2 4 6" xfId="41736" xr:uid="{CD7E1D89-C882-4E14-89B6-807942E7112C}"/>
    <cellStyle name="Total 2 15 2 5" xfId="6336" xr:uid="{00000000-0005-0000-0000-00006D080000}"/>
    <cellStyle name="Total 2 15 2 5 2" xfId="13208" xr:uid="{A8ACEC21-9DA0-40CB-9836-EC8E6458801B}"/>
    <cellStyle name="Total 2 15 2 5 2 2" xfId="35692" xr:uid="{C0BEE07E-E0BF-482D-970E-83CEC47F539D}"/>
    <cellStyle name="Total 2 15 2 5 2 3" xfId="51216" xr:uid="{4E98A7A5-0D56-4471-9FC7-3C856548C2C2}"/>
    <cellStyle name="Total 2 15 2 5 3" xfId="18273" xr:uid="{6C97AB4F-140F-4CCD-9A88-6AB88882D68D}"/>
    <cellStyle name="Total 2 15 2 5 3 2" xfId="40663" xr:uid="{47D6D6E8-B9CA-437F-83F5-2D0AFD2D3215}"/>
    <cellStyle name="Total 2 15 2 5 3 3" xfId="44452" xr:uid="{619117EE-9A8C-4737-B416-D40A714339D7}"/>
    <cellStyle name="Total 2 15 2 5 4" xfId="16161" xr:uid="{70910C21-862F-44A0-A466-0BFF5951D25E}"/>
    <cellStyle name="Total 2 15 2 5 4 2" xfId="38560" xr:uid="{A38F7365-726B-4D8B-AAE0-AD5F053A2FF3}"/>
    <cellStyle name="Total 2 15 2 5 4 3" xfId="29464" xr:uid="{B1947D23-C501-47BD-AA78-5F6985AC4BC6}"/>
    <cellStyle name="Total 2 15 2 5 5" xfId="22697" xr:uid="{A86217C7-7882-45FF-862D-E4FB8071B769}"/>
    <cellStyle name="Total 2 15 2 5 5 2" xfId="48328" xr:uid="{CFEB19C1-FE24-449B-B3CC-BB7157305FC9}"/>
    <cellStyle name="Total 2 15 2 5 6" xfId="49407" xr:uid="{B63A9831-8A23-417C-8099-284D6DCC5985}"/>
    <cellStyle name="Total 2 15 2 6" xfId="6679" xr:uid="{00000000-0005-0000-0000-00006D080000}"/>
    <cellStyle name="Total 2 15 2 6 2" xfId="13545" xr:uid="{3BD283DB-E409-416A-B919-C32F931301A1}"/>
    <cellStyle name="Total 2 15 2 6 2 2" xfId="36029" xr:uid="{A8C642B4-2459-4CEB-832E-F39DEA7F872A}"/>
    <cellStyle name="Total 2 15 2 6 2 3" xfId="51239" xr:uid="{2D5F08EB-DA3E-4973-9451-CEB617E50528}"/>
    <cellStyle name="Total 2 15 2 6 3" xfId="18616" xr:uid="{A3B07C14-3ECF-45B0-8E80-99B47A8F28BD}"/>
    <cellStyle name="Total 2 15 2 6 3 2" xfId="41006" xr:uid="{799120BE-46DC-424A-B742-982D3020A459}"/>
    <cellStyle name="Total 2 15 2 6 3 3" xfId="45286" xr:uid="{6CEC5BED-A3FC-4D10-BCC6-7A4055C90C0A}"/>
    <cellStyle name="Total 2 15 2 6 4" xfId="19746" xr:uid="{A97DC734-F965-4B51-AE01-3A64982D0D86}"/>
    <cellStyle name="Total 2 15 2 6 4 2" xfId="42089" xr:uid="{EF49037C-4B46-476E-860E-AB025CF66D5F}"/>
    <cellStyle name="Total 2 15 2 6 4 3" xfId="43489" xr:uid="{D3D0C131-1F84-4570-8BC8-7DDBD6CF50FE}"/>
    <cellStyle name="Total 2 15 2 6 5" xfId="23040" xr:uid="{54D33D4B-5874-45A4-A032-3B8C6C3E1B11}"/>
    <cellStyle name="Total 2 15 2 6 5 2" xfId="46400" xr:uid="{6C4C163F-98A1-47DF-B3D6-9FA83AAA2289}"/>
    <cellStyle name="Total 2 15 2 6 6" xfId="49262" xr:uid="{819BF2B2-E6DF-4658-A29B-99EBAE2DE6B7}"/>
    <cellStyle name="Total 2 15 2 7" xfId="5032" xr:uid="{00000000-0005-0000-0000-00006D080000}"/>
    <cellStyle name="Total 2 15 2 7 2" xfId="11926" xr:uid="{C721D1F6-8F08-429F-B03E-1F6EDD690E75}"/>
    <cellStyle name="Total 2 15 2 7 2 2" xfId="34412" xr:uid="{782B71F3-C048-4C05-AFFE-DA82D4A1DADA}"/>
    <cellStyle name="Total 2 15 2 7 2 3" xfId="43516" xr:uid="{D019948D-391D-44E1-ABF0-B7D0A5C509EE}"/>
    <cellStyle name="Total 2 15 2 7 3" xfId="16969" xr:uid="{750BE426-E998-4D89-92CB-D84D4ACBE880}"/>
    <cellStyle name="Total 2 15 2 7 3 2" xfId="39359" xr:uid="{EB66C222-4D13-436D-93A8-30081A820652}"/>
    <cellStyle name="Total 2 15 2 7 3 3" xfId="43930" xr:uid="{DBE9C02C-46E4-42BE-91AF-4A1CB40DD51F}"/>
    <cellStyle name="Total 2 15 2 7 4" xfId="14994" xr:uid="{937A168A-CB4F-4DA6-8B81-0A9559384768}"/>
    <cellStyle name="Total 2 15 2 7 4 2" xfId="37444" xr:uid="{586292C1-58D7-4BEA-A528-476284717E29}"/>
    <cellStyle name="Total 2 15 2 7 4 3" xfId="47195" xr:uid="{B93DF03B-DCB4-4A02-9D2E-70BF87B1D24B}"/>
    <cellStyle name="Total 2 15 2 7 5" xfId="21393" xr:uid="{79C8C8F2-4CC9-4334-8322-F7AD36B35F19}"/>
    <cellStyle name="Total 2 15 2 7 5 2" xfId="30664" xr:uid="{72D2BFA0-6A7C-421C-91E3-1BA7A31C8397}"/>
    <cellStyle name="Total 2 15 2 7 6" xfId="27884" xr:uid="{D3D8B660-C131-4BF7-A645-F3A9D98DB2C3}"/>
    <cellStyle name="Total 2 15 2 8" xfId="7121" xr:uid="{00000000-0005-0000-0000-00006D080000}"/>
    <cellStyle name="Total 2 15 2 8 2" xfId="13957" xr:uid="{1123BD3D-8CBF-4F2D-82F3-38B27542CEE9}"/>
    <cellStyle name="Total 2 15 2 8 2 2" xfId="36441" xr:uid="{1E58D49E-3E4F-4F90-AE5B-24F56E2E4A77}"/>
    <cellStyle name="Total 2 15 2 8 2 3" xfId="26459" xr:uid="{CFD47759-3ED1-426E-B635-6F248A8A55B1}"/>
    <cellStyle name="Total 2 15 2 8 3" xfId="19058" xr:uid="{BD74C6C3-16B1-4A52-A968-C23C525F8A13}"/>
    <cellStyle name="Total 2 15 2 8 3 2" xfId="41448" xr:uid="{A9AD9E9C-A6EE-4CBE-AE5E-4BF8E18E209C}"/>
    <cellStyle name="Total 2 15 2 8 3 3" xfId="25676" xr:uid="{EDDFFE21-489E-4814-930C-143DD9BDA6DB}"/>
    <cellStyle name="Total 2 15 2 8 4" xfId="19941" xr:uid="{7ECF7D91-6978-41D4-9AEC-2718C934570B}"/>
    <cellStyle name="Total 2 15 2 8 4 2" xfId="42271" xr:uid="{97C65B39-66C8-4037-AC16-89909AF21596}"/>
    <cellStyle name="Total 2 15 2 8 4 3" xfId="44649" xr:uid="{FA42A927-6FAE-4E7D-84B3-DD33D980A4AA}"/>
    <cellStyle name="Total 2 15 2 8 5" xfId="23482" xr:uid="{4107244A-E222-42E2-AFF9-7975820AFAF2}"/>
    <cellStyle name="Total 2 15 2 8 5 2" xfId="53587" xr:uid="{72DA0984-3563-4007-9AD3-6545A4D6EC81}"/>
    <cellStyle name="Total 2 15 2 8 6" xfId="48355" xr:uid="{23E7D966-EF12-44D4-B359-20CFDEA30961}"/>
    <cellStyle name="Total 2 15 2 9" xfId="7232" xr:uid="{00000000-0005-0000-0000-00006D080000}"/>
    <cellStyle name="Total 2 15 2 9 2" xfId="19169" xr:uid="{08C2CC2E-4C51-4923-A1C8-EE712770C9DF}"/>
    <cellStyle name="Total 2 15 2 9 2 2" xfId="41559" xr:uid="{0A69AAB2-29C1-47A3-8A1C-76988EF13658}"/>
    <cellStyle name="Total 2 15 2 9 2 3" xfId="29545" xr:uid="{9EA22635-FCB6-4217-9E0C-8C026148F792}"/>
    <cellStyle name="Total 2 15 2 9 3" xfId="15721" xr:uid="{DED0E916-14B2-4778-B3C0-28BEED68CA1F}"/>
    <cellStyle name="Total 2 15 2 9 3 2" xfId="38134" xr:uid="{38DA12EF-B7B4-4A87-8CC5-B67AE4115DD1}"/>
    <cellStyle name="Total 2 15 2 9 3 3" xfId="47018" xr:uid="{2B92A9A1-DCCD-49A2-8687-C35A7AC1490B}"/>
    <cellStyle name="Total 2 15 2 9 4" xfId="23593" xr:uid="{E8F8E2E0-C1BB-4657-8A48-695615052F9E}"/>
    <cellStyle name="Total 2 15 2 9 4 2" xfId="41988" xr:uid="{993E330B-C92B-445D-B844-4B514E70DC2F}"/>
    <cellStyle name="Total 2 15 2 9 5" xfId="49155" xr:uid="{BF31FBDD-9982-4D30-BA2D-F73292A978D8}"/>
    <cellStyle name="Total 2 15 3" xfId="3562" xr:uid="{00000000-0005-0000-0000-00006C080000}"/>
    <cellStyle name="Total 2 15 3 2" xfId="10468" xr:uid="{E550046A-4A77-400B-8710-8D0561EE7D0C}"/>
    <cellStyle name="Total 2 15 3 2 2" xfId="32955" xr:uid="{A5C7AA42-7892-4F53-93C4-017405350450}"/>
    <cellStyle name="Total 2 15 3 2 3" xfId="50095" xr:uid="{218D4E2D-4515-42E8-B989-E428B16BB094}"/>
    <cellStyle name="Total 2 15 3 3" xfId="15712" xr:uid="{A46CDC01-18F8-4682-A95B-656607C4F850}"/>
    <cellStyle name="Total 2 15 3 3 2" xfId="38125" xr:uid="{AD8A9976-E4A3-4C95-AA79-2A89912D6355}"/>
    <cellStyle name="Total 2 15 3 3 3" xfId="50847" xr:uid="{F265F3A7-5EB6-49E3-8CF1-BF58277FD420}"/>
    <cellStyle name="Total 2 15 3 4" xfId="20185" xr:uid="{F352CFB8-9C77-485F-8494-98459EDFA0F7}"/>
    <cellStyle name="Total 2 15 3 4 2" xfId="42495" xr:uid="{45C9ED50-C5BB-404F-B0EF-E00F17EA0473}"/>
    <cellStyle name="Total 2 15 3 4 3" xfId="43262" xr:uid="{C0CC4FCF-A7F4-4F86-B5FF-2C4BDA262329}"/>
    <cellStyle name="Total 2 15 3 5" xfId="20219" xr:uid="{9A212B44-DEE9-4262-B199-F9BDCF767579}"/>
    <cellStyle name="Total 2 15 3 5 2" xfId="24507" xr:uid="{3044E988-4F37-422A-A8C2-386784BA4FF8}"/>
    <cellStyle name="Total 2 15 3 6" xfId="50849" xr:uid="{2987CDCF-A521-4FE0-A7F4-DDA9044CE282}"/>
    <cellStyle name="Total 2 15 4" xfId="5063" xr:uid="{00000000-0005-0000-0000-00006C080000}"/>
    <cellStyle name="Total 2 15 4 2" xfId="11956" xr:uid="{83FD41CE-EF2F-4E84-890A-2574EA26D1FA}"/>
    <cellStyle name="Total 2 15 4 2 2" xfId="34442" xr:uid="{CE4FCE6D-9816-4FBC-B644-9C577713B652}"/>
    <cellStyle name="Total 2 15 4 2 3" xfId="24083" xr:uid="{8AC03C0F-9997-4C82-B33F-1E74FE7F153B}"/>
    <cellStyle name="Total 2 15 4 3" xfId="17000" xr:uid="{45B28B1C-8228-426F-9580-9E112C69E1A3}"/>
    <cellStyle name="Total 2 15 4 3 2" xfId="39390" xr:uid="{CDBB6C7D-58C8-4390-B583-E330AF36F5C8}"/>
    <cellStyle name="Total 2 15 4 3 3" xfId="24220" xr:uid="{62BD3A04-0806-485A-B7CE-584BB527DF1D}"/>
    <cellStyle name="Total 2 15 4 4" xfId="15289" xr:uid="{63855940-D0C1-4C42-A6FE-B5CF4004AA86}"/>
    <cellStyle name="Total 2 15 4 4 2" xfId="37721" xr:uid="{4618D9F6-944A-4636-A300-407FACF2DC88}"/>
    <cellStyle name="Total 2 15 4 4 3" xfId="53754" xr:uid="{AD26B28D-F25F-4E83-9D41-4D2196A2713C}"/>
    <cellStyle name="Total 2 15 4 5" xfId="21424" xr:uid="{048FC410-6F12-47B5-9061-DFC1A717F540}"/>
    <cellStyle name="Total 2 15 4 5 2" xfId="48227" xr:uid="{F2B0C218-E733-4DD6-B66F-20E9BF6A15F2}"/>
    <cellStyle name="Total 2 15 4 6" xfId="44051" xr:uid="{00014B6A-BB1E-45FC-AA34-04F34AF83521}"/>
    <cellStyle name="Total 2 15 5" xfId="4347" xr:uid="{00000000-0005-0000-0000-00006C080000}"/>
    <cellStyle name="Total 2 15 5 2" xfId="11250" xr:uid="{D32D4CDA-D814-4C2F-B406-4B72D87421BF}"/>
    <cellStyle name="Total 2 15 5 2 2" xfId="33736" xr:uid="{720DEBED-28D7-4CFE-AD5A-157AE397F102}"/>
    <cellStyle name="Total 2 15 5 2 3" xfId="43882" xr:uid="{EFFCD51E-6DDE-4FE6-BDD2-6CE35FAD7FD9}"/>
    <cellStyle name="Total 2 15 5 3" xfId="16284" xr:uid="{7FC9C187-D1A9-4A88-85F4-C00C2A20C4A7}"/>
    <cellStyle name="Total 2 15 5 3 2" xfId="38674" xr:uid="{728ED38B-DE24-431B-8126-91D26BACA937}"/>
    <cellStyle name="Total 2 15 5 3 3" xfId="26400" xr:uid="{E35EF4AC-E3F8-4B3C-9853-EC0163F48A9A}"/>
    <cellStyle name="Total 2 15 5 4" xfId="14126" xr:uid="{7CCDF024-4D6A-4ED8-A9CD-AEE03DD9DE39}"/>
    <cellStyle name="Total 2 15 5 4 2" xfId="36603" xr:uid="{791E455E-DCB1-4F12-B738-C87F72297F54}"/>
    <cellStyle name="Total 2 15 5 4 3" xfId="44195" xr:uid="{2747ED99-D115-4D5F-8399-F5C672EE36BF}"/>
    <cellStyle name="Total 2 15 5 5" xfId="13997" xr:uid="{50DEBE70-6815-47C7-9B63-CB99E787A135}"/>
    <cellStyle name="Total 2 15 5 5 2" xfId="52938" xr:uid="{FE7BD239-682D-451A-A500-8C32562D1E33}"/>
    <cellStyle name="Total 2 15 5 6" xfId="46964" xr:uid="{E5398F0C-9549-4E33-BEF2-9C87D16D1452}"/>
    <cellStyle name="Total 2 15 6" xfId="4560" xr:uid="{00000000-0005-0000-0000-00006C080000}"/>
    <cellStyle name="Total 2 15 6 2" xfId="11462" xr:uid="{DE51E1A4-B4F4-46BB-B89F-D03D76B74FA6}"/>
    <cellStyle name="Total 2 15 6 2 2" xfId="33948" xr:uid="{23D1DAC7-2C55-4CEE-AE52-813E6A27F154}"/>
    <cellStyle name="Total 2 15 6 2 3" xfId="25318" xr:uid="{5B897CF1-D502-4220-B7C2-9A24F509D536}"/>
    <cellStyle name="Total 2 15 6 3" xfId="16497" xr:uid="{5D37AE80-B0C2-4E00-9669-294B5FA2B675}"/>
    <cellStyle name="Total 2 15 6 3 2" xfId="38887" xr:uid="{4B7B957F-50EF-495F-9667-DE2D64391353}"/>
    <cellStyle name="Total 2 15 6 3 3" xfId="45666" xr:uid="{0CC33E8D-F231-4B8F-921C-211BEC7B7A95}"/>
    <cellStyle name="Total 2 15 6 4" xfId="9029" xr:uid="{F5DBEE1A-7805-49FF-BCE5-C6E78C5C48F4}"/>
    <cellStyle name="Total 2 15 6 4 2" xfId="31606" xr:uid="{78FED157-543E-48D2-8001-168E96426957}"/>
    <cellStyle name="Total 2 15 6 4 3" xfId="28337" xr:uid="{49DAE298-C1E0-4E85-92B2-852B8560AF07}"/>
    <cellStyle name="Total 2 15 6 5" xfId="20841" xr:uid="{189B7105-C5B5-4B21-AAB3-1A21A861C617}"/>
    <cellStyle name="Total 2 15 6 5 2" xfId="49661" xr:uid="{EEAB899A-4809-4640-A615-BD79A696B015}"/>
    <cellStyle name="Total 2 15 6 6" xfId="24944" xr:uid="{3305EB54-2C61-4E0E-86B5-551D04ED8FB7}"/>
    <cellStyle name="Total 2 15 7" xfId="5411" xr:uid="{00000000-0005-0000-0000-00006C080000}"/>
    <cellStyle name="Total 2 15 7 2" xfId="12302" xr:uid="{171E7372-1AE5-43D1-BB7C-9C13DC5C06A7}"/>
    <cellStyle name="Total 2 15 7 2 2" xfId="34787" xr:uid="{48B60089-F4BC-4685-A365-75803119A19B}"/>
    <cellStyle name="Total 2 15 7 2 3" xfId="27400" xr:uid="{A18D17E6-4293-4F0C-9FF4-346BA2B4A4E4}"/>
    <cellStyle name="Total 2 15 7 3" xfId="17348" xr:uid="{9D9E5829-5E3F-4B40-8DC3-23D9F7050599}"/>
    <cellStyle name="Total 2 15 7 3 2" xfId="39738" xr:uid="{C4F1C294-EC88-4A1B-AFA5-909C9B511387}"/>
    <cellStyle name="Total 2 15 7 3 3" xfId="28960" xr:uid="{5A05E59B-FB56-486A-B392-7588C099480F}"/>
    <cellStyle name="Total 2 15 7 4" xfId="14949" xr:uid="{D9C790C7-1267-45E5-9F11-F4ADAE2290BE}"/>
    <cellStyle name="Total 2 15 7 4 2" xfId="37403" xr:uid="{98A3F480-DC36-407B-B786-0828CAB0AB4A}"/>
    <cellStyle name="Total 2 15 7 4 3" xfId="37449" xr:uid="{D18F562F-D3F6-438C-ACC6-E8EE426A1CA8}"/>
    <cellStyle name="Total 2 15 7 5" xfId="21772" xr:uid="{F93E8837-CF81-4903-82A5-29D43D86057E}"/>
    <cellStyle name="Total 2 15 7 5 2" xfId="52136" xr:uid="{417526DF-BADC-4977-9F61-81A55F3FBBC3}"/>
    <cellStyle name="Total 2 15 7 6" xfId="48159" xr:uid="{799C1BA3-9B05-4E9B-93AF-7A27D2F536E9}"/>
    <cellStyle name="Total 2 15 8" xfId="14246" xr:uid="{00166B08-6495-4C5E-B4C8-B6043669A2B1}"/>
    <cellStyle name="Total 2 15 8 2" xfId="36719" xr:uid="{F6765D3F-3C9F-4EF9-9A50-BE989F2868E5}"/>
    <cellStyle name="Total 2 15 8 3" xfId="25656" xr:uid="{61AC19BF-342E-45A1-8553-DEFB9C279D81}"/>
    <cellStyle name="Total 2 15 9" xfId="19559" xr:uid="{EF69378F-E23B-464F-8839-B8A1D9D20082}"/>
    <cellStyle name="Total 2 15 9 2" xfId="41917" xr:uid="{63E7729A-E132-40C7-A719-3AB6041435E0}"/>
    <cellStyle name="Total 2 15 9 3" xfId="26625" xr:uid="{8ABC02B1-66CC-4C2B-BC7B-46A202507EEB}"/>
    <cellStyle name="Total 2 16" xfId="1466" xr:uid="{00000000-0005-0000-0000-000071080000}"/>
    <cellStyle name="Total 2 16 10" xfId="14479" xr:uid="{C8681F22-2F6B-4B9D-BBF7-6B6C296BACA4}"/>
    <cellStyle name="Total 2 16 10 2" xfId="48095" xr:uid="{A70880CE-FDF4-42FE-83D7-0122762D5A8E}"/>
    <cellStyle name="Total 2 16 11" xfId="50542" xr:uid="{26ACB2B1-A6F5-47DD-B1C0-CDD0D4D7BDB4}"/>
    <cellStyle name="Total 2 16 2" xfId="2193" xr:uid="{00000000-0005-0000-0000-000072080000}"/>
    <cellStyle name="Total 2 16 2 10" xfId="14794" xr:uid="{C9A1BA28-62F0-4809-8450-6E78E9960550}"/>
    <cellStyle name="Total 2 16 2 10 2" xfId="37250" xr:uid="{4BE18461-B2DC-4EB0-9D6B-AD804957A744}"/>
    <cellStyle name="Total 2 16 2 10 3" xfId="46140" xr:uid="{DEA1E2DB-F407-46FE-9959-D9BA57D19CD6}"/>
    <cellStyle name="Total 2 16 2 11" xfId="19760" xr:uid="{A077CA47-DB03-41F2-88D6-6ACA760B6C88}"/>
    <cellStyle name="Total 2 16 2 11 2" xfId="42102" xr:uid="{FE58F944-1113-4F87-A7CA-3005ADDF630A}"/>
    <cellStyle name="Total 2 16 2 11 3" xfId="29906" xr:uid="{7A39DB64-3B2C-4944-BEAE-78C7EB225886}"/>
    <cellStyle name="Total 2 16 2 12" xfId="20419" xr:uid="{3B653298-A84F-4D13-80C2-736CD721EEB7}"/>
    <cellStyle name="Total 2 16 2 12 2" xfId="51580" xr:uid="{B3AC5F70-B3AA-4C71-856A-421BDEB593E8}"/>
    <cellStyle name="Total 2 16 2 13" xfId="49525" xr:uid="{A6589B0B-5CFB-4213-A1C3-458A33955C25}"/>
    <cellStyle name="Total 2 16 2 2" xfId="4286" xr:uid="{00000000-0005-0000-0000-00006F080000}"/>
    <cellStyle name="Total 2 16 2 2 2" xfId="11190" xr:uid="{3F9C38EF-0FC9-4FFA-98A6-17E9CBB941BA}"/>
    <cellStyle name="Total 2 16 2 2 2 2" xfId="33676" xr:uid="{3BB19D03-A5EC-4177-A207-74DA2F718A07}"/>
    <cellStyle name="Total 2 16 2 2 2 3" xfId="27033" xr:uid="{2F89268A-B79F-4929-A663-3E091E5D8E33}"/>
    <cellStyle name="Total 2 16 2 2 3" xfId="16251" xr:uid="{14C89F0D-D1C3-47BD-A134-FF19DC3413A0}"/>
    <cellStyle name="Total 2 16 2 2 3 2" xfId="38644" xr:uid="{96E630BC-977A-4416-9219-D06E1E22D967}"/>
    <cellStyle name="Total 2 16 2 2 3 3" xfId="45303" xr:uid="{8271215D-E5F9-4861-9DA1-F0FDB3A262F8}"/>
    <cellStyle name="Total 2 16 2 2 4" xfId="8677" xr:uid="{203CD30D-E047-41E6-A40A-F4AE751D46AC}"/>
    <cellStyle name="Total 2 16 2 2 4 2" xfId="31262" xr:uid="{F9C72E60-4244-43B6-96F7-518C577BEDF8}"/>
    <cellStyle name="Total 2 16 2 2 4 3" xfId="50200" xr:uid="{196CAD56-B41B-46C8-AA8E-A9A3A2FCBB40}"/>
    <cellStyle name="Total 2 16 2 2 5" xfId="8272" xr:uid="{C064966F-DFA3-49E0-86E0-8B0C2D51023E}"/>
    <cellStyle name="Total 2 16 2 2 5 2" xfId="53886" xr:uid="{C2C9A301-9618-4357-8B70-F099F4921951}"/>
    <cellStyle name="Total 2 16 2 2 6" xfId="28163" xr:uid="{3A005C17-C9DB-4284-B0F7-64BDAC559306}"/>
    <cellStyle name="Total 2 16 2 3" xfId="5588" xr:uid="{00000000-0005-0000-0000-00006F080000}"/>
    <cellStyle name="Total 2 16 2 3 2" xfId="12473" xr:uid="{2BEE39B7-0F2C-4175-BE06-43CB9A34F979}"/>
    <cellStyle name="Total 2 16 2 3 2 2" xfId="34958" xr:uid="{21E610C4-5F03-4919-8915-921A290CB05E}"/>
    <cellStyle name="Total 2 16 2 3 2 3" xfId="43311" xr:uid="{7E5FD1F8-6051-4BB0-9970-76B7E5E4C415}"/>
    <cellStyle name="Total 2 16 2 3 3" xfId="17525" xr:uid="{1F4AFDDB-8162-4049-839F-E814B999176F}"/>
    <cellStyle name="Total 2 16 2 3 3 2" xfId="39915" xr:uid="{1ABAC49D-EFA2-4B7F-A3A6-C4A7A0C5F4F6}"/>
    <cellStyle name="Total 2 16 2 3 3 3" xfId="30809" xr:uid="{C79EA82F-90C5-4618-881C-2C727911D5F4}"/>
    <cellStyle name="Total 2 16 2 3 4" xfId="19385" xr:uid="{7C62E64C-4416-4291-9AB6-C6E214C834B7}"/>
    <cellStyle name="Total 2 16 2 3 4 2" xfId="41759" xr:uid="{7EE4BA6D-737A-42A4-9722-D3040A41BA43}"/>
    <cellStyle name="Total 2 16 2 3 4 3" xfId="30950" xr:uid="{0B055369-78B1-49BE-ADD4-C4A707B59EC3}"/>
    <cellStyle name="Total 2 16 2 3 5" xfId="21949" xr:uid="{B8AFA4B8-2DA4-46AA-8190-689D210252BC}"/>
    <cellStyle name="Total 2 16 2 3 5 2" xfId="52032" xr:uid="{686E53BA-368C-4CE3-B277-881233272CAE}"/>
    <cellStyle name="Total 2 16 2 3 6" xfId="54082" xr:uid="{A26E40D0-BD4F-434D-8BDE-8331FA7CDF2D}"/>
    <cellStyle name="Total 2 16 2 4" xfId="6004" xr:uid="{00000000-0005-0000-0000-00006F080000}"/>
    <cellStyle name="Total 2 16 2 4 2" xfId="12885" xr:uid="{717E59D3-4673-48F9-AA12-D0BCF69BDCEF}"/>
    <cellStyle name="Total 2 16 2 4 2 2" xfId="35369" xr:uid="{C131BA44-3752-45CC-978B-8587506B2F8E}"/>
    <cellStyle name="Total 2 16 2 4 2 3" xfId="52531" xr:uid="{0517E02E-ACAA-41DE-A0E5-20A01C521FE6}"/>
    <cellStyle name="Total 2 16 2 4 3" xfId="17941" xr:uid="{D17E5486-CD98-4177-8198-72D1A4E79094}"/>
    <cellStyle name="Total 2 16 2 4 3 2" xfId="40331" xr:uid="{C5A5D351-7A6F-44E6-832D-1F3147AFB746}"/>
    <cellStyle name="Total 2 16 2 4 3 3" xfId="29868" xr:uid="{A50F5DDE-0455-4E45-A281-ABB8478D9C9F}"/>
    <cellStyle name="Total 2 16 2 4 4" xfId="15045" xr:uid="{0D5BEA35-D4DF-4F71-8205-7ADD16641CD6}"/>
    <cellStyle name="Total 2 16 2 4 4 2" xfId="37492" xr:uid="{6268060B-2FA3-439D-B341-91CFBC6F42DB}"/>
    <cellStyle name="Total 2 16 2 4 4 3" xfId="45982" xr:uid="{F2F257A5-29DC-4788-99B6-D3D7A16658F2}"/>
    <cellStyle name="Total 2 16 2 4 5" xfId="22365" xr:uid="{0EBA6E0D-6783-4CF7-AABA-442D5181D6BC}"/>
    <cellStyle name="Total 2 16 2 4 5 2" xfId="43852" xr:uid="{E20EF2C3-CEDA-4B4B-899D-A6CFA232ADA8}"/>
    <cellStyle name="Total 2 16 2 4 6" xfId="25052" xr:uid="{EE8F99E8-B063-44A4-B9BD-3953B723ECA4}"/>
    <cellStyle name="Total 2 16 2 5" xfId="6341" xr:uid="{00000000-0005-0000-0000-00006F080000}"/>
    <cellStyle name="Total 2 16 2 5 2" xfId="13213" xr:uid="{DE1966D3-1A87-414E-BB6D-B63BB53C19E6}"/>
    <cellStyle name="Total 2 16 2 5 2 2" xfId="35697" xr:uid="{A767A654-487D-4E63-BEB4-5342B7FFBEC7}"/>
    <cellStyle name="Total 2 16 2 5 2 3" xfId="26118" xr:uid="{1A745352-27C4-4942-8ECD-31934EE9EFED}"/>
    <cellStyle name="Total 2 16 2 5 3" xfId="18278" xr:uid="{BFD30143-D69E-4B13-A632-6E2D8C8D5BAB}"/>
    <cellStyle name="Total 2 16 2 5 3 2" xfId="40668" xr:uid="{E895ECD8-6C5F-4894-BBD6-763BBCD1A061}"/>
    <cellStyle name="Total 2 16 2 5 3 3" xfId="29463" xr:uid="{78B53884-D354-4F9F-AB6A-C23B1C558AD4}"/>
    <cellStyle name="Total 2 16 2 5 4" xfId="14387" xr:uid="{11995EB4-CA0A-4EF0-8D9E-084D901D8A8D}"/>
    <cellStyle name="Total 2 16 2 5 4 2" xfId="36854" xr:uid="{425A1033-B046-4011-9237-1034C7E7D443}"/>
    <cellStyle name="Total 2 16 2 5 4 3" xfId="54069" xr:uid="{F7E6609E-BC60-490A-A0A4-AFB5BDA143A8}"/>
    <cellStyle name="Total 2 16 2 5 5" xfId="22702" xr:uid="{B832D4E3-E49C-4C85-BEAC-27F5093BB006}"/>
    <cellStyle name="Total 2 16 2 5 5 2" xfId="47264" xr:uid="{F48E0244-34C2-41EF-A67D-0DAB62EFAB9B}"/>
    <cellStyle name="Total 2 16 2 5 6" xfId="49826" xr:uid="{3B0FF9B8-3DB2-46D4-B5D6-A2E9EC821DCE}"/>
    <cellStyle name="Total 2 16 2 6" xfId="6684" xr:uid="{00000000-0005-0000-0000-00006F080000}"/>
    <cellStyle name="Total 2 16 2 6 2" xfId="13550" xr:uid="{F8A06C52-B9DD-4A02-B4DB-F1283505E8CC}"/>
    <cellStyle name="Total 2 16 2 6 2 2" xfId="36034" xr:uid="{D78320F9-D5A4-4FC1-B9D6-EBFE4804F356}"/>
    <cellStyle name="Total 2 16 2 6 2 3" xfId="50271" xr:uid="{C929607D-9FFC-439C-AB5F-0DFADDF96961}"/>
    <cellStyle name="Total 2 16 2 6 3" xfId="18621" xr:uid="{AA998E85-FE07-45E7-9FD8-EE3742D9930D}"/>
    <cellStyle name="Total 2 16 2 6 3 2" xfId="41011" xr:uid="{43678F4D-00C9-4DE0-91C2-A3FB65C318EC}"/>
    <cellStyle name="Total 2 16 2 6 3 3" xfId="45542" xr:uid="{D4C01085-E7FA-40F4-AB4D-D9E92176C9D5}"/>
    <cellStyle name="Total 2 16 2 6 4" xfId="19947" xr:uid="{59769605-3E73-4BBB-985F-C7FCB045C159}"/>
    <cellStyle name="Total 2 16 2 6 4 2" xfId="42277" xr:uid="{A1A00E17-2CEF-4F4C-83FA-4D5B762E1380}"/>
    <cellStyle name="Total 2 16 2 6 4 3" xfId="45339" xr:uid="{D80887F9-67D7-487C-B8C2-0161FD089859}"/>
    <cellStyle name="Total 2 16 2 6 5" xfId="23045" xr:uid="{6CDFA89D-4362-4472-A796-50BD3ACFED6D}"/>
    <cellStyle name="Total 2 16 2 6 5 2" xfId="45345" xr:uid="{4401F8B2-5009-4B42-B27B-FFE7241619E3}"/>
    <cellStyle name="Total 2 16 2 6 6" xfId="50660" xr:uid="{23A280C5-D1A3-40F4-BB93-D786B4BE6069}"/>
    <cellStyle name="Total 2 16 2 7" xfId="6833" xr:uid="{00000000-0005-0000-0000-00006F080000}"/>
    <cellStyle name="Total 2 16 2 7 2" xfId="13678" xr:uid="{4E36D304-93FE-4CAE-896E-7C3A0B1F70C7}"/>
    <cellStyle name="Total 2 16 2 7 2 2" xfId="36162" xr:uid="{5A030D7A-646C-4B06-AFCE-572C2DC310DA}"/>
    <cellStyle name="Total 2 16 2 7 2 3" xfId="38346" xr:uid="{31805786-FFC8-4FCE-81FB-1BC68EE48060}"/>
    <cellStyle name="Total 2 16 2 7 3" xfId="18770" xr:uid="{9856E51A-A161-491B-B439-E6C0936B53D8}"/>
    <cellStyle name="Total 2 16 2 7 3 2" xfId="41160" xr:uid="{19617111-B685-4125-8E2C-B2B0F6D0EA55}"/>
    <cellStyle name="Total 2 16 2 7 3 3" xfId="32374" xr:uid="{E9087754-2587-4332-8445-2DB664C0F962}"/>
    <cellStyle name="Total 2 16 2 7 4" xfId="8830" xr:uid="{30C13936-593A-4A0E-8D0E-A4D42C119826}"/>
    <cellStyle name="Total 2 16 2 7 4 2" xfId="31411" xr:uid="{84E02463-CD35-48E9-9887-0C94A202D147}"/>
    <cellStyle name="Total 2 16 2 7 4 3" xfId="50420" xr:uid="{811CE8A7-62E8-4895-8D03-835B954F0A6D}"/>
    <cellStyle name="Total 2 16 2 7 5" xfId="23194" xr:uid="{29A83437-E65E-45F7-8A0C-F70FB08EFF57}"/>
    <cellStyle name="Total 2 16 2 7 5 2" xfId="44007" xr:uid="{254FFE03-14BB-45B2-807C-FDE833D93214}"/>
    <cellStyle name="Total 2 16 2 7 6" xfId="50576" xr:uid="{13CB02F9-5C74-4EFF-94A4-53FC79A506DD}"/>
    <cellStyle name="Total 2 16 2 8" xfId="7126" xr:uid="{00000000-0005-0000-0000-00006F080000}"/>
    <cellStyle name="Total 2 16 2 8 2" xfId="13962" xr:uid="{1F2D68F3-7D65-4590-BC7E-C2CBD18DC1C5}"/>
    <cellStyle name="Total 2 16 2 8 2 2" xfId="36446" xr:uid="{4493BFEE-8A6C-4A04-9203-7561FA525F3F}"/>
    <cellStyle name="Total 2 16 2 8 2 3" xfId="53050" xr:uid="{478705B7-EBF3-43E7-B6D4-AD5241788320}"/>
    <cellStyle name="Total 2 16 2 8 3" xfId="19063" xr:uid="{A3B62570-9C3D-4DF7-ABC4-7BF97E18C1E9}"/>
    <cellStyle name="Total 2 16 2 8 3 2" xfId="41453" xr:uid="{2667EF80-412F-49A7-A765-5C95005CEB00}"/>
    <cellStyle name="Total 2 16 2 8 3 3" xfId="45874" xr:uid="{9DBB6654-1157-483B-A156-E3F13EC15B80}"/>
    <cellStyle name="Total 2 16 2 8 4" xfId="21226" xr:uid="{39DEFD55-A4E2-49BE-BA1A-18A933840CF7}"/>
    <cellStyle name="Total 2 16 2 8 4 2" xfId="43465" xr:uid="{376EEEED-0BB7-444A-B7EF-463BE2F42294}"/>
    <cellStyle name="Total 2 16 2 8 4 3" xfId="50707" xr:uid="{D23399C5-EEFB-44CC-8BB9-8B7CCB72F975}"/>
    <cellStyle name="Total 2 16 2 8 5" xfId="23487" xr:uid="{CE39C59E-8717-4671-811D-8815357E5755}"/>
    <cellStyle name="Total 2 16 2 8 5 2" xfId="50414" xr:uid="{7CFEF2C8-BD91-4AD3-AA39-8F2160FEA9DD}"/>
    <cellStyle name="Total 2 16 2 8 6" xfId="50140" xr:uid="{1554EBBF-1320-41B5-9F0E-0C11EA95B707}"/>
    <cellStyle name="Total 2 16 2 9" xfId="7237" xr:uid="{00000000-0005-0000-0000-00006F080000}"/>
    <cellStyle name="Total 2 16 2 9 2" xfId="19174" xr:uid="{1826A77B-0665-4153-95B3-C1E5D74903BD}"/>
    <cellStyle name="Total 2 16 2 9 2 2" xfId="41564" xr:uid="{8CF14CD7-9C37-4313-911E-333B5BD2FF1D}"/>
    <cellStyle name="Total 2 16 2 9 2 3" xfId="30934" xr:uid="{63858810-85F4-4680-A621-7498478679E2}"/>
    <cellStyle name="Total 2 16 2 9 3" xfId="21287" xr:uid="{69F4E067-5FC3-4097-A852-05FA9723583B}"/>
    <cellStyle name="Total 2 16 2 9 3 2" xfId="43520" xr:uid="{21AA0B7C-3F1F-467B-9B82-0B2B9D47C29C}"/>
    <cellStyle name="Total 2 16 2 9 3 3" xfId="27963" xr:uid="{93F7E824-A82C-44DD-BD9E-449EAC635F08}"/>
    <cellStyle name="Total 2 16 2 9 4" xfId="23598" xr:uid="{44E643ED-0138-4DBD-ADB9-B31FBDEF0266}"/>
    <cellStyle name="Total 2 16 2 9 4 2" xfId="54144" xr:uid="{0D0772F7-7D3F-4E7D-AA6C-CB4C3E28DC34}"/>
    <cellStyle name="Total 2 16 2 9 5" xfId="53344" xr:uid="{755DF3C8-2879-4DB0-AD9B-B93BF94B506A}"/>
    <cellStyle name="Total 2 16 3" xfId="3567" xr:uid="{00000000-0005-0000-0000-00006E080000}"/>
    <cellStyle name="Total 2 16 3 2" xfId="10472" xr:uid="{B8673735-696F-41B5-9824-956FBD3D69A8}"/>
    <cellStyle name="Total 2 16 3 2 2" xfId="32959" xr:uid="{311D3196-5337-440C-9DB0-AE3D0BA364B5}"/>
    <cellStyle name="Total 2 16 3 2 3" xfId="49352" xr:uid="{3204E8DA-8D6B-40BD-83A2-6AF70D38E297}"/>
    <cellStyle name="Total 2 16 3 3" xfId="15717" xr:uid="{797B6005-08F1-4C9D-9778-DD896128D61E}"/>
    <cellStyle name="Total 2 16 3 3 2" xfId="38130" xr:uid="{96C87723-BFEB-4EB9-96D5-8239B50A0A96}"/>
    <cellStyle name="Total 2 16 3 3 3" xfId="47234" xr:uid="{E39EDDBE-35E7-4370-9293-0C3E939C55D0}"/>
    <cellStyle name="Total 2 16 3 4" xfId="20108" xr:uid="{54EC3CE9-CF06-4190-9424-BB8FA61AE8AC}"/>
    <cellStyle name="Total 2 16 3 4 2" xfId="42423" xr:uid="{9B364BD5-4E81-442C-9F50-1C970A72AC14}"/>
    <cellStyle name="Total 2 16 3 4 3" xfId="30935" xr:uid="{4B625B63-3631-45F8-9C14-910456AFF2CE}"/>
    <cellStyle name="Total 2 16 3 5" xfId="19752" xr:uid="{C175AB80-A169-4FAD-B757-39EC500858B9}"/>
    <cellStyle name="Total 2 16 3 5 2" xfId="43042" xr:uid="{4D347B30-4944-49F2-8FAF-23231D387873}"/>
    <cellStyle name="Total 2 16 3 6" xfId="50614" xr:uid="{26F9156D-AC13-474F-8253-AFD2E50A337A}"/>
    <cellStyle name="Total 2 16 4" xfId="5068" xr:uid="{00000000-0005-0000-0000-00006E080000}"/>
    <cellStyle name="Total 2 16 4 2" xfId="11961" xr:uid="{AABC610A-2A6E-41B4-BC05-9372F9CD8149}"/>
    <cellStyle name="Total 2 16 4 2 2" xfId="34447" xr:uid="{DF819D3E-43AC-43DF-924D-31B5B0A25081}"/>
    <cellStyle name="Total 2 16 4 2 3" xfId="42803" xr:uid="{9AC56C9C-747F-4078-B53A-9060F49B9707}"/>
    <cellStyle name="Total 2 16 4 3" xfId="17005" xr:uid="{302ECCE8-E9C5-40FE-A967-C438560440C8}"/>
    <cellStyle name="Total 2 16 4 3 2" xfId="39395" xr:uid="{02FC4CC9-DBF0-4920-ABF4-73EADB867B5A}"/>
    <cellStyle name="Total 2 16 4 3 3" xfId="26173" xr:uid="{3374D5DC-3A6F-4C91-B170-F9DFD41DB212}"/>
    <cellStyle name="Total 2 16 4 4" xfId="7731" xr:uid="{C71A5CB1-E82B-4E4E-A0BC-AECF6AA7438F}"/>
    <cellStyle name="Total 2 16 4 4 2" xfId="30380" xr:uid="{7BE8BDA6-D146-4380-8413-06E680633867}"/>
    <cellStyle name="Total 2 16 4 4 3" xfId="45799" xr:uid="{4BC27333-6D69-4E8B-822F-A3A4D98968E2}"/>
    <cellStyle name="Total 2 16 4 5" xfId="21429" xr:uid="{CB6AB3EC-D86B-4B88-BE67-23CB06CAB717}"/>
    <cellStyle name="Total 2 16 4 5 2" xfId="47813" xr:uid="{4E538270-1CC3-4BFC-98F5-ACB5422165B6}"/>
    <cellStyle name="Total 2 16 4 6" xfId="27931" xr:uid="{CB22364D-1744-4F9E-8B18-5D60C9BFDBB9}"/>
    <cellStyle name="Total 2 16 5" xfId="3458" xr:uid="{00000000-0005-0000-0000-00006E080000}"/>
    <cellStyle name="Total 2 16 5 2" xfId="10366" xr:uid="{C076D0E0-7FB1-4005-9C9D-C0716E70251F}"/>
    <cellStyle name="Total 2 16 5 2 2" xfId="32853" xr:uid="{F5B8E16F-301E-4B20-B2B0-9687CE99F8A2}"/>
    <cellStyle name="Total 2 16 5 2 3" xfId="51006" xr:uid="{40BCD9FD-CC37-43D3-AA4C-1A1831D5A991}"/>
    <cellStyle name="Total 2 16 5 3" xfId="15636" xr:uid="{708A5587-50DA-48DC-AA02-FF37EAED212D}"/>
    <cellStyle name="Total 2 16 5 3 2" xfId="38052" xr:uid="{BEE02470-503C-44B9-AE6E-51C1B970B9A5}"/>
    <cellStyle name="Total 2 16 5 3 3" xfId="48471" xr:uid="{EC3779F3-0049-4EEE-B9C0-A5C2A360A83B}"/>
    <cellStyle name="Total 2 16 5 4" xfId="19600" xr:uid="{C68104C0-C582-4F08-8CA4-BD7CDF2CCB6F}"/>
    <cellStyle name="Total 2 16 5 4 2" xfId="41955" xr:uid="{0EAF04B7-B9A6-4ACC-B52C-FD34ACA108E8}"/>
    <cellStyle name="Total 2 16 5 4 3" xfId="32635" xr:uid="{2E92D351-C58F-432F-AF80-EC20AC4A09FD}"/>
    <cellStyle name="Total 2 16 5 5" xfId="20040" xr:uid="{BC3ABA1F-B56E-46BB-8DCB-E1136DDD1006}"/>
    <cellStyle name="Total 2 16 5 5 2" xfId="28056" xr:uid="{0C85E05E-15BD-4ECE-878A-A3B5BD9A8C7E}"/>
    <cellStyle name="Total 2 16 5 6" xfId="46858" xr:uid="{9F7B5295-0245-46B8-9A61-1FE6C2AE0203}"/>
    <cellStyle name="Total 2 16 6" xfId="4965" xr:uid="{00000000-0005-0000-0000-00006E080000}"/>
    <cellStyle name="Total 2 16 6 2" xfId="11860" xr:uid="{DDE14757-15C6-46F1-8F57-DCB885C31159}"/>
    <cellStyle name="Total 2 16 6 2 2" xfId="34346" xr:uid="{1C5AA640-E560-48F6-A115-8AD831FE061E}"/>
    <cellStyle name="Total 2 16 6 2 3" xfId="44197" xr:uid="{5D32096C-B8F3-429E-8866-C6878C17D205}"/>
    <cellStyle name="Total 2 16 6 3" xfId="16902" xr:uid="{2CE2D54D-2772-4CE1-84A8-CD17FC09BCE4}"/>
    <cellStyle name="Total 2 16 6 3 2" xfId="39292" xr:uid="{76F951FC-E5C0-4A6A-BD14-8DB88A96E0C3}"/>
    <cellStyle name="Total 2 16 6 3 3" xfId="43809" xr:uid="{B1D8C476-31B0-4767-831A-B71CD91D31CB}"/>
    <cellStyle name="Total 2 16 6 4" xfId="19294" xr:uid="{5C092CBF-7686-44C6-A5F4-D7A289126BE8}"/>
    <cellStyle name="Total 2 16 6 4 2" xfId="41675" xr:uid="{613BBD59-6D3F-4273-BE9A-287E8E3A3565}"/>
    <cellStyle name="Total 2 16 6 4 3" xfId="45806" xr:uid="{2111EB90-49A8-4DDF-9031-D2391A2D940A}"/>
    <cellStyle name="Total 2 16 6 5" xfId="21326" xr:uid="{5C1B9B1D-E40F-4D4C-A5EC-90E37F6630AE}"/>
    <cellStyle name="Total 2 16 6 5 2" xfId="48179" xr:uid="{61231F40-53A2-4BC1-943A-4E23244489B0}"/>
    <cellStyle name="Total 2 16 6 6" xfId="47842" xr:uid="{24E8338F-DD87-407D-BF78-CBB26AB7D5EE}"/>
    <cellStyle name="Total 2 16 7" xfId="5487" xr:uid="{00000000-0005-0000-0000-00006E080000}"/>
    <cellStyle name="Total 2 16 7 2" xfId="12376" xr:uid="{37EE6FFD-E4F9-456A-A541-ABB957D80C96}"/>
    <cellStyle name="Total 2 16 7 2 2" xfId="34861" xr:uid="{69F99965-EA97-4456-9F9F-0015ADC4F0D6}"/>
    <cellStyle name="Total 2 16 7 2 3" xfId="42479" xr:uid="{88AAFF63-0247-4415-BBEC-37533954EA13}"/>
    <cellStyle name="Total 2 16 7 3" xfId="17424" xr:uid="{5CA4991E-6DF7-4BB6-8B23-0ED681A50E5F}"/>
    <cellStyle name="Total 2 16 7 3 2" xfId="39814" xr:uid="{CF2AF55B-4629-43EF-988E-D82F990C8AE0}"/>
    <cellStyle name="Total 2 16 7 3 3" xfId="43603" xr:uid="{FF285CB0-4E0D-46E7-8B3D-850D5716085B}"/>
    <cellStyle name="Total 2 16 7 4" xfId="19199" xr:uid="{B58BAF61-5DBB-43AC-BE0D-19A64F1A719F}"/>
    <cellStyle name="Total 2 16 7 4 2" xfId="41588" xr:uid="{BB64A2EC-CDD2-45CC-BCE5-4646191935E5}"/>
    <cellStyle name="Total 2 16 7 4 3" xfId="44427" xr:uid="{C9BFF85F-B8F7-440E-9731-C76799CB534D}"/>
    <cellStyle name="Total 2 16 7 5" xfId="21848" xr:uid="{6F982B60-E55D-4390-BCAD-BDD8B9008CFA}"/>
    <cellStyle name="Total 2 16 7 5 2" xfId="49760" xr:uid="{730776E9-B66D-4B31-97F8-22B7EF650A14}"/>
    <cellStyle name="Total 2 16 7 6" xfId="47976" xr:uid="{AC59191B-A029-474C-B44D-D362652FAE58}"/>
    <cellStyle name="Total 2 16 8" xfId="14251" xr:uid="{5062214C-74A3-4778-9A7C-75FEA0F0E399}"/>
    <cellStyle name="Total 2 16 8 2" xfId="36724" xr:uid="{5B737D40-96FE-4BDD-A816-D428F9D5BA73}"/>
    <cellStyle name="Total 2 16 8 3" xfId="47029" xr:uid="{7CE34810-4D42-4F38-A886-B6D18A571E5B}"/>
    <cellStyle name="Total 2 16 9" xfId="20206" xr:uid="{D31455E5-3F0B-45CF-BEDB-56AE3CF29652}"/>
    <cellStyle name="Total 2 16 9 2" xfId="42514" xr:uid="{E4773614-BF74-4B44-9F59-F6EB7E257AE2}"/>
    <cellStyle name="Total 2 16 9 3" xfId="24333" xr:uid="{6B6A7433-FFDF-4C95-8ACB-4D8E01BC6BAE}"/>
    <cellStyle name="Total 2 17" xfId="1524" xr:uid="{00000000-0005-0000-0000-000073080000}"/>
    <cellStyle name="Total 2 17 10" xfId="14288" xr:uid="{9F2C703A-3CBB-49E5-8695-303AF965B2F5}"/>
    <cellStyle name="Total 2 17 10 2" xfId="36757" xr:uid="{0FC49DF3-6251-40F5-8FD3-43476820BC3D}"/>
    <cellStyle name="Total 2 17 10 3" xfId="53277" xr:uid="{F3CF8FFC-8336-4AEE-982F-5435D1A38269}"/>
    <cellStyle name="Total 2 17 11" xfId="20465" xr:uid="{652F430D-660B-4804-8757-988CE41280A5}"/>
    <cellStyle name="Total 2 17 11 2" xfId="42754" xr:uid="{6487A531-2A71-4C3F-B57C-2846E6692CDB}"/>
    <cellStyle name="Total 2 17 11 3" xfId="42096" xr:uid="{0C38CE0A-9EFD-44A4-9F75-5343D9766003}"/>
    <cellStyle name="Total 2 17 12" xfId="12462" xr:uid="{79275789-608E-4977-95F6-3DCCE96119FC}"/>
    <cellStyle name="Total 2 17 12 2" xfId="29723" xr:uid="{3B943C11-54F5-410C-827B-9F5EE05832B9}"/>
    <cellStyle name="Total 2 17 13" xfId="47669" xr:uid="{159D6DE9-2ACB-4E9E-9D1E-1978A5C0A76E}"/>
    <cellStyle name="Total 2 17 2" xfId="3625" xr:uid="{00000000-0005-0000-0000-000070080000}"/>
    <cellStyle name="Total 2 17 2 2" xfId="10529" xr:uid="{DD535819-C311-486D-9E94-B91D17BC26D9}"/>
    <cellStyle name="Total 2 17 2 2 2" xfId="33015" xr:uid="{37D9213B-1789-4B79-8D43-B8076CE5E156}"/>
    <cellStyle name="Total 2 17 2 2 3" xfId="41772" xr:uid="{9D26124F-3FFB-4A31-992A-412213284222}"/>
    <cellStyle name="Total 2 17 2 3" xfId="15748" xr:uid="{32D6C8B7-B750-4959-95EE-6AC1C9D354B1}"/>
    <cellStyle name="Total 2 17 2 3 2" xfId="38160" xr:uid="{91C67A76-B035-431D-930B-56C19506932A}"/>
    <cellStyle name="Total 2 17 2 3 3" xfId="49684" xr:uid="{ADD9B36D-298E-4811-AC0D-8B69F3501429}"/>
    <cellStyle name="Total 2 17 2 4" xfId="14813" xr:uid="{363C640F-E786-4269-A23D-3E77B8983B1E}"/>
    <cellStyle name="Total 2 17 2 4 2" xfId="37268" xr:uid="{20A11A60-07AC-44C6-9D08-13DDA1A5BA6D}"/>
    <cellStyle name="Total 2 17 2 4 3" xfId="47312" xr:uid="{FAAB10E7-C279-4381-A24F-1E50BA23AA68}"/>
    <cellStyle name="Total 2 17 2 5" xfId="19231" xr:uid="{34648B8D-ADA2-4130-81C6-C26A11ACD17E}"/>
    <cellStyle name="Total 2 17 2 5 2" xfId="45658" xr:uid="{CB6A646E-9A6F-46C1-A224-425ECAE742D9}"/>
    <cellStyle name="Total 2 17 2 6" xfId="47737" xr:uid="{EA3540C2-56EA-4DB8-9841-D9D549F04D74}"/>
    <cellStyle name="Total 2 17 3" xfId="5107" xr:uid="{00000000-0005-0000-0000-000070080000}"/>
    <cellStyle name="Total 2 17 3 2" xfId="12000" xr:uid="{DC7B3FE8-2856-49D1-BAE0-1D258A735D78}"/>
    <cellStyle name="Total 2 17 3 2 2" xfId="34486" xr:uid="{B2E13668-5B59-409F-A909-FE18BA36C7D5}"/>
    <cellStyle name="Total 2 17 3 2 3" xfId="45820" xr:uid="{34ABA3E6-B4B8-4107-8122-6433F86C9D5D}"/>
    <cellStyle name="Total 2 17 3 3" xfId="17044" xr:uid="{F93238D8-6512-4D3E-BAF7-408D571C920B}"/>
    <cellStyle name="Total 2 17 3 3 2" xfId="39434" xr:uid="{E24888E6-9213-424C-B8B2-1615BC0CB9A8}"/>
    <cellStyle name="Total 2 17 3 3 3" xfId="27031" xr:uid="{86740512-CF31-4A39-B5F9-3794755AC0E8}"/>
    <cellStyle name="Total 2 17 3 4" xfId="14155" xr:uid="{00F431E7-9887-49B9-AFA8-EB754E4504CF}"/>
    <cellStyle name="Total 2 17 3 4 2" xfId="36631" xr:uid="{55C16A84-0BF4-432D-A41F-8A8AD3565433}"/>
    <cellStyle name="Total 2 17 3 4 3" xfId="51020" xr:uid="{604F5C64-B603-4424-B5D8-61E03B0A245B}"/>
    <cellStyle name="Total 2 17 3 5" xfId="21468" xr:uid="{96FA1001-715A-4A26-ACF8-4DB716DB6F33}"/>
    <cellStyle name="Total 2 17 3 5 2" xfId="45274" xr:uid="{FFA8E400-8334-41BE-AC94-88F4A074202B}"/>
    <cellStyle name="Total 2 17 3 6" xfId="44648" xr:uid="{9A97F0F9-346C-4D04-AFDE-0C757F2771BD}"/>
    <cellStyle name="Total 2 17 4" xfId="4868" xr:uid="{00000000-0005-0000-0000-000070080000}"/>
    <cellStyle name="Total 2 17 4 2" xfId="11764" xr:uid="{13FB6831-716D-4856-98EC-B73458C73FBE}"/>
    <cellStyle name="Total 2 17 4 2 2" xfId="34250" xr:uid="{02F1AA7A-3162-41D0-ADC6-538972D2CC8C}"/>
    <cellStyle name="Total 2 17 4 2 3" xfId="45457" xr:uid="{489EE11A-D85B-4928-85E6-769783D5DC47}"/>
    <cellStyle name="Total 2 17 4 3" xfId="16805" xr:uid="{AA1433B6-B254-415D-BA26-1C24E8B4EDB9}"/>
    <cellStyle name="Total 2 17 4 3 2" xfId="39195" xr:uid="{2158DBE5-DB4A-4604-90B1-8325EA2F4E7C}"/>
    <cellStyle name="Total 2 17 4 3 3" xfId="24459" xr:uid="{7CCD4405-2BE5-401E-8809-220981244FFB}"/>
    <cellStyle name="Total 2 17 4 4" xfId="15849" xr:uid="{EA9A6702-10F4-41C9-AB9E-EDF54C9E1944}"/>
    <cellStyle name="Total 2 17 4 4 2" xfId="38256" xr:uid="{23FFDAD5-50F3-4E2C-A20A-D0E827CA576E}"/>
    <cellStyle name="Total 2 17 4 4 3" xfId="48072" xr:uid="{A916928A-C06E-4CD1-926D-719E3AE8CF4A}"/>
    <cellStyle name="Total 2 17 4 5" xfId="15010" xr:uid="{075A1213-898F-4F2D-A67A-564660F29B5F}"/>
    <cellStyle name="Total 2 17 4 5 2" xfId="48230" xr:uid="{51923233-8499-4632-A712-AC4EF159B4B2}"/>
    <cellStyle name="Total 2 17 4 6" xfId="53713" xr:uid="{6129AA30-0D40-4AF3-92DB-E23265CA564B}"/>
    <cellStyle name="Total 2 17 5" xfId="2376" xr:uid="{00000000-0005-0000-0000-000070080000}"/>
    <cellStyle name="Total 2 17 5 2" xfId="9285" xr:uid="{3FF28DEE-A568-4034-BE48-301D02586D36}"/>
    <cellStyle name="Total 2 17 5 2 2" xfId="31860" xr:uid="{C23C80C8-136C-495F-A8F8-66939E0AAF36}"/>
    <cellStyle name="Total 2 17 5 2 3" xfId="52871" xr:uid="{A5225BBD-368F-4DC7-9C35-76064FD34FD2}"/>
    <cellStyle name="Total 2 17 5 3" xfId="14929" xr:uid="{2DF11AEA-659D-4EBE-A703-DA0FB1420C4A}"/>
    <cellStyle name="Total 2 17 5 3 2" xfId="37383" xr:uid="{47C454D8-47BA-4ECD-8A53-D47FF5DBDB77}"/>
    <cellStyle name="Total 2 17 5 3 3" xfId="47580" xr:uid="{95C8CEB8-EFF2-45EE-A069-4253EFB29EAC}"/>
    <cellStyle name="Total 2 17 5 4" xfId="19697" xr:uid="{5A87074D-1456-4C09-93D4-30BC7914B2FC}"/>
    <cellStyle name="Total 2 17 5 4 2" xfId="42044" xr:uid="{BE4A0255-90FD-4337-8385-D40F9FFDB20A}"/>
    <cellStyle name="Total 2 17 5 4 3" xfId="28514" xr:uid="{FF8C0207-B4F5-4777-938A-02B6F7AC50CF}"/>
    <cellStyle name="Total 2 17 5 5" xfId="19213" xr:uid="{A9F16FCD-0390-4524-ACC9-9C365D26E00D}"/>
    <cellStyle name="Total 2 17 5 5 2" xfId="43600" xr:uid="{86335F11-871B-40FC-8C0C-A007F10AD087}"/>
    <cellStyle name="Total 2 17 5 6" xfId="51964" xr:uid="{BB6B89AB-B9CF-4848-90AF-EBAF8D20EF0D}"/>
    <cellStyle name="Total 2 17 6" xfId="5213" xr:uid="{00000000-0005-0000-0000-000070080000}"/>
    <cellStyle name="Total 2 17 6 2" xfId="12106" xr:uid="{CB278DAF-AC66-4C76-9957-EFBE2EB322D4}"/>
    <cellStyle name="Total 2 17 6 2 2" xfId="34591" xr:uid="{950B337E-7C87-421D-A40A-7040EA4840F6}"/>
    <cellStyle name="Total 2 17 6 2 3" xfId="27287" xr:uid="{CE518B6A-BD0C-41A1-8A44-E664FFD55ADA}"/>
    <cellStyle name="Total 2 17 6 3" xfId="17150" xr:uid="{4C18D10B-CB66-4D1E-8B75-A0EECB9C80AA}"/>
    <cellStyle name="Total 2 17 6 3 2" xfId="39540" xr:uid="{E4B79237-5890-480E-A401-171C7F20EFEE}"/>
    <cellStyle name="Total 2 17 6 3 3" xfId="38016" xr:uid="{B8D77042-B04A-4180-B1E2-4E1CF18A5C19}"/>
    <cellStyle name="Total 2 17 6 4" xfId="8436" xr:uid="{92470F57-A293-4936-A0ED-AEBCBEE62DC3}"/>
    <cellStyle name="Total 2 17 6 4 2" xfId="31024" xr:uid="{81D9C209-1F9B-4922-92DE-A619896D947F}"/>
    <cellStyle name="Total 2 17 6 4 3" xfId="45960" xr:uid="{21D1EDCF-8FC6-4885-BEB6-63E7BAE93A5A}"/>
    <cellStyle name="Total 2 17 6 5" xfId="21574" xr:uid="{62F99EBA-7721-4E58-A3EC-601DD7962F57}"/>
    <cellStyle name="Total 2 17 6 5 2" xfId="31892" xr:uid="{BE30959C-1D01-461A-973B-B6618AD9A60B}"/>
    <cellStyle name="Total 2 17 6 6" xfId="51234" xr:uid="{41DC884B-9519-487E-8496-D571E4770EFC}"/>
    <cellStyle name="Total 2 17 7" xfId="4561" xr:uid="{00000000-0005-0000-0000-000070080000}"/>
    <cellStyle name="Total 2 17 7 2" xfId="11463" xr:uid="{E958C099-175C-4E25-8D26-A7E0CC0C8C1E}"/>
    <cellStyle name="Total 2 17 7 2 2" xfId="33949" xr:uid="{95E2482A-F0A3-40B0-B9B9-FD714B398C46}"/>
    <cellStyle name="Total 2 17 7 2 3" xfId="43935" xr:uid="{2F39EFBE-40D7-4C82-A3C9-5A6FEB3A725F}"/>
    <cellStyle name="Total 2 17 7 3" xfId="16498" xr:uid="{CC76B558-D4A0-4C26-92B9-D89EE797F98A}"/>
    <cellStyle name="Total 2 17 7 3 2" xfId="38888" xr:uid="{4BF4C2BB-3812-4ED1-9B9E-68D650DB3536}"/>
    <cellStyle name="Total 2 17 7 3 3" xfId="29815" xr:uid="{2201900A-5CB4-4C54-9333-730455FE4B38}"/>
    <cellStyle name="Total 2 17 7 4" xfId="15256" xr:uid="{DA296FAB-C384-46CB-B024-E83B3F79BD17}"/>
    <cellStyle name="Total 2 17 7 4 2" xfId="37690" xr:uid="{C606AE08-3AEB-4E7D-B829-C95EEE49B131}"/>
    <cellStyle name="Total 2 17 7 4 3" xfId="45180" xr:uid="{B07A35CD-E8E4-4E66-8EC1-39B9281CE167}"/>
    <cellStyle name="Total 2 17 7 5" xfId="8670" xr:uid="{B18C17C5-D994-4EC7-B5DF-870AC0FC9F2B}"/>
    <cellStyle name="Total 2 17 7 5 2" xfId="47314" xr:uid="{3D80BEA5-21E5-4FC6-8EFC-A645C4FB5E03}"/>
    <cellStyle name="Total 2 17 7 6" xfId="53308" xr:uid="{24761AA8-14BF-4584-886B-19553CDED844}"/>
    <cellStyle name="Total 2 17 8" xfId="6324" xr:uid="{00000000-0005-0000-0000-000070080000}"/>
    <cellStyle name="Total 2 17 8 2" xfId="13196" xr:uid="{2E9B33F2-1B89-4F2C-A9B1-C427296E5B5B}"/>
    <cellStyle name="Total 2 17 8 2 2" xfId="35680" xr:uid="{CEA5CAA6-212E-47F1-B95F-3D5D758820DE}"/>
    <cellStyle name="Total 2 17 8 2 3" xfId="50268" xr:uid="{EFE96CAB-19E1-44A1-B228-8CC5FBC8BF79}"/>
    <cellStyle name="Total 2 17 8 3" xfId="18261" xr:uid="{087F256A-E98B-4048-A708-195A52193390}"/>
    <cellStyle name="Total 2 17 8 3 2" xfId="40651" xr:uid="{E8277AB2-2FF6-4CDD-B35C-48467B57E7A6}"/>
    <cellStyle name="Total 2 17 8 3 3" xfId="28042" xr:uid="{3702B4DD-3AF4-494E-ADCF-BE6F7B3201B3}"/>
    <cellStyle name="Total 2 17 8 4" xfId="15009" xr:uid="{359DEB3C-5466-4F2B-8D86-9862C487C061}"/>
    <cellStyle name="Total 2 17 8 4 2" xfId="37459" xr:uid="{58574D2C-14E7-461E-9028-866CDB7D6DE4}"/>
    <cellStyle name="Total 2 17 8 4 3" xfId="51618" xr:uid="{8667D3DA-FE80-4545-AC81-C18392E5D01D}"/>
    <cellStyle name="Total 2 17 8 5" xfId="22685" xr:uid="{AD63CE03-46A3-4499-835F-062479BFE4E7}"/>
    <cellStyle name="Total 2 17 8 5 2" xfId="48680" xr:uid="{017D2B68-2CFE-488A-8E69-A3BD7666ED77}"/>
    <cellStyle name="Total 2 17 8 6" xfId="47856" xr:uid="{44684B4D-2CC1-4E0B-BB6F-C6A3A310D26F}"/>
    <cellStyle name="Total 2 17 9" xfId="6937" xr:uid="{00000000-0005-0000-0000-000070080000}"/>
    <cellStyle name="Total 2 17 9 2" xfId="18874" xr:uid="{EDF69579-6226-40B1-A1BB-793E4EC6A032}"/>
    <cellStyle name="Total 2 17 9 2 2" xfId="41264" xr:uid="{6E3368F9-983C-499B-AA6C-EE1693E52B08}"/>
    <cellStyle name="Total 2 17 9 2 3" xfId="23736" xr:uid="{70B9CA8B-D083-4C11-95BC-DAEAD0A736CC}"/>
    <cellStyle name="Total 2 17 9 3" xfId="15776" xr:uid="{4532D52B-48EE-4946-B1DE-8D1581D39EB1}"/>
    <cellStyle name="Total 2 17 9 3 2" xfId="38186" xr:uid="{1A761ECA-EC2E-4D69-9570-8B6D8F12C894}"/>
    <cellStyle name="Total 2 17 9 3 3" xfId="47220" xr:uid="{3F04885D-26DE-47B0-8301-4706272E92FB}"/>
    <cellStyle name="Total 2 17 9 4" xfId="23298" xr:uid="{2CC47FAC-C76F-40D3-A0BE-A61C950F48A9}"/>
    <cellStyle name="Total 2 17 9 4 2" xfId="51023" xr:uid="{5CFD75F5-A866-46F1-B3D8-D8CA0363FF97}"/>
    <cellStyle name="Total 2 17 9 5" xfId="48925" xr:uid="{64AE8563-5E6D-41E0-965D-4318DF8B60BE}"/>
    <cellStyle name="Total 2 18" xfId="2300" xr:uid="{00000000-0005-0000-0000-000061080000}"/>
    <cellStyle name="Total 2 18 2" xfId="9210" xr:uid="{8891B9AD-C73B-4E06-AFC1-434CB58F4DE9}"/>
    <cellStyle name="Total 2 18 2 2" xfId="31785" xr:uid="{3D86D2C7-EC64-4A03-8A58-1C2DB5F3DA00}"/>
    <cellStyle name="Total 2 18 2 3" xfId="54002" xr:uid="{0CBBBF55-6C61-482A-B995-4F4B6B689705}"/>
    <cellStyle name="Total 2 18 3" xfId="14867" xr:uid="{1276D4B4-94CE-44A9-9703-21EF97E5E065}"/>
    <cellStyle name="Total 2 18 3 2" xfId="37321" xr:uid="{367C753D-34ED-498A-B214-0890792FBBA7}"/>
    <cellStyle name="Total 2 18 3 3" xfId="50937" xr:uid="{744D146B-6005-42A2-8FEF-40EC6CDDD586}"/>
    <cellStyle name="Total 2 18 4" xfId="20920" xr:uid="{878D5229-8296-41ED-9345-0758CE5B0A0D}"/>
    <cellStyle name="Total 2 18 4 2" xfId="43179" xr:uid="{C60778B6-84B6-42A7-A9FC-523EF2457BCC}"/>
    <cellStyle name="Total 2 18 4 3" xfId="50993" xr:uid="{CD64BB07-CAD2-4DE3-A583-CC84E5751140}"/>
    <cellStyle name="Total 2 18 5" xfId="19396" xr:uid="{6FF50A5A-FF60-41CA-B2B6-FC5E4671586D}"/>
    <cellStyle name="Total 2 18 5 2" xfId="26699" xr:uid="{A6E738C3-8ECB-4C29-B3E3-60AF43618C81}"/>
    <cellStyle name="Total 2 18 6" xfId="48475" xr:uid="{157A7234-B8E9-4FB0-853E-BC3BB2973A72}"/>
    <cellStyle name="Total 2 19" xfId="2841" xr:uid="{00000000-0005-0000-0000-000061080000}"/>
    <cellStyle name="Total 2 19 2" xfId="9750" xr:uid="{B668A1C3-43CE-4A26-90A0-EFCBDAC9ADC8}"/>
    <cellStyle name="Total 2 19 2 2" xfId="32287" xr:uid="{0AF7B720-1ED0-41AB-B3D8-DEB24F9E6C58}"/>
    <cellStyle name="Total 2 19 2 3" xfId="52945" xr:uid="{B3727DE0-AAD4-485F-BE4D-98C72688A937}"/>
    <cellStyle name="Total 2 19 3" xfId="15235" xr:uid="{48AD14DC-228F-47C5-95DB-E6313B62D504}"/>
    <cellStyle name="Total 2 19 3 2" xfId="37671" xr:uid="{0FDE4E90-C909-4297-8A04-D034A306A2A7}"/>
    <cellStyle name="Total 2 19 3 3" xfId="25409" xr:uid="{79C425B0-DC77-453F-9AC1-2163E0D1F550}"/>
    <cellStyle name="Total 2 19 4" xfId="14973" xr:uid="{147ECC62-3DED-49BD-AE72-B5632A510A59}"/>
    <cellStyle name="Total 2 19 4 2" xfId="37424" xr:uid="{64E3AFE5-8EC6-44E5-BDE1-401B6474B900}"/>
    <cellStyle name="Total 2 19 4 3" xfId="51890" xr:uid="{1E198C6B-8A8D-4E4A-9A4E-9D5ECDEE5D01}"/>
    <cellStyle name="Total 2 19 5" xfId="20913" xr:uid="{A48EFB4E-A5AB-4D80-91FD-3F9438A813E0}"/>
    <cellStyle name="Total 2 19 5 2" xfId="46046" xr:uid="{01B61D70-ECFD-4FF2-A7C2-F22E81AE4C9C}"/>
    <cellStyle name="Total 2 19 6" xfId="23983" xr:uid="{A360C0FB-EE24-4A18-8221-67CF3BF3CEF7}"/>
    <cellStyle name="Total 2 2" xfId="422" xr:uid="{00000000-0005-0000-0000-000074080000}"/>
    <cellStyle name="Total 2 2 10" xfId="5622" xr:uid="{00000000-0005-0000-0000-000071080000}"/>
    <cellStyle name="Total 2 2 10 2" xfId="12506" xr:uid="{7D4A7BFB-4897-47B1-908F-571AC770EA0E}"/>
    <cellStyle name="Total 2 2 10 2 2" xfId="34991" xr:uid="{6A5575C9-6937-478E-A819-E9D822ACFB50}"/>
    <cellStyle name="Total 2 2 10 2 3" xfId="44482" xr:uid="{CBCE5689-2417-4C16-B8E9-3665EBE62E42}"/>
    <cellStyle name="Total 2 2 10 3" xfId="17559" xr:uid="{6EBE764E-5703-4565-BD2B-5718441E784E}"/>
    <cellStyle name="Total 2 2 10 3 2" xfId="39949" xr:uid="{B369BDEF-BE03-4DAF-95E9-3ECB4208ED88}"/>
    <cellStyle name="Total 2 2 10 3 3" xfId="29401" xr:uid="{9BE6A9C8-6F04-4240-9267-734A9659EC50}"/>
    <cellStyle name="Total 2 2 10 4" xfId="14815" xr:uid="{D533D62D-ADF2-4E17-B231-D5476F69F977}"/>
    <cellStyle name="Total 2 2 10 4 2" xfId="37270" xr:uid="{DF6C6ED8-6F23-454A-86CD-420B95F5F9D7}"/>
    <cellStyle name="Total 2 2 10 4 3" xfId="53363" xr:uid="{3F4C8271-0D4D-440E-A4D3-FDE307C6DE89}"/>
    <cellStyle name="Total 2 2 10 5" xfId="21983" xr:uid="{BB995DC0-99F8-4365-ACEC-1F377BFA654E}"/>
    <cellStyle name="Total 2 2 10 5 2" xfId="28813" xr:uid="{43D80F1B-AA98-41BE-8CA6-E01851BED0D6}"/>
    <cellStyle name="Total 2 2 10 6" xfId="51453" xr:uid="{C3B89D05-F3AF-42A8-82B9-E2A6293DCC85}"/>
    <cellStyle name="Total 2 2 11" xfId="5768" xr:uid="{00000000-0005-0000-0000-000071080000}"/>
    <cellStyle name="Total 2 2 11 2" xfId="12651" xr:uid="{474499B1-FE6D-4572-9CA3-20D9856D7EAD}"/>
    <cellStyle name="Total 2 2 11 2 2" xfId="35136" xr:uid="{1AC0F44C-63E8-46D0-9A6B-E89F7B0CC7C2}"/>
    <cellStyle name="Total 2 2 11 2 3" xfId="43019" xr:uid="{BFC05BFB-6206-4964-A948-29D71D6871F2}"/>
    <cellStyle name="Total 2 2 11 3" xfId="17705" xr:uid="{90523C38-E73D-4541-BE8C-ED8DAA4EFF4A}"/>
    <cellStyle name="Total 2 2 11 3 2" xfId="40095" xr:uid="{F95024E4-2621-4B5B-AEAA-0F7DFA1E308F}"/>
    <cellStyle name="Total 2 2 11 3 3" xfId="32465" xr:uid="{F0DC829D-99EA-4B00-B3E6-B43C5F754413}"/>
    <cellStyle name="Total 2 2 11 4" xfId="9034" xr:uid="{E15A14B9-8F0C-44CF-B429-ECB3FD28C436}"/>
    <cellStyle name="Total 2 2 11 4 2" xfId="31611" xr:uid="{C5364E1C-23E0-4536-B854-77489422A72D}"/>
    <cellStyle name="Total 2 2 11 4 3" xfId="51904" xr:uid="{93D25E6C-7CF7-4DB3-8CD6-F6F81021DF35}"/>
    <cellStyle name="Total 2 2 11 5" xfId="22129" xr:uid="{FFE1BE0A-9761-4D2F-8B46-AD19906A5474}"/>
    <cellStyle name="Total 2 2 11 5 2" xfId="24125" xr:uid="{E28F2DBD-33A8-4C86-83FE-3DD2A84CDC8D}"/>
    <cellStyle name="Total 2 2 11 6" xfId="49040" xr:uid="{74DFD605-65FA-4316-8AC1-FAFBA0166B65}"/>
    <cellStyle name="Total 2 2 12" xfId="6858" xr:uid="{00000000-0005-0000-0000-000071080000}"/>
    <cellStyle name="Total 2 2 12 2" xfId="13700" xr:uid="{599E546F-E315-41EB-BF53-9CB17C7E6D93}"/>
    <cellStyle name="Total 2 2 12 2 2" xfId="36184" xr:uid="{75F52590-0426-47DE-92D0-808A1B5F1E28}"/>
    <cellStyle name="Total 2 2 12 2 3" xfId="46874" xr:uid="{1B37A1C8-7D0F-4083-959F-4245EDE6E019}"/>
    <cellStyle name="Total 2 2 12 3" xfId="18795" xr:uid="{C2842FE4-BFCB-45C4-8ED6-D8643B521AF3}"/>
    <cellStyle name="Total 2 2 12 3 2" xfId="41185" xr:uid="{9FDC6A91-3472-4687-940F-EF89DD2BA489}"/>
    <cellStyle name="Total 2 2 12 3 3" xfId="45304" xr:uid="{64611CF0-0067-4053-8E22-F4528979EA7A}"/>
    <cellStyle name="Total 2 2 12 4" xfId="20422" xr:uid="{C8A5FCC9-293E-4F46-A815-068F73AA684D}"/>
    <cellStyle name="Total 2 2 12 4 2" xfId="42716" xr:uid="{D9135AF5-061E-4CE0-BDC8-CBEA5959653C}"/>
    <cellStyle name="Total 2 2 12 4 3" xfId="28378" xr:uid="{E42D3A6C-F2DD-4FF8-9EFD-135F46CE3D1A}"/>
    <cellStyle name="Total 2 2 12 5" xfId="23219" xr:uid="{AD7529FD-8794-477E-8199-BE23ED94545F}"/>
    <cellStyle name="Total 2 2 12 5 2" xfId="51338" xr:uid="{3918A58A-AFEC-4184-89F3-D7D78F8A0C88}"/>
    <cellStyle name="Total 2 2 12 6" xfId="47819" xr:uid="{0FD3D398-C0E3-4833-B7D4-1017E24AE33F}"/>
    <cellStyle name="Total 2 2 13" xfId="8950" xr:uid="{FB0733E5-94FA-487E-838E-2A4FEF8F2E71}"/>
    <cellStyle name="Total 2 2 13 2" xfId="31529" xr:uid="{A50C501C-4212-48F2-9430-4FA9D5E601AE}"/>
    <cellStyle name="Total 2 2 13 3" xfId="44665" xr:uid="{D727F952-29C6-4DC2-8DA1-EBB60CB2A232}"/>
    <cellStyle name="Total 2 2 14" xfId="20004" xr:uid="{128DBC7E-893C-4DD5-B263-9D22FF5CB22B}"/>
    <cellStyle name="Total 2 2 14 2" xfId="42329" xr:uid="{3BA48FFE-07DF-4625-AD77-FFBA65607712}"/>
    <cellStyle name="Total 2 2 14 3" xfId="26292" xr:uid="{DF063B8C-5170-4463-A706-BA68A3A86E15}"/>
    <cellStyle name="Total 2 2 15" xfId="15702" xr:uid="{A0715770-024F-4B4D-9ACB-20460874F984}"/>
    <cellStyle name="Total 2 2 15 2" xfId="30177" xr:uid="{D9158E4F-2E58-4440-B9A3-34365A583B8E}"/>
    <cellStyle name="Total 2 2 16" xfId="43479" xr:uid="{C50DF27F-F296-40E0-B070-AAB17955B775}"/>
    <cellStyle name="Total 2 2 2" xfId="578" xr:uid="{00000000-0005-0000-0000-000075080000}"/>
    <cellStyle name="Total 2 2 2 10" xfId="14408" xr:uid="{6027BD4D-F9C4-4C3F-9323-FF49A75EFFC0}"/>
    <cellStyle name="Total 2 2 2 10 2" xfId="46888" xr:uid="{39AB3112-5490-4592-914E-408B38878831}"/>
    <cellStyle name="Total 2 2 2 11" xfId="48787" xr:uid="{A0F0B221-9106-4A49-B81E-9AE8492C71FD}"/>
    <cellStyle name="Total 2 2 2 2" xfId="1712" xr:uid="{00000000-0005-0000-0000-000076080000}"/>
    <cellStyle name="Total 2 2 2 2 10" xfId="14413" xr:uid="{CD4CC922-8ABA-4C26-8E2E-5E874ECD53E2}"/>
    <cellStyle name="Total 2 2 2 2 10 2" xfId="36879" xr:uid="{6E444FC9-C54B-4236-91D4-DDA319E0F03A}"/>
    <cellStyle name="Total 2 2 2 2 10 3" xfId="43553" xr:uid="{52964BB0-B1EA-4385-9848-380CA7ACFE55}"/>
    <cellStyle name="Total 2 2 2 2 11" xfId="21146" xr:uid="{A4CC190B-B361-4AEF-906E-122565DA5384}"/>
    <cellStyle name="Total 2 2 2 2 11 2" xfId="43390" xr:uid="{FF08CBBE-869D-4462-9423-4D3AECE32B24}"/>
    <cellStyle name="Total 2 2 2 2 11 3" xfId="28184" xr:uid="{46510CD2-692D-4E32-BFC3-46EF0C3F5AC2}"/>
    <cellStyle name="Total 2 2 2 2 12" xfId="20500" xr:uid="{357EC0D6-E322-4E01-9E25-BFEF2EE01CCB}"/>
    <cellStyle name="Total 2 2 2 2 12 2" xfId="46129" xr:uid="{E011A004-447B-4310-A41D-633B06500277}"/>
    <cellStyle name="Total 2 2 2 2 13" xfId="46723" xr:uid="{487A9B05-DDE6-4821-960B-5FC803E48095}"/>
    <cellStyle name="Total 2 2 2 2 2" xfId="3810" xr:uid="{00000000-0005-0000-0000-000073080000}"/>
    <cellStyle name="Total 2 2 2 2 2 2" xfId="10714" xr:uid="{29A37908-AED3-4C28-BFDF-0AF667A04AB8}"/>
    <cellStyle name="Total 2 2 2 2 2 2 2" xfId="33200" xr:uid="{0716BAFD-8DAC-4FE3-9634-80904CA627E7}"/>
    <cellStyle name="Total 2 2 2 2 2 2 3" xfId="53557" xr:uid="{00BF3F8C-28E9-4728-8AE3-F61A83E406D9}"/>
    <cellStyle name="Total 2 2 2 2 2 3" xfId="15870" xr:uid="{348F4275-9BCA-4879-9BE5-0024FDA5521A}"/>
    <cellStyle name="Total 2 2 2 2 2 3 2" xfId="38276" xr:uid="{BFD515ED-4D7B-453A-9E1F-E457C586E8AC}"/>
    <cellStyle name="Total 2 2 2 2 2 3 3" xfId="49593" xr:uid="{B5FCCA0A-35EA-42CF-8A0A-0B8C4D9E72B1}"/>
    <cellStyle name="Total 2 2 2 2 2 4" xfId="14970" xr:uid="{79C5EE3B-31FF-45AE-B6FE-80F0D110DF63}"/>
    <cellStyle name="Total 2 2 2 2 2 4 2" xfId="37421" xr:uid="{86759916-7611-4634-8E15-7BB8D537CEB8}"/>
    <cellStyle name="Total 2 2 2 2 2 4 3" xfId="49706" xr:uid="{E55B982B-7462-412E-A5F8-A1DB96FE01EE}"/>
    <cellStyle name="Total 2 2 2 2 2 5" xfId="16069" xr:uid="{F00DAE02-1982-4EA5-A98B-7129025C99E7}"/>
    <cellStyle name="Total 2 2 2 2 2 5 2" xfId="32113" xr:uid="{6D49925B-5BC0-465C-A7BA-5E337D57EA67}"/>
    <cellStyle name="Total 2 2 2 2 2 6" xfId="48923" xr:uid="{EDED94C8-3E3C-4CD6-8839-1A50C48349C6}"/>
    <cellStyle name="Total 2 2 2 2 3" xfId="5226" xr:uid="{00000000-0005-0000-0000-000073080000}"/>
    <cellStyle name="Total 2 2 2 2 3 2" xfId="12118" xr:uid="{F505E0E1-24A7-42D7-AF75-E063F89ADF94}"/>
    <cellStyle name="Total 2 2 2 2 3 2 2" xfId="34603" xr:uid="{37EECD9A-DD6E-4700-8506-27789F3A0F6A}"/>
    <cellStyle name="Total 2 2 2 2 3 2 3" xfId="42368" xr:uid="{595B6E0C-A75A-4BA2-913D-BB4FCD667590}"/>
    <cellStyle name="Total 2 2 2 2 3 3" xfId="17163" xr:uid="{D742CA10-26F0-4F7A-A430-438ED3EEF74C}"/>
    <cellStyle name="Total 2 2 2 2 3 3 2" xfId="39553" xr:uid="{0A67B350-D226-4724-AF68-583F985F21DC}"/>
    <cellStyle name="Total 2 2 2 2 3 3 3" xfId="29699" xr:uid="{F034A6EB-5677-493F-A66E-357B64DB7BC7}"/>
    <cellStyle name="Total 2 2 2 2 3 4" xfId="14752" xr:uid="{44ACE69E-45C9-4DEE-98CF-2B45C16B206F}"/>
    <cellStyle name="Total 2 2 2 2 3 4 2" xfId="37210" xr:uid="{92AF7132-A5FC-4BFE-A0A8-803B053E481B}"/>
    <cellStyle name="Total 2 2 2 2 3 4 3" xfId="53651" xr:uid="{5290CC93-1F6C-4E4B-A529-E1D3E7D1B845}"/>
    <cellStyle name="Total 2 2 2 2 3 5" xfId="21587" xr:uid="{FBE72F4C-9F61-4C58-8B28-838C9E18C3D5}"/>
    <cellStyle name="Total 2 2 2 2 3 5 2" xfId="53114" xr:uid="{728BF49F-AA2D-498C-AB5F-DAB20D643EBC}"/>
    <cellStyle name="Total 2 2 2 2 3 6" xfId="28662" xr:uid="{A6E48191-30F6-4477-98F0-91E24F53968E}"/>
    <cellStyle name="Total 2 2 2 2 4" xfId="5638" xr:uid="{00000000-0005-0000-0000-000073080000}"/>
    <cellStyle name="Total 2 2 2 2 4 2" xfId="12522" xr:uid="{2223C80E-BE2C-4AD2-A954-81764FDC9600}"/>
    <cellStyle name="Total 2 2 2 2 4 2 2" xfId="35007" xr:uid="{99298AC6-3AE3-4EC7-8783-90D98AE808B8}"/>
    <cellStyle name="Total 2 2 2 2 4 2 3" xfId="44763" xr:uid="{B4C2D5B7-4E40-4CC5-B43B-D89063F8A171}"/>
    <cellStyle name="Total 2 2 2 2 4 3" xfId="17575" xr:uid="{583A2674-B507-4D6F-8A46-368F7FA7F36C}"/>
    <cellStyle name="Total 2 2 2 2 4 3 2" xfId="39965" xr:uid="{27C404E3-D991-48D4-A853-A269349B8FAA}"/>
    <cellStyle name="Total 2 2 2 2 4 3 3" xfId="45352" xr:uid="{738DA108-164F-4729-920A-05D687D4EC5C}"/>
    <cellStyle name="Total 2 2 2 2 4 4" xfId="15301" xr:uid="{7A7AD819-2FF6-42E7-BEDE-8D8446B97936}"/>
    <cellStyle name="Total 2 2 2 2 4 4 2" xfId="37733" xr:uid="{DB12C84A-DFCC-4900-81A9-B598AB8C6F9E}"/>
    <cellStyle name="Total 2 2 2 2 4 4 3" xfId="49617" xr:uid="{F689311B-B810-420F-B4B1-5008F2C23E3E}"/>
    <cellStyle name="Total 2 2 2 2 4 5" xfId="21999" xr:uid="{9C2EEBA9-796F-44E8-A580-840ECFCB941A}"/>
    <cellStyle name="Total 2 2 2 2 4 5 2" xfId="44113" xr:uid="{CDC51E4A-B31A-4286-B2BE-4D5133F9CD3A}"/>
    <cellStyle name="Total 2 2 2 2 4 6" xfId="47328" xr:uid="{067F05EA-0163-4058-B3B9-7671EA6CA27B}"/>
    <cellStyle name="Total 2 2 2 2 5" xfId="4771" xr:uid="{00000000-0005-0000-0000-000073080000}"/>
    <cellStyle name="Total 2 2 2 2 5 2" xfId="11668" xr:uid="{175DF021-D796-4731-BA8D-2E245F493060}"/>
    <cellStyle name="Total 2 2 2 2 5 2 2" xfId="34154" xr:uid="{07AB31E1-CB8E-4B97-84FA-57268AC93437}"/>
    <cellStyle name="Total 2 2 2 2 5 2 3" xfId="44430" xr:uid="{BE427418-4C91-44B9-988E-CB523A3ABBD8}"/>
    <cellStyle name="Total 2 2 2 2 5 3" xfId="16708" xr:uid="{21711A90-C228-4C63-976F-81064166C5CF}"/>
    <cellStyle name="Total 2 2 2 2 5 3 2" xfId="39098" xr:uid="{0F2D4504-D3D4-4F4A-A7D8-BE52228E36D8}"/>
    <cellStyle name="Total 2 2 2 2 5 3 3" xfId="32676" xr:uid="{1D6CC111-81A2-4654-8248-93C0D1036101}"/>
    <cellStyle name="Total 2 2 2 2 5 4" xfId="14787" xr:uid="{5B6F539D-A86A-486A-A1FE-61CE7A09C904}"/>
    <cellStyle name="Total 2 2 2 2 5 4 2" xfId="37243" xr:uid="{9D66C8BE-7F47-46B9-ADD3-567C29CBB0B3}"/>
    <cellStyle name="Total 2 2 2 2 5 4 3" xfId="29347" xr:uid="{EF0D18D4-20E3-463E-B535-A88B9BA38115}"/>
    <cellStyle name="Total 2 2 2 2 5 5" xfId="21135" xr:uid="{064EE3BF-82E6-4D52-944C-AB955EBAFFF6}"/>
    <cellStyle name="Total 2 2 2 2 5 5 2" xfId="48102" xr:uid="{4A192C31-2D86-478F-BD67-EA157562163F}"/>
    <cellStyle name="Total 2 2 2 2 5 6" xfId="48907" xr:uid="{61057A7C-A12E-4801-9F8F-5EEBFCA501D4}"/>
    <cellStyle name="Total 2 2 2 2 6" xfId="6377" xr:uid="{00000000-0005-0000-0000-000073080000}"/>
    <cellStyle name="Total 2 2 2 2 6 2" xfId="13249" xr:uid="{D77BD400-EEB7-4CED-85FD-5D0E9A56B157}"/>
    <cellStyle name="Total 2 2 2 2 6 2 2" xfId="35733" xr:uid="{9BA82D6B-2857-4D0A-AB34-2F6754D04647}"/>
    <cellStyle name="Total 2 2 2 2 6 2 3" xfId="24200" xr:uid="{FFB8543B-8C3D-4632-A658-C58C84018017}"/>
    <cellStyle name="Total 2 2 2 2 6 3" xfId="18314" xr:uid="{E48DEB44-D478-421E-9C40-00F9940A46FC}"/>
    <cellStyle name="Total 2 2 2 2 6 3 2" xfId="40704" xr:uid="{7B421466-69F0-4D12-AEC8-B2B599444F9C}"/>
    <cellStyle name="Total 2 2 2 2 6 3 3" xfId="24661" xr:uid="{70AC302D-AF81-444B-805C-FF3B57563303}"/>
    <cellStyle name="Total 2 2 2 2 6 4" xfId="20105" xr:uid="{29B5CF77-227D-46E7-BB1C-BB50A4DF8D1E}"/>
    <cellStyle name="Total 2 2 2 2 6 4 2" xfId="42420" xr:uid="{55812DE2-D7B5-465D-96B7-E6F3A7881C09}"/>
    <cellStyle name="Total 2 2 2 2 6 4 3" xfId="44505" xr:uid="{ED827D33-8DAB-4148-8F97-84C371336962}"/>
    <cellStyle name="Total 2 2 2 2 6 5" xfId="22738" xr:uid="{041F7B7E-F248-49B8-A2D5-61D9128357BB}"/>
    <cellStyle name="Total 2 2 2 2 6 5 2" xfId="50332" xr:uid="{09324C08-8CEA-4E6F-BEAD-A03263B7F92F}"/>
    <cellStyle name="Total 2 2 2 2 6 6" xfId="48856" xr:uid="{FDBFE360-3489-402F-BCD2-A7F97916AA9D}"/>
    <cellStyle name="Total 2 2 2 2 7" xfId="3910" xr:uid="{00000000-0005-0000-0000-000073080000}"/>
    <cellStyle name="Total 2 2 2 2 7 2" xfId="10814" xr:uid="{827A557C-3656-4A87-8824-6CB054E1E3D7}"/>
    <cellStyle name="Total 2 2 2 2 7 2 2" xfId="33300" xr:uid="{405856AB-6A6C-4A63-9524-C155D60C9669}"/>
    <cellStyle name="Total 2 2 2 2 7 2 3" xfId="51232" xr:uid="{745004EE-5E04-42D7-9F0B-2C0A3D9BB38B}"/>
    <cellStyle name="Total 2 2 2 2 7 3" xfId="15952" xr:uid="{C69ED797-FDFA-4C98-A843-83921D0B7D00}"/>
    <cellStyle name="Total 2 2 2 2 7 3 2" xfId="38355" xr:uid="{CC89620F-13BB-4332-9832-122132612061}"/>
    <cellStyle name="Total 2 2 2 2 7 3 3" xfId="50456" xr:uid="{2CCFE050-AEBF-49B8-AA2C-74653DDB727B}"/>
    <cellStyle name="Total 2 2 2 2 7 4" xfId="15594" xr:uid="{599B7657-33A9-4F59-9078-DFE169D76BCE}"/>
    <cellStyle name="Total 2 2 2 2 7 4 2" xfId="38011" xr:uid="{597A9DAC-C98A-4CF0-BA73-F1BA7C813E4F}"/>
    <cellStyle name="Total 2 2 2 2 7 4 3" xfId="50638" xr:uid="{8D044099-C034-46D3-871E-1930F5968A31}"/>
    <cellStyle name="Total 2 2 2 2 7 5" xfId="20303" xr:uid="{7F712DB5-15D2-43C9-AE38-B910058BAF27}"/>
    <cellStyle name="Total 2 2 2 2 7 5 2" xfId="51410" xr:uid="{D49F5658-E1B8-4F42-AAD9-39AAC91CD57C}"/>
    <cellStyle name="Total 2 2 2 2 7 6" xfId="53935" xr:uid="{54B19628-81DF-41F8-B7FD-FFD9C4458EDF}"/>
    <cellStyle name="Total 2 2 2 2 8" xfId="6894" xr:uid="{00000000-0005-0000-0000-000073080000}"/>
    <cellStyle name="Total 2 2 2 2 8 2" xfId="13732" xr:uid="{FD81D892-9E9B-4C66-8053-216C1F81B70C}"/>
    <cellStyle name="Total 2 2 2 2 8 2 2" xfId="36216" xr:uid="{D27677EB-244C-4A6A-8F15-5988082A1B7E}"/>
    <cellStyle name="Total 2 2 2 2 8 2 3" xfId="46134" xr:uid="{60ADA9C7-B183-483F-989E-29F8808CC8EC}"/>
    <cellStyle name="Total 2 2 2 2 8 3" xfId="18831" xr:uid="{F662DB25-055D-45D8-A2B1-643587D9D6F9}"/>
    <cellStyle name="Total 2 2 2 2 8 3 2" xfId="41221" xr:uid="{7588C6DD-C480-466F-A863-B945EC054DF4}"/>
    <cellStyle name="Total 2 2 2 2 8 3 3" xfId="44537" xr:uid="{3E46FBA9-2C3E-4F22-A502-71E083AD38B7}"/>
    <cellStyle name="Total 2 2 2 2 8 4" xfId="14449" xr:uid="{163C60E8-F8A4-4BD3-AA00-377F231B378A}"/>
    <cellStyle name="Total 2 2 2 2 8 4 2" xfId="36915" xr:uid="{607685B0-0514-486F-94E4-DEE6E036F355}"/>
    <cellStyle name="Total 2 2 2 2 8 4 3" xfId="53960" xr:uid="{2C965643-CF57-440B-A1C9-3D5A8FAC42B2}"/>
    <cellStyle name="Total 2 2 2 2 8 5" xfId="23255" xr:uid="{DCEAD084-0C60-484F-8D98-E17DE8492B7E}"/>
    <cellStyle name="Total 2 2 2 2 8 5 2" xfId="50385" xr:uid="{AB8509BB-4E21-44B1-ADFB-E007B899F848}"/>
    <cellStyle name="Total 2 2 2 2 8 6" xfId="48649" xr:uid="{7702E7E8-D965-4939-BB18-27B2AC73B71E}"/>
    <cellStyle name="Total 2 2 2 2 9" xfId="6882" xr:uid="{00000000-0005-0000-0000-000073080000}"/>
    <cellStyle name="Total 2 2 2 2 9 2" xfId="18819" xr:uid="{AC74CAEB-D4F7-4357-9E8E-782728B628C8}"/>
    <cellStyle name="Total 2 2 2 2 9 2 2" xfId="41209" xr:uid="{09B86E54-EF44-4352-81A7-5056F9230A2F}"/>
    <cellStyle name="Total 2 2 2 2 9 2 3" xfId="36476" xr:uid="{FB6C3DE0-AE91-462D-B072-1AD86908950E}"/>
    <cellStyle name="Total 2 2 2 2 9 3" xfId="21084" xr:uid="{E4991133-C90A-4970-86E8-98DD6CE97F63}"/>
    <cellStyle name="Total 2 2 2 2 9 3 2" xfId="43331" xr:uid="{A85F440D-F989-4E00-A2E5-A81A8B19EB9C}"/>
    <cellStyle name="Total 2 2 2 2 9 3 3" xfId="53038" xr:uid="{B456184E-23F8-4924-A8C1-2F0E4278449C}"/>
    <cellStyle name="Total 2 2 2 2 9 4" xfId="23243" xr:uid="{3C3FCAD1-B304-49B4-B0CC-45A1196655E7}"/>
    <cellStyle name="Total 2 2 2 2 9 4 2" xfId="50877" xr:uid="{DF161C01-DB06-4FAF-8231-4A5F590DFB60}"/>
    <cellStyle name="Total 2 2 2 2 9 5" xfId="43449" xr:uid="{1038252F-B369-42B0-8369-8031082A2CB2}"/>
    <cellStyle name="Total 2 2 2 3" xfId="2726" xr:uid="{00000000-0005-0000-0000-000072080000}"/>
    <cellStyle name="Total 2 2 2 3 2" xfId="9635" xr:uid="{088CD5D0-9970-4703-8C82-22CF58641DB7}"/>
    <cellStyle name="Total 2 2 2 3 2 2" xfId="32183" xr:uid="{52E26B22-548E-4937-9E58-2512CA5D73B1}"/>
    <cellStyle name="Total 2 2 2 3 2 3" xfId="53326" xr:uid="{BB6917FB-C934-4013-810A-F6915447F617}"/>
    <cellStyle name="Total 2 2 2 3 3" xfId="15153" xr:uid="{D8DE789C-EE9D-42D2-8F11-F0D4700F010A}"/>
    <cellStyle name="Total 2 2 2 3 3 2" xfId="37593" xr:uid="{7F16357E-5CE1-47D5-870B-5E58049EBB88}"/>
    <cellStyle name="Total 2 2 2 3 3 3" xfId="42802" xr:uid="{FB1781C0-A36F-4DE8-9009-AD67C5544329}"/>
    <cellStyle name="Total 2 2 2 3 4" xfId="19693" xr:uid="{23DE50B2-F82E-406D-8245-6CFDD86FFCA0}"/>
    <cellStyle name="Total 2 2 2 3 4 2" xfId="42040" xr:uid="{9415E53B-0535-42CF-8CD0-1C043B0C7661}"/>
    <cellStyle name="Total 2 2 2 3 4 3" xfId="37175" xr:uid="{31CF9225-B418-4C86-8406-1BACF70DEC47}"/>
    <cellStyle name="Total 2 2 2 3 5" xfId="14404" xr:uid="{6D84DEB9-411B-45B3-8652-0FC334802470}"/>
    <cellStyle name="Total 2 2 2 3 5 2" xfId="47121" xr:uid="{38C8026D-70E8-4AC9-BEEB-22D705509F6E}"/>
    <cellStyle name="Total 2 2 2 3 6" xfId="52225" xr:uid="{CEBACA4E-D2AB-4365-A14A-E0B7DC38EB6E}"/>
    <cellStyle name="Total 2 2 2 4" xfId="4517" xr:uid="{00000000-0005-0000-0000-000072080000}"/>
    <cellStyle name="Total 2 2 2 4 2" xfId="11419" xr:uid="{40F17E2C-A47F-44F9-8E8F-75F632E1C38B}"/>
    <cellStyle name="Total 2 2 2 4 2 2" xfId="33905" xr:uid="{E757F3E0-35DC-44A1-8C7D-C837C13F3062}"/>
    <cellStyle name="Total 2 2 2 4 2 3" xfId="44565" xr:uid="{52551634-97B4-4984-A4DE-DFDAB1772BD7}"/>
    <cellStyle name="Total 2 2 2 4 3" xfId="16454" xr:uid="{DADCA911-32C4-4C53-A680-5095B9F58FE8}"/>
    <cellStyle name="Total 2 2 2 4 3 2" xfId="38844" xr:uid="{CA5A7F33-C3E3-4A58-95F8-D24C47BF7D91}"/>
    <cellStyle name="Total 2 2 2 4 3 3" xfId="24817" xr:uid="{57DAF416-F7D0-41F2-AF0C-24B3C5F1E489}"/>
    <cellStyle name="Total 2 2 2 4 4" xfId="15488" xr:uid="{18C50D09-E538-4210-A85C-9CF8FB386484}"/>
    <cellStyle name="Total 2 2 2 4 4 2" xfId="37911" xr:uid="{05DEC163-0428-480A-9327-7490F3EBBB33}"/>
    <cellStyle name="Total 2 2 2 4 4 3" xfId="49952" xr:uid="{BE436D14-8EA5-4580-AC5E-DCDD7624A6B4}"/>
    <cellStyle name="Total 2 2 2 4 5" xfId="20029" xr:uid="{FA578FAD-ABA6-403B-8004-E0D24B28FA71}"/>
    <cellStyle name="Total 2 2 2 4 5 2" xfId="30300" xr:uid="{503030E5-5FBB-4147-B180-AC566BF27ADB}"/>
    <cellStyle name="Total 2 2 2 4 6" xfId="53826" xr:uid="{8139242A-DCD9-45C3-B4D2-0A0C59B2A70C}"/>
    <cellStyle name="Total 2 2 2 5" xfId="5589" xr:uid="{00000000-0005-0000-0000-000072080000}"/>
    <cellStyle name="Total 2 2 2 5 2" xfId="12474" xr:uid="{C052DB55-2095-4C66-9F2A-83561C349458}"/>
    <cellStyle name="Total 2 2 2 5 2 2" xfId="34959" xr:uid="{2AA80881-96A6-4EE2-8F08-1A5DAA39D6E0}"/>
    <cellStyle name="Total 2 2 2 5 2 3" xfId="44129" xr:uid="{CF83586F-141E-483C-9200-8A80A6AFB8F1}"/>
    <cellStyle name="Total 2 2 2 5 3" xfId="17526" xr:uid="{16112509-C9B1-4D99-8D78-9E966D63DBA5}"/>
    <cellStyle name="Total 2 2 2 5 3 2" xfId="39916" xr:uid="{28EB7020-6713-4A18-937C-499A471A7743}"/>
    <cellStyle name="Total 2 2 2 5 3 3" xfId="43231" xr:uid="{BF08DF67-380B-4ADD-B912-BFAC2E0237FD}"/>
    <cellStyle name="Total 2 2 2 5 4" xfId="19785" xr:uid="{FB2FEF2D-4DA8-4750-8EC1-D8A304020B94}"/>
    <cellStyle name="Total 2 2 2 5 4 2" xfId="42123" xr:uid="{C508D44D-B0FE-421D-BBF5-679DCAE08CB3}"/>
    <cellStyle name="Total 2 2 2 5 4 3" xfId="27930" xr:uid="{B1985C42-BBD5-4029-8404-3D8A1DBDB599}"/>
    <cellStyle name="Total 2 2 2 5 5" xfId="21950" xr:uid="{D4DAD1C9-8DF3-48C5-A73A-A337FDE644DB}"/>
    <cellStyle name="Total 2 2 2 5 5 2" xfId="49061" xr:uid="{E9FC8548-C6BE-4B61-9E7F-90BE3B9B99EE}"/>
    <cellStyle name="Total 2 2 2 5 6" xfId="51681" xr:uid="{A1FE30E1-9814-463F-968C-BFF046838FD1}"/>
    <cellStyle name="Total 2 2 2 6" xfId="6174" xr:uid="{00000000-0005-0000-0000-000072080000}"/>
    <cellStyle name="Total 2 2 2 6 2" xfId="13051" xr:uid="{E0CAF858-26AE-4AEA-8B7F-D79E7744482C}"/>
    <cellStyle name="Total 2 2 2 6 2 2" xfId="35535" xr:uid="{48D13392-F062-4C5F-9D4C-53C0F105AD77}"/>
    <cellStyle name="Total 2 2 2 6 2 3" xfId="46826" xr:uid="{B622FAFA-8FAD-42F3-9FB8-DF1DE6C69DF0}"/>
    <cellStyle name="Total 2 2 2 6 3" xfId="18111" xr:uid="{CFBCF6E6-3612-4DD8-B727-D2867D56859D}"/>
    <cellStyle name="Total 2 2 2 6 3 2" xfId="40501" xr:uid="{5F30E0B7-8073-4F84-8158-3DA0F3D267AE}"/>
    <cellStyle name="Total 2 2 2 6 3 3" xfId="26566" xr:uid="{ECFC275C-946E-473E-8338-DF25589F45FA}"/>
    <cellStyle name="Total 2 2 2 6 4" xfId="15724" xr:uid="{ECA8EBCE-474A-425D-B316-A8C3A0400867}"/>
    <cellStyle name="Total 2 2 2 6 4 2" xfId="38137" xr:uid="{207ABB35-9A20-4587-945D-C05E76FFAFC8}"/>
    <cellStyle name="Total 2 2 2 6 4 3" xfId="50093" xr:uid="{E4AFF9DE-526B-42BA-9C01-1B91840C9ABD}"/>
    <cellStyle name="Total 2 2 2 6 5" xfId="22535" xr:uid="{C9261630-690B-4306-A4A3-2FAC473856F2}"/>
    <cellStyle name="Total 2 2 2 6 5 2" xfId="52917" xr:uid="{098A43EF-FE34-483B-AB81-B2C64C764CBD}"/>
    <cellStyle name="Total 2 2 2 6 6" xfId="52270" xr:uid="{B54FDB7F-BD29-4FDE-B940-DC63DF7F1227}"/>
    <cellStyle name="Total 2 2 2 7" xfId="4772" xr:uid="{00000000-0005-0000-0000-000072080000}"/>
    <cellStyle name="Total 2 2 2 7 2" xfId="11669" xr:uid="{5FEF0D39-187F-4FCD-BE3E-84F5DD3196E5}"/>
    <cellStyle name="Total 2 2 2 7 2 2" xfId="34155" xr:uid="{4713CC43-54F2-483B-9D60-55D6630E06B9}"/>
    <cellStyle name="Total 2 2 2 7 2 3" xfId="24617" xr:uid="{E5F28E20-3BC6-4C6E-B1D3-70D25321C685}"/>
    <cellStyle name="Total 2 2 2 7 3" xfId="16709" xr:uid="{3E6ED765-0256-4F7A-85B3-FCBE292BEBB5}"/>
    <cellStyle name="Total 2 2 2 7 3 2" xfId="39099" xr:uid="{A9E04AC7-472C-4B74-A894-1F92CF888ECF}"/>
    <cellStyle name="Total 2 2 2 7 3 3" xfId="37813" xr:uid="{D67F717C-9441-4E31-AB9D-69C4F35D9BFB}"/>
    <cellStyle name="Total 2 2 2 7 4" xfId="15143" xr:uid="{0E10C92A-1133-4E79-8E03-145B5B124970}"/>
    <cellStyle name="Total 2 2 2 7 4 2" xfId="37585" xr:uid="{40E0CBB4-DD01-493D-BBE8-A80502EC722D}"/>
    <cellStyle name="Total 2 2 2 7 4 3" xfId="49814" xr:uid="{D0601C9B-E5BF-4E43-B5A2-812579222C4A}"/>
    <cellStyle name="Total 2 2 2 7 5" xfId="14692" xr:uid="{4AA5B40B-BC7E-4457-B121-2FEA3BD67E3C}"/>
    <cellStyle name="Total 2 2 2 7 5 2" xfId="45389" xr:uid="{7D2DEF71-ADD6-4093-B3D8-A40FA1E058A5}"/>
    <cellStyle name="Total 2 2 2 7 6" xfId="51447" xr:uid="{0809171F-8692-44AE-B01A-D663730818D5}"/>
    <cellStyle name="Total 2 2 2 8" xfId="8090" xr:uid="{F280E1E7-CB26-4245-BFB9-D5DB1A68BE54}"/>
    <cellStyle name="Total 2 2 2 8 2" xfId="30705" xr:uid="{61A253D1-69D7-42AC-A1A2-1598C484D0CC}"/>
    <cellStyle name="Total 2 2 2 8 3" xfId="48932" xr:uid="{06E5ED99-F01B-409D-9C43-46E16C20D6F6}"/>
    <cellStyle name="Total 2 2 2 9" xfId="15253" xr:uid="{BAE2AA20-84AA-4D91-AF41-A680D8C115E4}"/>
    <cellStyle name="Total 2 2 2 9 2" xfId="37688" xr:uid="{94201BD2-4BD5-4043-85D8-310452077FB3}"/>
    <cellStyle name="Total 2 2 2 9 3" xfId="53383" xr:uid="{1D0BA319-94EF-4F4E-88B9-F9DE4D77E2BA}"/>
    <cellStyle name="Total 2 2 3" xfId="823" xr:uid="{00000000-0005-0000-0000-000077080000}"/>
    <cellStyle name="Total 2 2 3 10" xfId="20986" xr:uid="{1FFE670C-0F3E-4F82-B812-AA7083895851}"/>
    <cellStyle name="Total 2 2 3 10 2" xfId="29263" xr:uid="{90969785-4B32-4E8B-B5C3-484BF55DCB97}"/>
    <cellStyle name="Total 2 2 3 11" xfId="50146" xr:uid="{1926F7F3-5C1A-4DDA-B3D7-FD4389C3EDEE}"/>
    <cellStyle name="Total 2 2 3 2" xfId="1809" xr:uid="{00000000-0005-0000-0000-000078080000}"/>
    <cellStyle name="Total 2 2 3 2 10" xfId="14493" xr:uid="{F47EB7B1-1EE4-44F7-B280-00AE3E6A16F6}"/>
    <cellStyle name="Total 2 2 3 2 10 2" xfId="36954" xr:uid="{899EED42-A730-41E4-819A-227C9F32164A}"/>
    <cellStyle name="Total 2 2 3 2 10 3" xfId="52690" xr:uid="{7028DE1C-47DA-4385-A542-38C517BEA830}"/>
    <cellStyle name="Total 2 2 3 2 11" xfId="21140" xr:uid="{EAB745F7-888B-45DD-BF35-22F5554F2A83}"/>
    <cellStyle name="Total 2 2 3 2 11 2" xfId="43384" xr:uid="{CCE9C128-BE58-4E51-A951-9A0870D7887A}"/>
    <cellStyle name="Total 2 2 3 2 11 3" xfId="49330" xr:uid="{AB7DAFFA-952D-4D68-81F6-ED2D531461C3}"/>
    <cellStyle name="Total 2 2 3 2 12" xfId="8891" xr:uid="{C8ED4E08-4A88-4C46-AC0F-AF1EFA99FA23}"/>
    <cellStyle name="Total 2 2 3 2 12 2" xfId="42418" xr:uid="{16FE8797-3066-4858-A3CB-1846BCE284D8}"/>
    <cellStyle name="Total 2 2 3 2 13" xfId="54049" xr:uid="{26E811F1-FB81-4F9A-95A3-C64D3715FF6A}"/>
    <cellStyle name="Total 2 2 3 2 2" xfId="3907" xr:uid="{00000000-0005-0000-0000-000075080000}"/>
    <cellStyle name="Total 2 2 3 2 2 2" xfId="10811" xr:uid="{A33E56E9-B7E8-4178-BBD0-32FCF0528D11}"/>
    <cellStyle name="Total 2 2 3 2 2 2 2" xfId="33297" xr:uid="{5BB862E4-F67B-48A7-90E0-3134465B540F}"/>
    <cellStyle name="Total 2 2 3 2 2 2 3" xfId="46397" xr:uid="{00684662-DFEB-469C-BA34-564DDE091936}"/>
    <cellStyle name="Total 2 2 3 2 2 3" xfId="15949" xr:uid="{CE3ED4DB-4F70-45F4-8A27-4F7C00F4FF3B}"/>
    <cellStyle name="Total 2 2 3 2 2 3 2" xfId="38352" xr:uid="{2ED8FCC5-307E-42D0-8DF2-1B42D1CD4330}"/>
    <cellStyle name="Total 2 2 3 2 2 3 3" xfId="47325" xr:uid="{DBB822AA-DA1F-42DA-A2FD-32AC30EBA832}"/>
    <cellStyle name="Total 2 2 3 2 2 4" xfId="20329" xr:uid="{B3F4E1C4-7ACB-458B-83A5-5008A6BD4E09}"/>
    <cellStyle name="Total 2 2 3 2 2 4 2" xfId="42628" xr:uid="{5B32D7BC-045F-414E-B8D6-1995BDC46B68}"/>
    <cellStyle name="Total 2 2 3 2 2 4 3" xfId="54113" xr:uid="{CB655477-0A8F-41F8-82CA-F3F29AAEBA7D}"/>
    <cellStyle name="Total 2 2 3 2 2 5" xfId="21031" xr:uid="{78E03BE2-B0CD-4D63-A873-AA0DF391BF08}"/>
    <cellStyle name="Total 2 2 3 2 2 5 2" xfId="46371" xr:uid="{9BA4ED34-736F-4EBB-B747-E5425F06EF7A}"/>
    <cellStyle name="Total 2 2 3 2 2 6" xfId="51643" xr:uid="{81177F11-D2F3-4152-AA36-01DA9194FF3E}"/>
    <cellStyle name="Total 2 2 3 2 3" xfId="5302" xr:uid="{00000000-0005-0000-0000-000075080000}"/>
    <cellStyle name="Total 2 2 3 2 3 2" xfId="12194" xr:uid="{EDFDCD62-1A26-475B-BACF-3430BF9D08FA}"/>
    <cellStyle name="Total 2 2 3 2 3 2 2" xfId="34679" xr:uid="{0DE400FD-EDDF-4FB7-A97E-4FFFD0B571A1}"/>
    <cellStyle name="Total 2 2 3 2 3 2 3" xfId="29471" xr:uid="{4B711F37-A261-4564-B583-31B37C6068C5}"/>
    <cellStyle name="Total 2 2 3 2 3 3" xfId="17239" xr:uid="{CD77559F-B0AB-4B1F-9019-7198574F4C41}"/>
    <cellStyle name="Total 2 2 3 2 3 3 2" xfId="39629" xr:uid="{9EFE2296-034B-4149-9299-45F8AEB15BDA}"/>
    <cellStyle name="Total 2 2 3 2 3 3 3" xfId="30182" xr:uid="{F814C0E6-98CC-4654-AB4E-1819BB812974}"/>
    <cellStyle name="Total 2 2 3 2 3 4" xfId="19266" xr:uid="{ECB72C13-FFA6-4096-955F-71605FED00B1}"/>
    <cellStyle name="Total 2 2 3 2 3 4 2" xfId="41649" xr:uid="{3EFAB229-B1D7-4402-B6B2-40A20C5FDCAD}"/>
    <cellStyle name="Total 2 2 3 2 3 4 3" xfId="28917" xr:uid="{5412093B-98C2-484F-9376-2D632171C34C}"/>
    <cellStyle name="Total 2 2 3 2 3 5" xfId="21663" xr:uid="{8732D71C-1C37-4DF2-BAC5-020FF067CFEA}"/>
    <cellStyle name="Total 2 2 3 2 3 5 2" xfId="44391" xr:uid="{035230A8-EC99-4306-87F1-76E6691D607F}"/>
    <cellStyle name="Total 2 2 3 2 3 6" xfId="50031" xr:uid="{205B6037-9F38-4732-9435-C59558806C34}"/>
    <cellStyle name="Total 2 2 3 2 4" xfId="5713" xr:uid="{00000000-0005-0000-0000-000075080000}"/>
    <cellStyle name="Total 2 2 3 2 4 2" xfId="12597" xr:uid="{E54F84A4-2CB3-44CA-88C6-68E8863A9FC6}"/>
    <cellStyle name="Total 2 2 3 2 4 2 2" xfId="35082" xr:uid="{3DB8737E-864B-4F18-8B76-1AFEBE046BD3}"/>
    <cellStyle name="Total 2 2 3 2 4 2 3" xfId="45683" xr:uid="{A9309A14-E098-4AD7-A66D-17A636D7CE4F}"/>
    <cellStyle name="Total 2 2 3 2 4 3" xfId="17650" xr:uid="{D7FB15A8-AD06-4296-BBB7-A00C777BB861}"/>
    <cellStyle name="Total 2 2 3 2 4 3 2" xfId="40040" xr:uid="{B42F0BCF-2D36-4F55-B847-6994EFFD768B}"/>
    <cellStyle name="Total 2 2 3 2 4 3 3" xfId="28621" xr:uid="{41ABC6AC-CD43-47CD-8A93-2347B3C5D8B6}"/>
    <cellStyle name="Total 2 2 3 2 4 4" xfId="19472" xr:uid="{89036E11-E170-4F05-8ACF-9BE74D7BFD02}"/>
    <cellStyle name="Total 2 2 3 2 4 4 2" xfId="41838" xr:uid="{164874CF-7439-41E6-A906-A6D75C374205}"/>
    <cellStyle name="Total 2 2 3 2 4 4 3" xfId="43013" xr:uid="{DA6DDE9A-FE74-4ACF-871B-C2D3BA2AD61E}"/>
    <cellStyle name="Total 2 2 3 2 4 5" xfId="22074" xr:uid="{8FFD1963-3EF5-4883-BB5E-352550AC0B82}"/>
    <cellStyle name="Total 2 2 3 2 4 5 2" xfId="52048" xr:uid="{09B4B1FB-D0D4-4F66-958B-E441B4AA0017}"/>
    <cellStyle name="Total 2 2 3 2 4 6" xfId="30691" xr:uid="{C8977361-D4A1-4BD4-B5DA-16F8D88A53A9}"/>
    <cellStyle name="Total 2 2 3 2 5" xfId="6067" xr:uid="{00000000-0005-0000-0000-000075080000}"/>
    <cellStyle name="Total 2 2 3 2 5 2" xfId="12945" xr:uid="{9588035E-4D7E-4322-999E-296B1F7B272B}"/>
    <cellStyle name="Total 2 2 3 2 5 2 2" xfId="35429" xr:uid="{73894065-DFD8-4968-A967-D91767181BDC}"/>
    <cellStyle name="Total 2 2 3 2 5 2 3" xfId="48175" xr:uid="{0CF774AD-8292-415E-8967-E1B0F831A433}"/>
    <cellStyle name="Total 2 2 3 2 5 3" xfId="18004" xr:uid="{DAA29E86-9D73-400E-955F-794BCD38B01C}"/>
    <cellStyle name="Total 2 2 3 2 5 3 2" xfId="40394" xr:uid="{88D03CB0-48A3-4616-83FF-AE577EFC1C94}"/>
    <cellStyle name="Total 2 2 3 2 5 3 3" xfId="26325" xr:uid="{48A99EDE-B235-4BC3-AF2F-3F63A3144072}"/>
    <cellStyle name="Total 2 2 3 2 5 4" xfId="19379" xr:uid="{B1537096-6CF2-4967-A502-027009E73160}"/>
    <cellStyle name="Total 2 2 3 2 5 4 2" xfId="41753" xr:uid="{1E8F5B88-8EC5-4D11-83C0-6D78F2130E41}"/>
    <cellStyle name="Total 2 2 3 2 5 4 3" xfId="36774" xr:uid="{908996DE-2667-4D24-B821-0DB088B445EE}"/>
    <cellStyle name="Total 2 2 3 2 5 5" xfId="22428" xr:uid="{CC15770C-AA74-454B-A770-520B7E49051A}"/>
    <cellStyle name="Total 2 2 3 2 5 5 2" xfId="48829" xr:uid="{5BDC443F-DB23-4ED0-9330-B1F840C7293C}"/>
    <cellStyle name="Total 2 2 3 2 5 6" xfId="52706" xr:uid="{1B506062-5672-4262-A9E0-BBDEBD8B8A4E}"/>
    <cellStyle name="Total 2 2 3 2 6" xfId="6442" xr:uid="{00000000-0005-0000-0000-000075080000}"/>
    <cellStyle name="Total 2 2 3 2 6 2" xfId="13312" xr:uid="{543BA64C-9E39-4AAA-98E4-55EFEFBA927C}"/>
    <cellStyle name="Total 2 2 3 2 6 2 2" xfId="35796" xr:uid="{B0E41BF2-BAFB-42BC-9CB9-BFAA9FEA6CA3}"/>
    <cellStyle name="Total 2 2 3 2 6 2 3" xfId="44265" xr:uid="{B9CC5BA8-C1B1-45A6-952B-7C45D73B6C7E}"/>
    <cellStyle name="Total 2 2 3 2 6 3" xfId="18379" xr:uid="{7E59131F-B248-4A96-92C1-CD8E563C518A}"/>
    <cellStyle name="Total 2 2 3 2 6 3 2" xfId="40769" xr:uid="{DFE46C94-C8E2-4D07-B524-FF977697D32B}"/>
    <cellStyle name="Total 2 2 3 2 6 3 3" xfId="44052" xr:uid="{E5F86E2A-6F7E-4390-81DF-A5CFE685EC21}"/>
    <cellStyle name="Total 2 2 3 2 6 4" xfId="20030" xr:uid="{3B21D658-FC51-4643-8FEE-4EE1A87C9F00}"/>
    <cellStyle name="Total 2 2 3 2 6 4 2" xfId="42354" xr:uid="{9FC537A8-0E5D-447F-8622-A51E6E27B715}"/>
    <cellStyle name="Total 2 2 3 2 6 4 3" xfId="41928" xr:uid="{DC9E48D2-E504-4D26-8899-AAB94856C544}"/>
    <cellStyle name="Total 2 2 3 2 6 5" xfId="22803" xr:uid="{2CCC1BC3-A4A1-43C0-AA12-F0704BCD0B65}"/>
    <cellStyle name="Total 2 2 3 2 6 5 2" xfId="50223" xr:uid="{59312F4B-DC09-4ED0-9074-B173EE32278D}"/>
    <cellStyle name="Total 2 2 3 2 6 6" xfId="52124" xr:uid="{2D228D24-E8B4-4C07-B165-E49A7478056E}"/>
    <cellStyle name="Total 2 2 3 2 7" xfId="5699" xr:uid="{00000000-0005-0000-0000-000075080000}"/>
    <cellStyle name="Total 2 2 3 2 7 2" xfId="12583" xr:uid="{4A1D22DA-D074-4B6E-AE08-48478353F432}"/>
    <cellStyle name="Total 2 2 3 2 7 2 2" xfId="35068" xr:uid="{2971BE03-D97E-4669-A176-2AA54AF1BC67}"/>
    <cellStyle name="Total 2 2 3 2 7 2 3" xfId="29765" xr:uid="{5F8CBA60-DFFC-4C21-ADF8-D9F0C882EFF8}"/>
    <cellStyle name="Total 2 2 3 2 7 3" xfId="17636" xr:uid="{0EDC8DDE-69CE-49E6-A8EC-01ACF1A2141A}"/>
    <cellStyle name="Total 2 2 3 2 7 3 2" xfId="40026" xr:uid="{D55F1771-DCCC-4CC7-983E-13E3837FE773}"/>
    <cellStyle name="Total 2 2 3 2 7 3 3" xfId="38268" xr:uid="{993A155B-AF57-4192-B79C-AC84D74ABF47}"/>
    <cellStyle name="Total 2 2 3 2 7 4" xfId="7252" xr:uid="{42CF3F0D-3EF2-4353-8FD3-00A55690270F}"/>
    <cellStyle name="Total 2 2 3 2 7 4 2" xfId="29941" xr:uid="{12180003-5844-4276-87F8-BF7E3ABD030D}"/>
    <cellStyle name="Total 2 2 3 2 7 4 3" xfId="51573" xr:uid="{801817A8-6AF2-4C8E-B4B1-8CCDC1C0F37E}"/>
    <cellStyle name="Total 2 2 3 2 7 5" xfId="22060" xr:uid="{D62D78FB-DF15-4934-9EFA-EDAF0538D8AC}"/>
    <cellStyle name="Total 2 2 3 2 7 5 2" xfId="28479" xr:uid="{E32EE1CE-5259-4949-8DCB-BA56656B776B}"/>
    <cellStyle name="Total 2 2 3 2 7 6" xfId="48107" xr:uid="{E084E48E-0C8F-4F35-A71A-FE335B6522A3}"/>
    <cellStyle name="Total 2 2 3 2 8" xfId="6942" xr:uid="{00000000-0005-0000-0000-000075080000}"/>
    <cellStyle name="Total 2 2 3 2 8 2" xfId="13779" xr:uid="{3C979F24-DE58-472F-9551-CB9B6F8BB879}"/>
    <cellStyle name="Total 2 2 3 2 8 2 2" xfId="36263" xr:uid="{357FF1C5-3259-49AB-B09E-7502BA330FB8}"/>
    <cellStyle name="Total 2 2 3 2 8 2 3" xfId="47039" xr:uid="{0041245D-1144-474E-B6C8-A30E7D128B76}"/>
    <cellStyle name="Total 2 2 3 2 8 3" xfId="18879" xr:uid="{4E9B9C68-D7B4-48D8-9179-B4A3277D4CD6}"/>
    <cellStyle name="Total 2 2 3 2 8 3 2" xfId="41269" xr:uid="{10D055F7-CBB2-4CE9-BBAF-37FB7FC92C1F}"/>
    <cellStyle name="Total 2 2 3 2 8 3 3" xfId="43196" xr:uid="{1BA0E031-B92C-4A8D-A7CB-A7E8E412F0B4}"/>
    <cellStyle name="Total 2 2 3 2 8 4" xfId="21242" xr:uid="{ECBEA01D-597D-4356-8792-B376C3FA5595}"/>
    <cellStyle name="Total 2 2 3 2 8 4 2" xfId="43478" xr:uid="{9BE6D24E-3400-4D78-8927-F8C2544EC6E1}"/>
    <cellStyle name="Total 2 2 3 2 8 4 3" xfId="49060" xr:uid="{330ABF2D-4645-4264-9E29-EA8661ED08C6}"/>
    <cellStyle name="Total 2 2 3 2 8 5" xfId="23303" xr:uid="{08CF14C3-FB11-47B4-8C45-FDA089D422FD}"/>
    <cellStyle name="Total 2 2 3 2 8 5 2" xfId="47097" xr:uid="{2121F573-070A-4F0D-AF73-40A26D020BD8}"/>
    <cellStyle name="Total 2 2 3 2 8 6" xfId="47858" xr:uid="{781339F8-F703-4FC1-ACEB-59D23D1CD16A}"/>
    <cellStyle name="Total 2 2 3 2 9" xfId="6720" xr:uid="{00000000-0005-0000-0000-000075080000}"/>
    <cellStyle name="Total 2 2 3 2 9 2" xfId="18657" xr:uid="{9D30BBA2-0AAE-4850-86F6-BFF8A124BB61}"/>
    <cellStyle name="Total 2 2 3 2 9 2 2" xfId="41047" xr:uid="{060A7775-FF44-4A2D-AE5E-8B3643FC2C3D}"/>
    <cellStyle name="Total 2 2 3 2 9 2 3" xfId="26199" xr:uid="{1A2AE709-F6EB-4009-8D7C-E32EE209D9EB}"/>
    <cellStyle name="Total 2 2 3 2 9 3" xfId="20886" xr:uid="{A067A14E-667A-4A91-B205-C4F8B4325DAE}"/>
    <cellStyle name="Total 2 2 3 2 9 3 2" xfId="43150" xr:uid="{4340050B-2866-4765-AD55-3BE216336F04}"/>
    <cellStyle name="Total 2 2 3 2 9 3 3" xfId="44822" xr:uid="{A9A397FB-01F3-4237-AB77-D37CAA476934}"/>
    <cellStyle name="Total 2 2 3 2 9 4" xfId="23081" xr:uid="{EFA4B4BC-8AF6-4063-8136-478B9ADA6F34}"/>
    <cellStyle name="Total 2 2 3 2 9 4 2" xfId="52774" xr:uid="{7A08FCED-917B-4710-B3BF-BB186E30E51B}"/>
    <cellStyle name="Total 2 2 3 2 9 5" xfId="44237" xr:uid="{662FE35B-B154-4B71-AEAF-ECE677017F04}"/>
    <cellStyle name="Total 2 2 3 3" xfId="2958" xr:uid="{00000000-0005-0000-0000-000074080000}"/>
    <cellStyle name="Total 2 2 3 3 2" xfId="9867" xr:uid="{34923D54-7928-4521-8C29-5EACE605602B}"/>
    <cellStyle name="Total 2 2 3 3 2 2" xfId="32390" xr:uid="{704C6379-B1A8-4FD2-8E09-FC62FB6A0945}"/>
    <cellStyle name="Total 2 2 3 3 2 3" xfId="54103" xr:uid="{0C2C27B1-C1BF-45F4-8CF3-00F15040C439}"/>
    <cellStyle name="Total 2 2 3 3 3" xfId="15306" xr:uid="{0558A967-05BB-4AC8-BB2C-55FA68CEA139}"/>
    <cellStyle name="Total 2 2 3 3 3 2" xfId="37738" xr:uid="{24883B00-E5BA-463B-9B8F-3AC042E376C4}"/>
    <cellStyle name="Total 2 2 3 3 3 3" xfId="46175" xr:uid="{3F3E5ECF-A404-4AEE-9576-595EBE7F6AF9}"/>
    <cellStyle name="Total 2 2 3 3 4" xfId="14154" xr:uid="{A974CE0F-D3C5-4F50-85EC-83F74D0B5C59}"/>
    <cellStyle name="Total 2 2 3 3 4 2" xfId="36630" xr:uid="{8C379812-CF48-4A74-8598-18866554A62F}"/>
    <cellStyle name="Total 2 2 3 3 4 3" xfId="53928" xr:uid="{977EE4FD-EAF9-4CB5-9B32-D134AADC4466}"/>
    <cellStyle name="Total 2 2 3 3 5" xfId="20385" xr:uid="{188D245A-3F72-4685-8F40-94973EEEC86B}"/>
    <cellStyle name="Total 2 2 3 3 5 2" xfId="48773" xr:uid="{948D4CC1-FC69-4B1E-BE3E-117B4DD7C795}"/>
    <cellStyle name="Total 2 2 3 3 6" xfId="51008" xr:uid="{606B9960-8748-4D3E-871A-6F6E9FB79D1C}"/>
    <cellStyle name="Total 2 2 3 4" xfId="4667" xr:uid="{00000000-0005-0000-0000-000074080000}"/>
    <cellStyle name="Total 2 2 3 4 2" xfId="11565" xr:uid="{09CB8991-4F06-43EF-9EB2-DBB285B4D13A}"/>
    <cellStyle name="Total 2 2 3 4 2 2" xfId="34051" xr:uid="{904916D1-88FE-40D0-A7BF-C5E8AA2B0C57}"/>
    <cellStyle name="Total 2 2 3 4 2 3" xfId="32526" xr:uid="{58836BA4-6B6A-4B47-A094-6B8126897E8A}"/>
    <cellStyle name="Total 2 2 3 4 3" xfId="16604" xr:uid="{5B5BDA64-9B96-4B5D-9319-7B557646E193}"/>
    <cellStyle name="Total 2 2 3 4 3 2" xfId="38994" xr:uid="{2DD44798-C081-4026-90DC-75280F0A0A56}"/>
    <cellStyle name="Total 2 2 3 4 3 3" xfId="41802" xr:uid="{7582E0CC-51B5-4614-9FC9-A0634CB0AA00}"/>
    <cellStyle name="Total 2 2 3 4 4" xfId="14048" xr:uid="{A80E85C5-FA54-441F-9384-E28B85553CA1}"/>
    <cellStyle name="Total 2 2 3 4 4 2" xfId="36528" xr:uid="{CDB16113-CEA3-4780-83F3-76DAB3ED2565}"/>
    <cellStyle name="Total 2 2 3 4 4 3" xfId="53413" xr:uid="{9C8B39DD-2A10-409E-BE17-2618E8E56963}"/>
    <cellStyle name="Total 2 2 3 4 5" xfId="20670" xr:uid="{184F9C8B-6135-4841-BD7A-0F41E00E781A}"/>
    <cellStyle name="Total 2 2 3 4 5 2" xfId="29549" xr:uid="{AF3AAA5D-471D-4E54-9CCD-B84C4B881579}"/>
    <cellStyle name="Total 2 2 3 4 6" xfId="24602" xr:uid="{3290E7F9-D4D8-4225-8890-CAC508ECEECA}"/>
    <cellStyle name="Total 2 2 3 5" xfId="5674" xr:uid="{00000000-0005-0000-0000-000074080000}"/>
    <cellStyle name="Total 2 2 3 5 2" xfId="12558" xr:uid="{1C37D6AA-C5FD-429E-B774-96DF09ECEE5C}"/>
    <cellStyle name="Total 2 2 3 5 2 2" xfId="35043" xr:uid="{1A469260-7D86-462C-9246-F31ABC963C7B}"/>
    <cellStyle name="Total 2 2 3 5 2 3" xfId="29397" xr:uid="{CC1A499B-D1C7-4563-A893-53BE88B2533F}"/>
    <cellStyle name="Total 2 2 3 5 3" xfId="17611" xr:uid="{52FC23A4-6627-443F-AF04-55CDA86B6317}"/>
    <cellStyle name="Total 2 2 3 5 3 2" xfId="40001" xr:uid="{ECDE1C86-25C8-43DA-A35F-71E80023E1D5}"/>
    <cellStyle name="Total 2 2 3 5 3 3" xfId="28039" xr:uid="{B8E8C763-B892-45C2-93C2-713E8A48D4DD}"/>
    <cellStyle name="Total 2 2 3 5 4" xfId="19522" xr:uid="{076507E5-CDF7-4B71-B0BE-9723B3893979}"/>
    <cellStyle name="Total 2 2 3 5 4 2" xfId="41883" xr:uid="{714F5633-9110-4DF6-8E12-6AF5EB872443}"/>
    <cellStyle name="Total 2 2 3 5 4 3" xfId="28138" xr:uid="{D71123F8-750F-4C64-88E3-860A5CF0A433}"/>
    <cellStyle name="Total 2 2 3 5 5" xfId="22035" xr:uid="{4CCA57CF-C24D-4138-85C3-849F0E248042}"/>
    <cellStyle name="Total 2 2 3 5 5 2" xfId="49297" xr:uid="{D98F9DEE-FAD5-4B31-BA0E-EF106122B69B}"/>
    <cellStyle name="Total 2 2 3 5 6" xfId="53641" xr:uid="{73E47F70-F16F-473A-AD27-F5980EE0A327}"/>
    <cellStyle name="Total 2 2 3 6" xfId="4509" xr:uid="{00000000-0005-0000-0000-000074080000}"/>
    <cellStyle name="Total 2 2 3 6 2" xfId="11411" xr:uid="{A88A8823-A043-44AA-ACE8-9B69C3A6CFFD}"/>
    <cellStyle name="Total 2 2 3 6 2 2" xfId="33897" xr:uid="{3D2D8B1F-1D7D-49F2-977D-6AA56B6F10D4}"/>
    <cellStyle name="Total 2 2 3 6 2 3" xfId="44501" xr:uid="{F9C2AC3B-57A5-4232-9DA9-BD785F27E990}"/>
    <cellStyle name="Total 2 2 3 6 3" xfId="16446" xr:uid="{2F0D0F00-BCDC-4D86-80CE-0F9B5526CB18}"/>
    <cellStyle name="Total 2 2 3 6 3 2" xfId="38836" xr:uid="{B4CE7959-2B90-4126-B665-4A51188E89E1}"/>
    <cellStyle name="Total 2 2 3 6 3 3" xfId="25053" xr:uid="{AA621389-A589-47E4-A26F-020284D09E1C}"/>
    <cellStyle name="Total 2 2 3 6 4" xfId="19230" xr:uid="{95722335-C249-471E-BD44-1CC47C077349}"/>
    <cellStyle name="Total 2 2 3 6 4 2" xfId="41616" xr:uid="{6749F7F5-0A93-4AB9-88A7-DB18E341FEDC}"/>
    <cellStyle name="Total 2 2 3 6 4 3" xfId="32346" xr:uid="{05DFD906-ECF8-4101-B650-2E056A0C5BE7}"/>
    <cellStyle name="Total 2 2 3 6 5" xfId="19798" xr:uid="{3BC837D7-DAB8-49E3-95AB-8BFAB826266D}"/>
    <cellStyle name="Total 2 2 3 6 5 2" xfId="37997" xr:uid="{2779AAC7-4CE0-4114-A06D-909DD21ADD6C}"/>
    <cellStyle name="Total 2 2 3 6 6" xfId="52218" xr:uid="{D4BCD2F1-9112-46DE-940C-32053321F466}"/>
    <cellStyle name="Total 2 2 3 7" xfId="4487" xr:uid="{00000000-0005-0000-0000-000074080000}"/>
    <cellStyle name="Total 2 2 3 7 2" xfId="11389" xr:uid="{5767AF69-A049-4D67-8889-7B597EB9A30B}"/>
    <cellStyle name="Total 2 2 3 7 2 2" xfId="33875" xr:uid="{A0588CEB-51B4-40C7-B804-A050E0D2B49A}"/>
    <cellStyle name="Total 2 2 3 7 2 3" xfId="29484" xr:uid="{BB9F7F5E-EE49-4170-8842-5F0CF9D6E415}"/>
    <cellStyle name="Total 2 2 3 7 3" xfId="16424" xr:uid="{3AF6D040-1256-497E-B879-C6BA00938ACC}"/>
    <cellStyle name="Total 2 2 3 7 3 2" xfId="38814" xr:uid="{0FC91F16-5A08-4170-A664-3FF67D3753A9}"/>
    <cellStyle name="Total 2 2 3 7 3 3" xfId="32804" xr:uid="{41DC32ED-2330-4A2A-AEA0-95FCB4034799}"/>
    <cellStyle name="Total 2 2 3 7 4" xfId="15501" xr:uid="{1E33EFF9-6325-43EE-9DA0-39A2A40C7690}"/>
    <cellStyle name="Total 2 2 3 7 4 2" xfId="37923" xr:uid="{3A73FCEE-108E-4466-80C0-D089427C4A35}"/>
    <cellStyle name="Total 2 2 3 7 4 3" xfId="51515" xr:uid="{EBCF336C-F332-47F9-AEFB-EF7422154556}"/>
    <cellStyle name="Total 2 2 3 7 5" xfId="12714" xr:uid="{A2CABA48-F89E-4D52-A922-6668E28AE7C5}"/>
    <cellStyle name="Total 2 2 3 7 5 2" xfId="28239" xr:uid="{1B5D3B50-C129-460B-A510-126564158E93}"/>
    <cellStyle name="Total 2 2 3 7 6" xfId="25788" xr:uid="{4CD8CF2D-2E44-4629-81E5-52A6C04E4B93}"/>
    <cellStyle name="Total 2 2 3 8" xfId="8114" xr:uid="{BD04F7EF-F88A-4289-9075-9D06A02B0802}"/>
    <cellStyle name="Total 2 2 3 8 2" xfId="30727" xr:uid="{3224B74E-0040-472E-A2A2-8A2FA8D5D6F1}"/>
    <cellStyle name="Total 2 2 3 8 3" xfId="45208" xr:uid="{7D6F5EFC-C23F-439D-B45C-BC511FD3ABBE}"/>
    <cellStyle name="Total 2 2 3 9" xfId="19905" xr:uid="{C2B61368-ABBE-4D65-A0A1-975A9D64F96F}"/>
    <cellStyle name="Total 2 2 3 9 2" xfId="42237" xr:uid="{D068FDCB-387C-4794-80B5-245C14A33C35}"/>
    <cellStyle name="Total 2 2 3 9 3" xfId="30674" xr:uid="{4E4E837C-5252-41EF-B76A-286BDF104DC2}"/>
    <cellStyle name="Total 2 2 4" xfId="1009" xr:uid="{00000000-0005-0000-0000-000079080000}"/>
    <cellStyle name="Total 2 2 4 10" xfId="15215" xr:uid="{0AF42718-A6BA-4C0D-89A4-05DFD6C4F790}"/>
    <cellStyle name="Total 2 2 4 10 2" xfId="32473" xr:uid="{C41267BB-131D-4DBE-A338-D71E39D5BBBD}"/>
    <cellStyle name="Total 2 2 4 11" xfId="51466" xr:uid="{8E61CEA3-278D-44DB-A344-B4B2CF409471}"/>
    <cellStyle name="Total 2 2 4 2" xfId="1899" xr:uid="{00000000-0005-0000-0000-00007A080000}"/>
    <cellStyle name="Total 2 2 4 2 10" xfId="14570" xr:uid="{624EB1C1-ACD2-4B9C-9859-7A0DB25DE8AF}"/>
    <cellStyle name="Total 2 2 4 2 10 2" xfId="37031" xr:uid="{4399287C-F9F8-42A0-AB76-EE17A6162DEE}"/>
    <cellStyle name="Total 2 2 4 2 10 3" xfId="50965" xr:uid="{319B3E6F-CA30-4825-839E-3703F3A266CD}"/>
    <cellStyle name="Total 2 2 4 2 11" xfId="19612" xr:uid="{266E9519-5983-49D6-B339-7ACE6AF357B5}"/>
    <cellStyle name="Total 2 2 4 2 11 2" xfId="41964" xr:uid="{626DFC9D-6A43-4449-A63A-149C7F31678A}"/>
    <cellStyle name="Total 2 2 4 2 11 3" xfId="44532" xr:uid="{25D8C8EB-2872-472B-BA43-1D0A0E013884}"/>
    <cellStyle name="Total 2 2 4 2 12" xfId="19511" xr:uid="{BC8A5956-A234-462F-9192-2897F0E10174}"/>
    <cellStyle name="Total 2 2 4 2 12 2" xfId="25397" xr:uid="{DDF0E2C3-FABE-4039-962F-CA0F5DD035BD}"/>
    <cellStyle name="Total 2 2 4 2 13" xfId="47161" xr:uid="{6ECCA6F9-8C00-412C-BA71-ADA7724538BE}"/>
    <cellStyle name="Total 2 2 4 2 2" xfId="3997" xr:uid="{00000000-0005-0000-0000-000077080000}"/>
    <cellStyle name="Total 2 2 4 2 2 2" xfId="10901" xr:uid="{70F01E12-6E04-4288-83A5-3DFB2B232C7C}"/>
    <cellStyle name="Total 2 2 4 2 2 2 2" xfId="33387" xr:uid="{85A1F5D4-E5EE-40C4-B9DA-A2F0C8F0D016}"/>
    <cellStyle name="Total 2 2 4 2 2 2 3" xfId="48251" xr:uid="{B2F31C5A-1AFD-4930-BF27-27862A6B8FC0}"/>
    <cellStyle name="Total 2 2 4 2 2 3" xfId="16021" xr:uid="{AB7E05C5-B014-4CE9-B692-1C310455A936}"/>
    <cellStyle name="Total 2 2 4 2 2 3 2" xfId="38422" xr:uid="{E33B4C34-36BA-48E4-98B4-221C13582E6E}"/>
    <cellStyle name="Total 2 2 4 2 2 3 3" xfId="29873" xr:uid="{52F2A72C-BC2A-4010-BCBB-BB4018EEB90A}"/>
    <cellStyle name="Total 2 2 4 2 2 4" xfId="20325" xr:uid="{09DBD377-CD27-441D-9783-060EF39CFA90}"/>
    <cellStyle name="Total 2 2 4 2 2 4 2" xfId="42624" xr:uid="{7B6120D4-E569-46E4-B912-9F1791FB0476}"/>
    <cellStyle name="Total 2 2 4 2 2 4 3" xfId="48656" xr:uid="{6F84C5E1-7308-4A1F-A143-941157BDD762}"/>
    <cellStyle name="Total 2 2 4 2 2 5" xfId="20296" xr:uid="{F39180F8-61DC-45AD-A4F2-C4F3BB9AFE60}"/>
    <cellStyle name="Total 2 2 4 2 2 5 2" xfId="49807" xr:uid="{C86B0C89-82BF-47B5-8D63-1D23B8AC3F48}"/>
    <cellStyle name="Total 2 2 4 2 2 6" xfId="48915" xr:uid="{4335A783-6FDF-4315-AD67-523EF706F170}"/>
    <cellStyle name="Total 2 2 4 2 3" xfId="5371" xr:uid="{00000000-0005-0000-0000-000077080000}"/>
    <cellStyle name="Total 2 2 4 2 3 2" xfId="12263" xr:uid="{3787E0E2-916C-4589-ADDF-FA1FEB6E8C00}"/>
    <cellStyle name="Total 2 2 4 2 3 2 2" xfId="34748" xr:uid="{D5BE267B-2C90-4F04-9195-F601637E4560}"/>
    <cellStyle name="Total 2 2 4 2 3 2 3" xfId="32221" xr:uid="{967F1C73-7D5D-413B-AEA8-1A03FFF6FB0D}"/>
    <cellStyle name="Total 2 2 4 2 3 3" xfId="17308" xr:uid="{9E741AF5-8BB8-431B-AD24-0E0C7A47A5D3}"/>
    <cellStyle name="Total 2 2 4 2 3 3 2" xfId="39698" xr:uid="{5496F0E7-367C-47D6-BC59-C85D88419C53}"/>
    <cellStyle name="Total 2 2 4 2 3 3 3" xfId="28323" xr:uid="{759BC0F4-F42B-4584-A8AE-33392A2DB68D}"/>
    <cellStyle name="Total 2 2 4 2 3 4" xfId="16271" xr:uid="{F9A74625-4367-4AFE-AB86-97C557CCD5C0}"/>
    <cellStyle name="Total 2 2 4 2 3 4 2" xfId="38662" xr:uid="{F33A5AA2-20AC-4F07-8F24-ABA03D8CD370}"/>
    <cellStyle name="Total 2 2 4 2 3 4 3" xfId="29729" xr:uid="{2D66D3D2-2D75-4467-80E8-09D66AE59C5B}"/>
    <cellStyle name="Total 2 2 4 2 3 5" xfId="21732" xr:uid="{8DD62AEF-07B8-4418-8747-E609409A4E15}"/>
    <cellStyle name="Total 2 2 4 2 3 5 2" xfId="44992" xr:uid="{49BF040A-35D2-471E-813D-C866E8575560}"/>
    <cellStyle name="Total 2 2 4 2 3 6" xfId="28674" xr:uid="{0E850BAB-C97E-4CBD-926E-B7A8A0986E91}"/>
    <cellStyle name="Total 2 2 4 2 4" xfId="5786" xr:uid="{00000000-0005-0000-0000-000077080000}"/>
    <cellStyle name="Total 2 2 4 2 4 2" xfId="12669" xr:uid="{D8163307-F7D9-4F75-86D4-7C85788ECF44}"/>
    <cellStyle name="Total 2 2 4 2 4 2 2" xfId="35154" xr:uid="{93ABC481-A6E5-4A49-AE8E-03695F4ABEE9}"/>
    <cellStyle name="Total 2 2 4 2 4 2 3" xfId="45682" xr:uid="{420B13F6-9F8B-4C79-B25B-939B014C2817}"/>
    <cellStyle name="Total 2 2 4 2 4 3" xfId="17723" xr:uid="{B8BCB61B-0105-4CD3-9533-CB3785D7D08D}"/>
    <cellStyle name="Total 2 2 4 2 4 3 2" xfId="40113" xr:uid="{FFFF84AE-F065-4484-9A36-0F6032266ACC}"/>
    <cellStyle name="Total 2 2 4 2 4 3 3" xfId="23718" xr:uid="{6A0A4F53-BDD0-448A-8C0F-EC65CB692C19}"/>
    <cellStyle name="Total 2 2 4 2 4 4" xfId="19859" xr:uid="{88511B12-67A4-40C7-BFDB-176D6E907B0B}"/>
    <cellStyle name="Total 2 2 4 2 4 4 2" xfId="42194" xr:uid="{7C0D3FE7-7DB5-47C6-B4BB-E93744CED21B}"/>
    <cellStyle name="Total 2 2 4 2 4 4 3" xfId="24741" xr:uid="{ABB06A90-5FB9-4DDF-8231-9C75ABA6486E}"/>
    <cellStyle name="Total 2 2 4 2 4 5" xfId="22147" xr:uid="{D4BC2890-5BEC-4076-8095-2DEBA3BEEA3C}"/>
    <cellStyle name="Total 2 2 4 2 4 5 2" xfId="50283" xr:uid="{C0B21EF0-C751-43FB-AF84-C24FA7FD8A7E}"/>
    <cellStyle name="Total 2 2 4 2 4 6" xfId="49798" xr:uid="{464145B6-1B55-4823-816C-81E1530EA0EB}"/>
    <cellStyle name="Total 2 2 4 2 5" xfId="6131" xr:uid="{00000000-0005-0000-0000-000077080000}"/>
    <cellStyle name="Total 2 2 4 2 5 2" xfId="13008" xr:uid="{3F83F6BF-C3A5-45F7-BAA3-F6590A02477F}"/>
    <cellStyle name="Total 2 2 4 2 5 2 2" xfId="35492" xr:uid="{86665C07-54DA-42CE-94E0-D51D81548778}"/>
    <cellStyle name="Total 2 2 4 2 5 2 3" xfId="52229" xr:uid="{F26C110A-E87F-4371-9EF1-4DB89B2A6385}"/>
    <cellStyle name="Total 2 2 4 2 5 3" xfId="18068" xr:uid="{CC3F8BBE-1074-46DE-9599-4CCD6FBDC72A}"/>
    <cellStyle name="Total 2 2 4 2 5 3 2" xfId="40458" xr:uid="{0E44C722-DDA8-4B64-ABEB-B2B03D4B8B07}"/>
    <cellStyle name="Total 2 2 4 2 5 3 3" xfId="44916" xr:uid="{532135A4-C8F0-471D-8435-8E4D4F4E9601}"/>
    <cellStyle name="Total 2 2 4 2 5 4" xfId="14875" xr:uid="{41887FCA-C4FD-4F2E-B78E-8AE55291DB5F}"/>
    <cellStyle name="Total 2 2 4 2 5 4 2" xfId="37329" xr:uid="{95886F25-01D5-4206-96CB-3B0A2EBDC504}"/>
    <cellStyle name="Total 2 2 4 2 5 4 3" xfId="49749" xr:uid="{248E5CB6-BAED-4C54-B235-0B6C5CF3AA1F}"/>
    <cellStyle name="Total 2 2 4 2 5 5" xfId="22492" xr:uid="{385DEA21-81A3-48E8-A2FB-4E17C99D3379}"/>
    <cellStyle name="Total 2 2 4 2 5 5 2" xfId="52308" xr:uid="{33F4D749-9741-48E1-9084-5156EA2CB214}"/>
    <cellStyle name="Total 2 2 4 2 5 6" xfId="47848" xr:uid="{5F9007C9-8AAA-4F97-9439-17C875C70490}"/>
    <cellStyle name="Total 2 2 4 2 6" xfId="6504" xr:uid="{00000000-0005-0000-0000-000077080000}"/>
    <cellStyle name="Total 2 2 4 2 6 2" xfId="13373" xr:uid="{23384189-762E-4FCE-946D-73CCE50682B8}"/>
    <cellStyle name="Total 2 2 4 2 6 2 2" xfId="35857" xr:uid="{3D5254F7-75CD-4092-80F4-162F2C04FD78}"/>
    <cellStyle name="Total 2 2 4 2 6 2 3" xfId="49841" xr:uid="{BE8C6559-239D-477D-8940-930FD41CD058}"/>
    <cellStyle name="Total 2 2 4 2 6 3" xfId="18441" xr:uid="{DCEDC752-C558-465F-AFDB-716A673C2328}"/>
    <cellStyle name="Total 2 2 4 2 6 3 2" xfId="40831" xr:uid="{B7B9B73F-BCB0-4703-B00D-03683D627350}"/>
    <cellStyle name="Total 2 2 4 2 6 3 3" xfId="43755" xr:uid="{FF59D105-97D8-4B88-8A1E-1F38E423E2BD}"/>
    <cellStyle name="Total 2 2 4 2 6 4" xfId="20407" xr:uid="{47D2C38C-3DDE-4A33-948A-F27DD35DF03E}"/>
    <cellStyle name="Total 2 2 4 2 6 4 2" xfId="42701" xr:uid="{6757DA07-EABD-466B-95D4-C5CB38C88F9D}"/>
    <cellStyle name="Total 2 2 4 2 6 4 3" xfId="53211" xr:uid="{150211D1-69ED-410D-A6E4-AC2C7C1555FD}"/>
    <cellStyle name="Total 2 2 4 2 6 5" xfId="22865" xr:uid="{E9D1B2E2-DC19-410E-AB9C-DCCB4AF4C1D7}"/>
    <cellStyle name="Total 2 2 4 2 6 5 2" xfId="53042" xr:uid="{FB25813A-9E89-4DB7-8591-09F1847EE963}"/>
    <cellStyle name="Total 2 2 4 2 6 6" xfId="51417" xr:uid="{6748988B-043C-4D64-84A3-63BC5345B152}"/>
    <cellStyle name="Total 2 2 4 2 7" xfId="6038" xr:uid="{00000000-0005-0000-0000-000077080000}"/>
    <cellStyle name="Total 2 2 4 2 7 2" xfId="12917" xr:uid="{86ABACD4-6C30-4549-83F1-B71C2A024AAE}"/>
    <cellStyle name="Total 2 2 4 2 7 2 2" xfId="35401" xr:uid="{DD889943-A95D-4199-AF42-D2714D02FB22}"/>
    <cellStyle name="Total 2 2 4 2 7 2 3" xfId="47682" xr:uid="{5AB585D5-923E-4833-AC05-49399928FD12}"/>
    <cellStyle name="Total 2 2 4 2 7 3" xfId="17975" xr:uid="{FC02102B-A8F9-4356-BE8F-594AE2EA5A73}"/>
    <cellStyle name="Total 2 2 4 2 7 3 2" xfId="40365" xr:uid="{CF006CFC-7A91-4B9E-ADEF-AAED86EC952C}"/>
    <cellStyle name="Total 2 2 4 2 7 3 3" xfId="42629" xr:uid="{C3D7334C-BDB0-4FEA-8B7E-CC0FC818F7D4}"/>
    <cellStyle name="Total 2 2 4 2 7 4" xfId="14270" xr:uid="{11C46E74-F2B6-465E-810D-EBE0288EEAA0}"/>
    <cellStyle name="Total 2 2 4 2 7 4 2" xfId="36740" xr:uid="{17B7460D-9DE0-4971-BF6E-718F05147A88}"/>
    <cellStyle name="Total 2 2 4 2 7 4 3" xfId="51220" xr:uid="{A0CC06AF-BA4A-48C1-925A-14E16EA727E7}"/>
    <cellStyle name="Total 2 2 4 2 7 5" xfId="22399" xr:uid="{8AC566B5-EBCE-49AF-A85D-FAB99B6EDFE8}"/>
    <cellStyle name="Total 2 2 4 2 7 5 2" xfId="53853" xr:uid="{B6FF6824-A06A-4E06-A55E-BBE882F9E233}"/>
    <cellStyle name="Total 2 2 4 2 7 6" xfId="41891" xr:uid="{16CB6DB2-462E-4AFE-8EE5-41A903FAF7F0}"/>
    <cellStyle name="Total 2 2 4 2 8" xfId="6988" xr:uid="{00000000-0005-0000-0000-000077080000}"/>
    <cellStyle name="Total 2 2 4 2 8 2" xfId="13825" xr:uid="{6067244C-B6CC-4DEE-8590-B85583D6F18A}"/>
    <cellStyle name="Total 2 2 4 2 8 2 2" xfId="36309" xr:uid="{874B461C-8EC2-4526-8219-5781912C37C6}"/>
    <cellStyle name="Total 2 2 4 2 8 2 3" xfId="48990" xr:uid="{4C67FA76-C068-46C7-B228-D5449FDD60C2}"/>
    <cellStyle name="Total 2 2 4 2 8 3" xfId="18925" xr:uid="{C96D03C2-6321-4DE2-9A3D-98B5AD39284B}"/>
    <cellStyle name="Total 2 2 4 2 8 3 2" xfId="41315" xr:uid="{282E4BE0-3C1D-4D7E-9D5C-661D6FF7A526}"/>
    <cellStyle name="Total 2 2 4 2 8 3 3" xfId="28356" xr:uid="{87B21234-28C8-4C9F-BB1B-7AED375E683C}"/>
    <cellStyle name="Total 2 2 4 2 8 4" xfId="21134" xr:uid="{40E978F2-4BA3-4284-84DF-45783837B904}"/>
    <cellStyle name="Total 2 2 4 2 8 4 2" xfId="43379" xr:uid="{604074D6-8BB2-45D8-9086-A5E051B79180}"/>
    <cellStyle name="Total 2 2 4 2 8 4 3" xfId="47517" xr:uid="{1FC01A87-2A84-49B2-BBDB-E9061F8F363A}"/>
    <cellStyle name="Total 2 2 4 2 8 5" xfId="23349" xr:uid="{15C861C6-E5A4-46DC-87AF-79C096AF5C81}"/>
    <cellStyle name="Total 2 2 4 2 8 5 2" xfId="48467" xr:uid="{A1B87C3A-739F-4754-BD78-90A823475919}"/>
    <cellStyle name="Total 2 2 4 2 8 6" xfId="46608" xr:uid="{8B7A2B74-3FFE-49F7-8649-3B468D38CA5A}"/>
    <cellStyle name="Total 2 2 4 2 9" xfId="6353" xr:uid="{00000000-0005-0000-0000-000077080000}"/>
    <cellStyle name="Total 2 2 4 2 9 2" xfId="18290" xr:uid="{EBEFA42D-85CF-44F5-983C-D070C7516777}"/>
    <cellStyle name="Total 2 2 4 2 9 2 2" xfId="40680" xr:uid="{F280680A-B30A-4820-95F6-B56030DE0525}"/>
    <cellStyle name="Total 2 2 4 2 9 2 3" xfId="45322" xr:uid="{A42079D9-225F-4714-BA07-BD4852660344}"/>
    <cellStyle name="Total 2 2 4 2 9 3" xfId="15282" xr:uid="{D5C6B7F3-9A17-46E7-BF2F-E5209C8DF282}"/>
    <cellStyle name="Total 2 2 4 2 9 3 2" xfId="37715" xr:uid="{F021302C-AA2D-43A4-9736-D07A20A7EC70}"/>
    <cellStyle name="Total 2 2 4 2 9 3 3" xfId="49287" xr:uid="{CA2678AD-8701-44EF-9914-9F2E89FB4E6E}"/>
    <cellStyle name="Total 2 2 4 2 9 4" xfId="22714" xr:uid="{2FBEFFA4-738C-4F98-833E-D047AA2ED794}"/>
    <cellStyle name="Total 2 2 4 2 9 4 2" xfId="46509" xr:uid="{C0C9CE83-66D8-4D90-8731-A82CFE03CE72}"/>
    <cellStyle name="Total 2 2 4 2 9 5" xfId="52028" xr:uid="{1710878C-22F0-4FD9-AEFC-ED9B610017CA}"/>
    <cellStyle name="Total 2 2 4 3" xfId="3136" xr:uid="{00000000-0005-0000-0000-000076080000}"/>
    <cellStyle name="Total 2 2 4 3 2" xfId="10045" xr:uid="{382624F2-1F3F-4BF1-BBFB-9C433E426901}"/>
    <cellStyle name="Total 2 2 4 3 2 2" xfId="32552" xr:uid="{7163276B-9374-414A-9120-F324B852F6BB}"/>
    <cellStyle name="Total 2 2 4 3 2 3" xfId="47281" xr:uid="{8DA6DB5D-2008-400B-A5C4-AB3EF9613F1D}"/>
    <cellStyle name="Total 2 2 4 3 3" xfId="15423" xr:uid="{44439F62-82AB-4CC4-A338-8BE871428B65}"/>
    <cellStyle name="Total 2 2 4 3 3 2" xfId="37849" xr:uid="{447FB1AE-A218-4EBF-962E-E3D053F2C030}"/>
    <cellStyle name="Total 2 2 4 3 3 3" xfId="42990" xr:uid="{839ABCC4-2B8C-44F9-B250-8B7ABD9EA984}"/>
    <cellStyle name="Total 2 2 4 3 4" xfId="19847" xr:uid="{11C3DB3E-B2EA-4357-B3FE-F99D75340334}"/>
    <cellStyle name="Total 2 2 4 3 4 2" xfId="42182" xr:uid="{8C2C96F3-09FF-47D1-998D-E6F80BA7D385}"/>
    <cellStyle name="Total 2 2 4 3 4 3" xfId="30192" xr:uid="{6980D5F0-D7E6-4B29-AA6F-668907F3D9DC}"/>
    <cellStyle name="Total 2 2 4 3 5" xfId="8118" xr:uid="{58308C62-AA31-4837-B66E-269C0CBFD8D4}"/>
    <cellStyle name="Total 2 2 4 3 5 2" xfId="26157" xr:uid="{4491431D-F903-40C2-9633-55782243DB8D}"/>
    <cellStyle name="Total 2 2 4 3 6" xfId="47186" xr:uid="{2739F3A4-FF44-4817-BBB7-08ED0023640F}"/>
    <cellStyle name="Total 2 2 4 4" xfId="4784" xr:uid="{00000000-0005-0000-0000-000076080000}"/>
    <cellStyle name="Total 2 2 4 4 2" xfId="11681" xr:uid="{8E3EF51D-A685-4464-BE1F-3CEF81F1DFE0}"/>
    <cellStyle name="Total 2 2 4 4 2 2" xfId="34167" xr:uid="{B7D87D97-ED5B-44F7-9868-7A6730A25979}"/>
    <cellStyle name="Total 2 2 4 4 2 3" xfId="45741" xr:uid="{2937CF45-080B-4E23-918F-53DC37F804B1}"/>
    <cellStyle name="Total 2 2 4 4 3" xfId="16721" xr:uid="{40B321D6-59B4-4981-941D-FADB5FF1C8E0}"/>
    <cellStyle name="Total 2 2 4 4 3 2" xfId="39111" xr:uid="{024B30A5-8C22-46E7-9971-C5296EF4501B}"/>
    <cellStyle name="Total 2 2 4 4 3 3" xfId="25138" xr:uid="{94DC8A9A-6FB7-4A61-8A73-E24FEAD9505A}"/>
    <cellStyle name="Total 2 2 4 4 4" xfId="7823" xr:uid="{8AE48F60-2B41-4F9C-8DEB-FC3D06E2F778}"/>
    <cellStyle name="Total 2 2 4 4 4 2" xfId="30457" xr:uid="{146D1135-3F11-4488-967D-1A7A657A22A2}"/>
    <cellStyle name="Total 2 2 4 4 4 3" xfId="52542" xr:uid="{D101EB1D-228A-450D-A516-31A5F21836B0}"/>
    <cellStyle name="Total 2 2 4 4 5" xfId="21093" xr:uid="{1263888E-1DCA-4C6B-A2CF-E9246C70DD69}"/>
    <cellStyle name="Total 2 2 4 4 5 2" xfId="48797" xr:uid="{47D6B219-BBDD-4AA3-AA3A-38AC2A63D0E1}"/>
    <cellStyle name="Total 2 2 4 4 6" xfId="46084" xr:uid="{1AACE9D6-B8FE-49F4-92E8-1558944B80A6}"/>
    <cellStyle name="Total 2 2 4 5" xfId="5361" xr:uid="{00000000-0005-0000-0000-000076080000}"/>
    <cellStyle name="Total 2 2 4 5 2" xfId="12253" xr:uid="{B299BEFD-ED2C-42DD-97AE-53E9047EF16A}"/>
    <cellStyle name="Total 2 2 4 5 2 2" xfId="34738" xr:uid="{741270B9-A44A-4707-804F-9E6C115517AC}"/>
    <cellStyle name="Total 2 2 4 5 2 3" xfId="28112" xr:uid="{45E5D4F4-A283-46E7-ADB4-72758DB0DC92}"/>
    <cellStyle name="Total 2 2 4 5 3" xfId="17298" xr:uid="{6ACA6A60-FBD1-4A56-98DF-AD05C5AB626A}"/>
    <cellStyle name="Total 2 2 4 5 3 2" xfId="39688" xr:uid="{1376FBEB-FAF0-4F77-806B-299AA288FDDA}"/>
    <cellStyle name="Total 2 2 4 5 3 3" xfId="29518" xr:uid="{7DCB5C9C-C5B3-4A98-A684-BED359FEEFDD}"/>
    <cellStyle name="Total 2 2 4 5 4" xfId="8821" xr:uid="{4B295A62-E44F-4FFD-BC9E-54B0E25CA1CC}"/>
    <cellStyle name="Total 2 2 4 5 4 2" xfId="31402" xr:uid="{FD2B7045-A261-40CD-A7D4-DF202CE1E999}"/>
    <cellStyle name="Total 2 2 4 5 4 3" xfId="24311" xr:uid="{4651BC7C-B8A2-41B1-934D-3B4EED52670F}"/>
    <cellStyle name="Total 2 2 4 5 5" xfId="21722" xr:uid="{33BBFE1D-EB22-4EDD-B329-F2D9350D43E1}"/>
    <cellStyle name="Total 2 2 4 5 5 2" xfId="27611" xr:uid="{182C280E-E3BC-4E72-9F8E-3DACD41C5E65}"/>
    <cellStyle name="Total 2 2 4 5 6" xfId="23805" xr:uid="{2AA3BD7F-3643-433B-93F5-85614EDB6A00}"/>
    <cellStyle name="Total 2 2 4 6" xfId="4374" xr:uid="{00000000-0005-0000-0000-000076080000}"/>
    <cellStyle name="Total 2 2 4 6 2" xfId="11276" xr:uid="{8C92DC61-CD3D-4681-A505-9543BF62798E}"/>
    <cellStyle name="Total 2 2 4 6 2 2" xfId="33762" xr:uid="{6BBCB6B5-827A-4994-9E35-D2D6F995FB06}"/>
    <cellStyle name="Total 2 2 4 6 2 3" xfId="30216" xr:uid="{08B788AE-D3B7-42EC-B931-A60E3D444A69}"/>
    <cellStyle name="Total 2 2 4 6 3" xfId="16311" xr:uid="{43FFBEB4-1144-4351-81A9-BC376BB7C74D}"/>
    <cellStyle name="Total 2 2 4 6 3 2" xfId="38701" xr:uid="{51EC606A-89D8-4A9C-9B1A-27A468A72873}"/>
    <cellStyle name="Total 2 2 4 6 3 3" xfId="30142" xr:uid="{726711C0-6C2D-463C-A3C9-EE82DD7FB2DD}"/>
    <cellStyle name="Total 2 2 4 6 4" xfId="19650" xr:uid="{79655A4D-A154-442A-AF1E-D705F4180F2B}"/>
    <cellStyle name="Total 2 2 4 6 4 2" xfId="41998" xr:uid="{9A5D27A5-75E1-419F-BF6B-8F58FC5BDB6E}"/>
    <cellStyle name="Total 2 2 4 6 4 3" xfId="42456" xr:uid="{1AE65DA5-DDCE-462E-B468-76B456FE5A84}"/>
    <cellStyle name="Total 2 2 4 6 5" xfId="21143" xr:uid="{70CE9AA0-CC47-4842-90D9-CFFD4B41E790}"/>
    <cellStyle name="Total 2 2 4 6 5 2" xfId="52468" xr:uid="{64C6FF85-51C4-4528-9821-BBAF97619AF5}"/>
    <cellStyle name="Total 2 2 4 6 6" xfId="51436" xr:uid="{B4D3F2C4-B8EA-4C76-8201-FE06A789762A}"/>
    <cellStyle name="Total 2 2 4 7" xfId="6275" xr:uid="{00000000-0005-0000-0000-000076080000}"/>
    <cellStyle name="Total 2 2 4 7 2" xfId="13147" xr:uid="{3389534E-201F-4584-B063-8D92BE2D2BE4}"/>
    <cellStyle name="Total 2 2 4 7 2 2" xfId="35631" xr:uid="{EA5E9E9F-72C2-49B3-82DE-3FE84C526A3F}"/>
    <cellStyle name="Total 2 2 4 7 2 3" xfId="48457" xr:uid="{2A423C47-33DE-44B4-AE52-A34B94AE516E}"/>
    <cellStyle name="Total 2 2 4 7 3" xfId="18212" xr:uid="{7E9420F2-1DF7-482E-9F5C-F54442CEE3A7}"/>
    <cellStyle name="Total 2 2 4 7 3 2" xfId="40602" xr:uid="{503A1CB9-E643-49A7-968E-C9387877ED41}"/>
    <cellStyle name="Total 2 2 4 7 3 3" xfId="26298" xr:uid="{F37694D7-B357-40A8-9D06-E16311F026F4}"/>
    <cellStyle name="Total 2 2 4 7 4" xfId="19378" xr:uid="{4C925A09-DA60-4F43-9807-5A2B9229C8CC}"/>
    <cellStyle name="Total 2 2 4 7 4 2" xfId="41752" xr:uid="{4D983682-5101-4887-A6BC-7575A101BBAB}"/>
    <cellStyle name="Total 2 2 4 7 4 3" xfId="43977" xr:uid="{2212440C-ACA4-4751-80BB-40C6A3B6325E}"/>
    <cellStyle name="Total 2 2 4 7 5" xfId="22636" xr:uid="{DB028558-BB15-43D3-AFD7-2A6B4EB5C080}"/>
    <cellStyle name="Total 2 2 4 7 5 2" xfId="25761" xr:uid="{4CAE7081-91B5-43CF-9424-3A4028A117EB}"/>
    <cellStyle name="Total 2 2 4 7 6" xfId="51855" xr:uid="{12DD19E4-69B2-4A19-9657-D6FE794EB8CB}"/>
    <cellStyle name="Total 2 2 4 8" xfId="8112" xr:uid="{8D7DE4C0-D1CD-4CAD-AC65-9C7EEA0C97F8}"/>
    <cellStyle name="Total 2 2 4 8 2" xfId="30725" xr:uid="{0B6B08C6-797F-496F-8642-83EF27B890FD}"/>
    <cellStyle name="Total 2 2 4 8 3" xfId="50320" xr:uid="{58C7525F-0DDF-4FB7-B5AF-882E7DED6AE2}"/>
    <cellStyle name="Total 2 2 4 9" xfId="20120" xr:uid="{199FF1C1-CC5D-4091-B52C-4D99427661BB}"/>
    <cellStyle name="Total 2 2 4 9 2" xfId="42434" xr:uid="{F620F590-042E-49ED-9ADD-08DB6E4BEA80}"/>
    <cellStyle name="Total 2 2 4 9 3" xfId="30094" xr:uid="{D76DB249-3448-4447-9FFC-0B806FEAE06D}"/>
    <cellStyle name="Total 2 2 5" xfId="1193" xr:uid="{00000000-0005-0000-0000-00007B080000}"/>
    <cellStyle name="Total 2 2 5 10" xfId="21094" xr:uid="{7B78B26D-1232-4B0B-8ACA-1BC3F34B580B}"/>
    <cellStyle name="Total 2 2 5 10 2" xfId="25694" xr:uid="{D14748C9-D4A0-46B1-A60F-DCA888793A9D}"/>
    <cellStyle name="Total 2 2 5 11" xfId="49052" xr:uid="{4C4DCC7B-54F1-43EF-A5BA-066D4704676E}"/>
    <cellStyle name="Total 2 2 5 2" xfId="1994" xr:uid="{00000000-0005-0000-0000-00007C080000}"/>
    <cellStyle name="Total 2 2 5 2 10" xfId="14642" xr:uid="{90984DC8-5C19-43BE-8360-72DBDDEFDDE5}"/>
    <cellStyle name="Total 2 2 5 2 10 2" xfId="37102" xr:uid="{F5AA0785-8A71-48D2-B2B4-45BFBE88B9DB}"/>
    <cellStyle name="Total 2 2 5 2 10 3" xfId="53272" xr:uid="{65AEF735-EB9F-4A6C-94FD-6233268D36A8}"/>
    <cellStyle name="Total 2 2 5 2 11" xfId="19899" xr:uid="{0B671D42-2CBB-4E64-8DC8-FA2A2B662276}"/>
    <cellStyle name="Total 2 2 5 2 11 2" xfId="42232" xr:uid="{E341FD6C-7537-4A41-AEDD-61430F731FC1}"/>
    <cellStyle name="Total 2 2 5 2 11 3" xfId="44219" xr:uid="{EAD1EF23-45C6-410A-9289-A87EFF22F6DB}"/>
    <cellStyle name="Total 2 2 5 2 12" xfId="15279" xr:uid="{EC5E57B9-EE66-48EE-9344-2970BD284D0C}"/>
    <cellStyle name="Total 2 2 5 2 12 2" xfId="46411" xr:uid="{61D33D10-FF1E-497B-A807-28F6A6DA2F23}"/>
    <cellStyle name="Total 2 2 5 2 13" xfId="51422" xr:uid="{0B137B4C-1759-4A7A-89DB-6A5C2151DD94}"/>
    <cellStyle name="Total 2 2 5 2 2" xfId="4090" xr:uid="{00000000-0005-0000-0000-000079080000}"/>
    <cellStyle name="Total 2 2 5 2 2 2" xfId="10994" xr:uid="{F389E436-09A4-40B3-88CC-AACE123745DD}"/>
    <cellStyle name="Total 2 2 5 2 2 2 2" xfId="33480" xr:uid="{E2683DBC-7AE4-48B6-9000-D85D289E94C4}"/>
    <cellStyle name="Total 2 2 5 2 2 2 3" xfId="50501" xr:uid="{9785D5E8-50F2-4AD0-902F-8427B95E43E5}"/>
    <cellStyle name="Total 2 2 5 2 2 3" xfId="16094" xr:uid="{89DB75A9-75B2-4C29-BFDA-19D02A7C52F4}"/>
    <cellStyle name="Total 2 2 5 2 2 3 2" xfId="38494" xr:uid="{B0092CF9-C02E-42D5-9820-9DED1CAADA7F}"/>
    <cellStyle name="Total 2 2 5 2 2 3 3" xfId="24329" xr:uid="{161451D2-02C9-44C5-9863-E3FCB73E46FE}"/>
    <cellStyle name="Total 2 2 5 2 2 4" xfId="20320" xr:uid="{3E146829-C1E2-472B-9B05-E4498E0AA51D}"/>
    <cellStyle name="Total 2 2 5 2 2 4 2" xfId="42619" xr:uid="{42A0A82F-E154-4031-8C42-DC6D96605AEC}"/>
    <cellStyle name="Total 2 2 5 2 2 4 3" xfId="37730" xr:uid="{645D5BBD-6432-439E-8960-85BDA091D35A}"/>
    <cellStyle name="Total 2 2 5 2 2 5" xfId="20676" xr:uid="{77A26504-30D9-4CEA-9302-CC9FC5CDCF3E}"/>
    <cellStyle name="Total 2 2 5 2 2 5 2" xfId="49718" xr:uid="{9664EE74-6331-42F9-B890-1A38F9DDCD70}"/>
    <cellStyle name="Total 2 2 5 2 2 6" xfId="45415" xr:uid="{F747C633-CCE1-43CA-9B65-88E8511A22DA}"/>
    <cellStyle name="Total 2 2 5 2 3" xfId="5435" xr:uid="{00000000-0005-0000-0000-000079080000}"/>
    <cellStyle name="Total 2 2 5 2 3 2" xfId="12325" xr:uid="{5BE93126-0986-4763-994A-E76C5AFAF579}"/>
    <cellStyle name="Total 2 2 5 2 3 2 2" xfId="34810" xr:uid="{7CEBE313-6E78-4955-A764-0C01C30AA1A8}"/>
    <cellStyle name="Total 2 2 5 2 3 2 3" xfId="28571" xr:uid="{ED799324-BF4B-46A1-9C5B-C62BA02EB4CE}"/>
    <cellStyle name="Total 2 2 5 2 3 3" xfId="17372" xr:uid="{5E8725F8-2FEA-432E-AABB-15FFDD4FA142}"/>
    <cellStyle name="Total 2 2 5 2 3 3 2" xfId="39762" xr:uid="{56C984BC-1733-43EB-A131-2664BE79ACBA}"/>
    <cellStyle name="Total 2 2 5 2 3 3 3" xfId="42769" xr:uid="{DA20A735-5C5B-4045-88A8-F8431362A351}"/>
    <cellStyle name="Total 2 2 5 2 3 4" xfId="7594" xr:uid="{CC73771A-920E-49DC-8C84-02184AE6629B}"/>
    <cellStyle name="Total 2 2 5 2 3 4 2" xfId="30255" xr:uid="{C0E20686-945D-4C01-B9AD-B1F057CEEB16}"/>
    <cellStyle name="Total 2 2 5 2 3 4 3" xfId="47799" xr:uid="{ABF60165-0377-40F0-A48F-709A325EAAE1}"/>
    <cellStyle name="Total 2 2 5 2 3 5" xfId="21796" xr:uid="{A1478BA9-B711-42A6-9264-4C9F58D5A864}"/>
    <cellStyle name="Total 2 2 5 2 3 5 2" xfId="52578" xr:uid="{2AF567FF-F375-4306-ADD1-3E333663DBFF}"/>
    <cellStyle name="Total 2 2 5 2 3 6" xfId="30896" xr:uid="{77C95225-BBA4-4C9A-B7AB-5FD80F235711}"/>
    <cellStyle name="Total 2 2 5 2 4" xfId="5858" xr:uid="{00000000-0005-0000-0000-000079080000}"/>
    <cellStyle name="Total 2 2 5 2 4 2" xfId="12740" xr:uid="{023B641B-7AC4-41B0-BCC5-EE5DAF07DC64}"/>
    <cellStyle name="Total 2 2 5 2 4 2 2" xfId="35224" xr:uid="{E9EDEF6B-A8E2-4B60-ABC5-E1C316F96EE1}"/>
    <cellStyle name="Total 2 2 5 2 4 2 3" xfId="26348" xr:uid="{F9B28D28-C8C8-4D3A-94D3-A548F7FABA21}"/>
    <cellStyle name="Total 2 2 5 2 4 3" xfId="17795" xr:uid="{80A772E4-6BF2-4E3C-820E-1A1051E7DAF8}"/>
    <cellStyle name="Total 2 2 5 2 4 3 2" xfId="40185" xr:uid="{530433B6-1D99-4B10-AA66-F4F6FC5D6E5A}"/>
    <cellStyle name="Total 2 2 5 2 4 3 3" xfId="29775" xr:uid="{BC0F8848-D95C-46F8-93BC-3993861D2C36}"/>
    <cellStyle name="Total 2 2 5 2 4 4" xfId="19484" xr:uid="{E7139F8C-21B6-4CE5-B24B-1A2E100786F1}"/>
    <cellStyle name="Total 2 2 5 2 4 4 2" xfId="41848" xr:uid="{B24DD28A-9172-4105-AB5F-2C2251CC4653}"/>
    <cellStyle name="Total 2 2 5 2 4 4 3" xfId="28542" xr:uid="{C4FA1F9B-4BCD-4513-A2BF-4DDC5DB3F17C}"/>
    <cellStyle name="Total 2 2 5 2 4 5" xfId="22219" xr:uid="{656B5FA3-75A9-42BC-B5E9-5DBB9F186016}"/>
    <cellStyle name="Total 2 2 5 2 4 5 2" xfId="38255" xr:uid="{558BA9C3-4EA8-498C-AF4C-487212492758}"/>
    <cellStyle name="Total 2 2 5 2 4 6" xfId="47088" xr:uid="{14CD7E5D-8633-4398-8D48-4EA3DF653018}"/>
    <cellStyle name="Total 2 2 5 2 5" xfId="6196" xr:uid="{00000000-0005-0000-0000-000079080000}"/>
    <cellStyle name="Total 2 2 5 2 5 2" xfId="13071" xr:uid="{8B0008DA-DBEF-4FB8-8623-2B61E2E00C71}"/>
    <cellStyle name="Total 2 2 5 2 5 2 2" xfId="35555" xr:uid="{CE25D695-1235-40C3-BD5B-8E8232EF3769}"/>
    <cellStyle name="Total 2 2 5 2 5 2 3" xfId="47286" xr:uid="{E59D4193-9720-483B-AB00-ABD1668A19F8}"/>
    <cellStyle name="Total 2 2 5 2 5 3" xfId="18133" xr:uid="{BD4427B2-F971-4969-B84B-0901F8060432}"/>
    <cellStyle name="Total 2 2 5 2 5 3 2" xfId="40523" xr:uid="{A4FE7423-111B-4A1D-81F1-CB420FF32573}"/>
    <cellStyle name="Total 2 2 5 2 5 3 3" xfId="26289" xr:uid="{D4F11C14-D9DD-4F97-A267-4582076DA2CB}"/>
    <cellStyle name="Total 2 2 5 2 5 4" xfId="15591" xr:uid="{43FE4CA1-04E2-429C-94CC-812084FAF67E}"/>
    <cellStyle name="Total 2 2 5 2 5 4 2" xfId="38008" xr:uid="{61ED34F1-E55D-41F7-955F-CB1C07CBD00C}"/>
    <cellStyle name="Total 2 2 5 2 5 4 3" xfId="47539" xr:uid="{138ED9B6-089E-45E4-ABB5-BC2BD2068D79}"/>
    <cellStyle name="Total 2 2 5 2 5 5" xfId="22557" xr:uid="{FA128A95-B1DB-4E1C-AADE-AFAC8A3B13E9}"/>
    <cellStyle name="Total 2 2 5 2 5 5 2" xfId="45998" xr:uid="{41B98B83-ADF3-473F-95C8-13AF9DA6539F}"/>
    <cellStyle name="Total 2 2 5 2 5 6" xfId="46574" xr:uid="{4F32569B-CA74-4F77-87F0-CF30B71B429C}"/>
    <cellStyle name="Total 2 2 5 2 6" xfId="6564" xr:uid="{00000000-0005-0000-0000-000079080000}"/>
    <cellStyle name="Total 2 2 5 2 6 2" xfId="13430" xr:uid="{A37DBD45-415A-493F-B747-A71701F63B08}"/>
    <cellStyle name="Total 2 2 5 2 6 2 2" xfId="35914" xr:uid="{60EE2045-2D3B-4E19-953C-663CB2F33333}"/>
    <cellStyle name="Total 2 2 5 2 6 2 3" xfId="42957" xr:uid="{61519AD8-4D33-4895-91B7-C222413CEF8C}"/>
    <cellStyle name="Total 2 2 5 2 6 3" xfId="18501" xr:uid="{1F1A7CE3-5F1F-4671-B02C-F566388C1932}"/>
    <cellStyle name="Total 2 2 5 2 6 3 2" xfId="40891" xr:uid="{B0ACC40B-FA11-4508-9136-01198E9A363D}"/>
    <cellStyle name="Total 2 2 5 2 6 3 3" xfId="45297" xr:uid="{F579BEA9-B69B-42CD-A744-88BD64A8B94B}"/>
    <cellStyle name="Total 2 2 5 2 6 4" xfId="20055" xr:uid="{0584A10A-9547-4D36-B183-747F4DDF5A90}"/>
    <cellStyle name="Total 2 2 5 2 6 4 2" xfId="42376" xr:uid="{BFD5290C-85EF-4A4C-BF8D-5E9BBA458EE2}"/>
    <cellStyle name="Total 2 2 5 2 6 4 3" xfId="24762" xr:uid="{BEB750E1-8541-472D-B5EC-469B896628A3}"/>
    <cellStyle name="Total 2 2 5 2 6 5" xfId="22925" xr:uid="{1F0D9439-7DD4-48EA-BDE6-B8A94D81A4ED}"/>
    <cellStyle name="Total 2 2 5 2 6 5 2" xfId="50224" xr:uid="{C36FCFE3-9F47-43B3-AE86-34924A89032A}"/>
    <cellStyle name="Total 2 2 5 2 6 6" xfId="28911" xr:uid="{052632E1-A91C-4717-9BFC-D37E32183932}"/>
    <cellStyle name="Total 2 2 5 2 7" xfId="6499" xr:uid="{00000000-0005-0000-0000-000079080000}"/>
    <cellStyle name="Total 2 2 5 2 7 2" xfId="13368" xr:uid="{ED6820C6-B6A2-4EE2-BC3F-458029DB90AF}"/>
    <cellStyle name="Total 2 2 5 2 7 2 2" xfId="35852" xr:uid="{9FF381F9-E097-4FCE-B650-324B1F19D8A9}"/>
    <cellStyle name="Total 2 2 5 2 7 2 3" xfId="48380" xr:uid="{683DC9D2-B1AE-4C90-ABCB-F92C8E8D66D4}"/>
    <cellStyle name="Total 2 2 5 2 7 3" xfId="18436" xr:uid="{C4666F33-2349-4BCA-A180-BCBBAAC74D7B}"/>
    <cellStyle name="Total 2 2 5 2 7 3 2" xfId="40826" xr:uid="{A0D27334-1AA7-40DD-A88C-4744AA7D4224}"/>
    <cellStyle name="Total 2 2 5 2 7 3 3" xfId="24252" xr:uid="{5103AC97-C0DF-4DA1-A831-AB83FF52318B}"/>
    <cellStyle name="Total 2 2 5 2 7 4" xfId="19762" xr:uid="{13727E91-F44E-4045-950F-684053679619}"/>
    <cellStyle name="Total 2 2 5 2 7 4 2" xfId="42104" xr:uid="{E9F9F9E6-045A-4982-9138-2464901211C7}"/>
    <cellStyle name="Total 2 2 5 2 7 4 3" xfId="30653" xr:uid="{7EC33EC7-0BDC-42DB-8518-5C7176EF7F6D}"/>
    <cellStyle name="Total 2 2 5 2 7 5" xfId="22860" xr:uid="{5047B33B-110F-47F4-B2B0-60E033363070}"/>
    <cellStyle name="Total 2 2 5 2 7 5 2" xfId="47807" xr:uid="{2FF56798-D340-4708-85EB-A72B46FE024A}"/>
    <cellStyle name="Total 2 2 5 2 7 6" xfId="53518" xr:uid="{45BDD1BF-4A98-43DB-82D1-60A0BD078431}"/>
    <cellStyle name="Total 2 2 5 2 8" xfId="7034" xr:uid="{00000000-0005-0000-0000-000079080000}"/>
    <cellStyle name="Total 2 2 5 2 8 2" xfId="13870" xr:uid="{34504810-589A-41E2-88F0-157A36D6815E}"/>
    <cellStyle name="Total 2 2 5 2 8 2 2" xfId="36354" xr:uid="{01C9D1BB-2759-4834-A2B5-8CC18AE0716D}"/>
    <cellStyle name="Total 2 2 5 2 8 2 3" xfId="50595" xr:uid="{7079A21F-673D-4571-9B1C-FA2CDBB6E2E5}"/>
    <cellStyle name="Total 2 2 5 2 8 3" xfId="18971" xr:uid="{855AE6F7-CA73-4CA8-8F83-B6027E41109C}"/>
    <cellStyle name="Total 2 2 5 2 8 3 2" xfId="41361" xr:uid="{EBF9DDEF-A38F-4B63-A4DA-9813EDADC134}"/>
    <cellStyle name="Total 2 2 5 2 8 3 3" xfId="32685" xr:uid="{DE4B712E-FE74-4C2A-8072-68DFF448CABB}"/>
    <cellStyle name="Total 2 2 5 2 8 4" xfId="19307" xr:uid="{DF045D0D-9B78-4DF5-A81E-56D193145DD7}"/>
    <cellStyle name="Total 2 2 5 2 8 4 2" xfId="41687" xr:uid="{480A2825-2053-4B1D-AF1D-3E3B8467EEBF}"/>
    <cellStyle name="Total 2 2 5 2 8 4 3" xfId="42807" xr:uid="{CF31C0C3-6703-452A-9FEB-3E46B906A868}"/>
    <cellStyle name="Total 2 2 5 2 8 5" xfId="23395" xr:uid="{65F1FE7A-45FF-4632-871E-C9E8DBFBE289}"/>
    <cellStyle name="Total 2 2 5 2 8 5 2" xfId="32358" xr:uid="{6E4C500D-EDD2-461D-BE4D-2B429C201286}"/>
    <cellStyle name="Total 2 2 5 2 8 6" xfId="51042" xr:uid="{29B781A1-08CD-41C1-8D16-37A2FD288577}"/>
    <cellStyle name="Total 2 2 5 2 9" xfId="7149" xr:uid="{00000000-0005-0000-0000-000079080000}"/>
    <cellStyle name="Total 2 2 5 2 9 2" xfId="19086" xr:uid="{65CF6338-0AE6-4483-8C7D-49F790E9C4A2}"/>
    <cellStyle name="Total 2 2 5 2 9 2 2" xfId="41476" xr:uid="{3C07D728-2A9A-4163-906E-550A287510E8}"/>
    <cellStyle name="Total 2 2 5 2 9 2 3" xfId="23927" xr:uid="{B4134783-493B-4B6C-A61F-01BD46810840}"/>
    <cellStyle name="Total 2 2 5 2 9 3" xfId="14052" xr:uid="{C764B595-0F9D-455F-A2F4-7526105ABB09}"/>
    <cellStyle name="Total 2 2 5 2 9 3 2" xfId="36531" xr:uid="{0BF05965-5780-4432-B649-89F4828D3960}"/>
    <cellStyle name="Total 2 2 5 2 9 3 3" xfId="53181" xr:uid="{0DB27B1D-AA68-446B-97AE-A2FE2063D095}"/>
    <cellStyle name="Total 2 2 5 2 9 4" xfId="23510" xr:uid="{A42DF269-FEAD-45D8-9648-A0AEE769DD0F}"/>
    <cellStyle name="Total 2 2 5 2 9 4 2" xfId="53862" xr:uid="{08EB9A14-E4B9-41E9-94BB-3A769EBDBB43}"/>
    <cellStyle name="Total 2 2 5 2 9 5" xfId="47920" xr:uid="{FB6E9952-87E7-4D1A-B32D-BE17A4566645}"/>
    <cellStyle name="Total 2 2 5 3" xfId="3309" xr:uid="{00000000-0005-0000-0000-000078080000}"/>
    <cellStyle name="Total 2 2 5 3 2" xfId="10217" xr:uid="{A75EF816-3DDA-4072-8F4D-D916CA6E65B0}"/>
    <cellStyle name="Total 2 2 5 3 2 2" xfId="32711" xr:uid="{58236D0F-1F9C-43B4-8BB9-4767E4E8CE28}"/>
    <cellStyle name="Total 2 2 5 3 2 3" xfId="50297" xr:uid="{8AA0D2E9-17E6-4E52-9FC1-17EF629A9186}"/>
    <cellStyle name="Total 2 2 5 3 3" xfId="15535" xr:uid="{CF8F373A-43A4-447E-9919-5DFFC58C4006}"/>
    <cellStyle name="Total 2 2 5 3 3 2" xfId="37954" xr:uid="{AF0B6A1A-2EA0-47F2-BF9A-8253BDF90B82}"/>
    <cellStyle name="Total 2 2 5 3 3 3" xfId="50683" xr:uid="{3130A98F-4B31-418C-B0A9-2DFB962B1664}"/>
    <cellStyle name="Total 2 2 5 3 4" xfId="19784" xr:uid="{E6397D81-5096-44BC-A6DD-6810B72FDC25}"/>
    <cellStyle name="Total 2 2 5 3 4 2" xfId="42122" xr:uid="{6ED44257-E12A-4B4A-9CE5-F90E9B5ADF32}"/>
    <cellStyle name="Total 2 2 5 3 4 3" xfId="42852" xr:uid="{50D50906-433A-46D4-B263-961251591E54}"/>
    <cellStyle name="Total 2 2 5 3 5" xfId="20820" xr:uid="{8827E5E9-9E3B-49E8-B60F-DA8DB447D64E}"/>
    <cellStyle name="Total 2 2 5 3 5 2" xfId="53180" xr:uid="{4EA3576D-013A-4173-86EA-41440254BAE0}"/>
    <cellStyle name="Total 2 2 5 3 6" xfId="44495" xr:uid="{A95F7205-FEFF-40C6-955E-7598B39A9092}"/>
    <cellStyle name="Total 2 2 5 4" xfId="4895" xr:uid="{00000000-0005-0000-0000-000078080000}"/>
    <cellStyle name="Total 2 2 5 4 2" xfId="11790" xr:uid="{93A56E87-CB3A-42FF-AD81-7FFFB45130E6}"/>
    <cellStyle name="Total 2 2 5 4 2 2" xfId="34276" xr:uid="{1D601388-37D1-4806-A975-ABB7886DA21D}"/>
    <cellStyle name="Total 2 2 5 4 2 3" xfId="26708" xr:uid="{A4433CC6-50F4-4EC0-A622-582580925E46}"/>
    <cellStyle name="Total 2 2 5 4 3" xfId="16832" xr:uid="{D5728258-5AD2-4192-A0C4-3DE174BBCA72}"/>
    <cellStyle name="Total 2 2 5 4 3 2" xfId="39222" xr:uid="{B1F6DAC3-3736-4185-A319-C081D4CEE648}"/>
    <cellStyle name="Total 2 2 5 4 3 3" xfId="30289" xr:uid="{0D8CF923-37CC-41CA-B967-6D9FCEB93AF4}"/>
    <cellStyle name="Total 2 2 5 4 4" xfId="8878" xr:uid="{C814786D-6C77-41C5-A96B-9ABBA55BAF79}"/>
    <cellStyle name="Total 2 2 5 4 4 2" xfId="31459" xr:uid="{4779C0F6-E43A-41B1-A324-179ECAA141CE}"/>
    <cellStyle name="Total 2 2 5 4 4 3" xfId="51185" xr:uid="{D8E8BB12-2DC4-4CD9-A5AD-54C2FDB87553}"/>
    <cellStyle name="Total 2 2 5 4 5" xfId="20379" xr:uid="{800A5B80-C907-48E7-8A65-04974FD50842}"/>
    <cellStyle name="Total 2 2 5 4 5 2" xfId="28874" xr:uid="{4CF4C82F-B6BC-4477-9C06-C3C65F5842BD}"/>
    <cellStyle name="Total 2 2 5 4 6" xfId="46833" xr:uid="{80BCCCE0-4FA0-4993-8D7F-50F1A2F5B305}"/>
    <cellStyle name="Total 2 2 5 5" xfId="4583" xr:uid="{00000000-0005-0000-0000-000078080000}"/>
    <cellStyle name="Total 2 2 5 5 2" xfId="11485" xr:uid="{436E7684-4067-488B-BE39-E515E983BE6D}"/>
    <cellStyle name="Total 2 2 5 5 2 2" xfId="33971" xr:uid="{9459BF13-5A8A-4A70-B42C-D02884D7AF08}"/>
    <cellStyle name="Total 2 2 5 5 2 3" xfId="45505" xr:uid="{5DA87343-F146-49B8-B7F3-D5056E5BBCE0}"/>
    <cellStyle name="Total 2 2 5 5 3" xfId="16520" xr:uid="{256070B2-49FA-4D12-99EB-B817CE3958E3}"/>
    <cellStyle name="Total 2 2 5 5 3 2" xfId="38910" xr:uid="{84479709-E0BE-45F6-AC7F-0DCF7C52D668}"/>
    <cellStyle name="Total 2 2 5 5 3 3" xfId="30099" xr:uid="{69A6E495-84AE-4682-B035-BE8BA5A722B8}"/>
    <cellStyle name="Total 2 2 5 5 4" xfId="14040" xr:uid="{03756BC6-CED7-4348-B966-87F34D5F5FBF}"/>
    <cellStyle name="Total 2 2 5 5 4 2" xfId="36522" xr:uid="{9340F2DD-B14C-4B78-8F0A-C0983603F953}"/>
    <cellStyle name="Total 2 2 5 5 4 3" xfId="52714" xr:uid="{40EFB025-F1AC-4136-AFD6-99739FD6ECD3}"/>
    <cellStyle name="Total 2 2 5 5 5" xfId="19292" xr:uid="{4B5D688E-2356-4B09-9AA4-836826AFFCC4}"/>
    <cellStyle name="Total 2 2 5 5 5 2" xfId="25142" xr:uid="{3ED78EFA-91FA-4DEE-9B91-D8BD60E8298B}"/>
    <cellStyle name="Total 2 2 5 5 6" xfId="52198" xr:uid="{7C48DEE3-1B11-4970-851F-B41442075E2B}"/>
    <cellStyle name="Total 2 2 5 6" xfId="6365" xr:uid="{00000000-0005-0000-0000-000078080000}"/>
    <cellStyle name="Total 2 2 5 6 2" xfId="13237" xr:uid="{10A090EA-AF46-4E6A-B329-A14ADD6DBB8D}"/>
    <cellStyle name="Total 2 2 5 6 2 2" xfId="35721" xr:uid="{97A5807E-026A-41AD-8F6B-6D8A466D6957}"/>
    <cellStyle name="Total 2 2 5 6 2 3" xfId="28281" xr:uid="{01794182-5ED4-4A0E-A189-B1C75784601D}"/>
    <cellStyle name="Total 2 2 5 6 3" xfId="18302" xr:uid="{F28ACD70-3D00-4C34-8390-32D54EE6CD19}"/>
    <cellStyle name="Total 2 2 5 6 3 2" xfId="40692" xr:uid="{BA746F1E-7591-407D-B407-67A0E9B5A6CD}"/>
    <cellStyle name="Total 2 2 5 6 3 3" xfId="24658" xr:uid="{419091EA-0137-4D89-A016-F9C634255F09}"/>
    <cellStyle name="Total 2 2 5 6 4" xfId="9223" xr:uid="{7108CCCB-1423-4252-831B-D471AF271CEA}"/>
    <cellStyle name="Total 2 2 5 6 4 2" xfId="31798" xr:uid="{9A326E3A-B4EA-467B-8E23-EA9CA99B8A6F}"/>
    <cellStyle name="Total 2 2 5 6 4 3" xfId="50515" xr:uid="{C272D588-7E73-4185-8AEA-2EA6B190108E}"/>
    <cellStyle name="Total 2 2 5 6 5" xfId="22726" xr:uid="{680C5A11-A7FF-4568-9C0A-FD149BC5D258}"/>
    <cellStyle name="Total 2 2 5 6 5 2" xfId="52099" xr:uid="{F8DA1E77-A6EA-4225-912F-222F42D03884}"/>
    <cellStyle name="Total 2 2 5 6 6" xfId="48111" xr:uid="{32EEA7E6-34DB-485F-AB82-F4FA09CBFBC2}"/>
    <cellStyle name="Total 2 2 5 7" xfId="6875" xr:uid="{00000000-0005-0000-0000-000078080000}"/>
    <cellStyle name="Total 2 2 5 7 2" xfId="13716" xr:uid="{45D0BF72-6562-4D56-B2AA-046C4E4D760A}"/>
    <cellStyle name="Total 2 2 5 7 2 2" xfId="36200" xr:uid="{3A629F20-45CF-49B1-9194-626BBEF9548E}"/>
    <cellStyle name="Total 2 2 5 7 2 3" xfId="25789" xr:uid="{E2C86CFD-3262-4726-8C47-6D98D1C85F0D}"/>
    <cellStyle name="Total 2 2 5 7 3" xfId="18812" xr:uid="{EB65E854-BA11-4ABC-AC3B-923294998783}"/>
    <cellStyle name="Total 2 2 5 7 3 2" xfId="41202" xr:uid="{1CD77753-2EBE-4B99-9081-A75FC492226B}"/>
    <cellStyle name="Total 2 2 5 7 3 3" xfId="23853" xr:uid="{EECBDFE1-295E-4DDB-993B-D03B819B5689}"/>
    <cellStyle name="Total 2 2 5 7 4" xfId="15598" xr:uid="{52D1EB2C-9C26-4CDD-9CB9-E1BF8ABD4D55}"/>
    <cellStyle name="Total 2 2 5 7 4 2" xfId="38015" xr:uid="{093683C6-D072-4431-A3CC-12C4DD44ED64}"/>
    <cellStyle name="Total 2 2 5 7 4 3" xfId="49834" xr:uid="{E4480524-381F-4E24-BFF7-050539A1D169}"/>
    <cellStyle name="Total 2 2 5 7 5" xfId="23236" xr:uid="{1C00B870-6E22-4DDE-B12F-64F0909FD940}"/>
    <cellStyle name="Total 2 2 5 7 5 2" xfId="51229" xr:uid="{5A11C6BD-1435-4AA0-91FF-F59D35AC591A}"/>
    <cellStyle name="Total 2 2 5 7 6" xfId="26014" xr:uid="{13B143CD-852C-4C51-B5CC-9FA1E0355A69}"/>
    <cellStyle name="Total 2 2 5 8" xfId="14069" xr:uid="{562B5AB1-4113-4EC0-8B21-D6FC16347F1B}"/>
    <cellStyle name="Total 2 2 5 8 2" xfId="36547" xr:uid="{031BDC1F-8516-4BAF-92C3-FB94960DA191}"/>
    <cellStyle name="Total 2 2 5 8 3" xfId="43320" xr:uid="{EA8B4D7B-F9DF-453D-85C7-A14C9CA3CCB4}"/>
    <cellStyle name="Total 2 2 5 9" xfId="14333" xr:uid="{6C09F7C5-FF37-4A8F-9B54-D0D22AA79A05}"/>
    <cellStyle name="Total 2 2 5 9 2" xfId="36802" xr:uid="{877630E8-68AD-4FA9-B808-05045DC3371D}"/>
    <cellStyle name="Total 2 2 5 9 3" xfId="47700" xr:uid="{1C9B9B40-6B9B-4892-A8FA-285516EA255D}"/>
    <cellStyle name="Total 2 2 6" xfId="1355" xr:uid="{00000000-0005-0000-0000-00007D080000}"/>
    <cellStyle name="Total 2 2 6 10" xfId="15752" xr:uid="{A533B7CB-6732-4FB6-9599-B18FB2B5656E}"/>
    <cellStyle name="Total 2 2 6 10 2" xfId="49724" xr:uid="{DCFCBCD1-2BE5-4203-989A-2B1EEB86974E}"/>
    <cellStyle name="Total 2 2 6 11" xfId="50461" xr:uid="{76B307AD-F8F4-417D-9698-6DEE70BEA9A7}"/>
    <cellStyle name="Total 2 2 6 2" xfId="2084" xr:uid="{00000000-0005-0000-0000-00007E080000}"/>
    <cellStyle name="Total 2 2 6 2 10" xfId="14714" xr:uid="{DF8CE02D-53DC-461B-8E2A-43B56BBF3288}"/>
    <cellStyle name="Total 2 2 6 2 10 2" xfId="37172" xr:uid="{8B77CE22-B5E3-43F7-862D-DA87BCF77130}"/>
    <cellStyle name="Total 2 2 6 2 10 3" xfId="51604" xr:uid="{41929823-0178-4B04-9520-564E3BA9BFFC}"/>
    <cellStyle name="Total 2 2 6 2 11" xfId="20907" xr:uid="{788AE73B-EDEA-425C-91D2-8B94DCF6B723}"/>
    <cellStyle name="Total 2 2 6 2 11 2" xfId="43168" xr:uid="{04EB5E3D-D38F-4A68-A1A2-6A16856A6663}"/>
    <cellStyle name="Total 2 2 6 2 11 3" xfId="48832" xr:uid="{C052570A-8851-4142-9B31-C398C309C7D6}"/>
    <cellStyle name="Total 2 2 6 2 12" xfId="7603" xr:uid="{B91B9248-02EF-4C91-8849-0D7E41432244}"/>
    <cellStyle name="Total 2 2 6 2 12 2" xfId="52000" xr:uid="{9F05CAF2-C5D6-421D-9226-FA0F9CAAB230}"/>
    <cellStyle name="Total 2 2 6 2 13" xfId="26358" xr:uid="{40F4102A-2D8C-4C1E-B3B5-C11C2B9D84A3}"/>
    <cellStyle name="Total 2 2 6 2 2" xfId="4179" xr:uid="{00000000-0005-0000-0000-00007B080000}"/>
    <cellStyle name="Total 2 2 6 2 2 2" xfId="11083" xr:uid="{5BE8FE02-ACA1-4016-85B2-3412E16EFB79}"/>
    <cellStyle name="Total 2 2 6 2 2 2 2" xfId="33569" xr:uid="{F6B75983-8899-4CA5-BE4A-30C4C30E92A2}"/>
    <cellStyle name="Total 2 2 6 2 2 2 3" xfId="29656" xr:uid="{A57233DF-2A80-475C-A531-A4D3073B42DC}"/>
    <cellStyle name="Total 2 2 6 2 2 3" xfId="16172" xr:uid="{FC39D410-3D9F-43D2-9AA4-3063CD9CCFD1}"/>
    <cellStyle name="Total 2 2 6 2 2 3 2" xfId="38571" xr:uid="{92FE252B-9B56-4130-A887-32582D65F9D8}"/>
    <cellStyle name="Total 2 2 6 2 2 3 3" xfId="26617" xr:uid="{0CA61BB8-FBA2-4EC1-9DC5-3E1FB60FE681}"/>
    <cellStyle name="Total 2 2 6 2 2 4" xfId="20572" xr:uid="{A52630B8-0938-465A-B93A-D81646D0E057}"/>
    <cellStyle name="Total 2 2 6 2 2 4 2" xfId="42855" xr:uid="{6AC9172D-97BA-4332-A74D-C55024EAFB9B}"/>
    <cellStyle name="Total 2 2 6 2 2 4 3" xfId="53535" xr:uid="{F069DA28-2706-4F6D-9C63-31D3CDB18588}"/>
    <cellStyle name="Total 2 2 6 2 2 5" xfId="14847" xr:uid="{EF4D3E74-628C-49D0-863C-98DA7C683216}"/>
    <cellStyle name="Total 2 2 6 2 2 5 2" xfId="52711" xr:uid="{F851211D-C2F3-43B5-9DF1-2FF10E06F1F3}"/>
    <cellStyle name="Total 2 2 6 2 2 6" xfId="52744" xr:uid="{8E7ECDC2-17E5-472D-93DB-565E42D2E5A3}"/>
    <cellStyle name="Total 2 2 6 2 3" xfId="5505" xr:uid="{00000000-0005-0000-0000-00007B080000}"/>
    <cellStyle name="Total 2 2 6 2 3 2" xfId="12394" xr:uid="{0B357EF1-D945-49E8-96A0-D05858F3F6AD}"/>
    <cellStyle name="Total 2 2 6 2 3 2 2" xfId="34879" xr:uid="{D1636154-A2CB-4AE2-AAD3-88CA22CDFED3}"/>
    <cellStyle name="Total 2 2 6 2 3 2 3" xfId="30382" xr:uid="{323B5547-05D3-43F8-8E1C-D2BFC2EE0979}"/>
    <cellStyle name="Total 2 2 6 2 3 3" xfId="17442" xr:uid="{04F07515-77D1-4CAB-8EA6-6957FB8E8B3B}"/>
    <cellStyle name="Total 2 2 6 2 3 3 2" xfId="39832" xr:uid="{53268688-DCEE-49E2-BDFF-E9C7382B5B97}"/>
    <cellStyle name="Total 2 2 6 2 3 3 3" xfId="30469" xr:uid="{DE91E36A-5270-4CF3-B27E-8D171B8AA970}"/>
    <cellStyle name="Total 2 2 6 2 3 4" xfId="14051" xr:uid="{07EB85C0-D376-4638-9297-6555F5FF89F8}"/>
    <cellStyle name="Total 2 2 6 2 3 4 2" xfId="36530" xr:uid="{B9494AFA-9BB9-4650-9849-585C4C729C14}"/>
    <cellStyle name="Total 2 2 6 2 3 4 3" xfId="28563" xr:uid="{3F72C64C-C7E7-45B6-8DEB-3BD076E93DEA}"/>
    <cellStyle name="Total 2 2 6 2 3 5" xfId="21866" xr:uid="{C059A56B-37A7-4974-8890-E99559F23A24}"/>
    <cellStyle name="Total 2 2 6 2 3 5 2" xfId="53995" xr:uid="{4357FC6B-C2EE-4197-A208-FB566197F43C}"/>
    <cellStyle name="Total 2 2 6 2 3 6" xfId="44100" xr:uid="{7B2D2483-1AEA-4492-8150-B462E9417856}"/>
    <cellStyle name="Total 2 2 6 2 4" xfId="5926" xr:uid="{00000000-0005-0000-0000-00007B080000}"/>
    <cellStyle name="Total 2 2 6 2 4 2" xfId="12807" xr:uid="{674DD55A-3F6F-4F86-AB6D-966BC90D37BA}"/>
    <cellStyle name="Total 2 2 6 2 4 2 2" xfId="35291" xr:uid="{69509AF5-7386-429D-8D98-9AC9D2CB7437}"/>
    <cellStyle name="Total 2 2 6 2 4 2 3" xfId="53265" xr:uid="{55A1479E-D037-45AD-A531-DF6A792E12C5}"/>
    <cellStyle name="Total 2 2 6 2 4 3" xfId="17863" xr:uid="{61A5D212-BFC0-496B-8C3F-6EEF9C536662}"/>
    <cellStyle name="Total 2 2 6 2 4 3 2" xfId="40253" xr:uid="{C9E2D882-B93E-4BE5-9607-2DA79F8D75B2}"/>
    <cellStyle name="Total 2 2 6 2 4 3 3" xfId="32463" xr:uid="{EFCA9983-C8C9-4823-9774-4D178FAE1D29}"/>
    <cellStyle name="Total 2 2 6 2 4 4" xfId="19347" xr:uid="{3C7F24BF-0720-4DAD-95FE-B5412792ED20}"/>
    <cellStyle name="Total 2 2 6 2 4 4 2" xfId="41722" xr:uid="{181752AD-6074-42EC-964B-0DB8A47A0FBE}"/>
    <cellStyle name="Total 2 2 6 2 4 4 3" xfId="23834" xr:uid="{A0AAEF62-1932-461D-BAC6-00F87EB99EA1}"/>
    <cellStyle name="Total 2 2 6 2 4 5" xfId="22287" xr:uid="{862D1F97-FB06-4C09-8552-4DF773F4BA5D}"/>
    <cellStyle name="Total 2 2 6 2 4 5 2" xfId="53609" xr:uid="{FD386C16-2A4E-4BC8-BF25-6E7D4C78CBE4}"/>
    <cellStyle name="Total 2 2 6 2 4 6" xfId="46716" xr:uid="{157E19D8-6E31-4541-AB8A-BFA5E1696261}"/>
    <cellStyle name="Total 2 2 6 2 5" xfId="6266" xr:uid="{00000000-0005-0000-0000-00007B080000}"/>
    <cellStyle name="Total 2 2 6 2 5 2" xfId="13138" xr:uid="{684780A0-A222-4F0B-8F45-A00E63814C97}"/>
    <cellStyle name="Total 2 2 6 2 5 2 2" xfId="35622" xr:uid="{D2F3EC5D-D3D0-4D05-A2A5-6FF43DC91401}"/>
    <cellStyle name="Total 2 2 6 2 5 2 3" xfId="50372" xr:uid="{D99002C6-DCCC-47B3-8943-DEEDE23B2676}"/>
    <cellStyle name="Total 2 2 6 2 5 3" xfId="18203" xr:uid="{BD04E238-9155-4030-B214-9D5DA3A3A150}"/>
    <cellStyle name="Total 2 2 6 2 5 3 2" xfId="40593" xr:uid="{9EA6EFAB-AE5E-436B-9468-2BFFA6432017}"/>
    <cellStyle name="Total 2 2 6 2 5 3 3" xfId="45046" xr:uid="{43D6D928-128C-4554-BA24-5FC02F67A790}"/>
    <cellStyle name="Total 2 2 6 2 5 4" xfId="16008" xr:uid="{ECC523AE-903F-4C95-B4AE-329E41D9B97E}"/>
    <cellStyle name="Total 2 2 6 2 5 4 2" xfId="38409" xr:uid="{E3BB7DCD-130E-4147-B7BC-43A950D2D226}"/>
    <cellStyle name="Total 2 2 6 2 5 4 3" xfId="47290" xr:uid="{0D4C674F-4210-4AFE-8563-2BEECB7F00E3}"/>
    <cellStyle name="Total 2 2 6 2 5 5" xfId="22627" xr:uid="{902472B8-9AF1-4298-B161-0650158F6C1B}"/>
    <cellStyle name="Total 2 2 6 2 5 5 2" xfId="48614" xr:uid="{230CF6EB-49C9-4531-A5CF-1452B2399096}"/>
    <cellStyle name="Total 2 2 6 2 5 6" xfId="24567" xr:uid="{E8786842-792B-412D-B2E3-2E5A3904E4D8}"/>
    <cellStyle name="Total 2 2 6 2 6" xfId="6623" xr:uid="{00000000-0005-0000-0000-00007B080000}"/>
    <cellStyle name="Total 2 2 6 2 6 2" xfId="13489" xr:uid="{144DC24D-58C0-404F-A863-A6CD8A57F7DA}"/>
    <cellStyle name="Total 2 2 6 2 6 2 2" xfId="35973" xr:uid="{11ECF778-45A4-436E-A34A-BC6148F7A346}"/>
    <cellStyle name="Total 2 2 6 2 6 2 3" xfId="47251" xr:uid="{13211402-D304-409E-BE6C-DC9F99B84484}"/>
    <cellStyle name="Total 2 2 6 2 6 3" xfId="18560" xr:uid="{9CCF9CD8-6C4B-4CCB-B350-3A19C6A4485A}"/>
    <cellStyle name="Total 2 2 6 2 6 3 2" xfId="40950" xr:uid="{67508763-9616-4DC5-8378-6689D11043A1}"/>
    <cellStyle name="Total 2 2 6 2 6 3 3" xfId="28051" xr:uid="{832037F8-6121-4F4E-9169-03E7AC2F044D}"/>
    <cellStyle name="Total 2 2 6 2 6 4" xfId="20080" xr:uid="{8601DFFB-C707-43AE-BE94-C3ACCA9E96F7}"/>
    <cellStyle name="Total 2 2 6 2 6 4 2" xfId="42400" xr:uid="{9DEB7691-3DAE-44BF-ADF4-3A3A65D9C682}"/>
    <cellStyle name="Total 2 2 6 2 6 4 3" xfId="29701" xr:uid="{7D1AC251-8356-412B-9EDF-E0D549EDA993}"/>
    <cellStyle name="Total 2 2 6 2 6 5" xfId="22984" xr:uid="{7558623E-E225-4DCC-85D3-41A1A9783EBE}"/>
    <cellStyle name="Total 2 2 6 2 6 5 2" xfId="50380" xr:uid="{B82A2A83-8A32-4378-97F2-D62BBD417EE1}"/>
    <cellStyle name="Total 2 2 6 2 6 6" xfId="46840" xr:uid="{D699A8FF-C9C9-4980-84CF-2776A0483317}"/>
    <cellStyle name="Total 2 2 6 2 7" xfId="6613" xr:uid="{00000000-0005-0000-0000-00007B080000}"/>
    <cellStyle name="Total 2 2 6 2 7 2" xfId="13479" xr:uid="{4B2BB7D6-6768-4CAB-BE46-3DC5A600D9E3}"/>
    <cellStyle name="Total 2 2 6 2 7 2 2" xfId="35963" xr:uid="{F386353A-2CE9-40B0-9015-1BE82F54A23B}"/>
    <cellStyle name="Total 2 2 6 2 7 2 3" xfId="41621" xr:uid="{D0767436-B09E-449E-9614-14D40F5852E4}"/>
    <cellStyle name="Total 2 2 6 2 7 3" xfId="18550" xr:uid="{9CE53733-2508-4847-BD9C-996F0FAD3F29}"/>
    <cellStyle name="Total 2 2 6 2 7 3 2" xfId="40940" xr:uid="{1CFEDD98-B28C-429A-BA86-9182757FBDFB}"/>
    <cellStyle name="Total 2 2 6 2 7 3 3" xfId="44363" xr:uid="{6194C248-7702-4D79-9F92-A96D25FF1299}"/>
    <cellStyle name="Total 2 2 6 2 7 4" xfId="21162" xr:uid="{ACEAF522-DF6D-4326-AB36-62CC59ABD3E5}"/>
    <cellStyle name="Total 2 2 6 2 7 4 2" xfId="43404" xr:uid="{3A270ED0-BAE0-4451-94C9-B5F25165B80E}"/>
    <cellStyle name="Total 2 2 6 2 7 4 3" xfId="51791" xr:uid="{366BE276-8E7C-46D4-A9AE-3C7012EC7F7A}"/>
    <cellStyle name="Total 2 2 6 2 7 5" xfId="22974" xr:uid="{26F6F293-14C5-4AAA-B9CB-4AED0C9E4AE5}"/>
    <cellStyle name="Total 2 2 6 2 7 5 2" xfId="25916" xr:uid="{36A26947-E88F-4AD0-9BB5-598AA258095E}"/>
    <cellStyle name="Total 2 2 6 2 7 6" xfId="47317" xr:uid="{D40ACC4E-D867-4460-90CA-2EE57EA892B2}"/>
    <cellStyle name="Total 2 2 6 2 8" xfId="7078" xr:uid="{00000000-0005-0000-0000-00007B080000}"/>
    <cellStyle name="Total 2 2 6 2 8 2" xfId="13914" xr:uid="{85143D53-AF00-4520-BCA3-C71782147D35}"/>
    <cellStyle name="Total 2 2 6 2 8 2 2" xfId="36398" xr:uid="{74FBB24C-9712-485B-9AB8-5AE222CCA4AA}"/>
    <cellStyle name="Total 2 2 6 2 8 2 3" xfId="44289" xr:uid="{5BA9392C-ABC8-4104-909C-1D9EE1C1C8A3}"/>
    <cellStyle name="Total 2 2 6 2 8 3" xfId="19015" xr:uid="{CA538E3C-0659-48DF-894D-1D8C57B5BC25}"/>
    <cellStyle name="Total 2 2 6 2 8 3 2" xfId="41405" xr:uid="{B9DC7B1B-7606-4CFB-90E8-82A46364DA89}"/>
    <cellStyle name="Total 2 2 6 2 8 3 3" xfId="45673" xr:uid="{30716CDE-2781-492C-B31A-F436F4DF557F}"/>
    <cellStyle name="Total 2 2 6 2 8 4" xfId="19973" xr:uid="{D0F52C6A-E1F0-48E4-99F2-F73513C9B2FB}"/>
    <cellStyle name="Total 2 2 6 2 8 4 2" xfId="42299" xr:uid="{210E5673-79BE-46D4-A5C5-8F291F3ECCB7}"/>
    <cellStyle name="Total 2 2 6 2 8 4 3" xfId="27632" xr:uid="{08FBBDBE-888F-40AA-9A84-000B3574E1A6}"/>
    <cellStyle name="Total 2 2 6 2 8 5" xfId="23439" xr:uid="{E5A4CD01-4735-4E06-8F1F-88F32AFD4B67}"/>
    <cellStyle name="Total 2 2 6 2 8 5 2" xfId="48404" xr:uid="{07D92C2A-8BC3-4A75-BC14-E7EE103375B7}"/>
    <cellStyle name="Total 2 2 6 2 8 6" xfId="47563" xr:uid="{AE0BDF55-947F-4F54-A3EF-2CA71C7022F3}"/>
    <cellStyle name="Total 2 2 6 2 9" xfId="7193" xr:uid="{00000000-0005-0000-0000-00007B080000}"/>
    <cellStyle name="Total 2 2 6 2 9 2" xfId="19130" xr:uid="{86E07136-1BFF-4210-98FD-E166D603171A}"/>
    <cellStyle name="Total 2 2 6 2 9 2 2" xfId="41520" xr:uid="{B50B3C8E-A04D-4C3C-B5DB-F7D365AA6B50}"/>
    <cellStyle name="Total 2 2 6 2 9 2 3" xfId="43803" xr:uid="{AA0BA53A-1D35-462A-8437-FDC2A96B42EA}"/>
    <cellStyle name="Total 2 2 6 2 9 3" xfId="8736" xr:uid="{6AA20E97-4ABB-40DD-B450-C1C93E91C640}"/>
    <cellStyle name="Total 2 2 6 2 9 3 2" xfId="31319" xr:uid="{97F06EEF-EE65-410A-9F95-86CB0A1ABEB2}"/>
    <cellStyle name="Total 2 2 6 2 9 3 3" xfId="49871" xr:uid="{E26DA131-C2F6-4D0C-BDFA-CF6A3EDABF40}"/>
    <cellStyle name="Total 2 2 6 2 9 4" xfId="23554" xr:uid="{45250B75-1845-47AA-A18B-3B485A108A74}"/>
    <cellStyle name="Total 2 2 6 2 9 4 2" xfId="49786" xr:uid="{613A77BA-25EF-4140-A81A-D3FFFADE7A1C}"/>
    <cellStyle name="Total 2 2 6 2 9 5" xfId="48359" xr:uid="{CC5B345E-408B-4479-A254-820E0266113E}"/>
    <cellStyle name="Total 2 2 6 3" xfId="3462" xr:uid="{00000000-0005-0000-0000-00007A080000}"/>
    <cellStyle name="Total 2 2 6 3 2" xfId="10370" xr:uid="{D2FBA8F4-7B68-48F1-A8C5-F36ABBAC74F2}"/>
    <cellStyle name="Total 2 2 6 3 2 2" xfId="32857" xr:uid="{865B118C-E2AA-482B-948D-95EB1186184C}"/>
    <cellStyle name="Total 2 2 6 3 2 3" xfId="50217" xr:uid="{CBE142A6-087D-499F-82CD-91A63054C89B}"/>
    <cellStyle name="Total 2 2 6 3 3" xfId="15640" xr:uid="{2E59BE88-A87B-4368-9C61-0152BD1D0F44}"/>
    <cellStyle name="Total 2 2 6 3 3 2" xfId="38056" xr:uid="{71F95C5F-AC7C-4647-9337-66DEA830E867}"/>
    <cellStyle name="Total 2 2 6 3 3 3" xfId="48316" xr:uid="{D6618FCC-B560-4760-B95E-F063DB2BDAF4}"/>
    <cellStyle name="Total 2 2 6 3 4" xfId="20014" xr:uid="{CA94F064-7925-4F3F-919D-CBADEB04031B}"/>
    <cellStyle name="Total 2 2 6 3 4 2" xfId="42339" xr:uid="{0314B6FB-E7D6-4518-AE2D-A9557684207D}"/>
    <cellStyle name="Total 2 2 6 3 4 3" xfId="28822" xr:uid="{2721B48C-A5F4-44E7-8EBD-E0233067F02D}"/>
    <cellStyle name="Total 2 2 6 3 5" xfId="19959" xr:uid="{EEC6B50B-5D79-4DF9-95CA-8D1B3C19CAC8}"/>
    <cellStyle name="Total 2 2 6 3 5 2" xfId="32798" xr:uid="{C6774D94-B136-421A-852F-277A40EC43BF}"/>
    <cellStyle name="Total 2 2 6 3 6" xfId="50118" xr:uid="{EBB8DFC2-CFA2-4280-9935-4448C227869D}"/>
    <cellStyle name="Total 2 2 6 4" xfId="4993" xr:uid="{00000000-0005-0000-0000-00007A080000}"/>
    <cellStyle name="Total 2 2 6 4 2" xfId="11887" xr:uid="{B62050AF-404A-496D-8965-6307D48CA661}"/>
    <cellStyle name="Total 2 2 6 4 2 2" xfId="34373" xr:uid="{94364C66-7C94-4A76-9381-266898AC7A74}"/>
    <cellStyle name="Total 2 2 6 4 2 3" xfId="23980" xr:uid="{F3F0ED92-8058-48DD-8D11-17AE0C860E52}"/>
    <cellStyle name="Total 2 2 6 4 3" xfId="16930" xr:uid="{8A2A4173-B697-43AD-9053-4CD0DABCF0DE}"/>
    <cellStyle name="Total 2 2 6 4 3 2" xfId="39320" xr:uid="{4A3AFB4F-F19F-4AC3-9A44-770AB472EFA7}"/>
    <cellStyle name="Total 2 2 6 4 3 3" xfId="28675" xr:uid="{5428E3F1-12BF-4112-9197-6F6E8EA52ECC}"/>
    <cellStyle name="Total 2 2 6 4 4" xfId="14026" xr:uid="{964E3702-68DF-4E11-84AA-34D85A44D4A7}"/>
    <cellStyle name="Total 2 2 6 4 4 2" xfId="36509" xr:uid="{94C7E6C7-2124-4C31-8E1B-169966F3791E}"/>
    <cellStyle name="Total 2 2 6 4 4 3" xfId="49587" xr:uid="{96C32504-ED0B-4506-AA16-4787A57383F6}"/>
    <cellStyle name="Total 2 2 6 4 5" xfId="21354" xr:uid="{2D96C488-5E32-4E4C-BE67-9B37B99E52BF}"/>
    <cellStyle name="Total 2 2 6 4 5 2" xfId="49272" xr:uid="{B3E954F0-3C21-40E2-8FF1-05178FB766F7}"/>
    <cellStyle name="Total 2 2 6 4 6" xfId="53028" xr:uid="{3BD565F9-F19E-4F42-BB75-7B0288669DD4}"/>
    <cellStyle name="Total 2 2 6 5" xfId="4663" xr:uid="{00000000-0005-0000-0000-00007A080000}"/>
    <cellStyle name="Total 2 2 6 5 2" xfId="11561" xr:uid="{BF8FCFA0-7008-436F-8B59-9369C4C0A0D6}"/>
    <cellStyle name="Total 2 2 6 5 2 2" xfId="34047" xr:uid="{035AFF9E-FBC5-4FDC-A845-58891CA79B98}"/>
    <cellStyle name="Total 2 2 6 5 2 3" xfId="45537" xr:uid="{373FF9F8-2467-446F-BD0C-F02A817A76FB}"/>
    <cellStyle name="Total 2 2 6 5 3" xfId="16600" xr:uid="{3E4B1080-A3C3-4F53-9BD3-FC54008919E8}"/>
    <cellStyle name="Total 2 2 6 5 3 2" xfId="38990" xr:uid="{BF9F7D35-9582-407A-B7A4-F52C3337E716}"/>
    <cellStyle name="Total 2 2 6 5 3 3" xfId="30397" xr:uid="{F14C3F73-C431-4F00-BC86-996D243784DE}"/>
    <cellStyle name="Total 2 2 6 5 4" xfId="15522" xr:uid="{DE932529-FD87-4C59-A93F-3618C61FF458}"/>
    <cellStyle name="Total 2 2 6 5 4 2" xfId="37943" xr:uid="{A9F30208-E845-4FA9-A2EF-34456E318EA7}"/>
    <cellStyle name="Total 2 2 6 5 4 3" xfId="43136" xr:uid="{312B20B4-6C18-47BE-B438-3BFA8B6EABA6}"/>
    <cellStyle name="Total 2 2 6 5 5" xfId="19848" xr:uid="{E187B94E-CED8-42DE-99A7-A34FF14A7401}"/>
    <cellStyle name="Total 2 2 6 5 5 2" xfId="36934" xr:uid="{C1E6AB4F-6204-463F-AA84-B6416DC1FBB4}"/>
    <cellStyle name="Total 2 2 6 5 6" xfId="49699" xr:uid="{36838A66-665B-4CED-8B43-2CD428ABA0C6}"/>
    <cellStyle name="Total 2 2 6 6" xfId="4565" xr:uid="{00000000-0005-0000-0000-00007A080000}"/>
    <cellStyle name="Total 2 2 6 6 2" xfId="11467" xr:uid="{A81E82EE-B94F-440F-913B-1DE1D01E6DDD}"/>
    <cellStyle name="Total 2 2 6 6 2 2" xfId="33953" xr:uid="{DDCE37CD-DED9-4E96-8CD4-D4CB106017DD}"/>
    <cellStyle name="Total 2 2 6 6 2 3" xfId="28346" xr:uid="{30E9B8D7-33E9-4F34-9C11-C4863E905CC7}"/>
    <cellStyle name="Total 2 2 6 6 3" xfId="16502" xr:uid="{2541C340-52F5-452C-95D0-08D762608765}"/>
    <cellStyle name="Total 2 2 6 6 3 2" xfId="38892" xr:uid="{7FBC7D2E-151F-4F78-AFE1-3D83763F6DB2}"/>
    <cellStyle name="Total 2 2 6 6 3 3" xfId="44372" xr:uid="{9A469B45-EB6B-47B8-A6F3-242D4B6EE6FE}"/>
    <cellStyle name="Total 2 2 6 6 4" xfId="15764" xr:uid="{345AEA84-1091-4710-9542-0B3D94ED32CF}"/>
    <cellStyle name="Total 2 2 6 6 4 2" xfId="38176" xr:uid="{F95AD9B6-01CC-4BE1-A105-7627312E2835}"/>
    <cellStyle name="Total 2 2 6 6 4 3" xfId="47736" xr:uid="{18AFF95E-1628-40D5-998E-38937A11E511}"/>
    <cellStyle name="Total 2 2 6 6 5" xfId="19494" xr:uid="{98E5F10F-2F0F-4F7A-B39C-7C94557F9004}"/>
    <cellStyle name="Total 2 2 6 6 5 2" xfId="28739" xr:uid="{BB518364-F5FB-4903-9A96-0F0B60C4BC59}"/>
    <cellStyle name="Total 2 2 6 6 6" xfId="42547" xr:uid="{F6C5910B-8780-4A92-AB2C-C6B48028423C}"/>
    <cellStyle name="Total 2 2 6 7" xfId="4562" xr:uid="{00000000-0005-0000-0000-00007A080000}"/>
    <cellStyle name="Total 2 2 6 7 2" xfId="11464" xr:uid="{128BA126-D403-49E4-A4AC-0DB73815F31A}"/>
    <cellStyle name="Total 2 2 6 7 2 2" xfId="33950" xr:uid="{70D5F9F6-D7DC-4E5E-95EE-4F27A591AFE1}"/>
    <cellStyle name="Total 2 2 6 7 2 3" xfId="44516" xr:uid="{82554447-8F07-4A4D-83DD-141F66F7F175}"/>
    <cellStyle name="Total 2 2 6 7 3" xfId="16499" xr:uid="{7BA2133B-276C-4575-8B3C-7A2E0AF63CB4}"/>
    <cellStyle name="Total 2 2 6 7 3 2" xfId="38889" xr:uid="{0A22D1CC-E5C0-410E-A11D-4E4A3A56B708}"/>
    <cellStyle name="Total 2 2 6 7 3 3" xfId="28433" xr:uid="{D20013D1-1A55-4F01-B738-8F1DF3AB68D5}"/>
    <cellStyle name="Total 2 2 6 7 4" xfId="19622" xr:uid="{753E4E6A-D4A7-46A5-A13B-655FBCDFFAAB}"/>
    <cellStyle name="Total 2 2 6 7 4 2" xfId="41974" xr:uid="{5F3E39B4-60A3-4EF0-AE7D-82E3C556F9DE}"/>
    <cellStyle name="Total 2 2 6 7 4 3" xfId="45068" xr:uid="{65F39B6E-9B22-43BC-9AFB-749D1AD7B025}"/>
    <cellStyle name="Total 2 2 6 7 5" xfId="14238" xr:uid="{63644017-9427-4726-B23D-FCDF939A98B5}"/>
    <cellStyle name="Total 2 2 6 7 5 2" xfId="28594" xr:uid="{18CD2831-AF1A-45EE-B41E-D3140AB83EF3}"/>
    <cellStyle name="Total 2 2 6 7 6" xfId="32807" xr:uid="{173DD5BC-5F18-47A3-B1C9-B7D11A7BA42F}"/>
    <cellStyle name="Total 2 2 6 8" xfId="14174" xr:uid="{3DFB09CA-B9B3-48C5-ADA4-8A1BE6E9F559}"/>
    <cellStyle name="Total 2 2 6 8 2" xfId="36650" xr:uid="{45462608-D227-441B-93A9-B95F2FF68244}"/>
    <cellStyle name="Total 2 2 6 8 3" xfId="52800" xr:uid="{DB0C8E1F-F888-4254-9A12-E2E4F163EC31}"/>
    <cellStyle name="Total 2 2 6 9" xfId="19613" xr:uid="{2355DC2D-8E17-4E79-99C0-51EC5A91D442}"/>
    <cellStyle name="Total 2 2 6 9 2" xfId="41965" xr:uid="{7620070C-11F9-402E-896A-791FAD77FF52}"/>
    <cellStyle name="Total 2 2 6 9 3" xfId="32659" xr:uid="{539E27AE-B2CB-418E-B00D-7B1BC32A455E}"/>
    <cellStyle name="Total 2 2 7" xfId="1628" xr:uid="{00000000-0005-0000-0000-00007F080000}"/>
    <cellStyle name="Total 2 2 7 10" xfId="14342" xr:uid="{90E75E36-A5B3-4F76-9055-5C036E41F2C8}"/>
    <cellStyle name="Total 2 2 7 10 2" xfId="36810" xr:uid="{DC00397A-87B8-4565-9D74-0A76B1091A66}"/>
    <cellStyle name="Total 2 2 7 10 3" xfId="27612" xr:uid="{172C54F0-54BC-4274-9F67-C4098434F068}"/>
    <cellStyle name="Total 2 2 7 11" xfId="13951" xr:uid="{91541112-6565-4216-8987-CE82B4B40EA3}"/>
    <cellStyle name="Total 2 2 7 11 2" xfId="36435" xr:uid="{F4B95245-6ED3-4235-8F5D-9062A6EE1E69}"/>
    <cellStyle name="Total 2 2 7 11 3" xfId="29486" xr:uid="{6B98B45D-7565-47A5-8210-02752B04EE21}"/>
    <cellStyle name="Total 2 2 7 12" xfId="15385" xr:uid="{E3B1412A-3B9C-4725-9987-5E81925D4134}"/>
    <cellStyle name="Total 2 2 7 12 2" xfId="52655" xr:uid="{B194894C-8FF6-4FA4-9492-A833CE671BBB}"/>
    <cellStyle name="Total 2 2 7 13" xfId="48495" xr:uid="{DC1F4705-356E-4819-9C18-EC54A415BFD3}"/>
    <cellStyle name="Total 2 2 7 2" xfId="3728" xr:uid="{00000000-0005-0000-0000-00007C080000}"/>
    <cellStyle name="Total 2 2 7 2 2" xfId="10632" xr:uid="{384AE127-B72A-4782-B719-C70CC51137FC}"/>
    <cellStyle name="Total 2 2 7 2 2 2" xfId="33118" xr:uid="{057A8841-171B-4A9A-853F-CC07AD7A43A6}"/>
    <cellStyle name="Total 2 2 7 2 2 3" xfId="52810" xr:uid="{EF913A9A-52D6-4554-A76B-1E233BB0DE62}"/>
    <cellStyle name="Total 2 2 7 2 3" xfId="15809" xr:uid="{7B0087AD-5F2C-4A42-BAA7-88EB679AC898}"/>
    <cellStyle name="Total 2 2 7 2 3 2" xfId="38217" xr:uid="{4F69FC10-6F78-4995-8EB3-4E29ADC535DF}"/>
    <cellStyle name="Total 2 2 7 2 3 3" xfId="27552" xr:uid="{6C437516-2A71-4DF6-8132-A4AD075108FC}"/>
    <cellStyle name="Total 2 2 7 2 4" xfId="19619" xr:uid="{1675A5E4-3FC7-4A78-B528-ABEB70BD38CC}"/>
    <cellStyle name="Total 2 2 7 2 4 2" xfId="41971" xr:uid="{EA74B16C-FFC3-4FE6-B66E-E6A7CB7AC3D7}"/>
    <cellStyle name="Total 2 2 7 2 4 3" xfId="44741" xr:uid="{D145262B-E3E6-40BE-AD4B-51BB4A8613E9}"/>
    <cellStyle name="Total 2 2 7 2 5" xfId="20042" xr:uid="{303634C5-CD81-4C61-AFCA-1029D2245B1F}"/>
    <cellStyle name="Total 2 2 7 2 5 2" xfId="32817" xr:uid="{7A1870D6-5676-4104-96E8-05F164B5B373}"/>
    <cellStyle name="Total 2 2 7 2 6" xfId="30251" xr:uid="{BAB5DA2E-86EE-4D84-A96E-541323B0973A}"/>
    <cellStyle name="Total 2 2 7 3" xfId="5161" xr:uid="{00000000-0005-0000-0000-00007C080000}"/>
    <cellStyle name="Total 2 2 7 3 2" xfId="12054" xr:uid="{B9835E54-9B48-4270-82FE-F96CF97F9928}"/>
    <cellStyle name="Total 2 2 7 3 2 2" xfId="34540" xr:uid="{669DAA12-6990-43DF-ABA2-942947785A60}"/>
    <cellStyle name="Total 2 2 7 3 2 3" xfId="29680" xr:uid="{13F92254-5868-414E-A762-17F9B066F0D1}"/>
    <cellStyle name="Total 2 2 7 3 3" xfId="17098" xr:uid="{E1E67638-90EA-4640-A20D-17AFA26C33CE}"/>
    <cellStyle name="Total 2 2 7 3 3 2" xfId="39488" xr:uid="{AA0FDF4A-3177-46C5-90BD-D51567F0B837}"/>
    <cellStyle name="Total 2 2 7 3 3 3" xfId="28190" xr:uid="{C23F8031-F1A1-42BE-A75E-0A05D5ACF8B7}"/>
    <cellStyle name="Total 2 2 7 3 4" xfId="15722" xr:uid="{6504C1A5-9F9F-46B6-BB06-B8CDDB5F90D5}"/>
    <cellStyle name="Total 2 2 7 3 4 2" xfId="38135" xr:uid="{AFD2FB00-3029-413B-BCB6-A824FA6E806C}"/>
    <cellStyle name="Total 2 2 7 3 4 3" xfId="28435" xr:uid="{566337F9-2B47-4C83-88D0-C4CE80E5207E}"/>
    <cellStyle name="Total 2 2 7 3 5" xfId="21522" xr:uid="{73297F50-BB2D-4E2D-800D-48045A845A73}"/>
    <cellStyle name="Total 2 2 7 3 5 2" xfId="47339" xr:uid="{F4DC8452-532C-49C5-98FA-56078BA81EDE}"/>
    <cellStyle name="Total 2 2 7 3 6" xfId="51775" xr:uid="{8381181F-4DFD-40CA-9039-8303CDE4F35F}"/>
    <cellStyle name="Total 2 2 7 4" xfId="4972" xr:uid="{00000000-0005-0000-0000-00007C080000}"/>
    <cellStyle name="Total 2 2 7 4 2" xfId="11867" xr:uid="{4EBAA9A1-DFD6-44FC-98EB-EFD5BDFC1A47}"/>
    <cellStyle name="Total 2 2 7 4 2 2" xfId="34353" xr:uid="{B592C988-74FE-4CB3-9E0D-304D1816A2EE}"/>
    <cellStyle name="Total 2 2 7 4 2 3" xfId="43632" xr:uid="{E5C16A53-4693-43A1-BA2B-CC4EB51DD678}"/>
    <cellStyle name="Total 2 2 7 4 3" xfId="16909" xr:uid="{61CB2399-659C-471B-82E7-CC806BD94059}"/>
    <cellStyle name="Total 2 2 7 4 3 2" xfId="39299" xr:uid="{CF3381E6-0CED-4F5E-9D22-2B731FDAC5DA}"/>
    <cellStyle name="Total 2 2 7 4 3 3" xfId="24730" xr:uid="{0683316D-766A-4F75-A3DC-A3292620FD95}"/>
    <cellStyle name="Total 2 2 7 4 4" xfId="16152" xr:uid="{2CEFFF9A-FFC9-4ECE-BCE0-11117EEB12DD}"/>
    <cellStyle name="Total 2 2 7 4 4 2" xfId="38552" xr:uid="{B7C81414-20FE-4937-AC5B-5E22F396CAE7}"/>
    <cellStyle name="Total 2 2 7 4 4 3" xfId="45833" xr:uid="{1C9A2E1E-7D74-43F0-A421-AC28B3DF6068}"/>
    <cellStyle name="Total 2 2 7 4 5" xfId="21333" xr:uid="{5A76BA31-2C93-463D-AAE2-593ED4F7844A}"/>
    <cellStyle name="Total 2 2 7 4 5 2" xfId="44767" xr:uid="{74149E54-D7EB-4D4A-8132-B8A046CF431F}"/>
    <cellStyle name="Total 2 2 7 4 6" xfId="46516" xr:uid="{3D4EC69F-9210-4521-B3F8-2DD9B6C20C6A}"/>
    <cellStyle name="Total 2 2 7 5" xfId="5582" xr:uid="{00000000-0005-0000-0000-00007C080000}"/>
    <cellStyle name="Total 2 2 7 5 2" xfId="12467" xr:uid="{42F2F47C-418C-46F6-AC20-AE5DA6423D37}"/>
    <cellStyle name="Total 2 2 7 5 2 2" xfId="34952" xr:uid="{D23F8021-E673-482A-9D18-D0FBC90D34A7}"/>
    <cellStyle name="Total 2 2 7 5 2 3" xfId="30104" xr:uid="{529FEAF5-B132-4885-89B8-813DF9ACA498}"/>
    <cellStyle name="Total 2 2 7 5 3" xfId="17519" xr:uid="{75645B36-1841-4514-BE2B-DFC9272C0132}"/>
    <cellStyle name="Total 2 2 7 5 3 2" xfId="39909" xr:uid="{49D332FB-7F96-46FF-B002-9E32F008ECCD}"/>
    <cellStyle name="Total 2 2 7 5 3 3" xfId="43781" xr:uid="{98D12827-54D4-4C98-A0CB-CCEBD9D5D8E4}"/>
    <cellStyle name="Total 2 2 7 5 4" xfId="9026" xr:uid="{014EC2E0-809C-44F9-AD3B-6CA58416B32C}"/>
    <cellStyle name="Total 2 2 7 5 4 2" xfId="31603" xr:uid="{359AC4F0-EAF2-4759-A302-F63A50FE6E97}"/>
    <cellStyle name="Total 2 2 7 5 4 3" xfId="48168" xr:uid="{B728AB3B-F31F-4D58-8700-763527026EAA}"/>
    <cellStyle name="Total 2 2 7 5 5" xfId="21943" xr:uid="{5BDB1A31-7311-4215-B349-BCA44DF6A8B5}"/>
    <cellStyle name="Total 2 2 7 5 5 2" xfId="46845" xr:uid="{A6ADD6D4-D0BE-4909-99C7-91DA041D8B2E}"/>
    <cellStyle name="Total 2 2 7 5 6" xfId="41846" xr:uid="{FA83B3B6-2DB2-47D9-A7E8-9B88D03BF28C}"/>
    <cellStyle name="Total 2 2 7 6" xfId="5702" xr:uid="{00000000-0005-0000-0000-00007C080000}"/>
    <cellStyle name="Total 2 2 7 6 2" xfId="12586" xr:uid="{C459D4AC-97AB-45DB-9EEB-DC53607C8D19}"/>
    <cellStyle name="Total 2 2 7 6 2 2" xfId="35071" xr:uid="{EC924D3E-A5C3-43C8-8689-535D31477E8C}"/>
    <cellStyle name="Total 2 2 7 6 2 3" xfId="45407" xr:uid="{3665F185-BB84-4176-B05F-D4449044C1D1}"/>
    <cellStyle name="Total 2 2 7 6 3" xfId="17639" xr:uid="{79336A03-5008-43DF-BECE-8C307488B7AF}"/>
    <cellStyle name="Total 2 2 7 6 3 2" xfId="40029" xr:uid="{F6D5B606-9B52-4B02-80F4-6274344D6A54}"/>
    <cellStyle name="Total 2 2 7 6 3 3" xfId="28009" xr:uid="{D10E84A0-7223-46E7-84BB-603BA1099416}"/>
    <cellStyle name="Total 2 2 7 6 4" xfId="19588" xr:uid="{F07CBAA5-5378-4982-809C-DE1AFCB2DEB8}"/>
    <cellStyle name="Total 2 2 7 6 4 2" xfId="41943" xr:uid="{0CAC5BF0-083F-4504-A70E-2E74CCCEEE8F}"/>
    <cellStyle name="Total 2 2 7 6 4 3" xfId="23743" xr:uid="{ED391276-6374-4667-A310-22A415C19296}"/>
    <cellStyle name="Total 2 2 7 6 5" xfId="22063" xr:uid="{7EC6BAA1-526D-4FB6-9352-496E6A8B5210}"/>
    <cellStyle name="Total 2 2 7 6 5 2" xfId="45999" xr:uid="{73485BB2-1BDF-430D-8747-11FB8B1A415B}"/>
    <cellStyle name="Total 2 2 7 6 6" xfId="30379" xr:uid="{0440253D-3E12-46DE-B5C6-87742E5D9544}"/>
    <cellStyle name="Total 2 2 7 7" xfId="6490" xr:uid="{00000000-0005-0000-0000-00007C080000}"/>
    <cellStyle name="Total 2 2 7 7 2" xfId="13359" xr:uid="{FCCF1F48-D564-42B5-8A84-4E2F5031924F}"/>
    <cellStyle name="Total 2 2 7 7 2 2" xfId="35843" xr:uid="{4EE2B8AA-5E92-4DC2-86E3-8E3106D2D69C}"/>
    <cellStyle name="Total 2 2 7 7 2 3" xfId="45358" xr:uid="{5EE0019E-A507-48D5-A43F-09ABA71B560F}"/>
    <cellStyle name="Total 2 2 7 7 3" xfId="18427" xr:uid="{E02FBB47-9E51-43AD-9D80-195386CB96BC}"/>
    <cellStyle name="Total 2 2 7 7 3 2" xfId="40817" xr:uid="{FE20D4CB-F0C0-43CA-96F0-4F8F2E15AB5D}"/>
    <cellStyle name="Total 2 2 7 7 3 3" xfId="37673" xr:uid="{8EB9E3AD-0446-4357-8BCB-EAE8EFE35D07}"/>
    <cellStyle name="Total 2 2 7 7 4" xfId="20164" xr:uid="{CC71B190-FC52-4B97-BC9E-49D2CA52C0A5}"/>
    <cellStyle name="Total 2 2 7 7 4 2" xfId="42475" xr:uid="{35A016AE-2CC5-4731-ACBA-C6397B3FB240}"/>
    <cellStyle name="Total 2 2 7 7 4 3" xfId="44629" xr:uid="{9F58B8B9-8D85-4FE4-95BD-5ED66E1B8C77}"/>
    <cellStyle name="Total 2 2 7 7 5" xfId="22851" xr:uid="{D9EE6403-7E31-4312-91F0-D9BF45F2E31B}"/>
    <cellStyle name="Total 2 2 7 7 5 2" xfId="45759" xr:uid="{47F5D587-0591-4093-A694-92F0A769FD94}"/>
    <cellStyle name="Total 2 2 7 7 6" xfId="45291" xr:uid="{FF889B21-FF5A-4EBE-B133-245E3FBB82B0}"/>
    <cellStyle name="Total 2 2 7 8" xfId="6714" xr:uid="{00000000-0005-0000-0000-00007C080000}"/>
    <cellStyle name="Total 2 2 7 8 2" xfId="13576" xr:uid="{4D210CC4-A6C9-419D-ACAE-23629508860C}"/>
    <cellStyle name="Total 2 2 7 8 2 2" xfId="36060" xr:uid="{8D816052-57C9-4051-8B86-023DF4C16704}"/>
    <cellStyle name="Total 2 2 7 8 2 3" xfId="53488" xr:uid="{A7751A23-0124-4D51-9210-C26827646B30}"/>
    <cellStyle name="Total 2 2 7 8 3" xfId="18651" xr:uid="{AEB0EEEA-BEB1-4570-9FA2-D4D2DAD2B098}"/>
    <cellStyle name="Total 2 2 7 8 3 2" xfId="41041" xr:uid="{B83AF8FA-CFE8-4254-B4F1-A46960202ED7}"/>
    <cellStyle name="Total 2 2 7 8 3 3" xfId="42225" xr:uid="{907ADC31-E07E-47A6-A24B-DBCAC089D906}"/>
    <cellStyle name="Total 2 2 7 8 4" xfId="19675" xr:uid="{05CA4E4B-5773-4BF8-87C4-0E8DDD48F7F6}"/>
    <cellStyle name="Total 2 2 7 8 4 2" xfId="42023" xr:uid="{6A8C6966-16BA-42E6-A594-11FD6BA0092B}"/>
    <cellStyle name="Total 2 2 7 8 4 3" xfId="24579" xr:uid="{B2375D37-E60D-4B91-A17A-6F9D0EEC284C}"/>
    <cellStyle name="Total 2 2 7 8 5" xfId="23075" xr:uid="{2859F174-3C84-4F4E-B7CE-F7A47D974199}"/>
    <cellStyle name="Total 2 2 7 8 5 2" xfId="42661" xr:uid="{1B08E117-95D7-4B8A-A1DA-9B8DF79195B2}"/>
    <cellStyle name="Total 2 2 7 8 6" xfId="52014" xr:uid="{183DC987-BC94-48D6-9E26-FB71BDE7C01E}"/>
    <cellStyle name="Total 2 2 7 9" xfId="6032" xr:uid="{00000000-0005-0000-0000-00007C080000}"/>
    <cellStyle name="Total 2 2 7 9 2" xfId="17969" xr:uid="{DCA35E20-5D73-4771-A077-DA62CE45F9B0}"/>
    <cellStyle name="Total 2 2 7 9 2 2" xfId="40359" xr:uid="{52940B93-4FF9-4276-8ABC-065F8DA5F5EB}"/>
    <cellStyle name="Total 2 2 7 9 2 3" xfId="44327" xr:uid="{46509837-C978-4163-9F2E-A4E4A2A98C07}"/>
    <cellStyle name="Total 2 2 7 9 3" xfId="15732" xr:uid="{68EAFA13-9046-47F2-A1F8-44D9095F3185}"/>
    <cellStyle name="Total 2 2 7 9 3 2" xfId="38145" xr:uid="{63556925-25E2-4430-AA56-FF5171A90665}"/>
    <cellStyle name="Total 2 2 7 9 3 3" xfId="52153" xr:uid="{502106BC-AB99-4CFF-B7F1-BAD89DC38029}"/>
    <cellStyle name="Total 2 2 7 9 4" xfId="22393" xr:uid="{4A5D79EF-B840-4F18-93F3-DB91249233C2}"/>
    <cellStyle name="Total 2 2 7 9 4 2" xfId="48445" xr:uid="{0D1F74E6-4969-420C-8DE8-F4056675B968}"/>
    <cellStyle name="Total 2 2 7 9 5" xfId="46554" xr:uid="{659A6269-6CD8-4C86-9F7E-A7CDF10C502B}"/>
    <cellStyle name="Total 2 2 8" xfId="2579" xr:uid="{00000000-0005-0000-0000-000071080000}"/>
    <cellStyle name="Total 2 2 8 2" xfId="9488" xr:uid="{161C1E42-0642-4CE0-823E-5441889BB763}"/>
    <cellStyle name="Total 2 2 8 2 2" xfId="32040" xr:uid="{DA31CEE2-7609-4731-95F4-11FC76AD19FE}"/>
    <cellStyle name="Total 2 2 8 2 3" xfId="26527" xr:uid="{BE1AC8FA-391B-46BC-ABC4-AC339862A36D}"/>
    <cellStyle name="Total 2 2 8 3" xfId="15057" xr:uid="{5946E346-8D83-43EB-81AB-159351BA6A8F}"/>
    <cellStyle name="Total 2 2 8 3 2" xfId="37502" xr:uid="{C1C7A142-34C9-4066-99F8-3AF5DD15F86B}"/>
    <cellStyle name="Total 2 2 8 3 3" xfId="46927" xr:uid="{41E19FD0-E11C-4B7F-8CA2-0EB28EF1FAEC}"/>
    <cellStyle name="Total 2 2 8 4" xfId="9040" xr:uid="{7A2F048E-BC79-4836-8DCF-204E4BEDC4CE}"/>
    <cellStyle name="Total 2 2 8 4 2" xfId="31616" xr:uid="{843AFE71-9D76-4332-B5A0-2091131250AC}"/>
    <cellStyle name="Total 2 2 8 4 3" xfId="46036" xr:uid="{28F6352D-740C-4267-BF3C-E4FA1706B292}"/>
    <cellStyle name="Total 2 2 8 5" xfId="20099" xr:uid="{62EEE45C-BE06-4D75-A450-99CA6DD96A37}"/>
    <cellStyle name="Total 2 2 8 5 2" xfId="23631" xr:uid="{1DBE82EF-9714-4A9D-8C04-5D21CB81CE16}"/>
    <cellStyle name="Total 2 2 8 6" xfId="47857" xr:uid="{37F36751-667B-4BD7-B674-A354DA9A7ABB}"/>
    <cellStyle name="Total 2 2 9" xfId="4406" xr:uid="{00000000-0005-0000-0000-000071080000}"/>
    <cellStyle name="Total 2 2 9 2" xfId="11308" xr:uid="{53851ADA-E117-42E2-A6E1-1A4374841464}"/>
    <cellStyle name="Total 2 2 9 2 2" xfId="33794" xr:uid="{9F055A83-D300-43D6-9247-27F1F56AF088}"/>
    <cellStyle name="Total 2 2 9 2 3" xfId="30639" xr:uid="{A54702A9-F7C4-40B2-B359-8DD2490CEE28}"/>
    <cellStyle name="Total 2 2 9 3" xfId="16343" xr:uid="{91B59533-61EF-4932-A928-A12AA2AC085F}"/>
    <cellStyle name="Total 2 2 9 3 2" xfId="38733" xr:uid="{A3285A90-162A-42D4-B1E5-D020BF2C81D6}"/>
    <cellStyle name="Total 2 2 9 3 3" xfId="42538" xr:uid="{C6C35C85-19C3-4253-AA60-93E984ABF0CD}"/>
    <cellStyle name="Total 2 2 9 4" xfId="19688" xr:uid="{A125518E-71EC-441C-89D9-E49EF5C98ADE}"/>
    <cellStyle name="Total 2 2 9 4 2" xfId="42035" xr:uid="{90E294DC-7E67-43B7-9A32-548447E1FD8B}"/>
    <cellStyle name="Total 2 2 9 4 3" xfId="45179" xr:uid="{9CDF04B7-5029-4FE9-979A-B06A3BA81D22}"/>
    <cellStyle name="Total 2 2 9 5" xfId="14566" xr:uid="{F89F1773-C806-4B0D-9513-AD827C118388}"/>
    <cellStyle name="Total 2 2 9 5 2" xfId="52490" xr:uid="{6B6CEB93-5DC7-447C-B6FA-C6378C282C57}"/>
    <cellStyle name="Total 2 2 9 6" xfId="43592" xr:uid="{6625B528-6FB5-4A4A-AC0E-1AB665BCF69E}"/>
    <cellStyle name="Total 2 20" xfId="4739" xr:uid="{00000000-0005-0000-0000-000061080000}"/>
    <cellStyle name="Total 2 20 2" xfId="11637" xr:uid="{79D841A0-4DF0-4D3F-A3CF-867FFC95EE85}"/>
    <cellStyle name="Total 2 20 2 2" xfId="34123" xr:uid="{11FDAD71-51B6-4AE0-9590-993EE8100804}"/>
    <cellStyle name="Total 2 20 2 3" xfId="26145" xr:uid="{A149FC3B-A4D3-4B79-BD3A-C29731B19ED6}"/>
    <cellStyle name="Total 2 20 3" xfId="16676" xr:uid="{41E1C372-C5DB-4594-9EA4-691D45010AC6}"/>
    <cellStyle name="Total 2 20 3 2" xfId="39066" xr:uid="{FAE52BE4-C4FA-4731-AC8C-565A8F5EEA34}"/>
    <cellStyle name="Total 2 20 3 3" xfId="28180" xr:uid="{F19AB327-44FB-45B2-8EC6-8C0B87C16C58}"/>
    <cellStyle name="Total 2 20 4" xfId="7736" xr:uid="{36B8A527-309D-4F4E-A64E-1F03FDF59B6D}"/>
    <cellStyle name="Total 2 20 4 2" xfId="30385" xr:uid="{1589019D-BF72-4A79-BE92-2409E01E379B}"/>
    <cellStyle name="Total 2 20 4 3" xfId="45319" xr:uid="{1D293074-08CA-4B36-A39A-F25ACFFCEC8C}"/>
    <cellStyle name="Total 2 20 5" xfId="15862" xr:uid="{032FDD74-4503-44D2-A4BD-9198F921154D}"/>
    <cellStyle name="Total 2 20 5 2" xfId="49459" xr:uid="{67FEA7D2-A420-4EA4-93F8-A7CC511144EC}"/>
    <cellStyle name="Total 2 20 6" xfId="52191" xr:uid="{4C0EEE1E-DB4B-4720-86DE-31E08D7B57D1}"/>
    <cellStyle name="Total 2 21" xfId="5358" xr:uid="{00000000-0005-0000-0000-000061080000}"/>
    <cellStyle name="Total 2 21 2" xfId="12250" xr:uid="{DCD98824-D7DB-4C8C-B059-BC91AE3C0311}"/>
    <cellStyle name="Total 2 21 2 2" xfId="34735" xr:uid="{1A3496BF-0985-435D-999F-4F1C2FD192F9}"/>
    <cellStyle name="Total 2 21 2 3" xfId="29437" xr:uid="{193EDAFE-FBC1-4E32-A033-3BAD1D9DA7CA}"/>
    <cellStyle name="Total 2 21 3" xfId="17295" xr:uid="{1FC7B3D6-7174-45F1-A0B6-607098A63213}"/>
    <cellStyle name="Total 2 21 3 2" xfId="39685" xr:uid="{3A41108F-AB0E-4B7A-B3A3-FA8B1F9E1E8A}"/>
    <cellStyle name="Total 2 21 3 3" xfId="29200" xr:uid="{9C1EF9CC-43E2-4D89-A8C5-8CACE07CA9AD}"/>
    <cellStyle name="Total 2 21 4" xfId="14135" xr:uid="{B9F9DCF4-B9E0-4738-BB8C-FFE5E4768E86}"/>
    <cellStyle name="Total 2 21 4 2" xfId="36612" xr:uid="{320AD2F7-CCA4-4666-B804-EA86C0CAFFAA}"/>
    <cellStyle name="Total 2 21 4 3" xfId="53347" xr:uid="{6FD0C921-5C35-45B5-AC52-0D9768E2334C}"/>
    <cellStyle name="Total 2 21 5" xfId="21719" xr:uid="{3A70B491-AA5F-4229-8FAC-B0CF64FBAF99}"/>
    <cellStyle name="Total 2 21 5 2" xfId="51438" xr:uid="{DFC208C6-1BE7-4F8E-90AE-144E31726C20}"/>
    <cellStyle name="Total 2 21 6" xfId="51238" xr:uid="{5B8F7951-FF6E-41C5-B030-CE51FDA233AF}"/>
    <cellStyle name="Total 2 22" xfId="2877" xr:uid="{00000000-0005-0000-0000-000061080000}"/>
    <cellStyle name="Total 2 22 2" xfId="9786" xr:uid="{75B4E11A-D20D-46CB-9E09-CF9D35F367A4}"/>
    <cellStyle name="Total 2 22 2 2" xfId="32316" xr:uid="{DC63E637-F41E-4AB7-A9B7-ED0C9EC460C9}"/>
    <cellStyle name="Total 2 22 2 3" xfId="48964" xr:uid="{769A5DB3-DB21-404A-B5CC-A933827C94F1}"/>
    <cellStyle name="Total 2 22 3" xfId="15258" xr:uid="{E328E2DB-0D3D-439E-B6FF-CE0C835015F3}"/>
    <cellStyle name="Total 2 22 3 2" xfId="37692" xr:uid="{C36106C7-C1D0-45D6-A69C-92B30EA3CB33}"/>
    <cellStyle name="Total 2 22 3 3" xfId="50561" xr:uid="{3B9151DF-0815-48C1-A323-46BBE426B011}"/>
    <cellStyle name="Total 2 22 4" xfId="15206" xr:uid="{FDC9FAFF-EA44-4BA1-B7CD-943914F5C03E}"/>
    <cellStyle name="Total 2 22 4 2" xfId="37645" xr:uid="{6493FB1C-9055-47DC-801F-02B161A79A9E}"/>
    <cellStyle name="Total 2 22 4 3" xfId="49377" xr:uid="{B99F99A8-9B1E-440F-808C-3DA7EA106E64}"/>
    <cellStyle name="Total 2 22 5" xfId="20860" xr:uid="{3303D99D-25B5-4BC1-B749-4C7ADE3218C2}"/>
    <cellStyle name="Total 2 22 5 2" xfId="53346" xr:uid="{0621F42A-07E6-4D8E-9689-5E5AC13D076C}"/>
    <cellStyle name="Total 2 22 6" xfId="48619" xr:uid="{702F2A6C-7E72-41A0-9111-6D564C9C9E1D}"/>
    <cellStyle name="Total 2 23" xfId="11300" xr:uid="{FADCA98E-4A84-4FD9-BE6C-12311EB10662}"/>
    <cellStyle name="Total 2 23 2" xfId="33786" xr:uid="{0D20FC4B-CA4E-44F4-BFA1-7BAB4B8F9D73}"/>
    <cellStyle name="Total 2 23 3" xfId="32653" xr:uid="{A984E382-1B5B-404E-92AB-708F7D46D422}"/>
    <cellStyle name="Total 2 24" xfId="20343" xr:uid="{33522649-AC70-4815-9518-4CD576595D29}"/>
    <cellStyle name="Total 2 24 2" xfId="42641" xr:uid="{32F8D827-7921-494E-9F86-7E6C04B62333}"/>
    <cellStyle name="Total 2 24 3" xfId="26269" xr:uid="{98148A9F-7ABF-4E83-B757-A86479317A1A}"/>
    <cellStyle name="Total 2 25" xfId="20706" xr:uid="{3941D3A9-ED19-496B-A8EF-BC4071B68213}"/>
    <cellStyle name="Total 2 25 2" xfId="52983" xr:uid="{3A400713-F3EC-4311-9978-09CC5F7D8C57}"/>
    <cellStyle name="Total 2 26" xfId="32265" xr:uid="{59447629-8D5A-471E-811A-B21A24ECA428}"/>
    <cellStyle name="Total 2 3" xfId="437" xr:uid="{00000000-0005-0000-0000-000080080000}"/>
    <cellStyle name="Total 2 3 10" xfId="5629" xr:uid="{00000000-0005-0000-0000-00007D080000}"/>
    <cellStyle name="Total 2 3 10 2" xfId="12513" xr:uid="{5235E22F-2A50-435D-A05B-109904A70FC6}"/>
    <cellStyle name="Total 2 3 10 2 2" xfId="34998" xr:uid="{5C4AF23C-948E-44E7-B110-5EC6DC7B1DEB}"/>
    <cellStyle name="Total 2 3 10 2 3" xfId="45787" xr:uid="{F692D6B9-5CCB-49E7-9DAE-9CCD57AAF57E}"/>
    <cellStyle name="Total 2 3 10 3" xfId="17566" xr:uid="{ED39E186-CA7C-4954-8AB2-99F7ED80BB57}"/>
    <cellStyle name="Total 2 3 10 3 2" xfId="39956" xr:uid="{30226CED-A88C-4371-8557-130F4D342189}"/>
    <cellStyle name="Total 2 3 10 3 3" xfId="26827" xr:uid="{FEB0A932-6C8F-43CE-A9D5-E01BE40C293F}"/>
    <cellStyle name="Total 2 3 10 4" xfId="19719" xr:uid="{D1288059-1888-4EBD-B849-AFB5246299CB}"/>
    <cellStyle name="Total 2 3 10 4 2" xfId="42066" xr:uid="{2183A8F0-3CD6-4881-ABB6-4B6B031F58BD}"/>
    <cellStyle name="Total 2 3 10 4 3" xfId="42307" xr:uid="{EF484796-EC07-42BF-9200-5AF365218312}"/>
    <cellStyle name="Total 2 3 10 5" xfId="21990" xr:uid="{23D9CD42-4197-461D-97FC-1EB9E9A4CBFC}"/>
    <cellStyle name="Total 2 3 10 5 2" xfId="47219" xr:uid="{EB14C8D0-CA30-4009-888B-272332CBCE86}"/>
    <cellStyle name="Total 2 3 10 6" xfId="48174" xr:uid="{394D14D9-B0D7-49D9-AAF8-E16DB11A234C}"/>
    <cellStyle name="Total 2 3 11" xfId="6125" xr:uid="{00000000-0005-0000-0000-00007D080000}"/>
    <cellStyle name="Total 2 3 11 2" xfId="13002" xr:uid="{FDD7F1E9-F644-4C35-83C4-224DD1F7ACFD}"/>
    <cellStyle name="Total 2 3 11 2 2" xfId="35486" xr:uid="{FE9CD7D3-43E0-4183-BEFD-87220AC9F2E8}"/>
    <cellStyle name="Total 2 3 11 2 3" xfId="51351" xr:uid="{DEB818F9-6347-42EC-9C78-CE91172D4AD5}"/>
    <cellStyle name="Total 2 3 11 3" xfId="18062" xr:uid="{4E26F067-01EF-4601-83D7-0077544F9E44}"/>
    <cellStyle name="Total 2 3 11 3 2" xfId="40452" xr:uid="{12587ACC-3E89-445F-9EE9-297C81D2534F}"/>
    <cellStyle name="Total 2 3 11 3 3" xfId="25836" xr:uid="{ADCD3580-172B-4A8D-A9A6-FDCC7F0A2167}"/>
    <cellStyle name="Total 2 3 11 4" xfId="8427" xr:uid="{C2DE4E9F-852A-4DD3-80C9-BA66AC65916A}"/>
    <cellStyle name="Total 2 3 11 4 2" xfId="31015" xr:uid="{7853AB29-FF25-46CF-9EF4-637DAA082589}"/>
    <cellStyle name="Total 2 3 11 4 3" xfId="45915" xr:uid="{A78FFFF3-4853-4D9E-844A-56AB9344728C}"/>
    <cellStyle name="Total 2 3 11 5" xfId="22486" xr:uid="{BD32ECCC-6CFA-4648-B9C5-3C04AAF09697}"/>
    <cellStyle name="Total 2 3 11 5 2" xfId="48228" xr:uid="{A053C026-F4FC-435F-AA7F-3B1BD322B22D}"/>
    <cellStyle name="Total 2 3 11 6" xfId="28007" xr:uid="{017E45A6-9A13-4A72-AD2D-D7EA90052994}"/>
    <cellStyle name="Total 2 3 12" xfId="6485" xr:uid="{00000000-0005-0000-0000-00007D080000}"/>
    <cellStyle name="Total 2 3 12 2" xfId="13355" xr:uid="{14E29372-978F-4F3E-8A53-EC9B005735BF}"/>
    <cellStyle name="Total 2 3 12 2 2" xfId="35839" xr:uid="{B16801F8-32F7-4851-9333-1B0339756267}"/>
    <cellStyle name="Total 2 3 12 2 3" xfId="43432" xr:uid="{20D9811B-BDD5-43F7-8DA6-E814BBB5B9A6}"/>
    <cellStyle name="Total 2 3 12 3" xfId="18422" xr:uid="{6E30B62E-23B6-4449-A4CE-09C8CB69591A}"/>
    <cellStyle name="Total 2 3 12 3 2" xfId="40812" xr:uid="{833F3960-ABE0-48BA-AEE3-056533A7CCAC}"/>
    <cellStyle name="Total 2 3 12 3 3" xfId="44818" xr:uid="{7C134C4D-7621-4C1E-BC04-D4EF4C603732}"/>
    <cellStyle name="Total 2 3 12 4" xfId="14063" xr:uid="{EF552929-DC19-485A-8A80-C492989BC52C}"/>
    <cellStyle name="Total 2 3 12 4 2" xfId="36541" xr:uid="{2976EC7A-10B3-469E-97C0-91CA41636DFF}"/>
    <cellStyle name="Total 2 3 12 4 3" xfId="45159" xr:uid="{BBCA97DC-6B20-4A2B-A8DF-EF2F1DC44675}"/>
    <cellStyle name="Total 2 3 12 5" xfId="22846" xr:uid="{E363416F-8437-4CEB-8400-E66B038573D0}"/>
    <cellStyle name="Total 2 3 12 5 2" xfId="50034" xr:uid="{EB4A816F-769F-49CF-8750-AA13CD85DA69}"/>
    <cellStyle name="Total 2 3 12 6" xfId="41982" xr:uid="{F004AD34-8F27-40C8-A3B7-67A92FE0A1AE}"/>
    <cellStyle name="Total 2 3 13" xfId="9036" xr:uid="{DF1084EA-D91D-407E-ADB0-8F31BEA5E6E1}"/>
    <cellStyle name="Total 2 3 13 2" xfId="31612" xr:uid="{CDCEA989-6C55-4898-9F81-9F51C6BF3112}"/>
    <cellStyle name="Total 2 3 13 3" xfId="37695" xr:uid="{3D149C8D-4856-41AC-A95B-44F7E09D1647}"/>
    <cellStyle name="Total 2 3 14" xfId="20005" xr:uid="{C3A24A70-437D-40F0-A457-3666A5316458}"/>
    <cellStyle name="Total 2 3 14 2" xfId="42330" xr:uid="{931E0EB9-D717-4EB7-86A1-98A43E7661D0}"/>
    <cellStyle name="Total 2 3 14 3" xfId="28092" xr:uid="{B58A9D42-ECEC-4E8E-9E11-58613E9C1672}"/>
    <cellStyle name="Total 2 3 15" xfId="7263" xr:uid="{06756EB4-F3E2-4432-A311-D8E161420B7B}"/>
    <cellStyle name="Total 2 3 15 2" xfId="51122" xr:uid="{125C16C2-B3A8-4E1C-B634-9854046B952D}"/>
    <cellStyle name="Total 2 3 16" xfId="37431" xr:uid="{6D1352D7-18F6-4433-878F-B80B96930FE7}"/>
    <cellStyle name="Total 2 3 2" xfId="590" xr:uid="{00000000-0005-0000-0000-000081080000}"/>
    <cellStyle name="Total 2 3 2 10" xfId="14385" xr:uid="{EBDF3E68-C79F-4485-9CE9-9D293F34D77D}"/>
    <cellStyle name="Total 2 3 2 10 2" xfId="43050" xr:uid="{2DFCB310-6C58-4B27-BD61-FCE1F2528B20}"/>
    <cellStyle name="Total 2 3 2 11" xfId="52949" xr:uid="{4D5A460B-A07C-43E3-8FA5-50EF86302767}"/>
    <cellStyle name="Total 2 3 2 2" xfId="1724" xr:uid="{00000000-0005-0000-0000-000082080000}"/>
    <cellStyle name="Total 2 3 2 2 10" xfId="14425" xr:uid="{FD72A1F8-F782-4E7B-97CB-5D6B335594AA}"/>
    <cellStyle name="Total 2 3 2 2 10 2" xfId="36891" xr:uid="{2D856AC4-97A1-4091-87D9-D4CFE2110AC8}"/>
    <cellStyle name="Total 2 3 2 2 10 3" xfId="32100" xr:uid="{0A5E5BA4-F54F-4255-8548-C12867AF8498}"/>
    <cellStyle name="Total 2 3 2 2 11" xfId="19873" xr:uid="{504EFE6C-086B-4408-9072-F2619DBAA78E}"/>
    <cellStyle name="Total 2 3 2 2 11 2" xfId="42207" xr:uid="{95046C94-125F-4AD8-999F-916B406BB70C}"/>
    <cellStyle name="Total 2 3 2 2 11 3" xfId="32780" xr:uid="{E75EE24B-7BB6-47A6-BB59-8C6A2036F31C}"/>
    <cellStyle name="Total 2 3 2 2 12" xfId="7460" xr:uid="{8E90889B-1EBC-43F5-8E76-6B71BF36A31C}"/>
    <cellStyle name="Total 2 3 2 2 12 2" xfId="49445" xr:uid="{4769028D-EA72-42B6-82C1-8B92F05B96F3}"/>
    <cellStyle name="Total 2 3 2 2 13" xfId="45284" xr:uid="{C89D3D20-956B-4953-A241-B9326F4E4D37}"/>
    <cellStyle name="Total 2 3 2 2 2" xfId="3822" xr:uid="{00000000-0005-0000-0000-00007F080000}"/>
    <cellStyle name="Total 2 3 2 2 2 2" xfId="10726" xr:uid="{81D59CDC-C0F0-424F-B3AD-B89FAF8E6F7A}"/>
    <cellStyle name="Total 2 3 2 2 2 2 2" xfId="33212" xr:uid="{BFB97888-32B9-479B-80C5-3AA997DED755}"/>
    <cellStyle name="Total 2 3 2 2 2 2 3" xfId="52776" xr:uid="{8010469D-50C7-4166-9275-17C743B75802}"/>
    <cellStyle name="Total 2 3 2 2 2 3" xfId="15882" xr:uid="{E56A01FB-FCE7-424E-B59F-E4E59AD1A2AF}"/>
    <cellStyle name="Total 2 3 2 2 2 3 2" xfId="38288" xr:uid="{71167E26-8320-4356-AD8A-0D9CFD5F9590}"/>
    <cellStyle name="Total 2 3 2 2 2 3 3" xfId="47675" xr:uid="{A762B01D-297E-4BD6-A6AC-562FEAC94780}"/>
    <cellStyle name="Total 2 3 2 2 2 4" xfId="20475" xr:uid="{A77E3732-8AF8-49E2-8134-EFED6F195E1F}"/>
    <cellStyle name="Total 2 3 2 2 2 4 2" xfId="42764" xr:uid="{1B588178-5B09-4BFB-8FC7-90D2B4AF627C}"/>
    <cellStyle name="Total 2 3 2 2 2 4 3" xfId="49083" xr:uid="{1FF58FE0-84D4-447A-83DB-F7C8BE84A969}"/>
    <cellStyle name="Total 2 3 2 2 2 5" xfId="20264" xr:uid="{2A22B98E-1E03-4C4B-B409-6D456ADC019B}"/>
    <cellStyle name="Total 2 3 2 2 2 5 2" xfId="47055" xr:uid="{8232DA21-7B8F-4417-B927-7C095040CA4A}"/>
    <cellStyle name="Total 2 3 2 2 2 6" xfId="46388" xr:uid="{A99F685A-8996-4B65-BFA6-D494810929B3}"/>
    <cellStyle name="Total 2 3 2 2 3" xfId="5238" xr:uid="{00000000-0005-0000-0000-00007F080000}"/>
    <cellStyle name="Total 2 3 2 2 3 2" xfId="12130" xr:uid="{0E641847-27AB-4AF4-A95A-B1461B9D5D53}"/>
    <cellStyle name="Total 2 3 2 2 3 2 2" xfId="34615" xr:uid="{0E813517-5A17-486B-9C10-AE643039B43B}"/>
    <cellStyle name="Total 2 3 2 2 3 2 3" xfId="44340" xr:uid="{780C7A44-2904-4431-943C-6B2904889C6D}"/>
    <cellStyle name="Total 2 3 2 2 3 3" xfId="17175" xr:uid="{C097B0F1-22AE-4662-957C-1BF06FFB4834}"/>
    <cellStyle name="Total 2 3 2 2 3 3 2" xfId="39565" xr:uid="{6695BC49-B947-4F56-9B4F-6DAFF48A049D}"/>
    <cellStyle name="Total 2 3 2 2 3 3 3" xfId="23986" xr:uid="{74CF1E9B-2B5C-419F-A23A-38DC7A7A4DE1}"/>
    <cellStyle name="Total 2 3 2 2 3 4" xfId="14697" xr:uid="{BCCF1AB5-15C4-4F56-BD7F-B751A874DCF6}"/>
    <cellStyle name="Total 2 3 2 2 3 4 2" xfId="37155" xr:uid="{C1A615BD-F2A5-4621-84BF-B4A6C016125D}"/>
    <cellStyle name="Total 2 3 2 2 3 4 3" xfId="53446" xr:uid="{C67AE615-398C-4086-B06C-00AE3AD8EF0A}"/>
    <cellStyle name="Total 2 3 2 2 3 5" xfId="21599" xr:uid="{A6C936F0-D197-46AD-8084-5219DF38FA75}"/>
    <cellStyle name="Total 2 3 2 2 3 5 2" xfId="48825" xr:uid="{87AD0401-0341-477E-B436-9B6066D07BCF}"/>
    <cellStyle name="Total 2 3 2 2 3 6" xfId="48050" xr:uid="{FDA78A26-D305-42C9-AF4B-85458FFDBCEA}"/>
    <cellStyle name="Total 2 3 2 2 4" xfId="5650" xr:uid="{00000000-0005-0000-0000-00007F080000}"/>
    <cellStyle name="Total 2 3 2 2 4 2" xfId="12534" xr:uid="{574FDB9D-7CFE-4DAB-AA6A-94E563818416}"/>
    <cellStyle name="Total 2 3 2 2 4 2 2" xfId="35019" xr:uid="{E20ED7FC-B7C2-4F9C-A460-A5B60CCE7AAC}"/>
    <cellStyle name="Total 2 3 2 2 4 2 3" xfId="27985" xr:uid="{51538F42-A617-4EAC-A874-0AD8819176EF}"/>
    <cellStyle name="Total 2 3 2 2 4 3" xfId="17587" xr:uid="{B1605467-F28E-465C-AF83-B3BF9D586569}"/>
    <cellStyle name="Total 2 3 2 2 4 3 2" xfId="39977" xr:uid="{85555F37-7232-4181-A601-65D19C399B79}"/>
    <cellStyle name="Total 2 3 2 2 4 3 3" xfId="26456" xr:uid="{4259F378-0F0B-411A-ADAF-585109E134E7}"/>
    <cellStyle name="Total 2 3 2 2 4 4" xfId="15238" xr:uid="{704004E7-4474-4853-889E-E62B13E0C5BA}"/>
    <cellStyle name="Total 2 3 2 2 4 4 2" xfId="37674" xr:uid="{E603CC11-A5A4-4F29-9220-ACB0794A41F0}"/>
    <cellStyle name="Total 2 3 2 2 4 4 3" xfId="46511" xr:uid="{52DC3A49-B20A-4C10-986C-766DF48E40A2}"/>
    <cellStyle name="Total 2 3 2 2 4 5" xfId="22011" xr:uid="{6E2C58A4-17BC-4E3C-954B-B2E9EFF04959}"/>
    <cellStyle name="Total 2 3 2 2 4 5 2" xfId="44134" xr:uid="{91FAC850-47E6-4903-918D-E45F47654AAF}"/>
    <cellStyle name="Total 2 3 2 2 4 6" xfId="46446" xr:uid="{B72C9E81-87E6-4F1B-89F4-A5B5D589D875}"/>
    <cellStyle name="Total 2 3 2 2 5" xfId="5043" xr:uid="{00000000-0005-0000-0000-00007F080000}"/>
    <cellStyle name="Total 2 3 2 2 5 2" xfId="11937" xr:uid="{FD6F2F44-6D79-4FB7-AAAF-14068C1BD777}"/>
    <cellStyle name="Total 2 3 2 2 5 2 2" xfId="34423" xr:uid="{AFA08D40-A5F4-40DE-97DB-819D6F1B253C}"/>
    <cellStyle name="Total 2 3 2 2 5 2 3" xfId="25692" xr:uid="{B0E087DC-00E2-4AFE-9A24-5A6E898B2DAF}"/>
    <cellStyle name="Total 2 3 2 2 5 3" xfId="16980" xr:uid="{4773510B-05EC-4AA1-B40A-18BBE538C717}"/>
    <cellStyle name="Total 2 3 2 2 5 3 2" xfId="39370" xr:uid="{B16784C6-21AB-4AF7-A8A5-7444080779E5}"/>
    <cellStyle name="Total 2 3 2 2 5 3 3" xfId="28275" xr:uid="{5E22D79D-1C6C-4559-85A1-95BC8260DF24}"/>
    <cellStyle name="Total 2 3 2 2 5 4" xfId="15616" xr:uid="{1D659C1D-BBCD-498C-82CD-890F1D175CAF}"/>
    <cellStyle name="Total 2 3 2 2 5 4 2" xfId="38032" xr:uid="{10B8305F-B916-4124-8101-B341DA895D87}"/>
    <cellStyle name="Total 2 3 2 2 5 4 3" xfId="23611" xr:uid="{9C97FC23-BC46-4EA3-BD02-9BB59026675A}"/>
    <cellStyle name="Total 2 3 2 2 5 5" xfId="21404" xr:uid="{A7B285B9-6ACB-4C43-A95E-30CE1ECB042F}"/>
    <cellStyle name="Total 2 3 2 2 5 5 2" xfId="47421" xr:uid="{9247AC64-F46E-444E-9470-614EACAB8B8C}"/>
    <cellStyle name="Total 2 3 2 2 5 6" xfId="52742" xr:uid="{52AB55BC-74E6-467E-BFE5-E07B54C08AD7}"/>
    <cellStyle name="Total 2 3 2 2 6" xfId="6389" xr:uid="{00000000-0005-0000-0000-00007F080000}"/>
    <cellStyle name="Total 2 3 2 2 6 2" xfId="13261" xr:uid="{D39371DD-DB17-4292-A09E-828481015AF8}"/>
    <cellStyle name="Total 2 3 2 2 6 2 2" xfId="35745" xr:uid="{DFD57440-60AF-410B-9F7A-EA6A37D9B5FF}"/>
    <cellStyle name="Total 2 3 2 2 6 2 3" xfId="26890" xr:uid="{3751C02D-8CBC-4216-AFB8-D16C437E358D}"/>
    <cellStyle name="Total 2 3 2 2 6 3" xfId="18326" xr:uid="{90441BFF-FAB1-4ABA-B474-20D9D70AC9F9}"/>
    <cellStyle name="Total 2 3 2 2 6 3 2" xfId="40716" xr:uid="{6E1B0E99-75E3-495D-A893-3A8890229C2F}"/>
    <cellStyle name="Total 2 3 2 2 6 3 3" xfId="29421" xr:uid="{494F44CA-2F73-48D5-8045-D21085B082D6}"/>
    <cellStyle name="Total 2 3 2 2 6 4" xfId="21049" xr:uid="{5A8CA6D9-D6DB-4841-AF88-9E99BDAC791B}"/>
    <cellStyle name="Total 2 3 2 2 6 4 2" xfId="43297" xr:uid="{4B2AEEE0-EDE7-49A7-846A-88C4C6C993B0}"/>
    <cellStyle name="Total 2 3 2 2 6 4 3" xfId="50829" xr:uid="{D0500D3E-6B28-45E5-AE86-2E2BD51B7CFE}"/>
    <cellStyle name="Total 2 3 2 2 6 5" xfId="22750" xr:uid="{D77B51B9-23EA-456B-B062-32B4F6DE72C9}"/>
    <cellStyle name="Total 2 3 2 2 6 5 2" xfId="49892" xr:uid="{AF08942A-975F-4920-A7EE-F88F3C9215EB}"/>
    <cellStyle name="Total 2 3 2 2 6 6" xfId="53866" xr:uid="{F9B094F1-7F5D-47CF-AE54-9EE400687675}"/>
    <cellStyle name="Total 2 3 2 2 7" xfId="6104" xr:uid="{00000000-0005-0000-0000-00007F080000}"/>
    <cellStyle name="Total 2 3 2 2 7 2" xfId="12982" xr:uid="{84A99121-C954-4FA8-AFF2-397D716C2C0C}"/>
    <cellStyle name="Total 2 3 2 2 7 2 2" xfId="35466" xr:uid="{7AE7FD14-A970-4C54-B612-1432EBE8B07D}"/>
    <cellStyle name="Total 2 3 2 2 7 2 3" xfId="53642" xr:uid="{109AFF39-789B-4D7F-9675-B5EC0AB3FBAD}"/>
    <cellStyle name="Total 2 3 2 2 7 3" xfId="18041" xr:uid="{7C1ED379-6378-48C3-9E39-EB9477DFD16A}"/>
    <cellStyle name="Total 2 3 2 2 7 3 2" xfId="40431" xr:uid="{A219FADE-C078-4EC7-990B-98422E488D8C}"/>
    <cellStyle name="Total 2 3 2 2 7 3 3" xfId="30150" xr:uid="{D62D6497-4AAE-46D4-A44F-BBCE6CF62283}"/>
    <cellStyle name="Total 2 3 2 2 7 4" xfId="7281" xr:uid="{E37BBC77-F264-4077-B255-1AD0202CCE59}"/>
    <cellStyle name="Total 2 3 2 2 7 4 2" xfId="29969" xr:uid="{1FA0051B-3EFC-434F-91FD-F1B65244A892}"/>
    <cellStyle name="Total 2 3 2 2 7 4 3" xfId="53256" xr:uid="{749D6A88-1CBE-4567-828F-5C97A02C89C4}"/>
    <cellStyle name="Total 2 3 2 2 7 5" xfId="22465" xr:uid="{A505326E-8FCD-4BD5-A3A3-362241C3EFA7}"/>
    <cellStyle name="Total 2 3 2 2 7 5 2" xfId="50810" xr:uid="{41AD6F5C-5623-4F7F-87D7-FF0072580AC6}"/>
    <cellStyle name="Total 2 3 2 2 7 6" xfId="41859" xr:uid="{27D83A67-26B6-4AF5-AAE4-4AEC1AA0D04D}"/>
    <cellStyle name="Total 2 3 2 2 8" xfId="6906" xr:uid="{00000000-0005-0000-0000-00007F080000}"/>
    <cellStyle name="Total 2 3 2 2 8 2" xfId="13744" xr:uid="{D0A6F3D3-4C50-4E88-8F82-DFD27443CD2C}"/>
    <cellStyle name="Total 2 3 2 2 8 2 2" xfId="36228" xr:uid="{4E23CE43-8B20-48CE-B598-650C44B0625B}"/>
    <cellStyle name="Total 2 3 2 2 8 2 3" xfId="23811" xr:uid="{81F52463-D0FB-4D4D-B501-C2174F24D171}"/>
    <cellStyle name="Total 2 3 2 2 8 3" xfId="18843" xr:uid="{D14658D7-7201-4789-98BA-348A9C1207E8}"/>
    <cellStyle name="Total 2 3 2 2 8 3 2" xfId="41233" xr:uid="{1F780335-E861-42DC-B302-B9816E62D49E}"/>
    <cellStyle name="Total 2 3 2 2 8 3 3" xfId="43946" xr:uid="{60CA53BA-4CD5-4A59-9889-A6ABD0F2D164}"/>
    <cellStyle name="Total 2 3 2 2 8 4" xfId="14801" xr:uid="{C44D0E8D-B4AF-46FE-BB2A-F65BF02C158E}"/>
    <cellStyle name="Total 2 3 2 2 8 4 2" xfId="37257" xr:uid="{5A1142A9-64B0-46A1-B0F6-5BDE0CAEF4E2}"/>
    <cellStyle name="Total 2 3 2 2 8 4 3" xfId="50920" xr:uid="{CEA4B3A7-BFF9-4FDF-BB0A-C815949D5003}"/>
    <cellStyle name="Total 2 3 2 2 8 5" xfId="23267" xr:uid="{60A47040-AFFF-42CE-B59A-EE3E8A8F2164}"/>
    <cellStyle name="Total 2 3 2 2 8 5 2" xfId="52386" xr:uid="{D3150379-0329-483B-8A23-7161CFB6C8D8}"/>
    <cellStyle name="Total 2 3 2 2 8 6" xfId="47151" xr:uid="{410C63A7-2978-4D77-9AA9-2AC2587645AC}"/>
    <cellStyle name="Total 2 3 2 2 9" xfId="5902" xr:uid="{00000000-0005-0000-0000-00007F080000}"/>
    <cellStyle name="Total 2 3 2 2 9 2" xfId="17839" xr:uid="{99B2E923-CADC-43DC-B613-75DF63AB0F5F}"/>
    <cellStyle name="Total 2 3 2 2 9 2 2" xfId="40229" xr:uid="{84EF463D-09B6-4463-9003-7A3EFBE16F10}"/>
    <cellStyle name="Total 2 3 2 2 9 2 3" xfId="27364" xr:uid="{C7771185-6C00-41D6-B545-FD48954FA104}"/>
    <cellStyle name="Total 2 3 2 2 9 3" xfId="19275" xr:uid="{18B17B0C-3DE4-4C17-B809-6C2B7626766A}"/>
    <cellStyle name="Total 2 3 2 2 9 3 2" xfId="41658" xr:uid="{36C808C5-FFF1-4228-99C6-78DCC351FDF8}"/>
    <cellStyle name="Total 2 3 2 2 9 3 3" xfId="26112" xr:uid="{CBDCBFBA-737A-474F-8311-55C11AC39967}"/>
    <cellStyle name="Total 2 3 2 2 9 4" xfId="22263" xr:uid="{ADF6F62A-C862-48BA-B5F7-C9A20B178929}"/>
    <cellStyle name="Total 2 3 2 2 9 4 2" xfId="27039" xr:uid="{329CBECE-FB94-4225-A360-BE652889F13F}"/>
    <cellStyle name="Total 2 3 2 2 9 5" xfId="52564" xr:uid="{741F3525-7F0E-4B70-8231-9C7F35AB8FA4}"/>
    <cellStyle name="Total 2 3 2 3" xfId="2737" xr:uid="{00000000-0005-0000-0000-00007E080000}"/>
    <cellStyle name="Total 2 3 2 3 2" xfId="9646" xr:uid="{21106E12-D5BF-44D4-81C7-5D866D80708E}"/>
    <cellStyle name="Total 2 3 2 3 2 2" xfId="32194" xr:uid="{1A735E96-3EF6-4C41-84F7-F24D3DB89C94}"/>
    <cellStyle name="Total 2 3 2 3 2 3" xfId="25124" xr:uid="{DFCA7692-AEFF-44B4-9D74-0B1A0C0F532D}"/>
    <cellStyle name="Total 2 3 2 3 3" xfId="15164" xr:uid="{BC1F6DA4-1C51-44DE-A10F-F777D7AEAC43}"/>
    <cellStyle name="Total 2 3 2 3 3 2" xfId="37604" xr:uid="{DE5C32E5-A207-44F7-9CA0-644878BF7096}"/>
    <cellStyle name="Total 2 3 2 3 3 3" xfId="24779" xr:uid="{6BD491A1-BE78-4A74-8996-28F754E21D22}"/>
    <cellStyle name="Total 2 3 2 3 4" xfId="13304" xr:uid="{EBFD5C96-BE9A-4ECA-9C73-1C454106CE48}"/>
    <cellStyle name="Total 2 3 2 3 4 2" xfId="35788" xr:uid="{85FD56EA-ED2D-43D0-B646-464839E9BFC8}"/>
    <cellStyle name="Total 2 3 2 3 4 3" xfId="47511" xr:uid="{30CC75EF-3508-41FC-8F8D-2DD08B225767}"/>
    <cellStyle name="Total 2 3 2 3 5" xfId="20645" xr:uid="{7378713B-0A6B-42B8-9CD9-29CAC8D659B3}"/>
    <cellStyle name="Total 2 3 2 3 5 2" xfId="52691" xr:uid="{6CE5EDF6-7F28-4554-9E48-552D6501455E}"/>
    <cellStyle name="Total 2 3 2 3 6" xfId="51988" xr:uid="{C35337F7-9B6D-4062-B038-F5F3AEB4EE37}"/>
    <cellStyle name="Total 2 3 2 4" xfId="4529" xr:uid="{00000000-0005-0000-0000-00007E080000}"/>
    <cellStyle name="Total 2 3 2 4 2" xfId="11431" xr:uid="{C4971AB3-262F-48E1-9E38-87E59E5CFE82}"/>
    <cellStyle name="Total 2 3 2 4 2 2" xfId="33917" xr:uid="{F87D9FD7-3E80-4914-9279-A7D35DF5D06A}"/>
    <cellStyle name="Total 2 3 2 4 2 3" xfId="25143" xr:uid="{4ACE3139-E320-4E9A-837D-D429E29B1E0D}"/>
    <cellStyle name="Total 2 3 2 4 3" xfId="16466" xr:uid="{ECB1A4AE-5504-40BF-B4AD-0ED9636DA7A2}"/>
    <cellStyle name="Total 2 3 2 4 3 2" xfId="38856" xr:uid="{71CD73D0-12D5-43B1-A782-ADDD9DF78F8B}"/>
    <cellStyle name="Total 2 3 2 4 3 3" xfId="28671" xr:uid="{560A10CF-97CF-46CA-8BBD-6BE859DE21D4}"/>
    <cellStyle name="Total 2 3 2 4 4" xfId="14015" xr:uid="{7F7F98C8-8FF8-44E5-8C40-7369E2EAF5DE}"/>
    <cellStyle name="Total 2 3 2 4 4 2" xfId="36498" xr:uid="{60A1D3CE-13E6-45E0-B076-5751FED721CD}"/>
    <cellStyle name="Total 2 3 2 4 4 3" xfId="46186" xr:uid="{148DB96A-4E1D-482C-8A62-E3C1C145A43C}"/>
    <cellStyle name="Total 2 3 2 4 5" xfId="8820" xr:uid="{FB93A7CB-939C-43AE-842E-20EA7806FC8B}"/>
    <cellStyle name="Total 2 3 2 4 5 2" xfId="46362" xr:uid="{C4A968C7-F2CB-47AA-823F-CFDCC93E820D}"/>
    <cellStyle name="Total 2 3 2 4 6" xfId="48721" xr:uid="{696DCEE7-B233-47A9-B94E-4BDD5F843425}"/>
    <cellStyle name="Total 2 3 2 5" xfId="5218" xr:uid="{00000000-0005-0000-0000-00007E080000}"/>
    <cellStyle name="Total 2 3 2 5 2" xfId="12111" xr:uid="{7B400DFB-E89E-4DD3-B5D6-192B45CD839A}"/>
    <cellStyle name="Total 2 3 2 5 2 2" xfId="34596" xr:uid="{121D1A4F-6901-40CB-9EC5-91D9036C6560}"/>
    <cellStyle name="Total 2 3 2 5 2 3" xfId="26655" xr:uid="{4AFADA51-727B-4643-9E07-0CBA64BF6EEA}"/>
    <cellStyle name="Total 2 3 2 5 3" xfId="17155" xr:uid="{698709F4-7681-4E56-B207-C4B45DB61EAD}"/>
    <cellStyle name="Total 2 3 2 5 3 2" xfId="39545" xr:uid="{5F83D3C7-81ED-4DDB-950A-344ED5E3CE5B}"/>
    <cellStyle name="Total 2 3 2 5 3 3" xfId="27671" xr:uid="{8E4A42B6-5BBD-4C5F-BE6E-7F73920227A5}"/>
    <cellStyle name="Total 2 3 2 5 4" xfId="16157" xr:uid="{3CDCBCB9-CDC0-40A2-9698-388189719AA1}"/>
    <cellStyle name="Total 2 3 2 5 4 2" xfId="38556" xr:uid="{9235E6F1-D63D-42F3-A520-DFAE516FEA15}"/>
    <cellStyle name="Total 2 3 2 5 4 3" xfId="45191" xr:uid="{E0301BF3-1044-4D2F-AE08-5516715CF1E3}"/>
    <cellStyle name="Total 2 3 2 5 5" xfId="21579" xr:uid="{D0F22C68-2322-4153-A60C-62F66E4A8B88}"/>
    <cellStyle name="Total 2 3 2 5 5 2" xfId="53605" xr:uid="{65ABEEDB-D29C-48C6-A6AC-D4192E5ACAFF}"/>
    <cellStyle name="Total 2 3 2 5 6" xfId="51464" xr:uid="{F310B68E-BEAE-4214-A0A5-D492BE8CB6CC}"/>
    <cellStyle name="Total 2 3 2 6" xfId="5834" xr:uid="{00000000-0005-0000-0000-00007E080000}"/>
    <cellStyle name="Total 2 3 2 6 2" xfId="12717" xr:uid="{CA4CD41C-5148-43DD-AC44-A6D4DDF5E159}"/>
    <cellStyle name="Total 2 3 2 6 2 2" xfId="35201" xr:uid="{65A284C7-D58E-4D54-B425-46E8BBF4C9E2}"/>
    <cellStyle name="Total 2 3 2 6 2 3" xfId="45861" xr:uid="{F7AF64B3-5B75-464B-91EA-41436B7B2A3E}"/>
    <cellStyle name="Total 2 3 2 6 3" xfId="17771" xr:uid="{2FFCFCE7-6D4C-430D-949D-8BF3B2EF3EA3}"/>
    <cellStyle name="Total 2 3 2 6 3 2" xfId="40161" xr:uid="{F3AE63E0-97AD-4AFD-8F37-2A5901407D9D}"/>
    <cellStyle name="Total 2 3 2 6 3 3" xfId="44268" xr:uid="{52866D21-67F5-4BDA-9581-6A7EE729B6BE}"/>
    <cellStyle name="Total 2 3 2 6 4" xfId="19722" xr:uid="{AD0835A6-B441-4401-A1C5-4446A563551E}"/>
    <cellStyle name="Total 2 3 2 6 4 2" xfId="42068" xr:uid="{40B62ACE-2732-4B24-A4E7-B08F13860F79}"/>
    <cellStyle name="Total 2 3 2 6 4 3" xfId="29687" xr:uid="{DB3D0E8E-743D-42E9-AF6B-39450B4FE710}"/>
    <cellStyle name="Total 2 3 2 6 5" xfId="22195" xr:uid="{93DC054D-9103-4EFA-9923-1544AA4E7390}"/>
    <cellStyle name="Total 2 3 2 6 5 2" xfId="52407" xr:uid="{BABA7227-58B0-44CE-BBD1-89832C07BB60}"/>
    <cellStyle name="Total 2 3 2 6 6" xfId="49123" xr:uid="{E2EA16BE-29B7-4E1A-99EC-44D3CB40789A}"/>
    <cellStyle name="Total 2 3 2 7" xfId="5985" xr:uid="{00000000-0005-0000-0000-00007E080000}"/>
    <cellStyle name="Total 2 3 2 7 2" xfId="12866" xr:uid="{DAFF93EB-53AA-452F-B555-60B77C3A9DC0}"/>
    <cellStyle name="Total 2 3 2 7 2 2" xfId="35350" xr:uid="{E3112259-0B68-431A-BA2F-82F5A008CC3B}"/>
    <cellStyle name="Total 2 3 2 7 2 3" xfId="47420" xr:uid="{BD11D5AF-2BF4-4F1A-B4C4-B7DE21FD0A92}"/>
    <cellStyle name="Total 2 3 2 7 3" xfId="17922" xr:uid="{31B58FFD-9043-41C1-B301-4DB1E824724A}"/>
    <cellStyle name="Total 2 3 2 7 3 2" xfId="40312" xr:uid="{447E337B-BCEB-41D0-9500-850E728BF9E2}"/>
    <cellStyle name="Total 2 3 2 7 3 3" xfId="24021" xr:uid="{B9F4CA5D-5E35-4CB3-8166-F34414BF246E}"/>
    <cellStyle name="Total 2 3 2 7 4" xfId="15120" xr:uid="{71DCB253-3316-4728-B3A6-E64E92458132}"/>
    <cellStyle name="Total 2 3 2 7 4 2" xfId="37562" xr:uid="{EA273124-5213-4487-9048-6FB34B7738A6}"/>
    <cellStyle name="Total 2 3 2 7 4 3" xfId="46606" xr:uid="{2B2A7DBF-9204-4105-A2C6-796E6C6A0B98}"/>
    <cellStyle name="Total 2 3 2 7 5" xfId="22346" xr:uid="{AD7DA15D-1C5C-49D0-8237-CCA5546AACDB}"/>
    <cellStyle name="Total 2 3 2 7 5 2" xfId="53565" xr:uid="{25CC7FEA-E88F-4E4F-B4E7-D5583D8312DF}"/>
    <cellStyle name="Total 2 3 2 7 6" xfId="45778" xr:uid="{4F4BA54C-C723-4338-9964-84C1F1C02B1D}"/>
    <cellStyle name="Total 2 3 2 8" xfId="7326" xr:uid="{DADA6DB4-6B95-4666-B598-C23868BC53F9}"/>
    <cellStyle name="Total 2 3 2 8 2" xfId="30014" xr:uid="{3882FE91-99BA-4186-BADE-D76A1F492A95}"/>
    <cellStyle name="Total 2 3 2 8 3" xfId="48770" xr:uid="{ECC94925-F918-4EE0-84EA-D53C1FD5DFBE}"/>
    <cellStyle name="Total 2 3 2 9" xfId="20601" xr:uid="{16B07AD1-F686-44EA-930A-F783DAC63AFF}"/>
    <cellStyle name="Total 2 3 2 9 2" xfId="42882" xr:uid="{FF20D3A3-88CA-470B-BA79-EC57D99D0BEE}"/>
    <cellStyle name="Total 2 3 2 9 3" xfId="29429" xr:uid="{DAC932E6-7ACB-413F-9FE7-94D8E53F6FDE}"/>
    <cellStyle name="Total 2 3 3" xfId="837" xr:uid="{00000000-0005-0000-0000-000083080000}"/>
    <cellStyle name="Total 2 3 3 10" xfId="20561" xr:uid="{8925BF96-A68B-4EEF-92CD-B7D708F7C6CB}"/>
    <cellStyle name="Total 2 3 3 10 2" xfId="51433" xr:uid="{8B0AFF3E-6857-4776-9622-0B66CE4246FD}"/>
    <cellStyle name="Total 2 3 3 11" xfId="51786" xr:uid="{28E3C3D3-23FF-4178-A665-0D548EE2F11C}"/>
    <cellStyle name="Total 2 3 3 2" xfId="1822" xr:uid="{00000000-0005-0000-0000-000084080000}"/>
    <cellStyle name="Total 2 3 3 2 10" xfId="14506" xr:uid="{6E9F471C-19B8-4725-A2E4-884508CADB82}"/>
    <cellStyle name="Total 2 3 3 2 10 2" xfId="36967" xr:uid="{6F830B95-82C3-4ACA-BD79-46185042FB61}"/>
    <cellStyle name="Total 2 3 3 2 10 3" xfId="48330" xr:uid="{9396DF73-E9E8-4450-A803-69F1E4357457}"/>
    <cellStyle name="Total 2 3 3 2 11" xfId="19932" xr:uid="{6529C429-FA35-4AD7-8EB3-58BFDA292539}"/>
    <cellStyle name="Total 2 3 3 2 11 2" xfId="42263" xr:uid="{CADDD8A6-8B7E-4E14-8EC0-A85C1910B39A}"/>
    <cellStyle name="Total 2 3 3 2 11 3" xfId="28073" xr:uid="{5ADEC85D-022A-42F9-BE58-E9ECF6AEE2F4}"/>
    <cellStyle name="Total 2 3 3 2 12" xfId="7579" xr:uid="{C499CC3E-D375-4F2F-ACF9-38DB42EF6187}"/>
    <cellStyle name="Total 2 3 3 2 12 2" xfId="48278" xr:uid="{3CE87F77-983A-44DD-91E0-D6B3BE5A9041}"/>
    <cellStyle name="Total 2 3 3 2 13" xfId="47433" xr:uid="{5A66DAB2-037C-493E-890C-DC57957C0591}"/>
    <cellStyle name="Total 2 3 3 2 2" xfId="3920" xr:uid="{00000000-0005-0000-0000-000081080000}"/>
    <cellStyle name="Total 2 3 3 2 2 2" xfId="10824" xr:uid="{11B6534F-AC2E-4EF1-99E9-9276BB4274BB}"/>
    <cellStyle name="Total 2 3 3 2 2 2 2" xfId="33310" xr:uid="{56294A90-7BBE-4127-AFA7-A7C341E4C9E8}"/>
    <cellStyle name="Total 2 3 3 2 2 2 3" xfId="53761" xr:uid="{25DBED11-85DD-4760-A5D5-6C1C5C989D00}"/>
    <cellStyle name="Total 2 3 3 2 2 3" xfId="15962" xr:uid="{92A650E2-0C1C-4CBB-8520-2FA66E10AC66}"/>
    <cellStyle name="Total 2 3 3 2 2 3 2" xfId="38365" xr:uid="{B5599702-2DC2-4CB5-A6C4-8E84181D1BE8}"/>
    <cellStyle name="Total 2 3 3 2 2 3 3" xfId="28672" xr:uid="{E7F2F0CC-B21E-4527-8448-44139E0F39F6}"/>
    <cellStyle name="Total 2 3 3 2 2 4" xfId="20002" xr:uid="{98CC9B99-1285-4D5C-B8CE-4CBF3327A04F}"/>
    <cellStyle name="Total 2 3 3 2 2 4 2" xfId="42327" xr:uid="{8C05F3E7-0F0F-4599-8CC5-13C8E58C8C1D}"/>
    <cellStyle name="Total 2 3 3 2 2 4 3" xfId="29137" xr:uid="{8AC8C5EF-BDE4-431C-BC3A-477A038DB04B}"/>
    <cellStyle name="Total 2 3 3 2 2 5" xfId="20505" xr:uid="{3BEFB6B1-550A-493A-AC00-34D078483487}"/>
    <cellStyle name="Total 2 3 3 2 2 5 2" xfId="43720" xr:uid="{253DE7D0-FA5B-4C05-8A5E-1B1B2AE92307}"/>
    <cellStyle name="Total 2 3 3 2 2 6" xfId="53590" xr:uid="{7D60D477-5427-4795-9EBA-8F16F0E7A007}"/>
    <cellStyle name="Total 2 3 3 2 3" xfId="5315" xr:uid="{00000000-0005-0000-0000-000081080000}"/>
    <cellStyle name="Total 2 3 3 2 3 2" xfId="12207" xr:uid="{58ADBA31-BF97-4795-9E56-3C8C6809C67C}"/>
    <cellStyle name="Total 2 3 3 2 3 2 2" xfId="34692" xr:uid="{AE731A6E-93B9-4B12-B1A7-E8C9D969E70F}"/>
    <cellStyle name="Total 2 3 3 2 3 2 3" xfId="29715" xr:uid="{E726407E-75F3-4B12-A219-E17C7DAFDC5B}"/>
    <cellStyle name="Total 2 3 3 2 3 3" xfId="17252" xr:uid="{6866BB58-4441-473C-AB9A-4164618E0BEB}"/>
    <cellStyle name="Total 2 3 3 2 3 3 2" xfId="39642" xr:uid="{67CD9036-9288-4C54-B713-3D1A2EB1E076}"/>
    <cellStyle name="Total 2 3 3 2 3 3 3" xfId="44169" xr:uid="{06CA806A-855A-4DFC-B276-F6C3417691EA}"/>
    <cellStyle name="Total 2 3 3 2 3 4" xfId="19253" xr:uid="{C57985C9-7CF6-429B-9310-96392FA5554A}"/>
    <cellStyle name="Total 2 3 3 2 3 4 2" xfId="41636" xr:uid="{937F2DB4-956D-4128-B53F-FACA0702FBF1}"/>
    <cellStyle name="Total 2 3 3 2 3 4 3" xfId="45139" xr:uid="{3E364DAD-6742-4D7B-BAB8-1C173D322E61}"/>
    <cellStyle name="Total 2 3 3 2 3 5" xfId="21676" xr:uid="{F3A71326-58EA-4D90-8DE6-22D522663807}"/>
    <cellStyle name="Total 2 3 3 2 3 5 2" xfId="48301" xr:uid="{23DC7D82-3BA2-47EA-AA13-5CAEB2737DE2}"/>
    <cellStyle name="Total 2 3 3 2 3 6" xfId="31983" xr:uid="{29A2F662-BB02-4E58-903B-23FB820FB30A}"/>
    <cellStyle name="Total 2 3 3 2 4" xfId="5725" xr:uid="{00000000-0005-0000-0000-000081080000}"/>
    <cellStyle name="Total 2 3 3 2 4 2" xfId="12609" xr:uid="{6797C376-BDEC-4C26-8A12-2A90C96413DD}"/>
    <cellStyle name="Total 2 3 3 2 4 2 2" xfId="35094" xr:uid="{D8FF1487-1251-4269-8EFD-86AED80EE5F2}"/>
    <cellStyle name="Total 2 3 3 2 4 2 3" xfId="24084" xr:uid="{EB1FF84F-EFF0-427C-8F5C-D65488D40F2E}"/>
    <cellStyle name="Total 2 3 3 2 4 3" xfId="17662" xr:uid="{6D1B6355-AE62-49A3-9D0B-EEF208059F52}"/>
    <cellStyle name="Total 2 3 3 2 4 3 2" xfId="40052" xr:uid="{F47506E6-893C-4016-B496-FA618E0F3A02}"/>
    <cellStyle name="Total 2 3 3 2 4 3 3" xfId="30810" xr:uid="{6E911A22-E7D4-482C-B531-494DC5CF59ED}"/>
    <cellStyle name="Total 2 3 3 2 4 4" xfId="19285" xr:uid="{1B2970F7-C2B6-4092-9FF1-679B8AE8489D}"/>
    <cellStyle name="Total 2 3 3 2 4 4 2" xfId="41667" xr:uid="{E2116812-83E7-4B1B-BA1C-71806FBA1776}"/>
    <cellStyle name="Total 2 3 3 2 4 4 3" xfId="28235" xr:uid="{AA62A9E5-17FB-43C9-9143-06381267E0A5}"/>
    <cellStyle name="Total 2 3 3 2 4 5" xfId="22086" xr:uid="{ADC94098-9156-419A-BD9C-D22C14DE156D}"/>
    <cellStyle name="Total 2 3 3 2 4 5 2" xfId="28713" xr:uid="{B2AA10D1-C5EC-4393-87E0-0E556CF93622}"/>
    <cellStyle name="Total 2 3 3 2 4 6" xfId="46130" xr:uid="{BBBFCD75-9532-4BB0-A9AB-555AC32D0761}"/>
    <cellStyle name="Total 2 3 3 2 5" xfId="6079" xr:uid="{00000000-0005-0000-0000-000081080000}"/>
    <cellStyle name="Total 2 3 3 2 5 2" xfId="12957" xr:uid="{51827233-C439-4D2E-AE6E-E8862289B290}"/>
    <cellStyle name="Total 2 3 3 2 5 2 2" xfId="35441" xr:uid="{1DE68C32-DBAD-4AFA-8E9C-3866D56A92F5}"/>
    <cellStyle name="Total 2 3 3 2 5 2 3" xfId="46256" xr:uid="{8B669CD5-EE60-41F3-8A59-4E1ECDB6E71A}"/>
    <cellStyle name="Total 2 3 3 2 5 3" xfId="18016" xr:uid="{D15D730F-2FC6-426C-9FFD-749782403E16}"/>
    <cellStyle name="Total 2 3 3 2 5 3 2" xfId="40406" xr:uid="{AB9644E6-ECF4-401C-8A00-0C080AFDC82B}"/>
    <cellStyle name="Total 2 3 3 2 5 3 3" xfId="26529" xr:uid="{1BCDB8FD-08FC-47DF-B77F-1C6C71EE3FDF}"/>
    <cellStyle name="Total 2 3 3 2 5 4" xfId="14252" xr:uid="{D23DD5BE-42BB-4BF2-9D2E-EB2039C93138}"/>
    <cellStyle name="Total 2 3 3 2 5 4 2" xfId="36725" xr:uid="{901EFEE2-4787-4166-BA82-589B41A774EE}"/>
    <cellStyle name="Total 2 3 3 2 5 4 3" xfId="45280" xr:uid="{6FBA9BF7-8FA3-4473-A013-659E7C755336}"/>
    <cellStyle name="Total 2 3 3 2 5 5" xfId="22440" xr:uid="{BE1E06D0-1E85-4A3B-9939-CA07C4D4D813}"/>
    <cellStyle name="Total 2 3 3 2 5 5 2" xfId="28232" xr:uid="{61DA603D-5AFB-4FDA-AB60-73A29A93A51F}"/>
    <cellStyle name="Total 2 3 3 2 5 6" xfId="49409" xr:uid="{38DEEDFD-B817-4A04-B545-B8B36902F7D7}"/>
    <cellStyle name="Total 2 3 3 2 6" xfId="6454" xr:uid="{00000000-0005-0000-0000-000081080000}"/>
    <cellStyle name="Total 2 3 3 2 6 2" xfId="13324" xr:uid="{84681E97-75CC-4B35-B650-B601C906E62E}"/>
    <cellStyle name="Total 2 3 3 2 6 2 2" xfId="35808" xr:uid="{BCA758C4-4CA2-43E6-9FFB-15F5BBFC6FEF}"/>
    <cellStyle name="Total 2 3 3 2 6 2 3" xfId="28050" xr:uid="{89E59607-FA86-46C7-9814-33A64279DE07}"/>
    <cellStyle name="Total 2 3 3 2 6 3" xfId="18391" xr:uid="{889A88BF-85EC-4B9F-B3E5-7F08D6090187}"/>
    <cellStyle name="Total 2 3 3 2 6 3 2" xfId="40781" xr:uid="{5E0CDE18-6DC9-46D3-AF3B-9C03A1B3576E}"/>
    <cellStyle name="Total 2 3 3 2 6 3 3" xfId="44743" xr:uid="{93923282-E929-4895-87EE-58BE7A1D2351}"/>
    <cellStyle name="Total 2 3 3 2 6 4" xfId="19599" xr:uid="{820AB007-0E7A-4E17-BFCE-CCEE6311D965}"/>
    <cellStyle name="Total 2 3 3 2 6 4 2" xfId="41954" xr:uid="{72B1D2E7-6322-4D19-A038-7C9DE9DB1724}"/>
    <cellStyle name="Total 2 3 3 2 6 4 3" xfId="25925" xr:uid="{72FEBB81-179F-47F8-986D-5FBFABA9FAE9}"/>
    <cellStyle name="Total 2 3 3 2 6 5" xfId="22815" xr:uid="{823D3560-A714-42BD-B098-0806179687F0}"/>
    <cellStyle name="Total 2 3 3 2 6 5 2" xfId="49694" xr:uid="{587B9D04-45FE-448D-9F55-2F06EAE01A62}"/>
    <cellStyle name="Total 2 3 3 2 6 6" xfId="51190" xr:uid="{4AAE3E64-0153-425C-804A-8135892C5DE7}"/>
    <cellStyle name="Total 2 3 3 2 7" xfId="2969" xr:uid="{00000000-0005-0000-0000-000081080000}"/>
    <cellStyle name="Total 2 3 3 2 7 2" xfId="9878" xr:uid="{C99F24CF-6F63-4145-B63B-B2635E42159D}"/>
    <cellStyle name="Total 2 3 3 2 7 2 2" xfId="32401" xr:uid="{E0812B65-EE33-4E79-9178-0C534DDFCCFC}"/>
    <cellStyle name="Total 2 3 3 2 7 2 3" xfId="53701" xr:uid="{7716E7CB-074C-427C-B40F-46AC91F99160}"/>
    <cellStyle name="Total 2 3 3 2 7 3" xfId="15316" xr:uid="{C41EBBB8-7D9D-4E93-BCE5-E4E2B82451B4}"/>
    <cellStyle name="Total 2 3 3 2 7 3 2" xfId="37748" xr:uid="{D2ECF244-1A7D-4B29-9777-DA4F7A5232BB}"/>
    <cellStyle name="Total 2 3 3 2 7 3 3" xfId="52352" xr:uid="{BDEA0E5A-52BA-4167-BA54-751047375D65}"/>
    <cellStyle name="Total 2 3 3 2 7 4" xfId="19651" xr:uid="{60DA34B0-D7A6-4D7F-8C18-831F27D550C8}"/>
    <cellStyle name="Total 2 3 3 2 7 4 2" xfId="41999" xr:uid="{0BEDB5D1-1434-433A-964B-E65129B9AB47}"/>
    <cellStyle name="Total 2 3 3 2 7 4 3" xfId="23616" xr:uid="{4B21F58C-2FAF-4D1D-A1BB-C8148FEBD040}"/>
    <cellStyle name="Total 2 3 3 2 7 5" xfId="20328" xr:uid="{C5E00D81-4307-425A-BB48-367E8C78A55B}"/>
    <cellStyle name="Total 2 3 3 2 7 5 2" xfId="44278" xr:uid="{3CEE203E-0E4E-4410-AB67-94D4373B2793}"/>
    <cellStyle name="Total 2 3 3 2 7 6" xfId="47270" xr:uid="{3A976C19-1817-4ACE-8F4C-96448EC4AFED}"/>
    <cellStyle name="Total 2 3 3 2 8" xfId="6954" xr:uid="{00000000-0005-0000-0000-000081080000}"/>
    <cellStyle name="Total 2 3 3 2 8 2" xfId="13791" xr:uid="{403549AA-4140-45E9-8E4B-A89FB19B7B97}"/>
    <cellStyle name="Total 2 3 3 2 8 2 2" xfId="36275" xr:uid="{91949482-422B-4A8F-AA63-900F15A0F8C4}"/>
    <cellStyle name="Total 2 3 3 2 8 2 3" xfId="46029" xr:uid="{0FAA27DA-7012-465E-9E5D-A7BF0854895D}"/>
    <cellStyle name="Total 2 3 3 2 8 3" xfId="18891" xr:uid="{1BA4B5FC-8E0F-4941-8627-F7A36C1BF719}"/>
    <cellStyle name="Total 2 3 3 2 8 3 2" xfId="41281" xr:uid="{09343D2B-D63B-4F00-880C-6574DBF863E3}"/>
    <cellStyle name="Total 2 3 3 2 8 3 3" xfId="32000" xr:uid="{C8F56D69-5A3C-4845-8638-AAFF16638371}"/>
    <cellStyle name="Total 2 3 3 2 8 4" xfId="20050" xr:uid="{2C6A6A71-E90C-4658-9C96-9A3D0FFD5D07}"/>
    <cellStyle name="Total 2 3 3 2 8 4 2" xfId="42371" xr:uid="{0FF850B0-3F9B-4641-8062-D36EE4433AAE}"/>
    <cellStyle name="Total 2 3 3 2 8 4 3" xfId="28583" xr:uid="{115EB7A9-9012-468D-8458-8DA7637B7584}"/>
    <cellStyle name="Total 2 3 3 2 8 5" xfId="23315" xr:uid="{BB1CF6E0-925C-438E-9911-6C012DE4F839}"/>
    <cellStyle name="Total 2 3 3 2 8 5 2" xfId="46800" xr:uid="{94BEA564-6264-4182-BD5F-C5811F233C6C}"/>
    <cellStyle name="Total 2 3 3 2 8 6" xfId="44494" xr:uid="{67653A3A-A8AE-4132-9DB6-B66BD8761F4B}"/>
    <cellStyle name="Total 2 3 3 2 9" xfId="6433" xr:uid="{00000000-0005-0000-0000-000081080000}"/>
    <cellStyle name="Total 2 3 3 2 9 2" xfId="18370" xr:uid="{A6AC4A7B-264B-40DB-A299-800DD855CD81}"/>
    <cellStyle name="Total 2 3 3 2 9 2 2" xfId="40760" xr:uid="{A4858653-B78B-4342-AE4A-7110A798A044}"/>
    <cellStyle name="Total 2 3 3 2 9 2 3" xfId="43730" xr:uid="{B12F1545-B0FF-415D-B623-8D42FDDF3938}"/>
    <cellStyle name="Total 2 3 3 2 9 3" xfId="21151" xr:uid="{E6A07A81-D7C2-4210-88FE-2719F602CF37}"/>
    <cellStyle name="Total 2 3 3 2 9 3 2" xfId="43394" xr:uid="{8327F2D8-5927-410B-8FC4-D18E0B8A269F}"/>
    <cellStyle name="Total 2 3 3 2 9 3 3" xfId="52089" xr:uid="{6D8327FC-734B-4FD4-A528-A7E847CEE4D6}"/>
    <cellStyle name="Total 2 3 3 2 9 4" xfId="22794" xr:uid="{C2B483BA-2BA9-46ED-8E88-216A079DC733}"/>
    <cellStyle name="Total 2 3 3 2 9 4 2" xfId="45259" xr:uid="{40B7EA85-D887-41DF-81A4-6B7EFC9AE5CE}"/>
    <cellStyle name="Total 2 3 3 2 9 5" xfId="51624" xr:uid="{D75B2B8D-2F99-4FE5-B62A-6BC4D733B404}"/>
    <cellStyle name="Total 2 3 3 3" xfId="2971" xr:uid="{00000000-0005-0000-0000-000080080000}"/>
    <cellStyle name="Total 2 3 3 3 2" xfId="9880" xr:uid="{1CB5D0EA-7A33-44D3-B86B-65BCB0499693}"/>
    <cellStyle name="Total 2 3 3 3 2 2" xfId="32403" xr:uid="{6AB6F555-92C1-4B2D-B525-FF36E174F260}"/>
    <cellStyle name="Total 2 3 3 3 2 3" xfId="47399" xr:uid="{3D0BB438-80FA-4222-8EC8-50E3DBDA2E23}"/>
    <cellStyle name="Total 2 3 3 3 3" xfId="15318" xr:uid="{358DF8FF-6C2A-40D4-B958-B6060DB6D31C}"/>
    <cellStyle name="Total 2 3 3 3 3 2" xfId="37750" xr:uid="{86F953EE-3876-4F39-ABF2-69748300D1D8}"/>
    <cellStyle name="Total 2 3 3 3 3 3" xfId="29705" xr:uid="{4E34BA0B-D9A8-4C76-803F-AA482503A9A4}"/>
    <cellStyle name="Total 2 3 3 3 4" xfId="14942" xr:uid="{4A12E921-DF7A-48BB-9735-C9A72C76F67E}"/>
    <cellStyle name="Total 2 3 3 3 4 2" xfId="37396" xr:uid="{AEBDAD70-FD04-4259-B022-893E392C2CE2}"/>
    <cellStyle name="Total 2 3 3 3 4 3" xfId="42343" xr:uid="{53556F27-54AF-41D5-B55D-A6D8EB49115F}"/>
    <cellStyle name="Total 2 3 3 3 5" xfId="19403" xr:uid="{8EB68D19-4481-4AB7-AE60-6AEFAE14C8F1}"/>
    <cellStyle name="Total 2 3 3 3 5 2" xfId="28162" xr:uid="{5C4E526D-F292-4765-BD77-69941D305F5F}"/>
    <cellStyle name="Total 2 3 3 3 6" xfId="52650" xr:uid="{E473A310-34A0-4B2D-843C-06A7DD3B7CD4}"/>
    <cellStyle name="Total 2 3 3 4" xfId="4681" xr:uid="{00000000-0005-0000-0000-000080080000}"/>
    <cellStyle name="Total 2 3 3 4 2" xfId="11579" xr:uid="{586B7653-6F0F-4A99-8619-ABA909D00413}"/>
    <cellStyle name="Total 2 3 3 4 2 2" xfId="34065" xr:uid="{B9544AB3-0118-47D9-9A7A-0F33AE516402}"/>
    <cellStyle name="Total 2 3 3 4 2 3" xfId="43306" xr:uid="{D9E7B8F4-C230-41BF-9869-D9E64F92F232}"/>
    <cellStyle name="Total 2 3 3 4 3" xfId="16618" xr:uid="{CA1469D1-98DA-45FE-AFD8-310F347270C4}"/>
    <cellStyle name="Total 2 3 3 4 3 2" xfId="39008" xr:uid="{C34E8DAA-085B-4D42-88D2-75D537CA70F4}"/>
    <cellStyle name="Total 2 3 3 4 3 3" xfId="44881" xr:uid="{9FBB2D5D-8F84-488E-ABE6-C9331CEB9ED6}"/>
    <cellStyle name="Total 2 3 3 4 4" xfId="19467" xr:uid="{E494B65D-716A-4453-80FF-6C88FDD97B22}"/>
    <cellStyle name="Total 2 3 3 4 4 2" xfId="41834" xr:uid="{6E2DCF0C-11D4-41BE-AE3B-B53EA7344DCA}"/>
    <cellStyle name="Total 2 3 3 4 4 3" xfId="42808" xr:uid="{A395FBA4-53F0-45D9-8D4F-8409760D6D38}"/>
    <cellStyle name="Total 2 3 3 4 5" xfId="14006" xr:uid="{A8F00A2C-6A0E-4A30-A6EE-F6038AF7FE97}"/>
    <cellStyle name="Total 2 3 3 4 5 2" xfId="51697" xr:uid="{EE5FC976-A7BA-4684-BDB7-B20AF1D8D7E9}"/>
    <cellStyle name="Total 2 3 3 4 6" xfId="52973" xr:uid="{99B6ED75-25CD-4EE7-98DF-55E10A0AB966}"/>
    <cellStyle name="Total 2 3 3 5" xfId="4885" xr:uid="{00000000-0005-0000-0000-000080080000}"/>
    <cellStyle name="Total 2 3 3 5 2" xfId="11780" xr:uid="{3AF4BE6B-6C9A-41CB-BEA1-ED278E4E442D}"/>
    <cellStyle name="Total 2 3 3 5 2 2" xfId="34266" xr:uid="{CB24C6DD-CD6A-4157-8C86-06CD3E0240EF}"/>
    <cellStyle name="Total 2 3 3 5 2 3" xfId="26961" xr:uid="{581597AA-AC77-40A2-A794-B4A65435285D}"/>
    <cellStyle name="Total 2 3 3 5 3" xfId="16822" xr:uid="{6B1BE64A-676A-4BA1-A222-6E9DDF2135E8}"/>
    <cellStyle name="Total 2 3 3 5 3 2" xfId="39212" xr:uid="{3DF11C84-5EBF-470B-98F8-4581752B37AD}"/>
    <cellStyle name="Total 2 3 3 5 3 3" xfId="31328" xr:uid="{ED3C37F4-1236-4674-99E4-FFA2D6713426}"/>
    <cellStyle name="Total 2 3 3 5 4" xfId="14289" xr:uid="{6BA74750-D7C8-44DA-BAE9-CEB518C949E5}"/>
    <cellStyle name="Total 2 3 3 5 4 2" xfId="36758" xr:uid="{4B5AC865-3BAC-4D69-A38B-83F1F6956D56}"/>
    <cellStyle name="Total 2 3 3 5 4 3" xfId="50359" xr:uid="{6539C5C0-25B1-44BA-8173-10B4688C035E}"/>
    <cellStyle name="Total 2 3 3 5 5" xfId="16235" xr:uid="{E2B5ECE1-2CA3-45E2-91D1-D9D6865AC345}"/>
    <cellStyle name="Total 2 3 3 5 5 2" xfId="27797" xr:uid="{10C44E23-F0C8-457E-9202-64878AA1B9F1}"/>
    <cellStyle name="Total 2 3 3 5 6" xfId="47310" xr:uid="{5E39ABB6-360C-4E3F-BCD4-A7748D9D7108}"/>
    <cellStyle name="Total 2 3 3 6" xfId="4961" xr:uid="{00000000-0005-0000-0000-000080080000}"/>
    <cellStyle name="Total 2 3 3 6 2" xfId="11856" xr:uid="{C4735B6E-A511-414C-9066-7DB970918959}"/>
    <cellStyle name="Total 2 3 3 6 2 2" xfId="34342" xr:uid="{A4237CAD-8D05-4ADB-AD2A-83A9C085B319}"/>
    <cellStyle name="Total 2 3 3 6 2 3" xfId="26086" xr:uid="{7F26943A-4C1A-42D9-A6E4-07D88BDDB0ED}"/>
    <cellStyle name="Total 2 3 3 6 3" xfId="16898" xr:uid="{F2AEF0CC-18BF-472F-8D68-F6FA74625D6A}"/>
    <cellStyle name="Total 2 3 3 6 3 2" xfId="39288" xr:uid="{B8728A28-0348-4E91-93C7-071EDA5A0F88}"/>
    <cellStyle name="Total 2 3 3 6 3 3" xfId="28213" xr:uid="{593F0D3C-469B-4193-9F14-868FB7DA5511}"/>
    <cellStyle name="Total 2 3 3 6 4" xfId="14401" xr:uid="{BE0E67CE-449C-45AA-BA33-3F7732AA659D}"/>
    <cellStyle name="Total 2 3 3 6 4 2" xfId="36867" xr:uid="{F6BB9D34-6CBD-4D44-A171-1B15484CD0F5}"/>
    <cellStyle name="Total 2 3 3 6 4 3" xfId="28041" xr:uid="{93806A7E-2512-4D0D-87AB-A3E883BAA8F6}"/>
    <cellStyle name="Total 2 3 3 6 5" xfId="21322" xr:uid="{D5B318E3-1C76-433B-B223-8DC061B0136B}"/>
    <cellStyle name="Total 2 3 3 6 5 2" xfId="49441" xr:uid="{EA11B4D9-A3C0-4641-B013-959305AABB57}"/>
    <cellStyle name="Total 2 3 3 6 6" xfId="50405" xr:uid="{9D86EEF2-63B7-4BF9-8C2B-4742B6BE0EDA}"/>
    <cellStyle name="Total 2 3 3 7" xfId="5479" xr:uid="{00000000-0005-0000-0000-000080080000}"/>
    <cellStyle name="Total 2 3 3 7 2" xfId="12368" xr:uid="{C954EBF9-4334-40D2-AEB2-8BF42C48A1D1}"/>
    <cellStyle name="Total 2 3 3 7 2 2" xfId="34853" xr:uid="{63EC19D0-0A39-4479-890D-982F11BD70EB}"/>
    <cellStyle name="Total 2 3 3 7 2 3" xfId="43711" xr:uid="{E06EC7DE-B847-43A0-8B07-4ABA602D17F6}"/>
    <cellStyle name="Total 2 3 3 7 3" xfId="17416" xr:uid="{DFE61898-2514-4F74-96AD-D5EA96B14739}"/>
    <cellStyle name="Total 2 3 3 7 3 2" xfId="39806" xr:uid="{9384A048-E78F-487F-A026-965D3523D758}"/>
    <cellStyle name="Total 2 3 3 7 3 3" xfId="29125" xr:uid="{E03E3C1D-1ADC-4705-B14D-D90B6C3A5470}"/>
    <cellStyle name="Total 2 3 3 7 4" xfId="19388" xr:uid="{EF282F00-DC96-4267-8220-A48448A99B22}"/>
    <cellStyle name="Total 2 3 3 7 4 2" xfId="41761" xr:uid="{274C40F1-BE40-478C-8727-2C293C78FEB4}"/>
    <cellStyle name="Total 2 3 3 7 4 3" xfId="37814" xr:uid="{3BB49811-D137-4E60-A0B4-FE90932BF469}"/>
    <cellStyle name="Total 2 3 3 7 5" xfId="21840" xr:uid="{721E328D-602F-4049-850F-69C4B24A5835}"/>
    <cellStyle name="Total 2 3 3 7 5 2" xfId="42923" xr:uid="{258197C8-DA85-40E5-9779-A302EC4E1F8E}"/>
    <cellStyle name="Total 2 3 3 7 6" xfId="27110" xr:uid="{56A4E933-48D8-4E23-9BE8-C39736DBED36}"/>
    <cellStyle name="Total 2 3 3 8" xfId="8270" xr:uid="{E33E7E38-CA40-4F83-96E5-3B1AA868C32F}"/>
    <cellStyle name="Total 2 3 3 8 2" xfId="30872" xr:uid="{73D34FD2-46D7-42C3-949A-C707FC07C4CB}"/>
    <cellStyle name="Total 2 3 3 8 3" xfId="46226" xr:uid="{D050C096-3137-4E6B-A9D0-7969CA4DEB98}"/>
    <cellStyle name="Total 2 3 3 9" xfId="15939" xr:uid="{84E7D82D-73ED-4E31-BF63-66A5F50541D1}"/>
    <cellStyle name="Total 2 3 3 9 2" xfId="38343" xr:uid="{5E840E45-3B31-4434-841C-A90091938DF3}"/>
    <cellStyle name="Total 2 3 3 9 3" xfId="53967" xr:uid="{55D735E3-010E-481F-8B76-5B9CEEB64698}"/>
    <cellStyle name="Total 2 3 4" xfId="1024" xr:uid="{00000000-0005-0000-0000-000085080000}"/>
    <cellStyle name="Total 2 3 4 10" xfId="19777" xr:uid="{0465AF57-EEE2-41A6-B2D3-6B6596AB8308}"/>
    <cellStyle name="Total 2 3 4 10 2" xfId="29523" xr:uid="{E6A9B122-5ECA-4C53-B30D-42CB6BD34A8C}"/>
    <cellStyle name="Total 2 3 4 11" xfId="49439" xr:uid="{B759FE20-77E3-4ABC-BCFB-2FB7ABA11F19}"/>
    <cellStyle name="Total 2 3 4 2" xfId="1914" xr:uid="{00000000-0005-0000-0000-000086080000}"/>
    <cellStyle name="Total 2 3 4 2 10" xfId="14584" xr:uid="{AF56A3CB-F2FE-4BD7-926B-3E4215AD50DF}"/>
    <cellStyle name="Total 2 3 4 2 10 2" xfId="37045" xr:uid="{E446AD49-A9B8-4436-BDF7-1A66446BE7E2}"/>
    <cellStyle name="Total 2 3 4 2 10 3" xfId="42719" xr:uid="{6DB8F915-A0DE-40C5-B161-BD356178EFB5}"/>
    <cellStyle name="Total 2 3 4 2 11" xfId="19562" xr:uid="{DDCAB0FA-9C53-4CAF-82BC-FABB5A96FF8B}"/>
    <cellStyle name="Total 2 3 4 2 11 2" xfId="41920" xr:uid="{DF7A52BD-D77A-4599-8966-19010CD517E9}"/>
    <cellStyle name="Total 2 3 4 2 11 3" xfId="36711" xr:uid="{909457BA-A26C-4D16-867C-3E14D93155F7}"/>
    <cellStyle name="Total 2 3 4 2 12" xfId="20826" xr:uid="{215794F0-C994-4E2D-A644-CEFF0CA0B8F8}"/>
    <cellStyle name="Total 2 3 4 2 12 2" xfId="46620" xr:uid="{ABB68DE0-75F5-44DB-9C1C-95F727D24D76}"/>
    <cellStyle name="Total 2 3 4 2 13" xfId="45707" xr:uid="{EB4EC0F4-3864-46D5-9ADF-7D4CB2B51607}"/>
    <cellStyle name="Total 2 3 4 2 2" xfId="4011" xr:uid="{00000000-0005-0000-0000-000083080000}"/>
    <cellStyle name="Total 2 3 4 2 2 2" xfId="10915" xr:uid="{E1F6646F-3D7F-4014-B768-CB0BA247753C}"/>
    <cellStyle name="Total 2 3 4 2 2 2 2" xfId="33401" xr:uid="{52703BEA-0E47-4F8C-A873-D1A93BC108C1}"/>
    <cellStyle name="Total 2 3 4 2 2 2 3" xfId="52173" xr:uid="{E56C2B6E-26A9-47DE-A721-F6F3922EB733}"/>
    <cellStyle name="Total 2 3 4 2 2 3" xfId="16035" xr:uid="{D9672489-8386-448B-9406-FB5F7FC95673}"/>
    <cellStyle name="Total 2 3 4 2 2 3 2" xfId="38436" xr:uid="{AF34E2A7-9EF8-4FDB-89DD-EC6BC3BFA82A}"/>
    <cellStyle name="Total 2 3 4 2 2 3 3" xfId="49438" xr:uid="{59412B57-A7E5-482E-BD43-6F982C15D938}"/>
    <cellStyle name="Total 2 3 4 2 2 4" xfId="20115" xr:uid="{A6281448-05B7-4489-9520-10C03E2421BE}"/>
    <cellStyle name="Total 2 3 4 2 2 4 2" xfId="42430" xr:uid="{2214CC58-6A8B-46E0-9C06-830AFE1617DC}"/>
    <cellStyle name="Total 2 3 4 2 2 4 3" xfId="26556" xr:uid="{2E18836F-01BF-408A-9473-600BF0A7397E}"/>
    <cellStyle name="Total 2 3 4 2 2 5" xfId="15908" xr:uid="{7FDB87FA-5A55-473D-BB93-A8FE82ABA85C}"/>
    <cellStyle name="Total 2 3 4 2 2 5 2" xfId="48261" xr:uid="{38897C40-8463-4A86-998E-43693F4667C1}"/>
    <cellStyle name="Total 2 3 4 2 2 6" xfId="28368" xr:uid="{EF679311-D4DE-4859-8F4F-F4369494B4F2}"/>
    <cellStyle name="Total 2 3 4 2 3" xfId="5386" xr:uid="{00000000-0005-0000-0000-000083080000}"/>
    <cellStyle name="Total 2 3 4 2 3 2" xfId="12277" xr:uid="{CC46C7CC-2DE7-4E9D-A4C3-C4163BF51862}"/>
    <cellStyle name="Total 2 3 4 2 3 2 2" xfId="34762" xr:uid="{D1E07880-A066-43F8-BA47-82D28BD02B0D}"/>
    <cellStyle name="Total 2 3 4 2 3 2 3" xfId="28556" xr:uid="{A83BA631-899E-42CC-9314-C2D544BF0861}"/>
    <cellStyle name="Total 2 3 4 2 3 3" xfId="17323" xr:uid="{E80C5D2D-E210-499F-8009-60E1B7040747}"/>
    <cellStyle name="Total 2 3 4 2 3 3 2" xfId="39713" xr:uid="{6226ED29-8F0F-4158-83FE-24FC71EAD5F5}"/>
    <cellStyle name="Total 2 3 4 2 3 3 3" xfId="30918" xr:uid="{926A9F3B-E3AD-4A21-B3C8-6F224C117945}"/>
    <cellStyle name="Total 2 3 4 2 3 4" xfId="7993" xr:uid="{D9B7CF3E-6937-4718-B20A-058FDEB3186C}"/>
    <cellStyle name="Total 2 3 4 2 3 4 2" xfId="30615" xr:uid="{4FD64060-E423-4474-B4B0-370ED73A6753}"/>
    <cellStyle name="Total 2 3 4 2 3 4 3" xfId="50927" xr:uid="{8F752D68-0971-4F0B-A5C1-4950D22496E1}"/>
    <cellStyle name="Total 2 3 4 2 3 5" xfId="21747" xr:uid="{DFFF82CE-FB11-48AA-A267-247A9B24335A}"/>
    <cellStyle name="Total 2 3 4 2 3 5 2" xfId="32314" xr:uid="{5EA127E8-4D32-4C4D-93C1-F618337503CA}"/>
    <cellStyle name="Total 2 3 4 2 3 6" xfId="53569" xr:uid="{2228FA23-E3B1-45A5-A656-E8BCB40D9882}"/>
    <cellStyle name="Total 2 3 4 2 4" xfId="5799" xr:uid="{00000000-0005-0000-0000-000083080000}"/>
    <cellStyle name="Total 2 3 4 2 4 2" xfId="12682" xr:uid="{753FEE7D-5DC3-4DE8-B148-0D6D3C80454B}"/>
    <cellStyle name="Total 2 3 4 2 4 2 2" xfId="35167" xr:uid="{B098A628-BC42-42DA-90AD-BF89E7F44940}"/>
    <cellStyle name="Total 2 3 4 2 4 2 3" xfId="37389" xr:uid="{E50EA2BD-877E-4C6B-BFD9-FBB9E81107AA}"/>
    <cellStyle name="Total 2 3 4 2 4 3" xfId="17736" xr:uid="{A4512F51-4250-4059-B903-652282D73749}"/>
    <cellStyle name="Total 2 3 4 2 4 3 2" xfId="40126" xr:uid="{F46605C5-4E59-4907-8E71-54B5E3081B77}"/>
    <cellStyle name="Total 2 3 4 2 4 3 3" xfId="29174" xr:uid="{F19F8849-5F89-4667-84EA-D20ABB3C49EB}"/>
    <cellStyle name="Total 2 3 4 2 4 4" xfId="15626" xr:uid="{ABD48153-8148-468F-B131-2209AEE94851}"/>
    <cellStyle name="Total 2 3 4 2 4 4 2" xfId="38042" xr:uid="{1C178305-BAC9-4B33-A3A4-053E3A413839}"/>
    <cellStyle name="Total 2 3 4 2 4 4 3" xfId="52818" xr:uid="{DC548CC1-48C6-4E1E-A44D-5ABFD3E61445}"/>
    <cellStyle name="Total 2 3 4 2 4 5" xfId="22160" xr:uid="{10F818E6-AE85-4EA6-816D-84CF244711FE}"/>
    <cellStyle name="Total 2 3 4 2 4 5 2" xfId="26018" xr:uid="{6FC47B96-F77E-485D-B248-83475DA9D25D}"/>
    <cellStyle name="Total 2 3 4 2 4 6" xfId="52314" xr:uid="{58F97990-5F1C-4DDB-9337-0F4FF1897F66}"/>
    <cellStyle name="Total 2 3 4 2 5" xfId="6143" xr:uid="{00000000-0005-0000-0000-000083080000}"/>
    <cellStyle name="Total 2 3 4 2 5 2" xfId="13020" xr:uid="{E4F87848-3988-47FC-B4D8-703AADF0C7A4}"/>
    <cellStyle name="Total 2 3 4 2 5 2 2" xfId="35504" xr:uid="{AA5B2276-DE29-4AC2-8856-CAE9AF674370}"/>
    <cellStyle name="Total 2 3 4 2 5 2 3" xfId="46429" xr:uid="{323B534A-9698-41B8-9597-72A3045B680D}"/>
    <cellStyle name="Total 2 3 4 2 5 3" xfId="18080" xr:uid="{4AF33952-EE63-4E36-B06E-03CB7830FBE4}"/>
    <cellStyle name="Total 2 3 4 2 5 3 2" xfId="40470" xr:uid="{708B8FC0-BE47-41E4-9DBD-D2ACF3DA4F09}"/>
    <cellStyle name="Total 2 3 4 2 5 3 3" xfId="28155" xr:uid="{E7228D4C-5F66-4672-B4E1-9E96DE988930}"/>
    <cellStyle name="Total 2 3 4 2 5 4" xfId="8126" xr:uid="{766F7417-0985-4F29-A400-002C672A2A31}"/>
    <cellStyle name="Total 2 3 4 2 5 4 2" xfId="30738" xr:uid="{15CBFF55-F447-43F9-BF51-73FD91D20104}"/>
    <cellStyle name="Total 2 3 4 2 5 4 3" xfId="28149" xr:uid="{B5837837-AF1A-4E6C-B5BD-F8846B740488}"/>
    <cellStyle name="Total 2 3 4 2 5 5" xfId="22504" xr:uid="{CACFD034-9675-4B2F-8D1E-D478FE4F08D4}"/>
    <cellStyle name="Total 2 3 4 2 5 5 2" xfId="52516" xr:uid="{060842D2-4802-4FF1-928D-70CB50EE1A73}"/>
    <cellStyle name="Total 2 3 4 2 5 6" xfId="44573" xr:uid="{39366C1A-509F-457F-B012-EAC61539A746}"/>
    <cellStyle name="Total 2 3 4 2 6" xfId="6516" xr:uid="{00000000-0005-0000-0000-000083080000}"/>
    <cellStyle name="Total 2 3 4 2 6 2" xfId="13385" xr:uid="{65C67BB6-3B8E-42A5-9BDD-5500B9ED150D}"/>
    <cellStyle name="Total 2 3 4 2 6 2 2" xfId="35869" xr:uid="{6D99ACCD-0DCC-4B69-A2D9-0FD6C98C031E}"/>
    <cellStyle name="Total 2 3 4 2 6 2 3" xfId="51152" xr:uid="{5B49C504-E506-4CFF-8F79-E25C2D36189F}"/>
    <cellStyle name="Total 2 3 4 2 6 3" xfId="18453" xr:uid="{118BAEF4-3B5C-4A88-92CB-7C9DC19491BF}"/>
    <cellStyle name="Total 2 3 4 2 6 3 2" xfId="40843" xr:uid="{347D3223-A8D4-4407-B5B4-BADBAF09562C}"/>
    <cellStyle name="Total 2 3 4 2 6 3 3" xfId="44496" xr:uid="{4F67350D-1A56-4204-8AB6-C79549AD8036}"/>
    <cellStyle name="Total 2 3 4 2 6 4" xfId="14810" xr:uid="{FCA35210-C104-46F5-844A-712F0F79EC87}"/>
    <cellStyle name="Total 2 3 4 2 6 4 2" xfId="37265" xr:uid="{455CB6D1-BD22-4D95-9BD2-5BAA48FA3ABB}"/>
    <cellStyle name="Total 2 3 4 2 6 4 3" xfId="44065" xr:uid="{3A5AC355-55EC-4066-85B8-A83D64379A9A}"/>
    <cellStyle name="Total 2 3 4 2 6 5" xfId="22877" xr:uid="{46B3B784-05DB-44D8-9AD8-6A69D843230F}"/>
    <cellStyle name="Total 2 3 4 2 6 5 2" xfId="51984" xr:uid="{C218D6C6-C189-48B8-875F-978A5C5F2C63}"/>
    <cellStyle name="Total 2 3 4 2 6 6" xfId="49584" xr:uid="{DE6719CF-360D-49F4-B678-7A44324E312A}"/>
    <cellStyle name="Total 2 3 4 2 7" xfId="6046" xr:uid="{00000000-0005-0000-0000-000083080000}"/>
    <cellStyle name="Total 2 3 4 2 7 2" xfId="12925" xr:uid="{AF89BC4C-D2A6-4A04-B091-BDB568A49D31}"/>
    <cellStyle name="Total 2 3 4 2 7 2 2" xfId="35409" xr:uid="{0B8ECD7F-DD7A-45E1-9D89-68E23E13016F}"/>
    <cellStyle name="Total 2 3 4 2 7 2 3" xfId="47378" xr:uid="{7B1480E2-B362-4A7E-ADAF-B4C9C4628B61}"/>
    <cellStyle name="Total 2 3 4 2 7 3" xfId="17983" xr:uid="{3BA5CE97-0271-40ED-A271-A74F474282F4}"/>
    <cellStyle name="Total 2 3 4 2 7 3 2" xfId="40373" xr:uid="{C225DB0B-5F2E-4A21-BC1A-E520CEF619DB}"/>
    <cellStyle name="Total 2 3 4 2 7 3 3" xfId="31962" xr:uid="{231C86D2-B595-4C4A-9AF4-D62E0918ACDC}"/>
    <cellStyle name="Total 2 3 4 2 7 4" xfId="15510" xr:uid="{BD9B77BF-36A2-4839-A187-D6D6E102C088}"/>
    <cellStyle name="Total 2 3 4 2 7 4 2" xfId="37931" xr:uid="{7B0ED6E4-4575-444A-A05D-987C9C37BACB}"/>
    <cellStyle name="Total 2 3 4 2 7 4 3" xfId="42145" xr:uid="{CD7F61BC-A332-45A4-BD18-B35485BD6793}"/>
    <cellStyle name="Total 2 3 4 2 7 5" xfId="22407" xr:uid="{C2D51EB3-576E-4E1C-A0E1-76F1D7A58C0F}"/>
    <cellStyle name="Total 2 3 4 2 7 5 2" xfId="52462" xr:uid="{5DA04D92-051F-4FC6-8130-E89B9EFD6578}"/>
    <cellStyle name="Total 2 3 4 2 7 6" xfId="50308" xr:uid="{CDBED55C-DD90-49DF-B2EF-D25510737392}"/>
    <cellStyle name="Total 2 3 4 2 8" xfId="7000" xr:uid="{00000000-0005-0000-0000-000083080000}"/>
    <cellStyle name="Total 2 3 4 2 8 2" xfId="13837" xr:uid="{C4A290DF-1620-47C1-9223-BB26A788CBCD}"/>
    <cellStyle name="Total 2 3 4 2 8 2 2" xfId="36321" xr:uid="{C3A62B1E-48C7-45D5-8A7C-AC4F5DDA344F}"/>
    <cellStyle name="Total 2 3 4 2 8 2 3" xfId="53793" xr:uid="{18DFDC8E-43BC-44EB-8522-D3260F781B21}"/>
    <cellStyle name="Total 2 3 4 2 8 3" xfId="18937" xr:uid="{408C2199-FFCA-427C-B0BF-33E0B3958C4A}"/>
    <cellStyle name="Total 2 3 4 2 8 3 2" xfId="41327" xr:uid="{509A7F87-0EF9-41E5-9119-DD3986D95624}"/>
    <cellStyle name="Total 2 3 4 2 8 3 3" xfId="42656" xr:uid="{1E49A038-46D1-46C9-A7B0-8B36F18DA550}"/>
    <cellStyle name="Total 2 3 4 2 8 4" xfId="14113" xr:uid="{9BEBA72F-B347-47A5-8926-57D49C0EA64A}"/>
    <cellStyle name="Total 2 3 4 2 8 4 2" xfId="36591" xr:uid="{B2337017-4A16-4520-BADF-0C003CC63F23}"/>
    <cellStyle name="Total 2 3 4 2 8 4 3" xfId="46843" xr:uid="{E3537695-0F9A-4BF9-B99B-B91E6BC1D334}"/>
    <cellStyle name="Total 2 3 4 2 8 5" xfId="23361" xr:uid="{832C57B9-089C-4E1D-89FF-B09F481A3C99}"/>
    <cellStyle name="Total 2 3 4 2 8 5 2" xfId="50591" xr:uid="{F93CC15C-92D7-41F4-B8AB-5425254FB3CB}"/>
    <cellStyle name="Total 2 3 4 2 8 6" xfId="36760" xr:uid="{3EAE44BE-41F5-4535-847F-BEF63D0680FB}"/>
    <cellStyle name="Total 2 3 4 2 9" xfId="2272" xr:uid="{00000000-0005-0000-0000-000083080000}"/>
    <cellStyle name="Total 2 3 4 2 9 2" xfId="14841" xr:uid="{B29ECAF7-099A-4740-861E-16146AC52267}"/>
    <cellStyle name="Total 2 3 4 2 9 2 2" xfId="37295" xr:uid="{62C2167F-F073-4139-A0FA-08388B6E52C2}"/>
    <cellStyle name="Total 2 3 4 2 9 2 3" xfId="47528" xr:uid="{E3F003D1-E1DB-4DAF-9412-FE829FE58CE5}"/>
    <cellStyle name="Total 2 3 4 2 9 3" xfId="20980" xr:uid="{62E4F783-B4D9-4B31-9F39-EA16B1CF7C73}"/>
    <cellStyle name="Total 2 3 4 2 9 3 2" xfId="43234" xr:uid="{31815C92-07D8-4C83-A249-686C1AC06D0D}"/>
    <cellStyle name="Total 2 3 4 2 9 3 3" xfId="48499" xr:uid="{9B49EB01-5AE6-48FA-A535-A606C6E467E6}"/>
    <cellStyle name="Total 2 3 4 2 9 4" xfId="21089" xr:uid="{72204981-BFC3-4171-91BF-FFA63A76DC55}"/>
    <cellStyle name="Total 2 3 4 2 9 4 2" xfId="49657" xr:uid="{D7AD4C28-48C7-463D-A480-69C8D9FFDE50}"/>
    <cellStyle name="Total 2 3 4 2 9 5" xfId="52003" xr:uid="{A34162F5-7209-41E2-B325-DA83C09D5B8D}"/>
    <cellStyle name="Total 2 3 4 3" xfId="3149" xr:uid="{00000000-0005-0000-0000-000082080000}"/>
    <cellStyle name="Total 2 3 4 3 2" xfId="10058" xr:uid="{BE0A30BB-13FD-4EB6-BF80-0476384B3C89}"/>
    <cellStyle name="Total 2 3 4 3 2 2" xfId="32565" xr:uid="{9D4100D5-A55D-4CB6-BE41-143BF370FDF2}"/>
    <cellStyle name="Total 2 3 4 3 2 3" xfId="42766" xr:uid="{3839D62C-EC51-4B4F-8959-33E867B0D7D1}"/>
    <cellStyle name="Total 2 3 4 3 3" xfId="15436" xr:uid="{2A3F52AD-2B32-43CB-8853-9AF6AA50B5E1}"/>
    <cellStyle name="Total 2 3 4 3 3 2" xfId="37862" xr:uid="{8CC7BBE6-574C-4733-830C-9D0E75656B8F}"/>
    <cellStyle name="Total 2 3 4 3 3 3" xfId="48917" xr:uid="{FCEA01E9-1B87-4E5F-BFE8-FBF911097BA0}"/>
    <cellStyle name="Total 2 3 4 3 4" xfId="14273" xr:uid="{DFBD31CB-C69F-40B8-A42D-1144D8C2151C}"/>
    <cellStyle name="Total 2 3 4 3 4 2" xfId="36743" xr:uid="{F9648B99-76C3-4DFB-A144-E54BB8A05D41}"/>
    <cellStyle name="Total 2 3 4 3 4 3" xfId="51142" xr:uid="{45CC4D4E-BA9B-44EF-AAC8-976D5C2B2BEF}"/>
    <cellStyle name="Total 2 3 4 3 5" xfId="19546" xr:uid="{D3A64EA5-6C1A-4543-B8C1-F3B64DF04CA6}"/>
    <cellStyle name="Total 2 3 4 3 5 2" xfId="32230" xr:uid="{6F8735DD-57E2-4BE9-B7DC-7924B14289AA}"/>
    <cellStyle name="Total 2 3 4 3 6" xfId="52101" xr:uid="{D45B7F70-1023-4562-B66B-7AE9FE3F2829}"/>
    <cellStyle name="Total 2 3 4 4" xfId="4798" xr:uid="{00000000-0005-0000-0000-000082080000}"/>
    <cellStyle name="Total 2 3 4 4 2" xfId="11695" xr:uid="{CDBC075E-88C2-4560-8BA9-9439760B9B56}"/>
    <cellStyle name="Total 2 3 4 4 2 2" xfId="34181" xr:uid="{9EAF974F-F1E0-4037-8670-35FB3916CB29}"/>
    <cellStyle name="Total 2 3 4 4 2 3" xfId="27187" xr:uid="{65A5B1D5-EB34-4013-9716-CD701A3A4D9C}"/>
    <cellStyle name="Total 2 3 4 4 3" xfId="16735" xr:uid="{DA959071-7CF3-4343-9955-AA95CBC895D9}"/>
    <cellStyle name="Total 2 3 4 4 3 2" xfId="39125" xr:uid="{1920B7E4-7C4F-4143-8438-7EAAD65DF24F}"/>
    <cellStyle name="Total 2 3 4 4 3 3" xfId="30949" xr:uid="{64771A2A-AC44-48CE-9A09-2A5CB4AE77C1}"/>
    <cellStyle name="Total 2 3 4 4 4" xfId="19276" xr:uid="{B0FA0ECC-862C-4C4E-8596-B2D703B95C2F}"/>
    <cellStyle name="Total 2 3 4 4 4 2" xfId="41659" xr:uid="{D6910D94-A594-4719-BDD9-0760757DC95D}"/>
    <cellStyle name="Total 2 3 4 4 4 3" xfId="25696" xr:uid="{39682FA3-D624-4883-BA6B-E2EF5BA4E039}"/>
    <cellStyle name="Total 2 3 4 4 5" xfId="13482" xr:uid="{677A34D0-B6E4-4898-A356-C3692DD912C0}"/>
    <cellStyle name="Total 2 3 4 4 5 2" xfId="47562" xr:uid="{5D84D429-1419-442B-8263-301BA2D54E74}"/>
    <cellStyle name="Total 2 3 4 4 6" xfId="50273" xr:uid="{EB83F788-CFB3-48C5-A5EC-34260C76ED99}"/>
    <cellStyle name="Total 2 3 4 5" xfId="2978" xr:uid="{00000000-0005-0000-0000-000082080000}"/>
    <cellStyle name="Total 2 3 4 5 2" xfId="9887" xr:uid="{7492FF61-C937-47C0-8B7E-CC8E8C79C5F6}"/>
    <cellStyle name="Total 2 3 4 5 2 2" xfId="32410" xr:uid="{3C35D11A-351B-43E6-8E72-A0A0D13A4A68}"/>
    <cellStyle name="Total 2 3 4 5 2 3" xfId="50312" xr:uid="{7AFDC57B-3491-464F-84BD-069BCDC44F48}"/>
    <cellStyle name="Total 2 3 4 5 3" xfId="15325" xr:uid="{CB987BFB-52E4-4A0A-93B1-D76026AD68E5}"/>
    <cellStyle name="Total 2 3 4 5 3 2" xfId="37757" xr:uid="{4C345C29-E439-4AFC-8896-0A3FF4D08543}"/>
    <cellStyle name="Total 2 3 4 5 3 3" xfId="47877" xr:uid="{91F24849-3FB9-4C60-A6E3-4F4E8B1D281D}"/>
    <cellStyle name="Total 2 3 4 5 4" xfId="15004" xr:uid="{068CFA15-161B-4515-BCF9-C1526A1690D3}"/>
    <cellStyle name="Total 2 3 4 5 4 2" xfId="37454" xr:uid="{1D4B4559-77A0-4E70-92E1-7789E849AA16}"/>
    <cellStyle name="Total 2 3 4 5 4 3" xfId="52182" xr:uid="{43A5A218-0F49-4DEE-8F64-BC11F84773FC}"/>
    <cellStyle name="Total 2 3 4 5 5" xfId="20695" xr:uid="{B38351A4-08C9-4EDC-8BAE-56E1EABB3C34}"/>
    <cellStyle name="Total 2 3 4 5 5 2" xfId="50827" xr:uid="{D591EA0A-5FE2-421D-9E85-DDE9CA2C6E26}"/>
    <cellStyle name="Total 2 3 4 5 6" xfId="50141" xr:uid="{A6E75620-1775-4647-ADDC-A5DE8B4E370B}"/>
    <cellStyle name="Total 2 3 4 6" xfId="5597" xr:uid="{00000000-0005-0000-0000-000082080000}"/>
    <cellStyle name="Total 2 3 4 6 2" xfId="12482" xr:uid="{169D4A1D-FA81-445B-913A-9989607BA9C2}"/>
    <cellStyle name="Total 2 3 4 6 2 2" xfId="34967" xr:uid="{43F27555-FAED-4901-AD5B-2E20AD5BE504}"/>
    <cellStyle name="Total 2 3 4 6 2 3" xfId="44467" xr:uid="{0E6E3BE1-70AE-43F7-BA49-04045B84AC96}"/>
    <cellStyle name="Total 2 3 4 6 3" xfId="17534" xr:uid="{E158AF03-DE19-4E5F-B8C2-19651C2C5133}"/>
    <cellStyle name="Total 2 3 4 6 3 2" xfId="39924" xr:uid="{EFE28ECA-DB92-42D2-A96F-8D208A482A62}"/>
    <cellStyle name="Total 2 3 4 6 3 3" xfId="44455" xr:uid="{E8078EC0-C1D3-4346-9F9A-4F7BE0491871}"/>
    <cellStyle name="Total 2 3 4 6 4" xfId="19695" xr:uid="{154F6971-F906-4241-AE60-7D1298BAC00A}"/>
    <cellStyle name="Total 2 3 4 6 4 2" xfId="42042" xr:uid="{66F4EB31-037B-496E-AEE0-12AFE573E6DA}"/>
    <cellStyle name="Total 2 3 4 6 4 3" xfId="32686" xr:uid="{0E523D85-01EA-4538-837F-F6923A63E770}"/>
    <cellStyle name="Total 2 3 4 6 5" xfId="21958" xr:uid="{F8279367-F58D-444B-AECD-0C92CA46E730}"/>
    <cellStyle name="Total 2 3 4 6 5 2" xfId="25235" xr:uid="{907C7E34-1E6C-4F49-A54D-230F87D6C2C7}"/>
    <cellStyle name="Total 2 3 4 6 6" xfId="53104" xr:uid="{08E9E2F9-4260-41B7-93BC-0282D58B9308}"/>
    <cellStyle name="Total 2 3 4 7" xfId="6788" xr:uid="{00000000-0005-0000-0000-000082080000}"/>
    <cellStyle name="Total 2 3 4 7 2" xfId="13638" xr:uid="{5AA66E0E-23F9-4813-9D79-69FE6516F409}"/>
    <cellStyle name="Total 2 3 4 7 2 2" xfId="36122" xr:uid="{C3BFEABB-8CC6-4B31-A877-79032CC2F249}"/>
    <cellStyle name="Total 2 3 4 7 2 3" xfId="37428" xr:uid="{5BA2C5CC-51BB-4B5B-AB5E-AACD7FE72017}"/>
    <cellStyle name="Total 2 3 4 7 3" xfId="18725" xr:uid="{F5E8C6C7-3B64-4C9A-82C6-CA512E531B26}"/>
    <cellStyle name="Total 2 3 4 7 3 2" xfId="41115" xr:uid="{E2AB2ECC-A44B-4F2F-9D09-E697107CD101}"/>
    <cellStyle name="Total 2 3 4 7 3 3" xfId="27190" xr:uid="{0239035C-CC10-4726-B170-B91B6FAA20D3}"/>
    <cellStyle name="Total 2 3 4 7 4" xfId="19940" xr:uid="{9B101616-491A-4FFB-B5DE-7FA4F029BF2B}"/>
    <cellStyle name="Total 2 3 4 7 4 2" xfId="42270" xr:uid="{8CA31B0D-FC27-4A60-9B9A-3CB8A9DA9B21}"/>
    <cellStyle name="Total 2 3 4 7 4 3" xfId="44574" xr:uid="{155BB13B-A27D-4BC0-8C95-C078967E007D}"/>
    <cellStyle name="Total 2 3 4 7 5" xfId="23149" xr:uid="{E27E582B-CEE7-4BEC-8C7F-FBBA7D554B2A}"/>
    <cellStyle name="Total 2 3 4 7 5 2" xfId="44261" xr:uid="{C6B0E479-70CA-4C6A-BADC-D203B5C0B901}"/>
    <cellStyle name="Total 2 3 4 7 6" xfId="51997" xr:uid="{594260CA-2D3D-4041-AF86-4A057A9BDDBF}"/>
    <cellStyle name="Total 2 3 4 8" xfId="8301" xr:uid="{405379E6-DE1C-4BD9-95B6-811AB50E9776}"/>
    <cellStyle name="Total 2 3 4 8 2" xfId="30900" xr:uid="{03A385D6-A1C6-4405-932C-7232B4F40B4B}"/>
    <cellStyle name="Total 2 3 4 8 3" xfId="45633" xr:uid="{5A2D03F2-BE70-4CE6-AAE7-F341D61C13F2}"/>
    <cellStyle name="Total 2 3 4 9" xfId="20453" xr:uid="{CC098F02-9BF1-4C15-ACDB-B606C2AB9974}"/>
    <cellStyle name="Total 2 3 4 9 2" xfId="42744" xr:uid="{ABDDB81B-8D7F-4B04-B8EF-579288FA64C3}"/>
    <cellStyle name="Total 2 3 4 9 3" xfId="23770" xr:uid="{F4329EFF-7C83-4ACB-98C3-DB7571FFEDB6}"/>
    <cellStyle name="Total 2 3 5" xfId="1208" xr:uid="{00000000-0005-0000-0000-000087080000}"/>
    <cellStyle name="Total 2 3 5 10" xfId="14979" xr:uid="{2CB8256B-89C3-43B2-A721-4E458F56F397}"/>
    <cellStyle name="Total 2 3 5 10 2" xfId="24423" xr:uid="{1BFF3BD8-096B-4E75-81E0-C24F9AF50256}"/>
    <cellStyle name="Total 2 3 5 11" xfId="26430" xr:uid="{F6330AF8-5D1C-44D8-A672-D4F5A04560C7}"/>
    <cellStyle name="Total 2 3 5 2" xfId="2008" xr:uid="{00000000-0005-0000-0000-000088080000}"/>
    <cellStyle name="Total 2 3 5 2 10" xfId="14656" xr:uid="{8DD485E0-D110-47A3-BFB9-D74A4DA81EE1}"/>
    <cellStyle name="Total 2 3 5 2 10 2" xfId="37116" xr:uid="{60E1C2B3-B8C9-4A16-8A19-365C134C601C}"/>
    <cellStyle name="Total 2 3 5 2 10 3" xfId="48235" xr:uid="{48163B47-A1E7-4A13-B389-A0646CB54368}"/>
    <cellStyle name="Total 2 3 5 2 11" xfId="20831" xr:uid="{98B86A3D-B5FC-4DCA-AE44-86FF172519A1}"/>
    <cellStyle name="Total 2 3 5 2 11 2" xfId="43096" xr:uid="{B3835FAA-D13D-44FF-935B-A9A6955BD212}"/>
    <cellStyle name="Total 2 3 5 2 11 3" xfId="27590" xr:uid="{262CF0B2-7484-4164-B9B9-680BBBD79245}"/>
    <cellStyle name="Total 2 3 5 2 12" xfId="20519" xr:uid="{661537BE-CC69-499F-8284-E9E8A9C417B8}"/>
    <cellStyle name="Total 2 3 5 2 12 2" xfId="47301" xr:uid="{33FF62A8-2494-49F0-BBAB-91E83002E4AD}"/>
    <cellStyle name="Total 2 3 5 2 13" xfId="49282" xr:uid="{1D6276F4-0E7B-47FA-8C10-13F345DF9EBE}"/>
    <cellStyle name="Total 2 3 5 2 2" xfId="4103" xr:uid="{00000000-0005-0000-0000-000085080000}"/>
    <cellStyle name="Total 2 3 5 2 2 2" xfId="11007" xr:uid="{CE826855-F8CF-4CEA-8AED-774A045DA4BB}"/>
    <cellStyle name="Total 2 3 5 2 2 2 2" xfId="33493" xr:uid="{DDEBB61F-4B02-4AFF-BCE3-8778806EA934}"/>
    <cellStyle name="Total 2 3 5 2 2 2 3" xfId="45647" xr:uid="{40A79ED5-53FA-4B82-AC11-F15D03B7B1DD}"/>
    <cellStyle name="Total 2 3 5 2 2 3" xfId="16107" xr:uid="{A1347E88-BDB2-481A-B2FE-C3D706E293F5}"/>
    <cellStyle name="Total 2 3 5 2 2 3 2" xfId="38507" xr:uid="{5D3F3932-6DF7-4B9A-A17B-E667092A9793}"/>
    <cellStyle name="Total 2 3 5 2 2 3 3" xfId="45323" xr:uid="{530FE971-B439-4EAE-A621-1C4A331C938A}"/>
    <cellStyle name="Total 2 3 5 2 2 4" xfId="20508" xr:uid="{A6C2C1C5-A302-46F0-9580-8B70671D4E83}"/>
    <cellStyle name="Total 2 3 5 2 2 4 2" xfId="42795" xr:uid="{B82CA34A-E1DF-43A2-9A21-C675B954372A}"/>
    <cellStyle name="Total 2 3 5 2 2 4 3" xfId="36706" xr:uid="{5822A7FD-9F1E-4E16-86D5-CFC802BA4A1F}"/>
    <cellStyle name="Total 2 3 5 2 2 5" xfId="19929" xr:uid="{17B67311-B0C0-47A0-932C-761AAA7593D9}"/>
    <cellStyle name="Total 2 3 5 2 2 5 2" xfId="31915" xr:uid="{5D929F63-054E-4ED1-BFDA-4295637249BC}"/>
    <cellStyle name="Total 2 3 5 2 2 6" xfId="44474" xr:uid="{334B6286-9970-45E0-9DC1-0F70981B0153}"/>
    <cellStyle name="Total 2 3 5 2 3" xfId="5449" xr:uid="{00000000-0005-0000-0000-000085080000}"/>
    <cellStyle name="Total 2 3 5 2 3 2" xfId="12338" xr:uid="{DD7FDD09-151F-45D1-A3E0-2439EAB301B1}"/>
    <cellStyle name="Total 2 3 5 2 3 2 2" xfId="34823" xr:uid="{2484E47F-261D-4F26-8D25-31F00FDFD93F}"/>
    <cellStyle name="Total 2 3 5 2 3 2 3" xfId="29198" xr:uid="{31C0623A-3E30-48DE-B830-74E8946D2812}"/>
    <cellStyle name="Total 2 3 5 2 3 3" xfId="17386" xr:uid="{1AA024CC-DB45-41FE-9D0E-58603A6B93D7}"/>
    <cellStyle name="Total 2 3 5 2 3 3 2" xfId="39776" xr:uid="{3EA366F0-675E-4544-B927-03C8A218A7E5}"/>
    <cellStyle name="Total 2 3 5 2 3 3 3" xfId="28929" xr:uid="{279A89C5-1374-45EB-90F2-1DB27780A393}"/>
    <cellStyle name="Total 2 3 5 2 3 4" xfId="15360" xr:uid="{30727FB4-C66B-46DD-AA51-3E7DBF853E64}"/>
    <cellStyle name="Total 2 3 5 2 3 4 2" xfId="37791" xr:uid="{9651EB10-89AC-4DDA-864D-F4656D5287F8}"/>
    <cellStyle name="Total 2 3 5 2 3 4 3" xfId="43653" xr:uid="{B5EB3AC6-7865-463F-945B-CC18F6608ABE}"/>
    <cellStyle name="Total 2 3 5 2 3 5" xfId="21810" xr:uid="{850C6F88-45D6-4DE3-BB05-7765E36D7238}"/>
    <cellStyle name="Total 2 3 5 2 3 5 2" xfId="24697" xr:uid="{4B6DD7B4-4A7B-4CF3-B2FB-A724FA54E05E}"/>
    <cellStyle name="Total 2 3 5 2 3 6" xfId="44643" xr:uid="{AA8278A1-5936-4A03-A108-43C6A658B349}"/>
    <cellStyle name="Total 2 3 5 2 4" xfId="5872" xr:uid="{00000000-0005-0000-0000-000085080000}"/>
    <cellStyle name="Total 2 3 5 2 4 2" xfId="12754" xr:uid="{78622081-0E60-4366-A764-995524F0F6C9}"/>
    <cellStyle name="Total 2 3 5 2 4 2 2" xfId="35238" xr:uid="{E6DFCD1C-446A-403C-BCAA-B1DF3986A477}"/>
    <cellStyle name="Total 2 3 5 2 4 2 3" xfId="23966" xr:uid="{3A422752-107C-4C94-96E2-53300E2FC1C4}"/>
    <cellStyle name="Total 2 3 5 2 4 3" xfId="17809" xr:uid="{E1E0AD71-8C2D-4EEB-BD15-BD47045D28A3}"/>
    <cellStyle name="Total 2 3 5 2 4 3 2" xfId="40199" xr:uid="{D168674A-88FA-4824-AB12-B699BA74FE64}"/>
    <cellStyle name="Total 2 3 5 2 4 3 3" xfId="24229" xr:uid="{394EDE9D-FB80-406C-B307-A63105508CFB}"/>
    <cellStyle name="Total 2 3 5 2 4 4" xfId="14127" xr:uid="{6E028100-3AC0-42CC-A4DD-D5845E95F231}"/>
    <cellStyle name="Total 2 3 5 2 4 4 2" xfId="36604" xr:uid="{EA8A3AEE-45B6-4901-921D-CD6BBFC50349}"/>
    <cellStyle name="Total 2 3 5 2 4 4 3" xfId="52318" xr:uid="{162A339B-E46B-4DA1-9145-BDBFA60DA37E}"/>
    <cellStyle name="Total 2 3 5 2 4 5" xfId="22233" xr:uid="{58A4B46A-4108-4C0F-9B50-2E5CD09CB878}"/>
    <cellStyle name="Total 2 3 5 2 4 5 2" xfId="50479" xr:uid="{16E8BAC9-C787-42E0-8058-D870A4A291ED}"/>
    <cellStyle name="Total 2 3 5 2 4 6" xfId="29065" xr:uid="{EE543099-21EF-46E0-A3B8-B06E7FBAE269}"/>
    <cellStyle name="Total 2 3 5 2 5" xfId="6210" xr:uid="{00000000-0005-0000-0000-000085080000}"/>
    <cellStyle name="Total 2 3 5 2 5 2" xfId="13085" xr:uid="{EC21A4A1-76C2-403A-A65A-E93178CE2E4A}"/>
    <cellStyle name="Total 2 3 5 2 5 2 2" xfId="35569" xr:uid="{4214407C-D747-439E-912A-58A45F18FF70}"/>
    <cellStyle name="Total 2 3 5 2 5 2 3" xfId="48420" xr:uid="{CD11188F-EEDA-41BE-9416-C642B13FD4C6}"/>
    <cellStyle name="Total 2 3 5 2 5 3" xfId="18147" xr:uid="{D73FFF18-DE73-4E3F-A75D-92F6834BB744}"/>
    <cellStyle name="Total 2 3 5 2 5 3 2" xfId="40537" xr:uid="{42A5192B-F8BC-4590-9EB1-D7B8F8C40348}"/>
    <cellStyle name="Total 2 3 5 2 5 3 3" xfId="43630" xr:uid="{182AE1BE-996C-4397-97AE-9A4F4E5DCB8F}"/>
    <cellStyle name="Total 2 3 5 2 5 4" xfId="7963" xr:uid="{6CDDBCEF-DE5D-4A7E-80C4-36FA3F2D1E77}"/>
    <cellStyle name="Total 2 3 5 2 5 4 2" xfId="30586" xr:uid="{8D7CE34A-A7A3-4225-9C85-957937CC06CC}"/>
    <cellStyle name="Total 2 3 5 2 5 4 3" xfId="51489" xr:uid="{67B93AD0-1D38-468E-A94A-23CFC66BF18F}"/>
    <cellStyle name="Total 2 3 5 2 5 5" xfId="22571" xr:uid="{F6413A5E-4632-4CA2-B288-60A8237D305A}"/>
    <cellStyle name="Total 2 3 5 2 5 5 2" xfId="52626" xr:uid="{2C5EB8E8-2DAE-4619-ADE3-D185793E3ED3}"/>
    <cellStyle name="Total 2 3 5 2 5 6" xfId="24551" xr:uid="{8BF965DA-16BF-4FE5-8AAA-80350E044FB0}"/>
    <cellStyle name="Total 2 3 5 2 6" xfId="6576" xr:uid="{00000000-0005-0000-0000-000085080000}"/>
    <cellStyle name="Total 2 3 5 2 6 2" xfId="13442" xr:uid="{C708BD22-EBC1-41DF-BF18-78D6238DD89D}"/>
    <cellStyle name="Total 2 3 5 2 6 2 2" xfId="35926" xr:uid="{A5CA098B-694B-45D9-BB56-0FAF7DBA2346}"/>
    <cellStyle name="Total 2 3 5 2 6 2 3" xfId="24340" xr:uid="{F4352CFD-3BEC-403F-8396-532D7FE67788}"/>
    <cellStyle name="Total 2 3 5 2 6 3" xfId="18513" xr:uid="{6B8F15BA-6F34-4FFC-8425-A3718212BB36}"/>
    <cellStyle name="Total 2 3 5 2 6 3 2" xfId="40903" xr:uid="{B9FD6F94-1F17-4458-A2AA-28AF23DB5A45}"/>
    <cellStyle name="Total 2 3 5 2 6 3 3" xfId="25758" xr:uid="{96A11C93-FC64-4197-90FB-A8157F168002}"/>
    <cellStyle name="Total 2 3 5 2 6 4" xfId="14471" xr:uid="{37051577-9856-4D09-8F15-A57CA80F6C47}"/>
    <cellStyle name="Total 2 3 5 2 6 4 2" xfId="36935" xr:uid="{D9AFBF8B-86D9-4F17-94EF-9011E9DC05AC}"/>
    <cellStyle name="Total 2 3 5 2 6 4 3" xfId="46576" xr:uid="{980211BF-3F5E-436D-A954-C3EE68153E0B}"/>
    <cellStyle name="Total 2 3 5 2 6 5" xfId="22937" xr:uid="{A2360982-B25C-41FC-9F4B-BE19E6FC5790}"/>
    <cellStyle name="Total 2 3 5 2 6 5 2" xfId="48691" xr:uid="{A290D4AE-80E2-4368-9C52-188CA7CE7597}"/>
    <cellStyle name="Total 2 3 5 2 6 6" xfId="48112" xr:uid="{ED450EC3-16A4-4C65-867D-CEC3786BF527}"/>
    <cellStyle name="Total 2 3 5 2 7" xfId="4939" xr:uid="{00000000-0005-0000-0000-000085080000}"/>
    <cellStyle name="Total 2 3 5 2 7 2" xfId="11834" xr:uid="{E338FC7A-B8FD-4EF0-8DB5-7FDD39CA37CF}"/>
    <cellStyle name="Total 2 3 5 2 7 2 2" xfId="34320" xr:uid="{4EC98E5A-9C90-4458-867F-019374EF1686}"/>
    <cellStyle name="Total 2 3 5 2 7 2 3" xfId="28285" xr:uid="{F917D3DC-BF0C-476E-98D5-F5B369E1BCE5}"/>
    <cellStyle name="Total 2 3 5 2 7 3" xfId="16876" xr:uid="{EF43A845-4462-41E0-A7BA-857ED84334D5}"/>
    <cellStyle name="Total 2 3 5 2 7 3 2" xfId="39266" xr:uid="{31278E19-6DCA-4DE0-BE48-7E443807A805}"/>
    <cellStyle name="Total 2 3 5 2 7 3 3" xfId="43840" xr:uid="{8B0F8A50-CFAC-428E-975C-7F4AF8DC3FB7}"/>
    <cellStyle name="Total 2 3 5 2 7 4" xfId="14909" xr:uid="{2EA9D285-A358-4D14-BBCB-B7BDE456A686}"/>
    <cellStyle name="Total 2 3 5 2 7 4 2" xfId="37363" xr:uid="{EAA197EB-6A19-4FA8-8DC5-BB4F314D932D}"/>
    <cellStyle name="Total 2 3 5 2 7 4 3" xfId="36926" xr:uid="{5123E074-A771-4E79-A785-3BF70E64E733}"/>
    <cellStyle name="Total 2 3 5 2 7 5" xfId="21300" xr:uid="{03AAFEF1-EDEA-457A-A1F4-4E50424BE026}"/>
    <cellStyle name="Total 2 3 5 2 7 5 2" xfId="52408" xr:uid="{CA6B25C5-BAC2-47E8-9D5F-79248290F359}"/>
    <cellStyle name="Total 2 3 5 2 7 6" xfId="44201" xr:uid="{44AB0A73-143F-424F-8928-2DE352E903C5}"/>
    <cellStyle name="Total 2 3 5 2 8" xfId="7046" xr:uid="{00000000-0005-0000-0000-000085080000}"/>
    <cellStyle name="Total 2 3 5 2 8 2" xfId="13882" xr:uid="{7D0FC2E2-ED04-4C40-8204-313B7AF3F545}"/>
    <cellStyle name="Total 2 3 5 2 8 2 2" xfId="36366" xr:uid="{B8058950-A998-4D17-B1B7-4E8B0A32816C}"/>
    <cellStyle name="Total 2 3 5 2 8 2 3" xfId="49829" xr:uid="{5AD452BF-8765-4B38-9DA0-87BB3ED94425}"/>
    <cellStyle name="Total 2 3 5 2 8 3" xfId="18983" xr:uid="{5240ED1D-22FB-4E75-9106-4A0B084202C5}"/>
    <cellStyle name="Total 2 3 5 2 8 3 2" xfId="41373" xr:uid="{325D5773-0168-4D80-92AB-002C81B861E3}"/>
    <cellStyle name="Total 2 3 5 2 8 3 3" xfId="28910" xr:uid="{75605D56-FE09-4E39-A46B-ABADCAA29032}"/>
    <cellStyle name="Total 2 3 5 2 8 4" xfId="20581" xr:uid="{0C86A25A-BC83-42AA-8424-B92ED9E0CCBB}"/>
    <cellStyle name="Total 2 3 5 2 8 4 2" xfId="42863" xr:uid="{7F2F448E-A29A-41FF-86E5-03176CAE1D56}"/>
    <cellStyle name="Total 2 3 5 2 8 4 3" xfId="48340" xr:uid="{4B13A4F7-F41A-4B22-B110-70EC784482C5}"/>
    <cellStyle name="Total 2 3 5 2 8 5" xfId="23407" xr:uid="{6023B1A6-38DC-46C3-9982-F9E03729297D}"/>
    <cellStyle name="Total 2 3 5 2 8 5 2" xfId="28901" xr:uid="{9E5B81C5-F489-490D-8D76-25FE5FAB307C}"/>
    <cellStyle name="Total 2 3 5 2 8 6" xfId="29205" xr:uid="{9BD17C93-7814-4F9E-A105-B73CFCCE2652}"/>
    <cellStyle name="Total 2 3 5 2 9" xfId="7161" xr:uid="{00000000-0005-0000-0000-000085080000}"/>
    <cellStyle name="Total 2 3 5 2 9 2" xfId="19098" xr:uid="{6BF6E7F1-D623-4828-AA28-A9E4772347DC}"/>
    <cellStyle name="Total 2 3 5 2 9 2 2" xfId="41488" xr:uid="{89748905-5A07-43E1-B992-CB52754F3921}"/>
    <cellStyle name="Total 2 3 5 2 9 2 3" xfId="38634" xr:uid="{53BAF988-227C-4CBF-AE72-AD910D8ADC62}"/>
    <cellStyle name="Total 2 3 5 2 9 3" xfId="20403" xr:uid="{2DC619AD-3ACC-4EDA-AE39-1C5897EE7E0E}"/>
    <cellStyle name="Total 2 3 5 2 9 3 2" xfId="42698" xr:uid="{E16777D1-20F1-41EA-A44B-DFAE48A36484}"/>
    <cellStyle name="Total 2 3 5 2 9 3 3" xfId="53432" xr:uid="{BB11E8C5-0561-43A5-B4E2-C1F38E4584D3}"/>
    <cellStyle name="Total 2 3 5 2 9 4" xfId="23522" xr:uid="{B3F23EAD-FAEB-442C-B7A1-CF1696EFA98C}"/>
    <cellStyle name="Total 2 3 5 2 9 4 2" xfId="48408" xr:uid="{F4DAFFAD-CD83-4901-8C8E-E3C508097E33}"/>
    <cellStyle name="Total 2 3 5 2 9 5" xfId="46321" xr:uid="{F917E3AA-6FA2-426A-975E-CAD6532F4E5A}"/>
    <cellStyle name="Total 2 3 5 3" xfId="3322" xr:uid="{00000000-0005-0000-0000-000084080000}"/>
    <cellStyle name="Total 2 3 5 3 2" xfId="10230" xr:uid="{82D7A940-2324-4FF1-A692-A2D850C4F69C}"/>
    <cellStyle name="Total 2 3 5 3 2 2" xfId="32724" xr:uid="{8F62891E-EBE6-48EA-89AF-626E0A3953FD}"/>
    <cellStyle name="Total 2 3 5 3 2 3" xfId="48183" xr:uid="{5F6F9E5C-5E19-4DC3-A4A8-0C9EE92F0449}"/>
    <cellStyle name="Total 2 3 5 3 3" xfId="15548" xr:uid="{034E410B-6318-406E-9D09-31A497AD7A8F}"/>
    <cellStyle name="Total 2 3 5 3 3 2" xfId="37967" xr:uid="{5D91147A-AA15-4883-86F4-A4D2AA844220}"/>
    <cellStyle name="Total 2 3 5 3 3 3" xfId="46558" xr:uid="{FB98A064-5920-4C1B-BB44-4DEFBBCBA096}"/>
    <cellStyle name="Total 2 3 5 3 4" xfId="14035" xr:uid="{1F227A1D-B048-4DC5-8F9E-E7C898FD502A}"/>
    <cellStyle name="Total 2 3 5 3 4 2" xfId="36517" xr:uid="{8C2B681A-45D6-4F25-90A4-94135758FF42}"/>
    <cellStyle name="Total 2 3 5 3 4 3" xfId="31905" xr:uid="{83C6B21C-6EED-4B6A-91D7-FFDAD5062CC8}"/>
    <cellStyle name="Total 2 3 5 3 5" xfId="19515" xr:uid="{0FDD5E40-0989-4235-90FD-88528FCD83E2}"/>
    <cellStyle name="Total 2 3 5 3 5 2" xfId="43043" xr:uid="{CBD0EF5F-4A9D-47CF-A04F-CAB360080750}"/>
    <cellStyle name="Total 2 3 5 3 6" xfId="49477" xr:uid="{F3C97582-7E80-4E71-A57C-0E0BECA10E41}"/>
    <cellStyle name="Total 2 3 5 4" xfId="4908" xr:uid="{00000000-0005-0000-0000-000084080000}"/>
    <cellStyle name="Total 2 3 5 4 2" xfId="11803" xr:uid="{A636C726-AB84-4EEF-B9C6-2894D9E7080F}"/>
    <cellStyle name="Total 2 3 5 4 2 2" xfId="34289" xr:uid="{6295FFC5-9DA8-45C0-89DD-170C7345801B}"/>
    <cellStyle name="Total 2 3 5 4 2 3" xfId="29786" xr:uid="{1DAEE885-1508-484A-9892-B8A0A54B07E5}"/>
    <cellStyle name="Total 2 3 5 4 3" xfId="16845" xr:uid="{52403DD3-DC2D-4EAA-B4B0-4A8BEBCE418D}"/>
    <cellStyle name="Total 2 3 5 4 3 2" xfId="39235" xr:uid="{8AD07177-6633-42CE-BBF8-CE4D48CBB738}"/>
    <cellStyle name="Total 2 3 5 4 3 3" xfId="30541" xr:uid="{7F859CDD-3E9D-4C78-9C4D-281DBE488FFF}"/>
    <cellStyle name="Total 2 3 5 4 4" xfId="14763" xr:uid="{8143E6F3-CE2F-44FF-B1D5-826DBCD98085}"/>
    <cellStyle name="Total 2 3 5 4 4 2" xfId="37220" xr:uid="{DEFE9A8D-B2B7-4BAD-80BA-B878CD8FE555}"/>
    <cellStyle name="Total 2 3 5 4 4 3" xfId="27750" xr:uid="{BAAD943C-A825-43B4-8795-8A0970D907BF}"/>
    <cellStyle name="Total 2 3 5 4 5" xfId="20751" xr:uid="{60F60C4E-F7F3-47DF-AA30-FE9F7CD5C03B}"/>
    <cellStyle name="Total 2 3 5 4 5 2" xfId="46532" xr:uid="{9FE1050D-DE0C-433C-BF94-744F80936A82}"/>
    <cellStyle name="Total 2 3 5 4 6" xfId="51790" xr:uid="{577A25C1-9F2C-4136-B709-F24555C7EF5F}"/>
    <cellStyle name="Total 2 3 5 5" xfId="2473" xr:uid="{00000000-0005-0000-0000-000084080000}"/>
    <cellStyle name="Total 2 3 5 5 2" xfId="9382" xr:uid="{A40F2DD2-6435-4FF8-880C-041E97FB3AA2}"/>
    <cellStyle name="Total 2 3 5 5 2 2" xfId="31945" xr:uid="{BCD9CA90-A937-41F3-BE77-926482D605CA}"/>
    <cellStyle name="Total 2 3 5 5 2 3" xfId="23999" xr:uid="{9186A0C7-8DEA-4CD6-B1E0-A9314B0A1440}"/>
    <cellStyle name="Total 2 3 5 5 3" xfId="14990" xr:uid="{63706DBA-7475-4535-8C99-D5285431634C}"/>
    <cellStyle name="Total 2 3 5 5 3 2" xfId="37441" xr:uid="{1EDDCDEC-2D8B-47DA-A159-8907D46EA854}"/>
    <cellStyle name="Total 2 3 5 5 3 3" xfId="47424" xr:uid="{58D61BDD-CD71-4C42-9D96-877237E31F13}"/>
    <cellStyle name="Total 2 3 5 5 4" xfId="20404" xr:uid="{3A9AC34F-9FF3-41A8-BF38-D22449405AFE}"/>
    <cellStyle name="Total 2 3 5 5 4 2" xfId="42699" xr:uid="{20861C3F-876D-4926-985D-4FB0873F8C62}"/>
    <cellStyle name="Total 2 3 5 5 4 3" xfId="50516" xr:uid="{27FD2484-2431-4217-A17A-F256C567A25F}"/>
    <cellStyle name="Total 2 3 5 5 5" xfId="20604" xr:uid="{95FF51CD-4DA9-494B-A0E9-70F118F87F19}"/>
    <cellStyle name="Total 2 3 5 5 5 2" xfId="47742" xr:uid="{707691B2-E160-41B7-A5A8-E63497863177}"/>
    <cellStyle name="Total 2 3 5 5 6" xfId="51525" xr:uid="{B6D22828-4BDC-4D2A-868A-A340910491B8}"/>
    <cellStyle name="Total 2 3 5 6" xfId="6259" xr:uid="{00000000-0005-0000-0000-000084080000}"/>
    <cellStyle name="Total 2 3 5 6 2" xfId="13132" xr:uid="{B462F7C3-E80F-45D1-94F1-621447BF5106}"/>
    <cellStyle name="Total 2 3 5 6 2 2" xfId="35616" xr:uid="{2615BFCA-A514-4A64-997F-5D466EEC8D8E}"/>
    <cellStyle name="Total 2 3 5 6 2 3" xfId="28201" xr:uid="{EF838272-E23C-4408-AD06-D8AB189DF1EB}"/>
    <cellStyle name="Total 2 3 5 6 3" xfId="18196" xr:uid="{B83B382A-FD40-4AD8-B34B-CCE6841C1D40}"/>
    <cellStyle name="Total 2 3 5 6 3 2" xfId="40586" xr:uid="{5B60627B-AD9A-47A5-B980-0FD839DA81FD}"/>
    <cellStyle name="Total 2 3 5 6 3 3" xfId="42622" xr:uid="{30D7D138-8ECF-44E6-83CF-7F8E4222C7B1}"/>
    <cellStyle name="Total 2 3 5 6 4" xfId="19182" xr:uid="{5B082235-7808-455D-B40E-35D332B0BE99}"/>
    <cellStyle name="Total 2 3 5 6 4 2" xfId="41572" xr:uid="{25A68DD7-A7A4-4432-99B4-718AA314F116}"/>
    <cellStyle name="Total 2 3 5 6 4 3" xfId="31922" xr:uid="{B0E741E1-3011-46D7-8688-52988DD82E7A}"/>
    <cellStyle name="Total 2 3 5 6 5" xfId="22620" xr:uid="{7CB54830-D30B-4196-A949-65472DD3646E}"/>
    <cellStyle name="Total 2 3 5 6 5 2" xfId="46111" xr:uid="{8BB06F22-C9DE-45BA-8FCD-76BEFFB5C249}"/>
    <cellStyle name="Total 2 3 5 6 6" xfId="29077" xr:uid="{9B6BFCEE-AA65-48B9-8BAE-F967632F008E}"/>
    <cellStyle name="Total 2 3 5 7" xfId="6352" xr:uid="{00000000-0005-0000-0000-000084080000}"/>
    <cellStyle name="Total 2 3 5 7 2" xfId="13224" xr:uid="{DD5AB87B-4801-4F6A-9025-52F3181CAE5B}"/>
    <cellStyle name="Total 2 3 5 7 2 2" xfId="35708" xr:uid="{DD716412-EC0B-4E6E-81C8-269EA9105CD2}"/>
    <cellStyle name="Total 2 3 5 7 2 3" xfId="47201" xr:uid="{518E4009-D28A-4340-A697-85699F605468}"/>
    <cellStyle name="Total 2 3 5 7 3" xfId="18289" xr:uid="{C414D6B0-120E-4D63-AA60-8099999A22BD}"/>
    <cellStyle name="Total 2 3 5 7 3 2" xfId="40679" xr:uid="{94321D55-4E4A-4906-8381-18409AFF1DE0}"/>
    <cellStyle name="Total 2 3 5 7 3 3" xfId="28593" xr:uid="{6408CBAF-3D9D-4298-8CA0-B827EB653001}"/>
    <cellStyle name="Total 2 3 5 7 4" xfId="19817" xr:uid="{574D71B4-B7F3-498A-A05B-F4B0F4B30F33}"/>
    <cellStyle name="Total 2 3 5 7 4 2" xfId="42155" xr:uid="{9DD1230C-CB8C-4DC2-849B-3791F0542283}"/>
    <cellStyle name="Total 2 3 5 7 4 3" xfId="28177" xr:uid="{CF5A739D-3C4C-4E66-9151-86176A57B95D}"/>
    <cellStyle name="Total 2 3 5 7 5" xfId="22713" xr:uid="{9E97AEB6-99F9-4039-B2E9-2FC36A42A71E}"/>
    <cellStyle name="Total 2 3 5 7 5 2" xfId="49859" xr:uid="{DF0B1EFD-FC16-4DF3-A9B7-1E7AA10CF03F}"/>
    <cellStyle name="Total 2 3 5 7 6" xfId="41613" xr:uid="{511015B4-A8C7-4F5B-9B8F-28F041205293}"/>
    <cellStyle name="Total 2 3 5 8" xfId="14083" xr:uid="{84BFA948-BFD9-4AAA-94C1-72B6AA3BF56C}"/>
    <cellStyle name="Total 2 3 5 8 2" xfId="36561" xr:uid="{9286A4EE-BD93-4AF9-8573-F710420E5A26}"/>
    <cellStyle name="Total 2 3 5 8 3" xfId="43643" xr:uid="{9C959190-0395-406F-9D5F-C6ECA21EE656}"/>
    <cellStyle name="Total 2 3 5 9" xfId="21097" xr:uid="{CBF7972E-9468-439A-B65B-B946D425AABC}"/>
    <cellStyle name="Total 2 3 5 9 2" xfId="43344" xr:uid="{B01A2EFC-CE24-449E-8968-CC515FE54B02}"/>
    <cellStyle name="Total 2 3 5 9 3" xfId="51195" xr:uid="{A21C6800-FDFC-4DFF-B60B-4C0108E5960C}"/>
    <cellStyle name="Total 2 3 6" xfId="1370" xr:uid="{00000000-0005-0000-0000-000089080000}"/>
    <cellStyle name="Total 2 3 6 10" xfId="19767" xr:uid="{362639CD-7EC5-4745-B6FF-57550488438B}"/>
    <cellStyle name="Total 2 3 6 10 2" xfId="45354" xr:uid="{4DA3797D-43A8-418C-86EA-392FEE9767A5}"/>
    <cellStyle name="Total 2 3 6 11" xfId="48858" xr:uid="{DEDFE8D7-3646-4773-AB22-0137428C95A4}"/>
    <cellStyle name="Total 2 3 6 2" xfId="2099" xr:uid="{00000000-0005-0000-0000-00008A080000}"/>
    <cellStyle name="Total 2 3 6 2 10" xfId="14728" xr:uid="{DC9635D8-7F11-4C63-9636-62330C6A2D46}"/>
    <cellStyle name="Total 2 3 6 2 10 2" xfId="37186" xr:uid="{6C100AB9-851E-4552-987F-EE19599E85E3}"/>
    <cellStyle name="Total 2 3 6 2 10 3" xfId="24536" xr:uid="{026FD954-B159-41A4-A477-A1C34296151F}"/>
    <cellStyle name="Total 2 3 6 2 11" xfId="20863" xr:uid="{0400F965-AE38-4E11-BD46-DF56CB0E4CC2}"/>
    <cellStyle name="Total 2 3 6 2 11 2" xfId="43128" xr:uid="{5659C4F5-1FDA-4CFC-8CF6-C76355C2A34C}"/>
    <cellStyle name="Total 2 3 6 2 11 3" xfId="53962" xr:uid="{B220C099-6FD9-4E21-BFEE-DA371B72D6D8}"/>
    <cellStyle name="Total 2 3 6 2 12" xfId="20496" xr:uid="{B209D7A5-54B1-4030-B3BC-81027E88027C}"/>
    <cellStyle name="Total 2 3 6 2 12 2" xfId="45619" xr:uid="{C5094ED3-CA8D-4AC5-82C6-CA3DD7C735F3}"/>
    <cellStyle name="Total 2 3 6 2 13" xfId="51016" xr:uid="{1B5BAB78-4155-4DC8-B4A2-3226B59D796F}"/>
    <cellStyle name="Total 2 3 6 2 2" xfId="4192" xr:uid="{00000000-0005-0000-0000-000087080000}"/>
    <cellStyle name="Total 2 3 6 2 2 2" xfId="11096" xr:uid="{E7EED6F0-3865-4488-9A5D-C74B82256314}"/>
    <cellStyle name="Total 2 3 6 2 2 2 2" xfId="33582" xr:uid="{B6E2BD9C-6C70-4100-B720-06FB7F14E795}"/>
    <cellStyle name="Total 2 3 6 2 2 2 3" xfId="49247" xr:uid="{C680F63C-4222-4EF0-A3DD-FAF31C22C0E5}"/>
    <cellStyle name="Total 2 3 6 2 2 3" xfId="16185" xr:uid="{3B522545-3291-4917-ACA2-E6EC04465462}"/>
    <cellStyle name="Total 2 3 6 2 2 3 2" xfId="38584" xr:uid="{CD361F84-E8AC-4073-9AF1-B4944DBA2CD1}"/>
    <cellStyle name="Total 2 3 6 2 2 3 3" xfId="26049" xr:uid="{C89FB36D-9C7E-4A90-83BA-5D2023628FAA}"/>
    <cellStyle name="Total 2 3 6 2 2 4" xfId="20903" xr:uid="{D8E1B76D-8F50-4D11-BCBD-C5A30E18401F}"/>
    <cellStyle name="Total 2 3 6 2 2 4 2" xfId="43164" xr:uid="{74CF7D5B-1668-435F-AB34-46729AB74317}"/>
    <cellStyle name="Total 2 3 6 2 2 4 3" xfId="47962" xr:uid="{6D46A646-ECF0-4439-B797-BDA777EA6A58}"/>
    <cellStyle name="Total 2 3 6 2 2 5" xfId="19989" xr:uid="{FA8E2E67-70AB-4863-9F8E-DC22E77D74D7}"/>
    <cellStyle name="Total 2 3 6 2 2 5 2" xfId="26689" xr:uid="{DAC1E2D7-A9A5-452C-8FFA-A1FFFCF2AB97}"/>
    <cellStyle name="Total 2 3 6 2 2 6" xfId="25167" xr:uid="{CC356738-5285-4B3C-865D-0FA6CE31DFFE}"/>
    <cellStyle name="Total 2 3 6 2 3" xfId="5518" xr:uid="{00000000-0005-0000-0000-000087080000}"/>
    <cellStyle name="Total 2 3 6 2 3 2" xfId="12407" xr:uid="{2EAA4514-B9E1-4D20-934A-A4D528BD8B9B}"/>
    <cellStyle name="Total 2 3 6 2 3 2 2" xfId="34892" xr:uid="{B8E249C8-7ACA-4307-ACBA-E29617EA3A98}"/>
    <cellStyle name="Total 2 3 6 2 3 2 3" xfId="25627" xr:uid="{8771F786-E8DD-456C-982F-5005E72DA267}"/>
    <cellStyle name="Total 2 3 6 2 3 3" xfId="17455" xr:uid="{E3388C54-B931-4230-A600-78F20507167F}"/>
    <cellStyle name="Total 2 3 6 2 3 3 2" xfId="39845" xr:uid="{27DBD092-9246-411B-8B4B-0017CFBB579E}"/>
    <cellStyle name="Total 2 3 6 2 3 3 3" xfId="25079" xr:uid="{A1186F58-7333-4A2D-94BF-931BE6EFA2D1}"/>
    <cellStyle name="Total 2 3 6 2 3 4" xfId="15609" xr:uid="{1023047E-7C0F-4280-B7C9-C1AD61B9CA21}"/>
    <cellStyle name="Total 2 3 6 2 3 4 2" xfId="38025" xr:uid="{95FA1CEE-88D0-461F-9BF0-26F1B855760D}"/>
    <cellStyle name="Total 2 3 6 2 3 4 3" xfId="52463" xr:uid="{B065E560-EFF1-4AC2-9576-3761FAAE7137}"/>
    <cellStyle name="Total 2 3 6 2 3 5" xfId="21879" xr:uid="{170F36AF-240F-46D5-A34A-D97B3099F02C}"/>
    <cellStyle name="Total 2 3 6 2 3 5 2" xfId="50496" xr:uid="{3B4DF652-E270-4A3E-8F16-BEEE9C537CD6}"/>
    <cellStyle name="Total 2 3 6 2 3 6" xfId="51204" xr:uid="{BF648707-BD6E-40D5-A8BF-04E297B3A0DF}"/>
    <cellStyle name="Total 2 3 6 2 4" xfId="5940" xr:uid="{00000000-0005-0000-0000-000087080000}"/>
    <cellStyle name="Total 2 3 6 2 4 2" xfId="12821" xr:uid="{074DDDDD-EB3E-435C-9D5A-C11A01CAB4DC}"/>
    <cellStyle name="Total 2 3 6 2 4 2 2" xfId="35305" xr:uid="{680EA2F8-F37F-46AD-A6DA-644DB732659E}"/>
    <cellStyle name="Total 2 3 6 2 4 2 3" xfId="46460" xr:uid="{C2BFF331-1C24-4995-ABB2-3130BB7FC1C9}"/>
    <cellStyle name="Total 2 3 6 2 4 3" xfId="17877" xr:uid="{F982A099-ACDB-4AB9-92CE-BE5B6FF0E6F6}"/>
    <cellStyle name="Total 2 3 6 2 4 3 2" xfId="40267" xr:uid="{19D1A153-E949-40F9-AA54-30D16B2333E3}"/>
    <cellStyle name="Total 2 3 6 2 4 3 3" xfId="44616" xr:uid="{CA104B26-8A9E-4DD8-B643-E39D27732076}"/>
    <cellStyle name="Total 2 3 6 2 4 4" xfId="14967" xr:uid="{3C1F5AA1-4A36-4D97-A20D-EA33DB40B94E}"/>
    <cellStyle name="Total 2 3 6 2 4 4 2" xfId="37418" xr:uid="{FCA7C198-708B-4EC5-A5FC-66C6E08D23FD}"/>
    <cellStyle name="Total 2 3 6 2 4 4 3" xfId="44472" xr:uid="{D7078E4D-3A03-4477-A3CA-F8601FCE6604}"/>
    <cellStyle name="Total 2 3 6 2 4 5" xfId="22301" xr:uid="{F2F09D3C-5EEB-4176-A37F-9E2A7B88FB56}"/>
    <cellStyle name="Total 2 3 6 2 4 5 2" xfId="46567" xr:uid="{982E51A0-C466-452D-9161-B64494730656}"/>
    <cellStyle name="Total 2 3 6 2 4 6" xfId="49715" xr:uid="{52C35B73-D528-41F7-B2C8-6C947461EA97}"/>
    <cellStyle name="Total 2 3 6 2 5" xfId="6280" xr:uid="{00000000-0005-0000-0000-000087080000}"/>
    <cellStyle name="Total 2 3 6 2 5 2" xfId="13152" xr:uid="{89EB8BA1-2D93-4562-86FE-F70662B769E2}"/>
    <cellStyle name="Total 2 3 6 2 5 2 2" xfId="35636" xr:uid="{60EEE155-AC77-4F54-8120-5E8198B2337F}"/>
    <cellStyle name="Total 2 3 6 2 5 2 3" xfId="25701" xr:uid="{3988F6CC-1509-4A6F-9181-B511C4DFBAAB}"/>
    <cellStyle name="Total 2 3 6 2 5 3" xfId="18217" xr:uid="{ECD59193-1B9A-445A-BD2A-7947ADBD9718}"/>
    <cellStyle name="Total 2 3 6 2 5 3 2" xfId="40607" xr:uid="{31303063-7416-429E-9387-073E63C02CC1}"/>
    <cellStyle name="Total 2 3 6 2 5 3 3" xfId="28089" xr:uid="{126711C5-DF92-4E02-B55D-B37265C6A9E3}"/>
    <cellStyle name="Total 2 3 6 2 5 4" xfId="14319" xr:uid="{BB6300E4-7326-42D9-A7C0-F64D464304DC}"/>
    <cellStyle name="Total 2 3 6 2 5 4 2" xfId="36788" xr:uid="{BB543D5A-03B2-4411-9A91-FF0993A22024}"/>
    <cellStyle name="Total 2 3 6 2 5 4 3" xfId="43921" xr:uid="{237C7129-A153-4238-BF64-AB22EF81AB39}"/>
    <cellStyle name="Total 2 3 6 2 5 5" xfId="22641" xr:uid="{7A76B83E-20E8-4C66-B723-B979A6E6B96F}"/>
    <cellStyle name="Total 2 3 6 2 5 5 2" xfId="53606" xr:uid="{49A3E7E3-9CF1-4A17-878F-80595B12E776}"/>
    <cellStyle name="Total 2 3 6 2 5 6" xfId="26569" xr:uid="{AEC3274B-45EC-4D92-89C1-14F1E803F079}"/>
    <cellStyle name="Total 2 3 6 2 6" xfId="6635" xr:uid="{00000000-0005-0000-0000-000087080000}"/>
    <cellStyle name="Total 2 3 6 2 6 2" xfId="13501" xr:uid="{35A694AC-F018-4224-90D8-9A33F4107710}"/>
    <cellStyle name="Total 2 3 6 2 6 2 2" xfId="35985" xr:uid="{726A266F-ADC4-4746-AABE-41C60989CCC8}"/>
    <cellStyle name="Total 2 3 6 2 6 2 3" xfId="48446" xr:uid="{A843F726-B2C0-4898-82C3-27A5C856FC25}"/>
    <cellStyle name="Total 2 3 6 2 6 3" xfId="18572" xr:uid="{BEFA3553-E712-4A2E-9103-0403603680FF}"/>
    <cellStyle name="Total 2 3 6 2 6 3 2" xfId="40962" xr:uid="{52F90A21-EFF2-4155-871D-DFBE016CBAA2}"/>
    <cellStyle name="Total 2 3 6 2 6 3 3" xfId="23696" xr:uid="{DD9B4F7A-DC1A-49E4-9DEB-CE4E67875F2C}"/>
    <cellStyle name="Total 2 3 6 2 6 4" xfId="14975" xr:uid="{09CE8AB8-185D-415E-8250-1FF2C4B81F56}"/>
    <cellStyle name="Total 2 3 6 2 6 4 2" xfId="37426" xr:uid="{EBC213FE-59E5-4D12-A21A-98E5A746DAAC}"/>
    <cellStyle name="Total 2 3 6 2 6 4 3" xfId="44226" xr:uid="{3ED20C81-D78D-42E4-A28A-E7194B7D583F}"/>
    <cellStyle name="Total 2 3 6 2 6 5" xfId="22996" xr:uid="{A98A6D75-C122-46D4-98B2-034BC5A86210}"/>
    <cellStyle name="Total 2 3 6 2 6 5 2" xfId="48605" xr:uid="{E6CF23D0-EAAD-47E4-88E1-3B18B91A3EE9}"/>
    <cellStyle name="Total 2 3 6 2 6 6" xfId="49068" xr:uid="{20C60B40-ED7A-4E69-9451-651876041094}"/>
    <cellStyle name="Total 2 3 6 2 7" xfId="6702" xr:uid="{00000000-0005-0000-0000-000087080000}"/>
    <cellStyle name="Total 2 3 6 2 7 2" xfId="13566" xr:uid="{2ACB2FFE-2EA5-4870-853A-5DAE11B9B789}"/>
    <cellStyle name="Total 2 3 6 2 7 2 2" xfId="36050" xr:uid="{5CF1ECF5-63B8-4D40-9D95-C3089C480453}"/>
    <cellStyle name="Total 2 3 6 2 7 2 3" xfId="47717" xr:uid="{6DAD5B20-81B3-4D80-8529-9535E9235B07}"/>
    <cellStyle name="Total 2 3 6 2 7 3" xfId="18639" xr:uid="{E1ADF0B0-0017-4CD1-A5E2-2F016A40D82F}"/>
    <cellStyle name="Total 2 3 6 2 7 3 2" xfId="41029" xr:uid="{12CC2667-C670-4104-ACA2-7A3FC93A2193}"/>
    <cellStyle name="Total 2 3 6 2 7 3 3" xfId="24359" xr:uid="{0F9D8D51-EA70-4353-9200-0287267662AE}"/>
    <cellStyle name="Total 2 3 6 2 7 4" xfId="20817" xr:uid="{3329AAF5-C7D7-4A52-8E1C-476F41E86A16}"/>
    <cellStyle name="Total 2 3 6 2 7 4 2" xfId="43083" xr:uid="{71429105-4246-48A5-87DF-CDE6A8FB1BE0}"/>
    <cellStyle name="Total 2 3 6 2 7 4 3" xfId="50493" xr:uid="{E7B9A839-2B76-4C7B-B821-67D628AC09B6}"/>
    <cellStyle name="Total 2 3 6 2 7 5" xfId="23063" xr:uid="{AED8224D-72A5-4A7F-9340-9CEB3508ACA0}"/>
    <cellStyle name="Total 2 3 6 2 7 5 2" xfId="47581" xr:uid="{5B88E1EF-630A-4537-B47C-20D039C1958B}"/>
    <cellStyle name="Total 2 3 6 2 7 6" xfId="51632" xr:uid="{97AE0C1E-ADD3-47F8-9320-7ED8D1B86715}"/>
    <cellStyle name="Total 2 3 6 2 8" xfId="7090" xr:uid="{00000000-0005-0000-0000-000087080000}"/>
    <cellStyle name="Total 2 3 6 2 8 2" xfId="13926" xr:uid="{4C0CCAB1-7768-4B2B-B46A-41BBF1DA7A2F}"/>
    <cellStyle name="Total 2 3 6 2 8 2 2" xfId="36410" xr:uid="{B66B2988-0689-4529-9885-8B440A4BE310}"/>
    <cellStyle name="Total 2 3 6 2 8 2 3" xfId="53741" xr:uid="{5A6CD022-5BB1-491E-A08E-4CAEC0484E92}"/>
    <cellStyle name="Total 2 3 6 2 8 3" xfId="19027" xr:uid="{99B50599-2D8B-4B61-9958-9482749FEE9B}"/>
    <cellStyle name="Total 2 3 6 2 8 3 2" xfId="41417" xr:uid="{7089F89E-70BC-4890-965F-19F3070C440F}"/>
    <cellStyle name="Total 2 3 6 2 8 3 3" xfId="24166" xr:uid="{A093A9F3-7CEF-464A-BA2A-6189F730A33C}"/>
    <cellStyle name="Total 2 3 6 2 8 4" xfId="20584" xr:uid="{0BCE8902-8487-42AB-84D7-8A1202284659}"/>
    <cellStyle name="Total 2 3 6 2 8 4 2" xfId="42866" xr:uid="{F7414980-50AC-4CB6-97D6-BA71A415B249}"/>
    <cellStyle name="Total 2 3 6 2 8 4 3" xfId="53056" xr:uid="{10DA5020-F0BD-40DD-8C4E-2A3FB91590B3}"/>
    <cellStyle name="Total 2 3 6 2 8 5" xfId="23451" xr:uid="{CA3099E0-8CB8-45AB-9FE0-140F1E2C26E1}"/>
    <cellStyle name="Total 2 3 6 2 8 5 2" xfId="52591" xr:uid="{075A0332-A2F6-47CE-B6D0-9FE6868325EE}"/>
    <cellStyle name="Total 2 3 6 2 8 6" xfId="52396" xr:uid="{CF5DC9DB-FD58-4CBB-94A1-D4B8A8D490E3}"/>
    <cellStyle name="Total 2 3 6 2 9" xfId="7205" xr:uid="{00000000-0005-0000-0000-000087080000}"/>
    <cellStyle name="Total 2 3 6 2 9 2" xfId="19142" xr:uid="{8685CC0F-5843-4BFB-B017-97617B0D7784}"/>
    <cellStyle name="Total 2 3 6 2 9 2 2" xfId="41532" xr:uid="{DEA7003B-477D-430C-8F25-830E588A698F}"/>
    <cellStyle name="Total 2 3 6 2 9 2 3" xfId="28482" xr:uid="{73120F49-1016-4E94-B40A-E939BF382763}"/>
    <cellStyle name="Total 2 3 6 2 9 3" xfId="20027" xr:uid="{DC429884-03B7-42AB-BDFA-0549CCA736F9}"/>
    <cellStyle name="Total 2 3 6 2 9 3 2" xfId="42351" xr:uid="{1B4715D6-F3AD-44D1-8279-5DC8627FD38B}"/>
    <cellStyle name="Total 2 3 6 2 9 3 3" xfId="44634" xr:uid="{DD6AF692-5489-42DC-B9B3-65A76AA974A7}"/>
    <cellStyle name="Total 2 3 6 2 9 4" xfId="23566" xr:uid="{474AAA9F-7472-46C1-A005-6FBA7CCC5C8A}"/>
    <cellStyle name="Total 2 3 6 2 9 4 2" xfId="43913" xr:uid="{958BA840-9229-47BA-AA30-2109E0992EFB}"/>
    <cellStyle name="Total 2 3 6 2 9 5" xfId="38396" xr:uid="{1A3D58EA-B10D-4571-A4FE-75DEFFB282DB}"/>
    <cellStyle name="Total 2 3 6 3" xfId="3474" xr:uid="{00000000-0005-0000-0000-000086080000}"/>
    <cellStyle name="Total 2 3 6 3 2" xfId="10381" xr:uid="{4B20E654-47F8-48A0-B689-E7E93E79D96C}"/>
    <cellStyle name="Total 2 3 6 3 2 2" xfId="32868" xr:uid="{16781FFE-EA71-401C-96BF-776395C484A8}"/>
    <cellStyle name="Total 2 3 6 3 2 3" xfId="53064" xr:uid="{031048E0-E7A6-4155-A73A-41195741784F}"/>
    <cellStyle name="Total 2 3 6 3 3" xfId="15652" xr:uid="{0EC543DF-D3CF-4D6F-97E7-E8F7E20A5DA8}"/>
    <cellStyle name="Total 2 3 6 3 3 2" xfId="38068" xr:uid="{158B5E4E-BA18-4E86-BA15-C312BDCB2A0A}"/>
    <cellStyle name="Total 2 3 6 3 3 3" xfId="46006" xr:uid="{A85E6494-7CA4-4253-942F-22B77938C846}"/>
    <cellStyle name="Total 2 3 6 3 4" xfId="19567" xr:uid="{56785E67-E664-4A2A-A979-ED2E014BDEAC}"/>
    <cellStyle name="Total 2 3 6 3 4 2" xfId="41925" xr:uid="{E46F7346-B68F-43BF-AD96-EF225FAD2205}"/>
    <cellStyle name="Total 2 3 6 3 4 3" xfId="32705" xr:uid="{232C391D-23AD-4411-9137-8CA14247C26D}"/>
    <cellStyle name="Total 2 3 6 3 5" xfId="21237" xr:uid="{B9DBAE41-B32A-4E30-88D9-CC07C182A2D6}"/>
    <cellStyle name="Total 2 3 6 3 5 2" xfId="52851" xr:uid="{E6BB32C7-E7ED-49C7-B805-A8282E587F0A}"/>
    <cellStyle name="Total 2 3 6 3 6" xfId="25930" xr:uid="{1B230353-65E6-45C2-9B80-4170C8B7C682}"/>
    <cellStyle name="Total 2 3 6 4" xfId="5007" xr:uid="{00000000-0005-0000-0000-000086080000}"/>
    <cellStyle name="Total 2 3 6 4 2" xfId="11901" xr:uid="{E62B94C7-CF4A-42D6-AD30-3E1791664437}"/>
    <cellStyle name="Total 2 3 6 4 2 2" xfId="34387" xr:uid="{CA647654-AFF0-459D-B819-5D246BCE2FD3}"/>
    <cellStyle name="Total 2 3 6 4 2 3" xfId="30532" xr:uid="{F42808C3-95EB-40BE-A94E-CBCBE3387E6D}"/>
    <cellStyle name="Total 2 3 6 4 3" xfId="16944" xr:uid="{B0680F67-4B92-4552-9B12-D05F97A2CBFC}"/>
    <cellStyle name="Total 2 3 6 4 3 2" xfId="39334" xr:uid="{DDA802CE-FC1C-41F0-BF68-617215B79226}"/>
    <cellStyle name="Total 2 3 6 4 3 3" xfId="24145" xr:uid="{474CDAAF-6986-4D79-8CEC-0B4CFBF4D333}"/>
    <cellStyle name="Total 2 3 6 4 4" xfId="8680" xr:uid="{6C7F1418-E71E-4985-B0A9-E48D687B9995}"/>
    <cellStyle name="Total 2 3 6 4 4 2" xfId="31265" xr:uid="{A316CA19-7AD2-4860-A4AC-B7812FACF1C6}"/>
    <cellStyle name="Total 2 3 6 4 4 3" xfId="52844" xr:uid="{870F9ED4-0E16-43A9-AD00-613202AAF910}"/>
    <cellStyle name="Total 2 3 6 4 5" xfId="21368" xr:uid="{7320D6DE-D6F1-4B9B-B125-7A6C7109F5CB}"/>
    <cellStyle name="Total 2 3 6 4 5 2" xfId="29672" xr:uid="{D47D1792-4654-496B-9266-413962DDD95A}"/>
    <cellStyle name="Total 2 3 6 4 6" xfId="45957" xr:uid="{73E7DCCB-CE65-4A00-8DE0-C1B1ADF6844C}"/>
    <cellStyle name="Total 2 3 6 5" xfId="5482" xr:uid="{00000000-0005-0000-0000-000086080000}"/>
    <cellStyle name="Total 2 3 6 5 2" xfId="12371" xr:uid="{B476043C-3CD4-4CA8-B2FA-1CF51DD3DD4C}"/>
    <cellStyle name="Total 2 3 6 5 2 2" xfId="34856" xr:uid="{0211D02F-1840-48F1-8C33-BA83A60519D4}"/>
    <cellStyle name="Total 2 3 6 5 2 3" xfId="37430" xr:uid="{E6CE00CC-E580-4743-9417-AD4361212DBC}"/>
    <cellStyle name="Total 2 3 6 5 3" xfId="17419" xr:uid="{B8FA1BA2-7EFA-412F-A40A-D0C7AEBD8D94}"/>
    <cellStyle name="Total 2 3 6 5 3 2" xfId="39809" xr:uid="{C9BCF022-7C1C-46BE-90A4-82B120F8FFCB}"/>
    <cellStyle name="Total 2 3 6 5 3 3" xfId="25683" xr:uid="{183FCC60-41DC-4518-BB64-DDAD234D1FCF}"/>
    <cellStyle name="Total 2 3 6 5 4" xfId="14695" xr:uid="{5D409D1F-3D32-4D65-AAF8-7C4A7B8C697C}"/>
    <cellStyle name="Total 2 3 6 5 4 2" xfId="37153" xr:uid="{413A7463-9E08-4135-8225-D4720C27D41F}"/>
    <cellStyle name="Total 2 3 6 5 4 3" xfId="47388" xr:uid="{6C564858-E9AF-48F0-8A60-0FB95910C7B2}"/>
    <cellStyle name="Total 2 3 6 5 5" xfId="21843" xr:uid="{2DA5ED4D-208E-4900-B25F-05E69CB0496E}"/>
    <cellStyle name="Total 2 3 6 5 5 2" xfId="53894" xr:uid="{199DA0FF-7DB6-4C13-980B-303F443B652F}"/>
    <cellStyle name="Total 2 3 6 5 6" xfId="48948" xr:uid="{201D57B3-887B-419E-92E9-53A0BFF32B19}"/>
    <cellStyle name="Total 2 3 6 6" xfId="6114" xr:uid="{00000000-0005-0000-0000-000086080000}"/>
    <cellStyle name="Total 2 3 6 6 2" xfId="12992" xr:uid="{518B02D1-919C-4534-AF30-9E4901B2B1F7}"/>
    <cellStyle name="Total 2 3 6 6 2 2" xfId="35476" xr:uid="{6CFFBA18-D76E-4195-8086-45897198DF1D}"/>
    <cellStyle name="Total 2 3 6 6 2 3" xfId="46871" xr:uid="{EA1AA1F5-71FB-4B0D-83EF-396D1358517A}"/>
    <cellStyle name="Total 2 3 6 6 3" xfId="18051" xr:uid="{6F105CD5-AE41-46F1-9B28-BDF3F19FE37D}"/>
    <cellStyle name="Total 2 3 6 6 3 2" xfId="40441" xr:uid="{E1169CF4-BD02-43C4-AFE0-36CA50FFD785}"/>
    <cellStyle name="Total 2 3 6 6 3 3" xfId="27294" xr:uid="{3FB9E99E-9118-4135-B684-00D1DDE4D5E2}"/>
    <cellStyle name="Total 2 3 6 6 4" xfId="15008" xr:uid="{8312115B-F565-4F6F-83B7-22739996D469}"/>
    <cellStyle name="Total 2 3 6 6 4 2" xfId="37458" xr:uid="{81ED493F-905D-481D-B073-C9AAF89C4FEB}"/>
    <cellStyle name="Total 2 3 6 6 4 3" xfId="51558" xr:uid="{3A895E40-C56D-4FB0-9346-D602095AF920}"/>
    <cellStyle name="Total 2 3 6 6 5" xfId="22475" xr:uid="{3CAD4F9A-F4F6-45E0-969E-623B184E7148}"/>
    <cellStyle name="Total 2 3 6 6 5 2" xfId="25660" xr:uid="{167BF525-5901-4A79-8E5B-EB83ADF07CBF}"/>
    <cellStyle name="Total 2 3 6 6 6" xfId="47119" xr:uid="{A210BECB-0E59-4BDA-8A38-C68D80009E80}"/>
    <cellStyle name="Total 2 3 6 7" xfId="5984" xr:uid="{00000000-0005-0000-0000-000086080000}"/>
    <cellStyle name="Total 2 3 6 7 2" xfId="12865" xr:uid="{622AE17E-A08B-43D5-8B29-8D89F6A69A76}"/>
    <cellStyle name="Total 2 3 6 7 2 2" xfId="35349" xr:uid="{D40342B5-B157-4E72-8CAC-3EFDFAD567B1}"/>
    <cellStyle name="Total 2 3 6 7 2 3" xfId="50808" xr:uid="{CFD1CFF6-5887-42D5-A789-7F8313FD0F83}"/>
    <cellStyle name="Total 2 3 6 7 3" xfId="17921" xr:uid="{9DF8BA97-6A9F-41ED-9B3B-DD4BEB7DB240}"/>
    <cellStyle name="Total 2 3 6 7 3 2" xfId="40311" xr:uid="{2DC05D6E-6668-455B-BA96-7DA0231829BF}"/>
    <cellStyle name="Total 2 3 6 7 3 3" xfId="25639" xr:uid="{03B863EC-7791-4A92-9508-ECF4E403CA22}"/>
    <cellStyle name="Total 2 3 6 7 4" xfId="15675" xr:uid="{885D0CE6-22D4-4715-8449-168C3920960C}"/>
    <cellStyle name="Total 2 3 6 7 4 2" xfId="38091" xr:uid="{C864EA42-B69A-409A-ADC5-EC024BD097B7}"/>
    <cellStyle name="Total 2 3 6 7 4 3" xfId="48811" xr:uid="{E7139A9C-A85E-4FD8-981D-BB9CFD330945}"/>
    <cellStyle name="Total 2 3 6 7 5" xfId="22345" xr:uid="{D02A4FD9-1AE9-4728-AB1E-DE992BE7228D}"/>
    <cellStyle name="Total 2 3 6 7 5 2" xfId="27994" xr:uid="{87281F5A-56DE-479C-98C2-0B4A7C9780DD}"/>
    <cellStyle name="Total 2 3 6 7 6" xfId="49192" xr:uid="{39F36BE6-5761-483B-8240-FB9510E0D1C7}"/>
    <cellStyle name="Total 2 3 6 8" xfId="14189" xr:uid="{FE92718C-6D81-46B2-A5D4-D0C59D5052DF}"/>
    <cellStyle name="Total 2 3 6 8 2" xfId="36664" xr:uid="{5D0B3F54-2AEA-4787-B17C-5A0FD4C9D6A4}"/>
    <cellStyle name="Total 2 3 6 8 3" xfId="51477" xr:uid="{1F199334-803B-40F0-AD51-D44D3ED4B275}"/>
    <cellStyle name="Total 2 3 6 9" xfId="20304" xr:uid="{9B18796E-90F6-483F-93DE-59DF8836FF98}"/>
    <cellStyle name="Total 2 3 6 9 2" xfId="42603" xr:uid="{FD3F1D87-DF67-4584-8136-CE90AD9256FC}"/>
    <cellStyle name="Total 2 3 6 9 3" xfId="51606" xr:uid="{29FBAFD9-C1E3-4A50-A561-571A34E45088}"/>
    <cellStyle name="Total 2 3 7" xfId="1642" xr:uid="{00000000-0005-0000-0000-00008B080000}"/>
    <cellStyle name="Total 2 3 7 10" xfId="14356" xr:uid="{E8B8AFF2-C040-47A1-997C-FC02DFEA41DE}"/>
    <cellStyle name="Total 2 3 7 10 2" xfId="36824" xr:uid="{27C1CC23-D9D9-436B-B12C-163EBC9EF964}"/>
    <cellStyle name="Total 2 3 7 10 3" xfId="49145" xr:uid="{8EAB691D-154A-42FC-A85A-51D089199F68}"/>
    <cellStyle name="Total 2 3 7 11" xfId="20186" xr:uid="{627A3C71-AC32-4094-A933-5C8FABEE8669}"/>
    <cellStyle name="Total 2 3 7 11 2" xfId="42496" xr:uid="{4708481A-AC3A-4ACC-AC75-B17DD8973426}"/>
    <cellStyle name="Total 2 3 7 11 3" xfId="43125" xr:uid="{3F6C9832-C03B-4153-94ED-8BBFCA3F6B16}"/>
    <cellStyle name="Total 2 3 7 12" xfId="8831" xr:uid="{187863C0-DD1E-45E1-BE1E-ED5AD2894D3A}"/>
    <cellStyle name="Total 2 3 7 12 2" xfId="47050" xr:uid="{06891584-D5F1-4387-BFED-4E5809524537}"/>
    <cellStyle name="Total 2 3 7 13" xfId="48763" xr:uid="{F102CEAD-9654-459E-B19D-93886717F037}"/>
    <cellStyle name="Total 2 3 7 2" xfId="3740" xr:uid="{00000000-0005-0000-0000-000088080000}"/>
    <cellStyle name="Total 2 3 7 2 2" xfId="10644" xr:uid="{64EDD64E-CC4C-4289-81A1-DFE0137B32F7}"/>
    <cellStyle name="Total 2 3 7 2 2 2" xfId="33130" xr:uid="{177F23C3-B848-4DE7-BF6A-9DEDE8E91DEB}"/>
    <cellStyle name="Total 2 3 7 2 2 3" xfId="51584" xr:uid="{1B7DF6D6-F8AF-4522-A4C1-B516025ADDDF}"/>
    <cellStyle name="Total 2 3 7 2 3" xfId="15821" xr:uid="{0D67A58F-97A4-4C25-AC58-ABC7A36A3925}"/>
    <cellStyle name="Total 2 3 7 2 3 2" xfId="38229" xr:uid="{8B8005AA-7898-4A96-96BC-56612F241DAC}"/>
    <cellStyle name="Total 2 3 7 2 3 3" xfId="54028" xr:uid="{CB48A404-2D17-4476-BB35-2D200BC8A6A6}"/>
    <cellStyle name="Total 2 3 7 2 4" xfId="20547" xr:uid="{24D19176-C821-4065-B1AF-C74C243F09AC}"/>
    <cellStyle name="Total 2 3 7 2 4 2" xfId="42833" xr:uid="{74246F2A-2368-4D2F-9876-D4A5092E3D0F}"/>
    <cellStyle name="Total 2 3 7 2 4 3" xfId="46117" xr:uid="{87F8164F-34B8-4E3B-B392-0A5A330763E0}"/>
    <cellStyle name="Total 2 3 7 2 5" xfId="20733" xr:uid="{3F1A414A-B3B5-4B8B-8501-B85076C7190C}"/>
    <cellStyle name="Total 2 3 7 2 5 2" xfId="44984" xr:uid="{B1E05914-A576-4430-8104-B9B30C8E008F}"/>
    <cellStyle name="Total 2 3 7 2 6" xfId="47492" xr:uid="{F4C2B598-5290-4335-8BA6-9F7FBC1E02B2}"/>
    <cellStyle name="Total 2 3 7 3" xfId="5175" xr:uid="{00000000-0005-0000-0000-000088080000}"/>
    <cellStyle name="Total 2 3 7 3 2" xfId="12068" xr:uid="{3C64DA43-A10B-4686-A9DE-0EA6A85F27B0}"/>
    <cellStyle name="Total 2 3 7 3 2 2" xfId="34554" xr:uid="{5D4B6F4F-06F9-4806-AD20-6F2E8077D2FB}"/>
    <cellStyle name="Total 2 3 7 3 2 3" xfId="31928" xr:uid="{40CE95DD-58F2-4AD1-A681-40ADEC884661}"/>
    <cellStyle name="Total 2 3 7 3 3" xfId="17112" xr:uid="{FD32292E-881A-442D-9441-93401DAEC5C5}"/>
    <cellStyle name="Total 2 3 7 3 3 2" xfId="39502" xr:uid="{81EE4543-7B8A-4529-A4AC-3F45B0E5711C}"/>
    <cellStyle name="Total 2 3 7 3 3 3" xfId="26082" xr:uid="{3EEBDD31-B5CA-43F1-ABFB-CFC26AAABFB6}"/>
    <cellStyle name="Total 2 3 7 3 4" xfId="14242" xr:uid="{DC6FB2CC-09C9-42B1-A965-4CDE46C12C94}"/>
    <cellStyle name="Total 2 3 7 3 4 2" xfId="36715" xr:uid="{795DC790-BA2B-4DAE-A247-FCF51A982D71}"/>
    <cellStyle name="Total 2 3 7 3 4 3" xfId="45011" xr:uid="{800C20F7-2282-4B21-A9D8-F928310AB077}"/>
    <cellStyle name="Total 2 3 7 3 5" xfId="21536" xr:uid="{65FB8F13-884F-4E89-8DD5-A10AD474D11B}"/>
    <cellStyle name="Total 2 3 7 3 5 2" xfId="47749" xr:uid="{162B011D-0452-4741-9D65-6641801FC651}"/>
    <cellStyle name="Total 2 3 7 3 6" xfId="53445" xr:uid="{07D8BC86-8157-46C3-B0FF-BDA0888D9E6A}"/>
    <cellStyle name="Total 2 3 7 4" xfId="4955" xr:uid="{00000000-0005-0000-0000-000088080000}"/>
    <cellStyle name="Total 2 3 7 4 2" xfId="11850" xr:uid="{12518CD3-F677-4870-940A-7B7017706AF9}"/>
    <cellStyle name="Total 2 3 7 4 2 2" xfId="34336" xr:uid="{6A176F4E-0F0F-4D99-8301-6C90AAAA1615}"/>
    <cellStyle name="Total 2 3 7 4 2 3" xfId="37906" xr:uid="{D146BF3E-3491-4CEA-9A60-DAA3463C39C0}"/>
    <cellStyle name="Total 2 3 7 4 3" xfId="16892" xr:uid="{95F1C103-9A04-494E-BA8B-2169AA886FC3}"/>
    <cellStyle name="Total 2 3 7 4 3 2" xfId="39282" xr:uid="{94DC7450-A73E-4AC2-B014-617CDEC2E276}"/>
    <cellStyle name="Total 2 3 7 4 3 3" xfId="37829" xr:uid="{F148067C-E29D-45B0-A4D2-16818AE96C61}"/>
    <cellStyle name="Total 2 3 7 4 4" xfId="16158" xr:uid="{9540A382-3953-4AFA-9EFD-D0A1BFC1272B}"/>
    <cellStyle name="Total 2 3 7 4 4 2" xfId="38557" xr:uid="{4EFDE13D-4A48-4C55-AFE0-A0B1697C66D5}"/>
    <cellStyle name="Total 2 3 7 4 4 3" xfId="42198" xr:uid="{338E4E7C-6099-4E89-B703-D29838176590}"/>
    <cellStyle name="Total 2 3 7 4 5" xfId="21316" xr:uid="{B2D1B542-D9B7-49A8-B332-53624546852F}"/>
    <cellStyle name="Total 2 3 7 4 5 2" xfId="43121" xr:uid="{75297415-DF28-4378-8163-ACCEE2AA9530}"/>
    <cellStyle name="Total 2 3 7 4 6" xfId="52400" xr:uid="{3E7F0258-DE42-455E-B30F-2B7402EE050F}"/>
    <cellStyle name="Total 2 3 7 5" xfId="2296" xr:uid="{00000000-0005-0000-0000-000088080000}"/>
    <cellStyle name="Total 2 3 7 5 2" xfId="9206" xr:uid="{C284E9E1-A29E-4F2E-BA35-2DC458BF737C}"/>
    <cellStyle name="Total 2 3 7 5 2 2" xfId="31781" xr:uid="{5545A330-D963-4937-AE90-BDA0E992F37C}"/>
    <cellStyle name="Total 2 3 7 5 2 3" xfId="45044" xr:uid="{6DA3208D-802F-4E1B-AA4E-50B30A297BDB}"/>
    <cellStyle name="Total 2 3 7 5 3" xfId="14863" xr:uid="{00F213A9-A2D2-4550-9D52-D53AB5C0B1C1}"/>
    <cellStyle name="Total 2 3 7 5 3 2" xfId="37317" xr:uid="{9EE750BD-BF22-435C-BB03-45914E8D6390}"/>
    <cellStyle name="Total 2 3 7 5 3 3" xfId="51011" xr:uid="{4594F0CF-5CA1-486B-AFDC-DDBB06923D25}"/>
    <cellStyle name="Total 2 3 7 5 4" xfId="20038" xr:uid="{7DA71DC7-044E-4AE4-AFA1-1F24FC4310F0}"/>
    <cellStyle name="Total 2 3 7 5 4 2" xfId="42359" xr:uid="{D9D058AB-3E2F-471A-962A-18CB611B2083}"/>
    <cellStyle name="Total 2 3 7 5 4 3" xfId="26185" xr:uid="{37420DF4-4A62-45D2-8E57-3532C8CA5856}"/>
    <cellStyle name="Total 2 3 7 5 5" xfId="19891" xr:uid="{AF985932-2E36-4043-9315-5054E0E50580}"/>
    <cellStyle name="Total 2 3 7 5 5 2" xfId="28340" xr:uid="{2756B604-55D9-4DFE-92C5-87B75C72A7AB}"/>
    <cellStyle name="Total 2 3 7 5 6" xfId="49649" xr:uid="{BE60DB42-DA8C-4EF9-97DB-7B533232A20E}"/>
    <cellStyle name="Total 2 3 7 6" xfId="4630" xr:uid="{00000000-0005-0000-0000-000088080000}"/>
    <cellStyle name="Total 2 3 7 6 2" xfId="11531" xr:uid="{C5C4CC94-89A8-4665-B63B-38086D9E6BF8}"/>
    <cellStyle name="Total 2 3 7 6 2 2" xfId="34017" xr:uid="{74E509F3-091D-43B7-B26E-DA40109D853D}"/>
    <cellStyle name="Total 2 3 7 6 2 3" xfId="45279" xr:uid="{95FCD65B-9DD9-4790-BFB9-FAF67BB95FDC}"/>
    <cellStyle name="Total 2 3 7 6 3" xfId="16567" xr:uid="{FF89338C-D4D4-48A0-BB5E-4AF8EA305ECC}"/>
    <cellStyle name="Total 2 3 7 6 3 2" xfId="38957" xr:uid="{87B2D74D-1547-4D62-A4FC-C83F110C3F0D}"/>
    <cellStyle name="Total 2 3 7 6 3 3" xfId="28004" xr:uid="{2857DCB1-4B4D-4D57-B44A-7E8D84FF4D6A}"/>
    <cellStyle name="Total 2 3 7 6 4" xfId="19649" xr:uid="{B07B12A0-D31D-407D-9771-EC1B3B8AAE45}"/>
    <cellStyle name="Total 2 3 7 6 4 2" xfId="41997" xr:uid="{3FE57909-5B7C-4FAA-BC2A-4CD5A5B10023}"/>
    <cellStyle name="Total 2 3 7 6 4 3" xfId="45356" xr:uid="{1636D6B3-0FD6-463C-9042-4DF73F6D01CD}"/>
    <cellStyle name="Total 2 3 7 6 5" xfId="15115" xr:uid="{23377855-B6F8-449B-BE73-B979009F7E53}"/>
    <cellStyle name="Total 2 3 7 6 5 2" xfId="50243" xr:uid="{2D99144E-2024-4BA8-B265-5EB3CB7F495D}"/>
    <cellStyle name="Total 2 3 7 6 6" xfId="46488" xr:uid="{7796D3E2-E566-40A7-9024-955751A99BFB}"/>
    <cellStyle name="Total 2 3 7 7" xfId="5703" xr:uid="{00000000-0005-0000-0000-000088080000}"/>
    <cellStyle name="Total 2 3 7 7 2" xfId="12587" xr:uid="{CF707926-B35C-4947-A0ED-62CCBC167600}"/>
    <cellStyle name="Total 2 3 7 7 2 2" xfId="35072" xr:uid="{81850A6F-37C9-44FB-B093-9BE9D17809DD}"/>
    <cellStyle name="Total 2 3 7 7 2 3" xfId="25650" xr:uid="{D2ADFE7E-8725-483F-A37E-42F9DC07C2E0}"/>
    <cellStyle name="Total 2 3 7 7 3" xfId="17640" xr:uid="{AA1D2674-52BF-4406-A095-F20719DCB006}"/>
    <cellStyle name="Total 2 3 7 7 3 2" xfId="40030" xr:uid="{3FAA2567-C917-46E8-A2CD-31DE18DD2317}"/>
    <cellStyle name="Total 2 3 7 7 3 3" xfId="28647" xr:uid="{BBF21E58-34AE-44CC-9135-8611AFFC3595}"/>
    <cellStyle name="Total 2 3 7 7 4" xfId="15257" xr:uid="{36E46E90-6BBF-4E82-9C71-F5938110F5B2}"/>
    <cellStyle name="Total 2 3 7 7 4 2" xfId="37691" xr:uid="{4CE09978-1074-4BAE-BE09-982FF4C4CCA1}"/>
    <cellStyle name="Total 2 3 7 7 4 3" xfId="53477" xr:uid="{D3F5DD44-5438-489D-BE1E-D7B7443B5AF6}"/>
    <cellStyle name="Total 2 3 7 7 5" xfId="22064" xr:uid="{9D6A1480-E962-4E93-89AB-6D62D58D531C}"/>
    <cellStyle name="Total 2 3 7 7 5 2" xfId="29686" xr:uid="{BE0343B0-3956-4C27-BB24-12BEE108F446}"/>
    <cellStyle name="Total 2 3 7 7 6" xfId="48419" xr:uid="{999F0D8B-F9B0-4611-B33C-C437D2E8910E}"/>
    <cellStyle name="Total 2 3 7 8" xfId="6550" xr:uid="{00000000-0005-0000-0000-000088080000}"/>
    <cellStyle name="Total 2 3 7 8 2" xfId="13418" xr:uid="{B29A2F27-C3B5-4C67-9FC8-05D004D992B2}"/>
    <cellStyle name="Total 2 3 7 8 2 2" xfId="35902" xr:uid="{81E5F5FE-46A8-46A2-8E90-17B78D52701E}"/>
    <cellStyle name="Total 2 3 7 8 2 3" xfId="44231" xr:uid="{07B38CC5-0C9D-4C9A-AB61-5E38E17C4D7C}"/>
    <cellStyle name="Total 2 3 7 8 3" xfId="18487" xr:uid="{3B57036C-7B5D-4364-928E-79CE8623EAB8}"/>
    <cellStyle name="Total 2 3 7 8 3 2" xfId="40877" xr:uid="{C9A63BCA-885E-4BB7-B420-604DBDBC27D0}"/>
    <cellStyle name="Total 2 3 7 8 3 3" xfId="44252" xr:uid="{60B62253-603D-4E5A-B54D-E56E1952468D}"/>
    <cellStyle name="Total 2 3 7 8 4" xfId="15709" xr:uid="{23775105-202B-4AD5-A18F-001B7E2CE502}"/>
    <cellStyle name="Total 2 3 7 8 4 2" xfId="38122" xr:uid="{6C4CEBAE-1475-41F4-A6D2-C2B360FC5609}"/>
    <cellStyle name="Total 2 3 7 8 4 3" xfId="46808" xr:uid="{4AB9F328-97BA-4855-A583-522C29E8282E}"/>
    <cellStyle name="Total 2 3 7 8 5" xfId="22911" xr:uid="{A4753E81-99DA-4C5A-9AD0-36BBC876E02E}"/>
    <cellStyle name="Total 2 3 7 8 5 2" xfId="43212" xr:uid="{3075FC5E-AD87-47B6-A534-08BC06A3C6DF}"/>
    <cellStyle name="Total 2 3 7 8 6" xfId="50254" xr:uid="{647CE283-032C-401E-BAE8-0DE1E46FE08B}"/>
    <cellStyle name="Total 2 3 7 9" xfId="4657" xr:uid="{00000000-0005-0000-0000-000088080000}"/>
    <cellStyle name="Total 2 3 7 9 2" xfId="16594" xr:uid="{B2B839CE-2AA7-43E4-BEAC-E158693BA576}"/>
    <cellStyle name="Total 2 3 7 9 2 2" xfId="38984" xr:uid="{7DE77BB3-083D-4BBC-9CF1-330029228B1A}"/>
    <cellStyle name="Total 2 3 7 9 2 3" xfId="27894" xr:uid="{E97E5D6E-1653-4F9C-BF71-E8C3D47B0DCE}"/>
    <cellStyle name="Total 2 3 7 9 3" xfId="19273" xr:uid="{92464349-49D8-477C-B72C-89FD4DA9F7E1}"/>
    <cellStyle name="Total 2 3 7 9 3 2" xfId="41656" xr:uid="{01DE816A-6D05-4F39-9B2E-A36721574D88}"/>
    <cellStyle name="Total 2 3 7 9 3 3" xfId="43529" xr:uid="{B52D9249-C060-4DDE-A453-6DD8071D7EB2}"/>
    <cellStyle name="Total 2 3 7 9 4" xfId="15502" xr:uid="{A0375CAF-4B02-4EBD-8F63-67A840878073}"/>
    <cellStyle name="Total 2 3 7 9 4 2" xfId="26614" xr:uid="{1CD10C66-659B-4073-9C35-41748E6564A4}"/>
    <cellStyle name="Total 2 3 7 9 5" xfId="51700" xr:uid="{6A922FB3-EE0D-47E4-B536-AA124AD9BCFA}"/>
    <cellStyle name="Total 2 3 8" xfId="2592" xr:uid="{00000000-0005-0000-0000-00007D080000}"/>
    <cellStyle name="Total 2 3 8 2" xfId="9501" xr:uid="{9CAC4F07-B5AE-4A0C-935D-41FA152FE2E2}"/>
    <cellStyle name="Total 2 3 8 2 2" xfId="32053" xr:uid="{F942B349-B96B-4D14-B2C1-69381D7F1759}"/>
    <cellStyle name="Total 2 3 8 2 3" xfId="53278" xr:uid="{29C02FC1-E2FE-4140-A6CA-5528CDDF4C8F}"/>
    <cellStyle name="Total 2 3 8 3" xfId="15070" xr:uid="{2141F91B-8A98-4143-B95A-8CEAFC67D71D}"/>
    <cellStyle name="Total 2 3 8 3 2" xfId="37515" xr:uid="{19E215A0-3531-4284-8A12-4400B373AB3D}"/>
    <cellStyle name="Total 2 3 8 3 3" xfId="29615" xr:uid="{A461C9D6-8DCD-47BF-83F4-70918EB1BBE6}"/>
    <cellStyle name="Total 2 3 8 4" xfId="19455" xr:uid="{FE9759DF-2F58-4E1A-AD9F-FB6760AC16E6}"/>
    <cellStyle name="Total 2 3 8 4 2" xfId="41822" xr:uid="{1A8C392E-79BD-4E4E-A260-1D0CCC388AFA}"/>
    <cellStyle name="Total 2 3 8 4 3" xfId="24232" xr:uid="{0655B91B-C2EA-413D-B1C9-288477A91947}"/>
    <cellStyle name="Total 2 3 8 5" xfId="15691" xr:uid="{15116B8A-72D9-4529-A5D5-247B26DC1610}"/>
    <cellStyle name="Total 2 3 8 5 2" xfId="44234" xr:uid="{5088835A-2761-4190-B043-C1433DE9588F}"/>
    <cellStyle name="Total 2 3 8 6" xfId="43215" xr:uid="{BE82DE81-F70D-467F-B18E-BD9D9131B301}"/>
    <cellStyle name="Total 2 3 9" xfId="4420" xr:uid="{00000000-0005-0000-0000-00007D080000}"/>
    <cellStyle name="Total 2 3 9 2" xfId="11322" xr:uid="{F80E6D67-4BA9-4608-B1A8-51562B82F410}"/>
    <cellStyle name="Total 2 3 9 2 2" xfId="33808" xr:uid="{225043FD-AD89-4B8E-AE18-DC06C19DBED9}"/>
    <cellStyle name="Total 2 3 9 2 3" xfId="28560" xr:uid="{BF740E59-EA29-460B-B9C2-855697C1F84D}"/>
    <cellStyle name="Total 2 3 9 3" xfId="16357" xr:uid="{E947A7FC-4D81-4977-B5E8-203B8452085D}"/>
    <cellStyle name="Total 2 3 9 3 2" xfId="38747" xr:uid="{749100DD-C218-485D-95ED-75AF5EA462C6}"/>
    <cellStyle name="Total 2 3 9 3 3" xfId="24774" xr:uid="{D9264B40-58D9-4CF7-A6B2-D378668BD5E4}"/>
    <cellStyle name="Total 2 3 9 4" xfId="7592" xr:uid="{D42C213E-BE30-4531-A623-C5B466955F72}"/>
    <cellStyle name="Total 2 3 9 4 2" xfId="30253" xr:uid="{B5573919-9EE1-4A34-B25B-E17644FDD14F}"/>
    <cellStyle name="Total 2 3 9 4 3" xfId="47754" xr:uid="{1EF805D7-35F4-4ABF-9FE6-B8491B8791E2}"/>
    <cellStyle name="Total 2 3 9 5" xfId="15924" xr:uid="{3C9945CA-CF18-4CA5-BC30-B2D090CFECC9}"/>
    <cellStyle name="Total 2 3 9 5 2" xfId="52676" xr:uid="{48D0F722-40F8-45C5-88E3-DE83412FFA55}"/>
    <cellStyle name="Total 2 3 9 6" xfId="29434" xr:uid="{BAD55B33-8BAF-466A-B042-C10111D1D4CC}"/>
    <cellStyle name="Total 2 4" xfId="446" xr:uid="{00000000-0005-0000-0000-00008C080000}"/>
    <cellStyle name="Total 2 4 10" xfId="4576" xr:uid="{00000000-0005-0000-0000-000089080000}"/>
    <cellStyle name="Total 2 4 10 2" xfId="11478" xr:uid="{04DDFB1B-F026-46E7-AB15-7E25346BCEBF}"/>
    <cellStyle name="Total 2 4 10 2 2" xfId="33964" xr:uid="{56998798-197B-4E1B-A340-AB233C825BDC}"/>
    <cellStyle name="Total 2 4 10 2 3" xfId="29714" xr:uid="{C7602AD3-9461-4D79-B97E-AF49218F1F32}"/>
    <cellStyle name="Total 2 4 10 3" xfId="16513" xr:uid="{78FF8357-CA92-405C-A726-349885C87E7C}"/>
    <cellStyle name="Total 2 4 10 3 2" xfId="38903" xr:uid="{95C0F855-6EE3-4979-83D3-78C86145BD9A}"/>
    <cellStyle name="Total 2 4 10 3 3" xfId="45523" xr:uid="{45D15BC1-3852-47BE-A014-E33B08391939}"/>
    <cellStyle name="Total 2 4 10 4" xfId="14145" xr:uid="{79765596-7C4C-4E95-ADE2-C3C54B73B425}"/>
    <cellStyle name="Total 2 4 10 4 2" xfId="36622" xr:uid="{9E31A151-1137-41BD-BE7A-BA6F85D75809}"/>
    <cellStyle name="Total 2 4 10 4 3" xfId="46047" xr:uid="{FE4D7367-5D52-46E8-B4F6-3DB7130F48A4}"/>
    <cellStyle name="Total 2 4 10 5" xfId="19194" xr:uid="{7A8C852D-521A-4663-8D04-B75F7FB29F9B}"/>
    <cellStyle name="Total 2 4 10 5 2" xfId="43094" xr:uid="{E2B496DB-7D6E-4EB9-92BD-5BD8E7B4F8EA}"/>
    <cellStyle name="Total 2 4 10 6" xfId="42668" xr:uid="{8F564299-C941-4504-8D96-00CD8F72F677}"/>
    <cellStyle name="Total 2 4 11" xfId="4635" xr:uid="{00000000-0005-0000-0000-000089080000}"/>
    <cellStyle name="Total 2 4 11 2" xfId="11536" xr:uid="{4E94441A-FCF6-4C58-ADE3-62755BBC9BCB}"/>
    <cellStyle name="Total 2 4 11 2 2" xfId="34022" xr:uid="{89744F1A-DC01-4099-A428-BAD3F89C2933}"/>
    <cellStyle name="Total 2 4 11 2 3" xfId="26102" xr:uid="{592EE2AA-4D10-444A-8DEE-CC27196B51F0}"/>
    <cellStyle name="Total 2 4 11 3" xfId="16572" xr:uid="{8601500F-8334-4B54-A103-8989743E7ED5}"/>
    <cellStyle name="Total 2 4 11 3 2" xfId="38962" xr:uid="{11802324-40D1-4ED5-A447-EBC02498D8C0}"/>
    <cellStyle name="Total 2 4 11 3 3" xfId="25661" xr:uid="{3411491F-0FA6-41D8-BE26-A260A1C44497}"/>
    <cellStyle name="Total 2 4 11 4" xfId="15490" xr:uid="{F31E1331-F8F9-48AE-AABC-2E7BBC25EB50}"/>
    <cellStyle name="Total 2 4 11 4 2" xfId="37913" xr:uid="{2FDCDCE9-2130-493D-BBE0-5FD5AB9B72F4}"/>
    <cellStyle name="Total 2 4 11 4 3" xfId="27719" xr:uid="{25EC1425-8F59-4432-801D-C7DB6ABB626A}"/>
    <cellStyle name="Total 2 4 11 5" xfId="13478" xr:uid="{AB28925E-7681-4F56-9B22-9EB5069C73A1}"/>
    <cellStyle name="Total 2 4 11 5 2" xfId="48867" xr:uid="{94340F76-0ABE-4537-84C0-7C17E9F8F8A7}"/>
    <cellStyle name="Total 2 4 11 6" xfId="46493" xr:uid="{1EBFF9AD-0717-4E53-8040-9DB0A953C241}"/>
    <cellStyle name="Total 2 4 12" xfId="5911" xr:uid="{00000000-0005-0000-0000-000089080000}"/>
    <cellStyle name="Total 2 4 12 2" xfId="12792" xr:uid="{DF7E0D6D-F266-467B-A337-11A4F800F67B}"/>
    <cellStyle name="Total 2 4 12 2 2" xfId="35276" xr:uid="{3856654F-EBCA-4560-A651-2A3076CDDC31}"/>
    <cellStyle name="Total 2 4 12 2 3" xfId="51808" xr:uid="{A7804A9D-E9D8-45D2-98FE-E3873B6BA542}"/>
    <cellStyle name="Total 2 4 12 3" xfId="17848" xr:uid="{C0CF9877-3402-4884-8334-94CF0B2708C7}"/>
    <cellStyle name="Total 2 4 12 3 2" xfId="40238" xr:uid="{917C0CC8-0B73-46D7-8E99-D77A48F79A18}"/>
    <cellStyle name="Total 2 4 12 3 3" xfId="26568" xr:uid="{8DA58E49-9A95-48C7-A783-768EF72D0899}"/>
    <cellStyle name="Total 2 4 12 4" xfId="15117" xr:uid="{880EE6FC-F0CF-45CA-B839-7E5298FF6890}"/>
    <cellStyle name="Total 2 4 12 4 2" xfId="37559" xr:uid="{111DA6FD-D175-4665-87F3-805346582689}"/>
    <cellStyle name="Total 2 4 12 4 3" xfId="42476" xr:uid="{BF94483B-A134-4383-9492-3812156FA3EC}"/>
    <cellStyle name="Total 2 4 12 5" xfId="22272" xr:uid="{3867C08A-F4FC-4717-B701-009FEEA38BC3}"/>
    <cellStyle name="Total 2 4 12 5 2" xfId="48056" xr:uid="{85B36E64-7748-41C8-8EBE-7246C9631DF7}"/>
    <cellStyle name="Total 2 4 12 6" xfId="37006" xr:uid="{8A451F75-8726-4D85-A805-06AC5F79456D}"/>
    <cellStyle name="Total 2 4 13" xfId="8829" xr:uid="{905F96D8-6335-4F4C-B069-B8171AF4C65A}"/>
    <cellStyle name="Total 2 4 13 2" xfId="31410" xr:uid="{6E5C5869-8F71-4756-AB7D-A64C14775B61}"/>
    <cellStyle name="Total 2 4 13 3" xfId="53339" xr:uid="{54F71242-80DC-4F60-87E2-3232AA0E8DAE}"/>
    <cellStyle name="Total 2 4 14" xfId="20850" xr:uid="{E9911E13-6A2C-43A0-8535-F2ECB42DA400}"/>
    <cellStyle name="Total 2 4 14 2" xfId="43115" xr:uid="{F1EF8262-3692-4F81-9B9E-CC1757160AEB}"/>
    <cellStyle name="Total 2 4 14 3" xfId="45255" xr:uid="{C93A3A8B-BC3A-497E-A1D6-8C4917BE76DC}"/>
    <cellStyle name="Total 2 4 15" xfId="20251" xr:uid="{F1EFA12C-D838-4E31-BA2D-8A9F9013151E}"/>
    <cellStyle name="Total 2 4 15 2" xfId="24480" xr:uid="{9C443EF1-24BC-42C4-A624-F5DC9C2723A7}"/>
    <cellStyle name="Total 2 4 16" xfId="47544" xr:uid="{29D3FE48-3388-45CD-B362-E355E4D02522}"/>
    <cellStyle name="Total 2 4 2" xfId="599" xr:uid="{00000000-0005-0000-0000-00008D080000}"/>
    <cellStyle name="Total 2 4 2 10" xfId="20094" xr:uid="{F5FE8988-F977-4A94-8FE6-B74130513B4D}"/>
    <cellStyle name="Total 2 4 2 10 2" xfId="37239" xr:uid="{7C6C8ABE-C1E2-4E1D-B9A0-6A41227B39A3}"/>
    <cellStyle name="Total 2 4 2 11" xfId="36947" xr:uid="{AA9E25BB-BC27-4DB0-A413-2956B634B7D2}"/>
    <cellStyle name="Total 2 4 2 2" xfId="1733" xr:uid="{00000000-0005-0000-0000-00008E080000}"/>
    <cellStyle name="Total 2 4 2 2 10" xfId="14434" xr:uid="{FCA60515-C42D-4A0A-A8B9-98D0C3546BC3}"/>
    <cellStyle name="Total 2 4 2 2 10 2" xfId="36900" xr:uid="{29B3AD44-BC27-4B74-AF6A-7FED48ECDD97}"/>
    <cellStyle name="Total 2 4 2 2 10 3" xfId="51536" xr:uid="{0AD268B7-E4C1-4E45-89A5-11C84065CEB7}"/>
    <cellStyle name="Total 2 4 2 2 11" xfId="19528" xr:uid="{BB212249-7DC5-4E4D-8AC2-EBF6AAA4D0D5}"/>
    <cellStyle name="Total 2 4 2 2 11 2" xfId="41888" xr:uid="{C9DCCDEE-D6C6-4CB4-9D3F-7282756B67A7}"/>
    <cellStyle name="Total 2 4 2 2 11 3" xfId="29199" xr:uid="{8329CE10-081B-4D58-B145-6F01F06D5F66}"/>
    <cellStyle name="Total 2 4 2 2 12" xfId="7266" xr:uid="{7375F654-0EE3-4977-A905-EFEE6793DA48}"/>
    <cellStyle name="Total 2 4 2 2 12 2" xfId="51887" xr:uid="{B7B2A2C3-3C87-47D9-BEDD-6A6143DEA2BD}"/>
    <cellStyle name="Total 2 4 2 2 13" xfId="29703" xr:uid="{6ABFD3B6-8D7A-41C3-884F-C70DD69AAAEE}"/>
    <cellStyle name="Total 2 4 2 2 2" xfId="3831" xr:uid="{00000000-0005-0000-0000-00008B080000}"/>
    <cellStyle name="Total 2 4 2 2 2 2" xfId="10735" xr:uid="{1084C700-6F64-45F7-AD90-E9AEBFEBC12F}"/>
    <cellStyle name="Total 2 4 2 2 2 2 2" xfId="33221" xr:uid="{2C1925F9-1F2D-4233-96D0-31AB272514D1}"/>
    <cellStyle name="Total 2 4 2 2 2 2 3" xfId="48606" xr:uid="{0797E9CE-774A-44F8-8A3C-E1DDC27B5228}"/>
    <cellStyle name="Total 2 4 2 2 2 3" xfId="15891" xr:uid="{ADDC02A4-C979-4FB3-8B9E-400ACBBEAC6C}"/>
    <cellStyle name="Total 2 4 2 2 2 3 2" xfId="38297" xr:uid="{B0176497-4684-4A3E-8DCD-9EA9DA9EEBE0}"/>
    <cellStyle name="Total 2 4 2 2 2 3 3" xfId="28034" xr:uid="{648420F2-4258-4C14-9793-29363155C3D4}"/>
    <cellStyle name="Total 2 4 2 2 2 4" xfId="20003" xr:uid="{8290AFBB-EB5C-469E-9A54-E899285CBB5F}"/>
    <cellStyle name="Total 2 4 2 2 2 4 2" xfId="42328" xr:uid="{B07026D4-2840-43C9-B9F7-D8AF11D63560}"/>
    <cellStyle name="Total 2 4 2 2 2 4 3" xfId="28324" xr:uid="{A726F7CD-0222-43EF-88C8-C2CC6CC05928}"/>
    <cellStyle name="Total 2 4 2 2 2 5" xfId="14985" xr:uid="{F213E66A-12B7-4776-AB8E-279575CF92EE}"/>
    <cellStyle name="Total 2 4 2 2 2 5 2" xfId="50365" xr:uid="{867F27A2-082C-46D9-8F20-8F591EFCA413}"/>
    <cellStyle name="Total 2 4 2 2 2 6" xfId="48637" xr:uid="{B66B509F-F813-4C63-AFA8-29D75C3DC7EC}"/>
    <cellStyle name="Total 2 4 2 2 3" xfId="5247" xr:uid="{00000000-0005-0000-0000-00008B080000}"/>
    <cellStyle name="Total 2 4 2 2 3 2" xfId="12139" xr:uid="{94CC4BE0-8173-4598-B812-729299438E80}"/>
    <cellStyle name="Total 2 4 2 2 3 2 2" xfId="34624" xr:uid="{0D732FCD-FC33-408E-8A69-EF95428807E6}"/>
    <cellStyle name="Total 2 4 2 2 3 2 3" xfId="29455" xr:uid="{A578411D-3626-42FF-9E81-00A879B420B7}"/>
    <cellStyle name="Total 2 4 2 2 3 3" xfId="17184" xr:uid="{103C4FD2-B3E3-48A8-A5DF-D929B179E812}"/>
    <cellStyle name="Total 2 4 2 2 3 3 2" xfId="39574" xr:uid="{06FCC80E-E603-4ACB-AE14-B9EB9B7C05BE}"/>
    <cellStyle name="Total 2 4 2 2 3 3 3" xfId="44320" xr:uid="{A67587AB-A8F0-4939-B58E-21701B9FEAF8}"/>
    <cellStyle name="Total 2 4 2 2 3 4" xfId="15751" xr:uid="{E70215FB-AF72-4BB8-A1A0-BFFF34732DFE}"/>
    <cellStyle name="Total 2 4 2 2 3 4 2" xfId="38163" xr:uid="{A73F16F3-A9E1-4651-BF95-AE9617F68AD1}"/>
    <cellStyle name="Total 2 4 2 2 3 4 3" xfId="52646" xr:uid="{EBA6B119-7886-41CE-80B6-B3872D7E1390}"/>
    <cellStyle name="Total 2 4 2 2 3 5" xfId="21608" xr:uid="{B7F5B07A-2FC7-4FA7-AB23-E89ACE0BE8E9}"/>
    <cellStyle name="Total 2 4 2 2 3 5 2" xfId="50032" xr:uid="{4630D770-A29F-4C71-9198-02ECCC6BC825}"/>
    <cellStyle name="Total 2 4 2 2 3 6" xfId="53402" xr:uid="{73F297F3-73FC-4430-9F96-2F9B9EE45B45}"/>
    <cellStyle name="Total 2 4 2 2 4" xfId="5659" xr:uid="{00000000-0005-0000-0000-00008B080000}"/>
    <cellStyle name="Total 2 4 2 2 4 2" xfId="12543" xr:uid="{D9675625-D398-4EC8-8438-146578CEAF5F}"/>
    <cellStyle name="Total 2 4 2 2 4 2 2" xfId="35028" xr:uid="{2897638A-FD68-4936-9D01-88B7F6519830}"/>
    <cellStyle name="Total 2 4 2 2 4 2 3" xfId="28955" xr:uid="{A73C5773-C0B8-4C6C-A86D-4889833ADEC0}"/>
    <cellStyle name="Total 2 4 2 2 4 3" xfId="17596" xr:uid="{72A5ACC9-42CA-45BD-975E-6DB5F47611B2}"/>
    <cellStyle name="Total 2 4 2 2 4 3 2" xfId="39986" xr:uid="{9178EFD8-F804-4FA7-B39A-CFBD4CD8516D}"/>
    <cellStyle name="Total 2 4 2 2 4 3 3" xfId="25635" xr:uid="{47593268-A09C-4E4C-91B9-6F97DCED0CD3}"/>
    <cellStyle name="Total 2 4 2 2 4 4" xfId="7581" xr:uid="{AAD26C83-B90C-4287-A291-E83A007C46D0}"/>
    <cellStyle name="Total 2 4 2 2 4 4 2" xfId="30244" xr:uid="{B5CDEF03-047A-4727-BC81-1FDB1551F1D5}"/>
    <cellStyle name="Total 2 4 2 2 4 4 3" xfId="48984" xr:uid="{78CAE8DE-1D41-4353-8ABC-477BE2F63769}"/>
    <cellStyle name="Total 2 4 2 2 4 5" xfId="22020" xr:uid="{45269956-EC71-4F63-AC93-C1FB25369A92}"/>
    <cellStyle name="Total 2 4 2 2 4 5 2" xfId="47747" xr:uid="{09D9CD08-47BF-4087-94C1-93560F906F7E}"/>
    <cellStyle name="Total 2 4 2 2 4 6" xfId="25125" xr:uid="{7326CE96-85C1-456F-964B-3378A7814EFC}"/>
    <cellStyle name="Total 2 4 2 2 5" xfId="4450" xr:uid="{00000000-0005-0000-0000-00008B080000}"/>
    <cellStyle name="Total 2 4 2 2 5 2" xfId="11352" xr:uid="{01124636-1275-48F0-B77A-DC6C19C2B31A}"/>
    <cellStyle name="Total 2 4 2 2 5 2 2" xfId="33838" xr:uid="{BCD365A3-970B-40AE-8C5A-8AB00161938B}"/>
    <cellStyle name="Total 2 4 2 2 5 2 3" xfId="45651" xr:uid="{33C1C46D-BB67-4E82-94FD-9B1A689747E8}"/>
    <cellStyle name="Total 2 4 2 2 5 3" xfId="16387" xr:uid="{C9F2E132-7D4E-4955-A887-DC37039F2092}"/>
    <cellStyle name="Total 2 4 2 2 5 3 2" xfId="38777" xr:uid="{F9D63EB4-F1D5-4E2B-A5AA-D188D165C576}"/>
    <cellStyle name="Total 2 4 2 2 5 3 3" xfId="44215" xr:uid="{FC53460C-78F8-4BF3-9AE9-041B90596D7D}"/>
    <cellStyle name="Total 2 4 2 2 5 4" xfId="19581" xr:uid="{83CDAB79-640A-470B-9E6F-9049FE2C1916}"/>
    <cellStyle name="Total 2 4 2 2 5 4 2" xfId="41937" xr:uid="{C7265E0A-32BB-4BAE-9CC2-569BD82C1242}"/>
    <cellStyle name="Total 2 4 2 2 5 4 3" xfId="27705" xr:uid="{636FEA29-3BE9-452F-BEF1-57CE2A62DE15}"/>
    <cellStyle name="Total 2 4 2 2 5 5" xfId="20324" xr:uid="{CA282D74-A07F-41B2-BBD7-AA91A8DB62D0}"/>
    <cellStyle name="Total 2 4 2 2 5 5 2" xfId="24461" xr:uid="{88739BDA-4517-455E-81B4-211A43FC1164}"/>
    <cellStyle name="Total 2 4 2 2 5 6" xfId="53614" xr:uid="{1F93B51F-7799-4518-88AB-38525D446111}"/>
    <cellStyle name="Total 2 4 2 2 6" xfId="6398" xr:uid="{00000000-0005-0000-0000-00008B080000}"/>
    <cellStyle name="Total 2 4 2 2 6 2" xfId="13270" xr:uid="{9937B9FE-9A81-4B0D-B630-45795B43DFD1}"/>
    <cellStyle name="Total 2 4 2 2 6 2 2" xfId="35754" xr:uid="{05AFFBF3-A149-4BDE-ADD2-C3BB5BF6A7F2}"/>
    <cellStyle name="Total 2 4 2 2 6 2 3" xfId="51109" xr:uid="{3D99CA09-1D42-4788-BD71-C439CE6D06B9}"/>
    <cellStyle name="Total 2 4 2 2 6 3" xfId="18335" xr:uid="{B5A5E53F-C4E0-450B-8AC7-567262DAFA5F}"/>
    <cellStyle name="Total 2 4 2 2 6 3 2" xfId="40725" xr:uid="{55FD1C1B-EA40-42D9-A22C-FD61F6523FC7}"/>
    <cellStyle name="Total 2 4 2 2 6 3 3" xfId="45317" xr:uid="{2E0C186B-2882-41D1-B9B2-AF4D9E4C2FAD}"/>
    <cellStyle name="Total 2 4 2 2 6 4" xfId="20875" xr:uid="{D70CC44E-F894-48FC-BC40-9D548917D043}"/>
    <cellStyle name="Total 2 4 2 2 6 4 2" xfId="43140" xr:uid="{EEAB8C9D-A8AA-47DE-9151-8CFE809142B5}"/>
    <cellStyle name="Total 2 4 2 2 6 4 3" xfId="53371" xr:uid="{89D10458-CCC1-45D8-8B28-E6C858B69DE4}"/>
    <cellStyle name="Total 2 4 2 2 6 5" xfId="22759" xr:uid="{1F37D175-124D-4B01-A315-46ECD88815D8}"/>
    <cellStyle name="Total 2 4 2 2 6 5 2" xfId="45941" xr:uid="{8585D5EA-483D-4551-8065-9E09EC3E56F8}"/>
    <cellStyle name="Total 2 4 2 2 6 6" xfId="26545" xr:uid="{179C2826-653B-40BD-8FB2-B00AD263BCA3}"/>
    <cellStyle name="Total 2 4 2 2 7" xfId="6736" xr:uid="{00000000-0005-0000-0000-00008B080000}"/>
    <cellStyle name="Total 2 4 2 2 7 2" xfId="13595" xr:uid="{7DC9D05B-3709-4FD0-980D-9836ED7515DB}"/>
    <cellStyle name="Total 2 4 2 2 7 2 2" xfId="36079" xr:uid="{723F6828-B030-4E64-AB77-4D4B176EE076}"/>
    <cellStyle name="Total 2 4 2 2 7 2 3" xfId="25061" xr:uid="{B56459D3-38BD-4916-A80F-2CC3D3DEF686}"/>
    <cellStyle name="Total 2 4 2 2 7 3" xfId="18673" xr:uid="{C40B5273-AB0E-4B13-A252-73D51ECBE529}"/>
    <cellStyle name="Total 2 4 2 2 7 3 2" xfId="41063" xr:uid="{36A6C72F-D599-457F-AF21-970BBB512DCE}"/>
    <cellStyle name="Total 2 4 2 2 7 3 3" xfId="30963" xr:uid="{00448E94-8E7A-4CB4-82E7-122ACA70AFBE}"/>
    <cellStyle name="Total 2 4 2 2 7 4" xfId="20851" xr:uid="{C0546A2E-2132-43AC-A156-082A7C4E6CB9}"/>
    <cellStyle name="Total 2 4 2 2 7 4 2" xfId="43116" xr:uid="{715EFC35-7EA3-4A7E-B63A-F5F62C359DE7}"/>
    <cellStyle name="Total 2 4 2 2 7 4 3" xfId="28814" xr:uid="{491D3F82-B0C0-47D3-A49A-F4C49250F34F}"/>
    <cellStyle name="Total 2 4 2 2 7 5" xfId="23097" xr:uid="{B579D408-3ADB-4BB0-99DC-EB4FB2912F8F}"/>
    <cellStyle name="Total 2 4 2 2 7 5 2" xfId="25792" xr:uid="{98B9A9A3-4178-4721-A170-79E09C6E7120}"/>
    <cellStyle name="Total 2 4 2 2 7 6" xfId="41699" xr:uid="{04C26963-CD2C-4BE4-8098-4AA9EE26EBE2}"/>
    <cellStyle name="Total 2 4 2 2 8" xfId="6915" xr:uid="{00000000-0005-0000-0000-00008B080000}"/>
    <cellStyle name="Total 2 4 2 2 8 2" xfId="13753" xr:uid="{00AA3CF2-CD5D-4DA8-B7A9-613CC4F7BA42}"/>
    <cellStyle name="Total 2 4 2 2 8 2 2" xfId="36237" xr:uid="{2CEC1913-4AEC-415F-8FE3-E073652C2EF8}"/>
    <cellStyle name="Total 2 4 2 2 8 2 3" xfId="53357" xr:uid="{A13CFF38-2248-4D69-AD2D-3E026C24EF97}"/>
    <cellStyle name="Total 2 4 2 2 8 3" xfId="18852" xr:uid="{4CD852C0-8304-42C4-A8D5-5F7D6A9D0192}"/>
    <cellStyle name="Total 2 4 2 2 8 3 2" xfId="41242" xr:uid="{2377A8CD-07A9-42E0-8C9A-69FD101AAFC6}"/>
    <cellStyle name="Total 2 4 2 2 8 3 3" xfId="29135" xr:uid="{9DB8154D-70E5-4E3B-887F-F0441E726084}"/>
    <cellStyle name="Total 2 4 2 2 8 4" xfId="20822" xr:uid="{709270D7-9908-40AB-A20C-3FE33E29F290}"/>
    <cellStyle name="Total 2 4 2 2 8 4 2" xfId="43088" xr:uid="{D47070AB-49E3-4D51-986D-638CBF387FB4}"/>
    <cellStyle name="Total 2 4 2 2 8 4 3" xfId="46889" xr:uid="{9D96A755-2690-4D01-A042-9AD7581711CF}"/>
    <cellStyle name="Total 2 4 2 2 8 5" xfId="23276" xr:uid="{F0F1B66F-94A2-44BC-91E9-818D1029DE9B}"/>
    <cellStyle name="Total 2 4 2 2 8 5 2" xfId="47489" xr:uid="{C4B7D6C6-8E88-4C7B-94A4-5BA197ADE458}"/>
    <cellStyle name="Total 2 4 2 2 8 6" xfId="50004" xr:uid="{43817CB7-FC2C-4594-8013-AFD3B1A8D38C}"/>
    <cellStyle name="Total 2 4 2 2 9" xfId="6057" xr:uid="{00000000-0005-0000-0000-00008B080000}"/>
    <cellStyle name="Total 2 4 2 2 9 2" xfId="17994" xr:uid="{F29F08F6-8536-4C8D-8E6C-C2D3E3FB2AA1}"/>
    <cellStyle name="Total 2 4 2 2 9 2 2" xfId="40384" xr:uid="{6CA3048E-5255-46A9-9AB7-693766FAB204}"/>
    <cellStyle name="Total 2 4 2 2 9 2 3" xfId="45058" xr:uid="{2457AC91-2862-463E-9ECD-DB19A48A503E}"/>
    <cellStyle name="Total 2 4 2 2 9 3" xfId="16003" xr:uid="{A0C13ABB-F724-43CA-9D7A-3B791E3F4724}"/>
    <cellStyle name="Total 2 4 2 2 9 3 2" xfId="38405" xr:uid="{D52E5C43-53C6-467B-B39F-4DF6D9916D11}"/>
    <cellStyle name="Total 2 4 2 2 9 3 3" xfId="50945" xr:uid="{85B0548D-05F0-463C-9979-EA5263EA8551}"/>
    <cellStyle name="Total 2 4 2 2 9 4" xfId="22418" xr:uid="{A9631709-9538-4902-B1DB-E51FB0DB569F}"/>
    <cellStyle name="Total 2 4 2 2 9 4 2" xfId="37014" xr:uid="{0E8620B3-E1A5-41C8-84D5-0C572ED74F17}"/>
    <cellStyle name="Total 2 4 2 2 9 5" xfId="45706" xr:uid="{4BEB02E1-7057-42A4-BA81-45FA850D1595}"/>
    <cellStyle name="Total 2 4 2 3" xfId="2745" xr:uid="{00000000-0005-0000-0000-00008A080000}"/>
    <cellStyle name="Total 2 4 2 3 2" xfId="9654" xr:uid="{46B09135-D733-4164-B211-14800B50F2AC}"/>
    <cellStyle name="Total 2 4 2 3 2 2" xfId="32202" xr:uid="{788D7558-DD71-4684-AF06-D7E232A87BAB}"/>
    <cellStyle name="Total 2 4 2 3 2 3" xfId="53537" xr:uid="{61E4964C-0D08-443C-8E17-499303080D08}"/>
    <cellStyle name="Total 2 4 2 3 3" xfId="15172" xr:uid="{32394210-5B7B-474A-A72D-B8834F6ABB3D}"/>
    <cellStyle name="Total 2 4 2 3 3 2" xfId="37612" xr:uid="{CDAE1D94-7A88-4CC0-B3DC-5626EBD40152}"/>
    <cellStyle name="Total 2 4 2 3 3 3" xfId="42193" xr:uid="{FC18B9D8-9392-44DB-9281-233BC3A8A27D}"/>
    <cellStyle name="Total 2 4 2 3 4" xfId="19473" xr:uid="{BF755AA0-F11D-47DA-ABC1-BB62403A06B4}"/>
    <cellStyle name="Total 2 4 2 3 4 2" xfId="41839" xr:uid="{9C68DFE1-6578-438A-83C6-D10DBEE377E2}"/>
    <cellStyle name="Total 2 4 2 3 4 3" xfId="30514" xr:uid="{1FC5F31F-59D4-4CD8-A749-9FD9DF1EB0C8}"/>
    <cellStyle name="Total 2 4 2 3 5" xfId="19832" xr:uid="{C82D30AF-1438-418D-95E0-936857F23A69}"/>
    <cellStyle name="Total 2 4 2 3 5 2" xfId="41662" xr:uid="{881D5026-416A-4117-A071-96B308937883}"/>
    <cellStyle name="Total 2 4 2 3 6" xfId="52584" xr:uid="{0AFC3A0D-9858-462E-9060-C4BF09E45C99}"/>
    <cellStyle name="Total 2 4 2 4" xfId="4538" xr:uid="{00000000-0005-0000-0000-00008A080000}"/>
    <cellStyle name="Total 2 4 2 4 2" xfId="11440" xr:uid="{22BEC1C5-4170-4A25-8557-8CDE428B078F}"/>
    <cellStyle name="Total 2 4 2 4 2 2" xfId="33926" xr:uid="{D3EE7146-AD0A-4971-AB53-225D67539481}"/>
    <cellStyle name="Total 2 4 2 4 2 3" xfId="27453" xr:uid="{205461F6-FAE0-4D25-BDB1-C5F45ABBB12F}"/>
    <cellStyle name="Total 2 4 2 4 3" xfId="16475" xr:uid="{FA9D8118-D784-41E5-AC85-CDD55C537203}"/>
    <cellStyle name="Total 2 4 2 4 3 2" xfId="38865" xr:uid="{702ED667-1A89-49BF-908A-651AE1ABE9E3}"/>
    <cellStyle name="Total 2 4 2 4 3 3" xfId="43646" xr:uid="{014BDF6C-02FD-4EDF-A27F-EB86C37BECCA}"/>
    <cellStyle name="Total 2 4 2 4 4" xfId="15865" xr:uid="{65E51BBD-B67B-4BDA-B587-C9CC19667521}"/>
    <cellStyle name="Total 2 4 2 4 4 2" xfId="38271" xr:uid="{E86743BA-CAB3-4A46-BAB1-A9DB2681EAFE}"/>
    <cellStyle name="Total 2 4 2 4 4 3" xfId="31919" xr:uid="{6B234B18-717A-478C-8E9E-6F6C7A35BC17}"/>
    <cellStyle name="Total 2 4 2 4 5" xfId="8749" xr:uid="{9A0B873D-3211-4899-AC2B-C95D21255CDE}"/>
    <cellStyle name="Total 2 4 2 4 5 2" xfId="48412" xr:uid="{DCF8B9A9-95AA-467C-A2B3-B47153DAD19B}"/>
    <cellStyle name="Total 2 4 2 4 6" xfId="24440" xr:uid="{57A9040D-B3EA-49B2-A55D-FE7B58FE11C6}"/>
    <cellStyle name="Total 2 4 2 5" xfId="4636" xr:uid="{00000000-0005-0000-0000-00008A080000}"/>
    <cellStyle name="Total 2 4 2 5 2" xfId="11537" xr:uid="{4FC92AF7-4C52-4234-BB09-8A75DF8102AF}"/>
    <cellStyle name="Total 2 4 2 5 2 2" xfId="34023" xr:uid="{057EA085-79BF-4C24-A777-FD2A70DDA35B}"/>
    <cellStyle name="Total 2 4 2 5 2 3" xfId="45751" xr:uid="{E37D0A07-791F-4F5E-A6CB-89161452DBFE}"/>
    <cellStyle name="Total 2 4 2 5 3" xfId="16573" xr:uid="{59F8491B-E512-4A87-BB72-3AF043FF095C}"/>
    <cellStyle name="Total 2 4 2 5 3 2" xfId="38963" xr:uid="{8AB6E1B2-8340-4600-982E-44D33B5A99BA}"/>
    <cellStyle name="Total 2 4 2 5 3 3" xfId="30782" xr:uid="{8978423C-9025-4D55-8663-949BE497D7C5}"/>
    <cellStyle name="Total 2 4 2 5 4" xfId="14329" xr:uid="{60A0311C-9B7D-4FB7-8FB3-F86CD99B2AF6}"/>
    <cellStyle name="Total 2 4 2 5 4 2" xfId="36798" xr:uid="{EB108371-FE77-4765-895A-F1D9F522A0F0}"/>
    <cellStyle name="Total 2 4 2 5 4 3" xfId="51191" xr:uid="{E5F56FBE-3A25-444D-81CB-9E6973BCEF46}"/>
    <cellStyle name="Total 2 4 2 5 5" xfId="15800" xr:uid="{A364F806-3E2B-4435-9BDD-58935659AD54}"/>
    <cellStyle name="Total 2 4 2 5 5 2" xfId="47534" xr:uid="{073399BD-E091-4D1E-AA93-EA6F7550F72F}"/>
    <cellStyle name="Total 2 4 2 5 6" xfId="41783" xr:uid="{9A5B3F33-C5E8-4DFB-99E9-8879152DC801}"/>
    <cellStyle name="Total 2 4 2 6" xfId="4793" xr:uid="{00000000-0005-0000-0000-00008A080000}"/>
    <cellStyle name="Total 2 4 2 6 2" xfId="11690" xr:uid="{8CDFBBA8-362E-40F7-8F36-E0099FD70E53}"/>
    <cellStyle name="Total 2 4 2 6 2 2" xfId="34176" xr:uid="{E4DBE7F2-EED5-4E6A-A635-AFF5E49C92FB}"/>
    <cellStyle name="Total 2 4 2 6 2 3" xfId="29427" xr:uid="{7467AC86-0225-4FB8-9002-6C5F976EBEE7}"/>
    <cellStyle name="Total 2 4 2 6 3" xfId="16730" xr:uid="{2F86780D-FC05-438D-A3DA-7795FC2C274E}"/>
    <cellStyle name="Total 2 4 2 6 3 2" xfId="39120" xr:uid="{D0E32B62-EC9E-4932-8495-44D4C3D59A21}"/>
    <cellStyle name="Total 2 4 2 6 3 3" xfId="28494" xr:uid="{4C189290-29D3-49FD-9AA1-19454A45BD26}"/>
    <cellStyle name="Total 2 4 2 6 4" xfId="14234" xr:uid="{74507594-442F-49F8-89FA-B7CE018F2316}"/>
    <cellStyle name="Total 2 4 2 6 4 2" xfId="36707" xr:uid="{1477A499-A623-4DF5-BBB0-8F62957266B5}"/>
    <cellStyle name="Total 2 4 2 6 4 3" xfId="29111" xr:uid="{B5D69556-0BCB-4328-A23B-5E41E08EE167}"/>
    <cellStyle name="Total 2 4 2 6 5" xfId="21073" xr:uid="{83A9642E-73C5-403E-AC5A-77A2068DBC96}"/>
    <cellStyle name="Total 2 4 2 6 5 2" xfId="45227" xr:uid="{529BF1D7-3495-47C1-BBB9-068FEE90989B}"/>
    <cellStyle name="Total 2 4 2 6 6" xfId="48703" xr:uid="{8E533E59-ADA0-425A-AACF-3535B890E4CE}"/>
    <cellStyle name="Total 2 4 2 7" xfId="6733" xr:uid="{00000000-0005-0000-0000-00008A080000}"/>
    <cellStyle name="Total 2 4 2 7 2" xfId="13592" xr:uid="{5CA92BE4-C92B-4864-8120-F10968D9A188}"/>
    <cellStyle name="Total 2 4 2 7 2 2" xfId="36076" xr:uid="{FBBC7139-7F5E-4D89-AE54-531B913BF925}"/>
    <cellStyle name="Total 2 4 2 7 2 3" xfId="51788" xr:uid="{A1C9F64D-093B-4D2E-B0A0-707C4A156A75}"/>
    <cellStyle name="Total 2 4 2 7 3" xfId="18670" xr:uid="{B582A47A-306B-4618-B704-7E202E36C533}"/>
    <cellStyle name="Total 2 4 2 7 3 2" xfId="41060" xr:uid="{162F4880-57D2-4B77-BA1C-E88EDF9F93A5}"/>
    <cellStyle name="Total 2 4 2 7 3 3" xfId="42712" xr:uid="{E91A03B3-40A7-4CFD-BA1F-941AF5796A43}"/>
    <cellStyle name="Total 2 4 2 7 4" xfId="21082" xr:uid="{798C6EF2-142B-4A7D-A340-5797A06B71C8}"/>
    <cellStyle name="Total 2 4 2 7 4 2" xfId="43329" xr:uid="{4D7097C2-64AE-4FCA-A0CE-CEDB6637AA0E}"/>
    <cellStyle name="Total 2 4 2 7 4 3" xfId="47098" xr:uid="{8FD6CE59-03B1-463F-9CDA-0EE5A375B82B}"/>
    <cellStyle name="Total 2 4 2 7 5" xfId="23094" xr:uid="{5BB0637F-5902-4E79-BBAC-6544C718F3B9}"/>
    <cellStyle name="Total 2 4 2 7 5 2" xfId="29914" xr:uid="{DACABB6F-63B2-490E-A7BC-C5FFACA2CE19}"/>
    <cellStyle name="Total 2 4 2 7 6" xfId="48657" xr:uid="{D4A58B12-7720-4AB8-B711-A742F3CAA0D9}"/>
    <cellStyle name="Total 2 4 2 8" xfId="7251" xr:uid="{2E3A40F7-4FD5-4535-9A5D-9438D2BABC01}"/>
    <cellStyle name="Total 2 4 2 8 2" xfId="29940" xr:uid="{F1589182-F287-444C-9F98-7B7D0865FE67}"/>
    <cellStyle name="Total 2 4 2 8 3" xfId="23634" xr:uid="{3DF8BAA2-7E38-4B9A-9F3C-058ACEB7BB08}"/>
    <cellStyle name="Total 2 4 2 9" xfId="15142" xr:uid="{0E552FBC-1C50-4BFC-8CB2-A5F874EA0D95}"/>
    <cellStyle name="Total 2 4 2 9 2" xfId="37584" xr:uid="{BD9DB174-8303-42EE-81A2-81466CF9FFF2}"/>
    <cellStyle name="Total 2 4 2 9 3" xfId="52737" xr:uid="{02F6EEC5-1EBE-4875-B579-CA2C7C4F66D5}"/>
    <cellStyle name="Total 2 4 3" xfId="846" xr:uid="{00000000-0005-0000-0000-00008F080000}"/>
    <cellStyle name="Total 2 4 3 10" xfId="16000" xr:uid="{A7E6C050-C6B1-4574-987C-DA0B1A20B0B1}"/>
    <cellStyle name="Total 2 4 3 10 2" xfId="47610" xr:uid="{98093BCC-0E8D-4773-86F7-D49295953855}"/>
    <cellStyle name="Total 2 4 3 11" xfId="48670" xr:uid="{B042B0A4-9FBC-4418-B681-EB847E8D6D3C}"/>
    <cellStyle name="Total 2 4 3 2" xfId="1831" xr:uid="{00000000-0005-0000-0000-000090080000}"/>
    <cellStyle name="Total 2 4 3 2 10" xfId="14515" xr:uid="{26DA0EE7-403E-4D55-B762-360813CB164D}"/>
    <cellStyle name="Total 2 4 3 2 10 2" xfId="36976" xr:uid="{68690470-B9FF-4ED3-83E8-0B5F77F4DDFB}"/>
    <cellStyle name="Total 2 4 3 2 10 3" xfId="28241" xr:uid="{7572C0E7-AA6E-478E-9FAD-5AD2B2B409F7}"/>
    <cellStyle name="Total 2 4 3 2 11" xfId="15628" xr:uid="{5BA12535-B834-49EA-9274-4727CB5EB900}"/>
    <cellStyle name="Total 2 4 3 2 11 2" xfId="38044" xr:uid="{4C90BE93-7089-472D-86EF-9DC6074F21B3}"/>
    <cellStyle name="Total 2 4 3 2 11 3" xfId="46546" xr:uid="{A4FFBF01-CF50-4729-8FC9-5AE35C581CA0}"/>
    <cellStyle name="Total 2 4 3 2 12" xfId="8741" xr:uid="{CA3ED92C-E468-4B65-A60E-482BC59E75FA}"/>
    <cellStyle name="Total 2 4 3 2 12 2" xfId="45481" xr:uid="{389B8ED3-2811-43EC-BAA5-B1CF875C2A9B}"/>
    <cellStyle name="Total 2 4 3 2 13" xfId="50357" xr:uid="{EB8D501A-9FCE-4239-AE2B-FEE43664BDB1}"/>
    <cellStyle name="Total 2 4 3 2 2" xfId="3929" xr:uid="{00000000-0005-0000-0000-00008D080000}"/>
    <cellStyle name="Total 2 4 3 2 2 2" xfId="10833" xr:uid="{AD6FE4A5-C929-43A2-A053-17E63556DF69}"/>
    <cellStyle name="Total 2 4 3 2 2 2 2" xfId="33319" xr:uid="{50118751-93D3-43AA-8715-13907226FF9A}"/>
    <cellStyle name="Total 2 4 3 2 2 2 3" xfId="50388" xr:uid="{27143E21-E963-4CF6-8709-88908631D481}"/>
    <cellStyle name="Total 2 4 3 2 2 3" xfId="15971" xr:uid="{5BA65D9C-5B01-4B95-9DFF-A6C8D200F428}"/>
    <cellStyle name="Total 2 4 3 2 2 3 2" xfId="38374" xr:uid="{FAEF9414-06C0-4C52-B9EC-7E3A28957F9E}"/>
    <cellStyle name="Total 2 4 3 2 2 3 3" xfId="51689" xr:uid="{69DAE86F-6104-4BD9-B18E-FE44D7A38306}"/>
    <cellStyle name="Total 2 4 3 2 2 4" xfId="20204" xr:uid="{D5919972-2181-41AC-A75B-FD1414AF42CC}"/>
    <cellStyle name="Total 2 4 3 2 2 4 2" xfId="42512" xr:uid="{1578694C-2A0C-4A76-85D9-B94529A45960}"/>
    <cellStyle name="Total 2 4 3 2 2 4 3" xfId="37589" xr:uid="{075E01E7-9FBF-4039-B93E-99B4603A74BE}"/>
    <cellStyle name="Total 2 4 3 2 2 5" xfId="20513" xr:uid="{FD28398C-BB70-49F0-8BC5-C248A1C77A78}"/>
    <cellStyle name="Total 2 4 3 2 2 5 2" xfId="53188" xr:uid="{B7BD8DDF-4C83-426F-83AE-F9CD3EF58A91}"/>
    <cellStyle name="Total 2 4 3 2 2 6" xfId="27813" xr:uid="{E1C696CE-960D-487D-821F-2BB477A1AC4F}"/>
    <cellStyle name="Total 2 4 3 2 3" xfId="5324" xr:uid="{00000000-0005-0000-0000-00008D080000}"/>
    <cellStyle name="Total 2 4 3 2 3 2" xfId="12216" xr:uid="{C718143F-AC4B-49B9-A47D-F6A5AA2F5003}"/>
    <cellStyle name="Total 2 4 3 2 3 2 2" xfId="34701" xr:uid="{69533861-D524-40FE-AEB0-30B95BF62238}"/>
    <cellStyle name="Total 2 4 3 2 3 2 3" xfId="45810" xr:uid="{6609D214-4625-4945-9921-40296CD603D3}"/>
    <cellStyle name="Total 2 4 3 2 3 3" xfId="17261" xr:uid="{67E26139-277A-42C0-A0E1-35B5119BF1CC}"/>
    <cellStyle name="Total 2 4 3 2 3 3 2" xfId="39651" xr:uid="{ACDFD04D-D241-4C31-9AFE-A0435C5AD816}"/>
    <cellStyle name="Total 2 4 3 2 3 3 3" xfId="43819" xr:uid="{E4CCDB4A-6B23-4554-B9D5-083E9CF81AD3}"/>
    <cellStyle name="Total 2 4 3 2 3 4" xfId="8615" xr:uid="{5D4C277B-6790-458B-A9A2-730B26C9D2CF}"/>
    <cellStyle name="Total 2 4 3 2 3 4 2" xfId="31201" xr:uid="{5FEB9367-9D61-4354-8E63-9DB5B8026AF5}"/>
    <cellStyle name="Total 2 4 3 2 3 4 3" xfId="47353" xr:uid="{8B6EF665-9591-4322-AD39-D258316EF9C6}"/>
    <cellStyle name="Total 2 4 3 2 3 5" xfId="21685" xr:uid="{A1217F8F-1DE2-4892-820F-A14A1E27A2F3}"/>
    <cellStyle name="Total 2 4 3 2 3 5 2" xfId="48466" xr:uid="{BD6114C7-EE67-49DF-AF2B-39B780EFB1EC}"/>
    <cellStyle name="Total 2 4 3 2 3 6" xfId="53121" xr:uid="{D032E294-59C0-4111-83E3-F40ABF35CFA8}"/>
    <cellStyle name="Total 2 4 3 2 4" xfId="5734" xr:uid="{00000000-0005-0000-0000-00008D080000}"/>
    <cellStyle name="Total 2 4 3 2 4 2" xfId="12618" xr:uid="{F5E3F0D9-C9C3-4427-8E69-FC810116E397}"/>
    <cellStyle name="Total 2 4 3 2 4 2 2" xfId="35103" xr:uid="{055CD268-0C5A-4615-AB1B-A13CF7E60CAE}"/>
    <cellStyle name="Total 2 4 3 2 4 2 3" xfId="28921" xr:uid="{DE15D844-8A95-4D35-8CE9-C31520F9850E}"/>
    <cellStyle name="Total 2 4 3 2 4 3" xfId="17671" xr:uid="{21900448-3710-474E-859D-A4F60EF5B2EB}"/>
    <cellStyle name="Total 2 4 3 2 4 3 2" xfId="40061" xr:uid="{5AB7AD7A-2E73-425C-B64C-FE56E4ED099C}"/>
    <cellStyle name="Total 2 4 3 2 4 3 3" xfId="28227" xr:uid="{A6E02E07-BEAB-4CB4-B2B9-325772D82EAB}"/>
    <cellStyle name="Total 2 4 3 2 4 4" xfId="19648" xr:uid="{8801E51B-0ACC-4E99-8D11-039F452B4280}"/>
    <cellStyle name="Total 2 4 3 2 4 4 2" xfId="41996" xr:uid="{9483C79B-4997-4237-A199-4D0838617660}"/>
    <cellStyle name="Total 2 4 3 2 4 4 3" xfId="44124" xr:uid="{F40498F7-4A3A-4473-A8A6-F5FCC73FD81C}"/>
    <cellStyle name="Total 2 4 3 2 4 5" xfId="22095" xr:uid="{FF21D74A-2A30-4291-AA45-07D95D680DF0}"/>
    <cellStyle name="Total 2 4 3 2 4 5 2" xfId="26522" xr:uid="{AC56F954-66F5-423E-A0B7-DDE16259C4BF}"/>
    <cellStyle name="Total 2 4 3 2 4 6" xfId="49999" xr:uid="{CD2070A7-84AA-4411-9602-BDA2DBEF9BA4}"/>
    <cellStyle name="Total 2 4 3 2 5" xfId="6088" xr:uid="{00000000-0005-0000-0000-00008D080000}"/>
    <cellStyle name="Total 2 4 3 2 5 2" xfId="12966" xr:uid="{150A9E2E-0498-4028-B42A-0F6E955AC608}"/>
    <cellStyle name="Total 2 4 3 2 5 2 2" xfId="35450" xr:uid="{F7C13CD1-B388-4013-9180-7785264443FD}"/>
    <cellStyle name="Total 2 4 3 2 5 2 3" xfId="26243" xr:uid="{AB423775-0144-4094-BDA1-944EC48668C2}"/>
    <cellStyle name="Total 2 4 3 2 5 3" xfId="18025" xr:uid="{557599E8-A2E5-402B-9A6B-9B690571E453}"/>
    <cellStyle name="Total 2 4 3 2 5 3 2" xfId="40415" xr:uid="{5FB51D69-31D8-416F-A34C-A49F6745A603}"/>
    <cellStyle name="Total 2 4 3 2 5 3 3" xfId="44039" xr:uid="{80F9B0F0-A8CC-40CE-8254-A4236A323475}"/>
    <cellStyle name="Total 2 4 3 2 5 4" xfId="8124" xr:uid="{E990A5F2-6B1E-4CFE-8706-9C7E15D01AD5}"/>
    <cellStyle name="Total 2 4 3 2 5 4 2" xfId="30736" xr:uid="{9E991BA5-93C1-4EB6-AD48-2C135E215303}"/>
    <cellStyle name="Total 2 4 3 2 5 4 3" xfId="49518" xr:uid="{B023C286-0EF0-43EF-954A-2F1B88ACAC6A}"/>
    <cellStyle name="Total 2 4 3 2 5 5" xfId="22449" xr:uid="{570DD290-A143-4A09-A986-FC9F67FDD06C}"/>
    <cellStyle name="Total 2 4 3 2 5 5 2" xfId="49157" xr:uid="{686F090C-BCB1-4BF7-B499-EE72534256F7}"/>
    <cellStyle name="Total 2 4 3 2 5 6" xfId="49020" xr:uid="{F78BBD7B-8011-452F-9065-F93365DE7895}"/>
    <cellStyle name="Total 2 4 3 2 6" xfId="6463" xr:uid="{00000000-0005-0000-0000-00008D080000}"/>
    <cellStyle name="Total 2 4 3 2 6 2" xfId="13333" xr:uid="{76CDDFBC-0588-46E2-8B66-2B280BEAD193}"/>
    <cellStyle name="Total 2 4 3 2 6 2 2" xfId="35817" xr:uid="{07A9B683-D45C-4798-869A-27D234293D06}"/>
    <cellStyle name="Total 2 4 3 2 6 2 3" xfId="50675" xr:uid="{99FA4527-BE6D-433C-9527-4DB18825BE93}"/>
    <cellStyle name="Total 2 4 3 2 6 3" xfId="18400" xr:uid="{A9CA5CE0-10B3-4104-BE99-58C08FEDA99C}"/>
    <cellStyle name="Total 2 4 3 2 6 3 2" xfId="40790" xr:uid="{44EAF211-F8DC-441F-9D44-EBF325E5FD11}"/>
    <cellStyle name="Total 2 4 3 2 6 3 3" xfId="43155" xr:uid="{D7CF3178-E397-4BD0-8229-84EDF7111108}"/>
    <cellStyle name="Total 2 4 3 2 6 4" xfId="21123" xr:uid="{E4B07572-6193-406D-80BC-9A14F15AC82E}"/>
    <cellStyle name="Total 2 4 3 2 6 4 2" xfId="43369" xr:uid="{2BF34C21-F80A-47C5-87D0-F9CD9CB5CB2B}"/>
    <cellStyle name="Total 2 4 3 2 6 4 3" xfId="48395" xr:uid="{A046F4F8-CBD4-4366-8597-64EEB80E5911}"/>
    <cellStyle name="Total 2 4 3 2 6 5" xfId="22824" xr:uid="{9D062375-E350-46F2-8CD0-12B08A4B9504}"/>
    <cellStyle name="Total 2 4 3 2 6 5 2" xfId="23756" xr:uid="{043AB7E2-93E6-4CB7-A9E6-2D03D67C4258}"/>
    <cellStyle name="Total 2 4 3 2 6 6" xfId="50853" xr:uid="{9B292CD8-DE0A-4EEB-A7FE-78538A1C3DF5}"/>
    <cellStyle name="Total 2 4 3 2 7" xfId="6498" xr:uid="{00000000-0005-0000-0000-00008D080000}"/>
    <cellStyle name="Total 2 4 3 2 7 2" xfId="13367" xr:uid="{FD08BEA6-BF01-42D6-9564-733B7FBA3F27}"/>
    <cellStyle name="Total 2 4 3 2 7 2 2" xfId="35851" xr:uid="{454667A3-5671-4436-9294-9AA51B70AD45}"/>
    <cellStyle name="Total 2 4 3 2 7 2 3" xfId="24492" xr:uid="{6432BD8B-8BD5-4F82-ABD8-66A96B854FDB}"/>
    <cellStyle name="Total 2 4 3 2 7 3" xfId="18435" xr:uid="{F910BE5D-024A-4B04-9A70-FD4AB8C2CD06}"/>
    <cellStyle name="Total 2 4 3 2 7 3 2" xfId="40825" xr:uid="{21B6F92A-57D6-4E22-85C9-2630DF6A32D4}"/>
    <cellStyle name="Total 2 4 3 2 7 3 3" xfId="45079" xr:uid="{A6068AA8-CEFF-480C-9495-7F1D9037958E}"/>
    <cellStyle name="Total 2 4 3 2 7 4" xfId="20431" xr:uid="{90988B24-065A-4EC8-AD63-19E4ED44A7FC}"/>
    <cellStyle name="Total 2 4 3 2 7 4 2" xfId="42723" xr:uid="{6B5D8943-BDDD-45A8-AA0E-45ADA5B07D84}"/>
    <cellStyle name="Total 2 4 3 2 7 4 3" xfId="53198" xr:uid="{461BC71D-ACBA-4CE0-827D-DD6C456F4098}"/>
    <cellStyle name="Total 2 4 3 2 7 5" xfId="22859" xr:uid="{35403D84-C4E4-4157-8779-87438888F868}"/>
    <cellStyle name="Total 2 4 3 2 7 5 2" xfId="51423" xr:uid="{452C590D-A680-41A4-907C-CD2272364C3E}"/>
    <cellStyle name="Total 2 4 3 2 7 6" xfId="23602" xr:uid="{30671129-B80C-44FC-8DB2-756BD9350EDE}"/>
    <cellStyle name="Total 2 4 3 2 8" xfId="6963" xr:uid="{00000000-0005-0000-0000-00008D080000}"/>
    <cellStyle name="Total 2 4 3 2 8 2" xfId="13800" xr:uid="{4ADEE331-B12F-4AB2-8A5C-AE718A9E511D}"/>
    <cellStyle name="Total 2 4 3 2 8 2 2" xfId="36284" xr:uid="{EB89933A-3E7F-4958-A434-FEB99C08BCA8}"/>
    <cellStyle name="Total 2 4 3 2 8 2 3" xfId="53910" xr:uid="{7D1D88DF-2914-4EBD-9878-F3079D6190EE}"/>
    <cellStyle name="Total 2 4 3 2 8 3" xfId="18900" xr:uid="{C64C0614-E4AB-4D8A-9607-753766CE65C0}"/>
    <cellStyle name="Total 2 4 3 2 8 3 2" xfId="41290" xr:uid="{20D79465-AF44-4CB3-98FC-167D2768369C}"/>
    <cellStyle name="Total 2 4 3 2 8 3 3" xfId="27133" xr:uid="{B3C0E997-C137-4249-AA96-B0724A911D3A}"/>
    <cellStyle name="Total 2 4 3 2 8 4" xfId="20391" xr:uid="{7ACCEF8E-DAC1-4D4B-8042-F72056A1F49A}"/>
    <cellStyle name="Total 2 4 3 2 8 4 2" xfId="42686" xr:uid="{033B3C53-3097-4BF1-B250-F3DF777E0862}"/>
    <cellStyle name="Total 2 4 3 2 8 4 3" xfId="54003" xr:uid="{38889521-16D3-4536-80FC-85D28789CCC0}"/>
    <cellStyle name="Total 2 4 3 2 8 5" xfId="23324" xr:uid="{B6915EA4-33F4-4BCF-992D-3702293AE019}"/>
    <cellStyle name="Total 2 4 3 2 8 5 2" xfId="24114" xr:uid="{13328F27-D361-49D6-A471-67C27A0E6AFF}"/>
    <cellStyle name="Total 2 4 3 2 8 6" xfId="47657" xr:uid="{92F9A80B-14B7-4CDF-8F0A-BFCDF8CE500C}"/>
    <cellStyle name="Total 2 4 3 2 9" xfId="4621" xr:uid="{00000000-0005-0000-0000-00008D080000}"/>
    <cellStyle name="Total 2 4 3 2 9 2" xfId="16558" xr:uid="{F4F0B7A9-FF31-4A0F-89BB-5F65DF9EB294}"/>
    <cellStyle name="Total 2 4 3 2 9 2 2" xfId="38948" xr:uid="{39DADBF1-5F12-4FC2-9E46-15D69D4EB14D}"/>
    <cellStyle name="Total 2 4 3 2 9 2 3" xfId="23967" xr:uid="{73478DF2-0F69-4198-AFB4-20F6765D2F48}"/>
    <cellStyle name="Total 2 4 3 2 9 3" xfId="19286" xr:uid="{55E4B8BE-908F-4187-A475-5E926C24A0F5}"/>
    <cellStyle name="Total 2 4 3 2 9 3 2" xfId="41668" xr:uid="{F21174E1-46D3-4BAC-A4AC-71F3B6CD6F2A}"/>
    <cellStyle name="Total 2 4 3 2 9 3 3" xfId="45829" xr:uid="{F87E3D35-A3FC-4E44-AE0D-4DF5BAB57744}"/>
    <cellStyle name="Total 2 4 3 2 9 4" xfId="14291" xr:uid="{16F5CD0D-8A10-45D5-9D41-90DAC062B737}"/>
    <cellStyle name="Total 2 4 3 2 9 4 2" xfId="43593" xr:uid="{68C1FD69-2DD7-4F9E-9CA8-5C5DCEE60337}"/>
    <cellStyle name="Total 2 4 3 2 9 5" xfId="48370" xr:uid="{3B1FF933-8868-4743-8013-9E0E8D392746}"/>
    <cellStyle name="Total 2 4 3 3" xfId="2979" xr:uid="{00000000-0005-0000-0000-00008C080000}"/>
    <cellStyle name="Total 2 4 3 3 2" xfId="9888" xr:uid="{C229C87C-0CD5-4D2A-9AE7-B19F2EB91F76}"/>
    <cellStyle name="Total 2 4 3 3 2 2" xfId="32411" xr:uid="{40221492-C24D-4556-A9AA-FA8CEB9555D2}"/>
    <cellStyle name="Total 2 4 3 3 2 3" xfId="46943" xr:uid="{72DB0138-496F-43BC-93A2-D987BF6E5EDE}"/>
    <cellStyle name="Total 2 4 3 3 3" xfId="15326" xr:uid="{18A70252-34B8-4855-8D39-3FF20E7740DF}"/>
    <cellStyle name="Total 2 4 3 3 3 2" xfId="37758" xr:uid="{0F776B44-C08D-4945-A8F0-7E743864FDA7}"/>
    <cellStyle name="Total 2 4 3 3 3 3" xfId="53769" xr:uid="{B986503A-B166-4AA8-82CC-1DC71049067D}"/>
    <cellStyle name="Total 2 4 3 3 4" xfId="16070" xr:uid="{3EBEADF4-5BAE-4BB5-91C3-16175E64CDB0}"/>
    <cellStyle name="Total 2 4 3 3 4 2" xfId="38470" xr:uid="{1FE3B8C2-E767-4549-B977-F00971E1B8E0}"/>
    <cellStyle name="Total 2 4 3 3 4 3" xfId="49611" xr:uid="{1FECCA08-85E6-4F3A-8E2A-B7319E39A311}"/>
    <cellStyle name="Total 2 4 3 3 5" xfId="20746" xr:uid="{0D681F1A-8083-4A46-A0DE-2AF2765A995C}"/>
    <cellStyle name="Total 2 4 3 3 5 2" xfId="51114" xr:uid="{9D6BAAA1-1306-473F-BFE1-1B082316D6C6}"/>
    <cellStyle name="Total 2 4 3 3 6" xfId="46780" xr:uid="{C18D26F1-7FF8-4FE0-AB2A-29A9C0DE086B}"/>
    <cellStyle name="Total 2 4 3 4" xfId="4690" xr:uid="{00000000-0005-0000-0000-00008C080000}"/>
    <cellStyle name="Total 2 4 3 4 2" xfId="11588" xr:uid="{224F2908-15FD-4AE9-ADDE-D579BF6516A3}"/>
    <cellStyle name="Total 2 4 3 4 2 2" xfId="34074" xr:uid="{1CFA6BB4-A342-4019-BC72-9687D0655BD4}"/>
    <cellStyle name="Total 2 4 3 4 2 3" xfId="43596" xr:uid="{E7874A31-9AFE-43E1-BCDA-312897F71F04}"/>
    <cellStyle name="Total 2 4 3 4 3" xfId="16627" xr:uid="{479D6CA9-73E1-4376-B54B-AA524774C68E}"/>
    <cellStyle name="Total 2 4 3 4 3 2" xfId="39017" xr:uid="{D9EC7015-6E5E-434D-ACA1-077050FF632B}"/>
    <cellStyle name="Total 2 4 3 4 3 3" xfId="45423" xr:uid="{0C418611-E154-4273-A555-C3E1732F72EF}"/>
    <cellStyle name="Total 2 4 3 4 4" xfId="19774" xr:uid="{3DFEC68E-D2EC-4E05-8738-868B94CB2F18}"/>
    <cellStyle name="Total 2 4 3 4 4 2" xfId="42115" xr:uid="{68544168-B752-4902-BF22-B3B334EDB066}"/>
    <cellStyle name="Total 2 4 3 4 4 3" xfId="30486" xr:uid="{0512B4BD-DB54-40D8-AB72-6AFDC13E4647}"/>
    <cellStyle name="Total 2 4 3 4 5" xfId="8953" xr:uid="{D2B2F71A-593D-495D-8BEA-94E55AAEA9F9}"/>
    <cellStyle name="Total 2 4 3 4 5 2" xfId="46882" xr:uid="{E8CCF466-71DF-4B9A-8C67-0952289CA07F}"/>
    <cellStyle name="Total 2 4 3 4 6" xfId="43526" xr:uid="{4E609B58-93F3-4C72-87DB-3C5E905351F4}"/>
    <cellStyle name="Total 2 4 3 5" xfId="5120" xr:uid="{00000000-0005-0000-0000-00008C080000}"/>
    <cellStyle name="Total 2 4 3 5 2" xfId="12013" xr:uid="{0D5546A4-D777-4E3F-AA4A-E9E77A846589}"/>
    <cellStyle name="Total 2 4 3 5 2 2" xfId="34499" xr:uid="{4C49C912-E7CC-4234-AFA4-321F1D1D23B7}"/>
    <cellStyle name="Total 2 4 3 5 2 3" xfId="42679" xr:uid="{944D5F77-9390-4D18-9538-E2CD1ACC8194}"/>
    <cellStyle name="Total 2 4 3 5 3" xfId="17057" xr:uid="{CACE712D-AA05-45FC-999D-7F6E79E3484B}"/>
    <cellStyle name="Total 2 4 3 5 3 2" xfId="39447" xr:uid="{21EEBFF6-C7FE-408D-B106-BC75DB190F0D}"/>
    <cellStyle name="Total 2 4 3 5 3 3" xfId="45865" xr:uid="{4BBCC356-1AAA-414D-9834-E1214C08B7C7}"/>
    <cellStyle name="Total 2 4 3 5 4" xfId="14331" xr:uid="{5A074E2E-4EA3-46C7-8654-62C60E4FBA9A}"/>
    <cellStyle name="Total 2 4 3 5 4 2" xfId="36800" xr:uid="{38C4255B-30C6-4BD5-8236-2B4D9D68EE71}"/>
    <cellStyle name="Total 2 4 3 5 4 3" xfId="54022" xr:uid="{F225A254-E85F-4F9E-B79B-FC25B161C2F9}"/>
    <cellStyle name="Total 2 4 3 5 5" xfId="21481" xr:uid="{B47AB91A-A9D5-461A-B38D-59405DEB61ED}"/>
    <cellStyle name="Total 2 4 3 5 5 2" xfId="52166" xr:uid="{E34B49FB-6424-4E45-A955-CA95E727D543}"/>
    <cellStyle name="Total 2 4 3 5 6" xfId="49188" xr:uid="{F07B33B6-D09A-44BE-A958-A972640DEC42}"/>
    <cellStyle name="Total 2 4 3 6" xfId="4175" xr:uid="{00000000-0005-0000-0000-00008C080000}"/>
    <cellStyle name="Total 2 4 3 6 2" xfId="11079" xr:uid="{972BC428-60E9-4D3D-B263-30882B908B5E}"/>
    <cellStyle name="Total 2 4 3 6 2 2" xfId="33565" xr:uid="{4FC8FC2B-EE18-467B-AF29-493C82369737}"/>
    <cellStyle name="Total 2 4 3 6 2 3" xfId="43714" xr:uid="{45A949A7-7FDA-4071-BC81-A75F6F9F390D}"/>
    <cellStyle name="Total 2 4 3 6 3" xfId="16168" xr:uid="{AB5DDAE6-BBC1-4A16-BDBA-9F54F3388BA3}"/>
    <cellStyle name="Total 2 4 3 6 3 2" xfId="38567" xr:uid="{0BC969A6-2966-4C39-8DFB-C9C9323ECCA8}"/>
    <cellStyle name="Total 2 4 3 6 3 3" xfId="45652" xr:uid="{18BC3743-3CC5-4D3D-B0C5-D43F5AE82DAB}"/>
    <cellStyle name="Total 2 4 3 6 4" xfId="21164" xr:uid="{AA1AD4ED-4763-4FAA-9BB9-C6050BE3035C}"/>
    <cellStyle name="Total 2 4 3 6 4 2" xfId="43406" xr:uid="{7FA12802-7748-46C6-A213-0A748532C411}"/>
    <cellStyle name="Total 2 4 3 6 4 3" xfId="46116" xr:uid="{F46E3701-70B1-414A-A573-D86DF9235CFD}"/>
    <cellStyle name="Total 2 4 3 6 5" xfId="19574" xr:uid="{66F967C9-94B8-4851-BAB1-8BD32A862DF3}"/>
    <cellStyle name="Total 2 4 3 6 5 2" xfId="27958" xr:uid="{6187E86D-A10F-4A87-9FBB-BDF78CDF4648}"/>
    <cellStyle name="Total 2 4 3 6 6" xfId="51381" xr:uid="{DB590C87-ABE6-40DD-9B57-981F331C5062}"/>
    <cellStyle name="Total 2 4 3 7" xfId="6765" xr:uid="{00000000-0005-0000-0000-00008C080000}"/>
    <cellStyle name="Total 2 4 3 7 2" xfId="13617" xr:uid="{893319EA-AB4E-40E2-9A6A-3D0094695917}"/>
    <cellStyle name="Total 2 4 3 7 2 2" xfId="36101" xr:uid="{629A6F9B-2A3D-428F-8A78-4A01B4020719}"/>
    <cellStyle name="Total 2 4 3 7 2 3" xfId="48778" xr:uid="{CB6C3A60-AA08-4694-B643-44D221CB7EFD}"/>
    <cellStyle name="Total 2 4 3 7 3" xfId="18702" xr:uid="{2D9BE406-B224-46B4-B057-FC98EA3CED49}"/>
    <cellStyle name="Total 2 4 3 7 3 2" xfId="41092" xr:uid="{3D1830F6-5063-4270-9C45-EA385D12ED73}"/>
    <cellStyle name="Total 2 4 3 7 3 3" xfId="43365" xr:uid="{F4B59376-4FF2-4086-BA3B-5F2233150095}"/>
    <cellStyle name="Total 2 4 3 7 4" xfId="20992" xr:uid="{91818818-ED76-4A95-AEE6-928D0E0034EC}"/>
    <cellStyle name="Total 2 4 3 7 4 2" xfId="43246" xr:uid="{B1802355-B556-4123-A0BB-1F67E4DB246B}"/>
    <cellStyle name="Total 2 4 3 7 4 3" xfId="50167" xr:uid="{300DA7B6-237D-4457-B885-ADEEE7CA6453}"/>
    <cellStyle name="Total 2 4 3 7 5" xfId="23126" xr:uid="{3A3A6469-5F6B-402F-99E1-81DC8F563BCF}"/>
    <cellStyle name="Total 2 4 3 7 5 2" xfId="53021" xr:uid="{602A453F-609A-417C-B50A-2A5B6969CB61}"/>
    <cellStyle name="Total 2 4 3 7 6" xfId="43897" xr:uid="{304C9EF5-EC5B-4A7B-8974-F48C39534226}"/>
    <cellStyle name="Total 2 4 3 8" xfId="7297" xr:uid="{E3359AD5-2A9B-45E2-860E-EE077A3159F2}"/>
    <cellStyle name="Total 2 4 3 8 2" xfId="29985" xr:uid="{423528FB-93FB-49B6-A4F9-D72251BCB989}"/>
    <cellStyle name="Total 2 4 3 8 3" xfId="48599" xr:uid="{500517AC-BDEC-42AE-A725-54AE41E59B89}"/>
    <cellStyle name="Total 2 4 3 9" xfId="19480" xr:uid="{8414462F-C0C2-4842-BC6A-27577A793E90}"/>
    <cellStyle name="Total 2 4 3 9 2" xfId="41844" xr:uid="{C66C49B4-AE5C-4576-B38F-434F985807B7}"/>
    <cellStyle name="Total 2 4 3 9 3" xfId="27747" xr:uid="{CD4BEEF8-EDC4-453B-A6D6-D2A4EF079541}"/>
    <cellStyle name="Total 2 4 4" xfId="1033" xr:uid="{00000000-0005-0000-0000-000091080000}"/>
    <cellStyle name="Total 2 4 4 10" xfId="15102" xr:uid="{39AA0441-B1B9-42DE-A3D9-37612B7997CB}"/>
    <cellStyle name="Total 2 4 4 10 2" xfId="48388" xr:uid="{B2E1B25F-E6EC-4ABA-B517-C2D605E402B8}"/>
    <cellStyle name="Total 2 4 4 11" xfId="48424" xr:uid="{94B2365A-3560-467A-BA28-62E7E2337C3E}"/>
    <cellStyle name="Total 2 4 4 2" xfId="1923" xr:uid="{00000000-0005-0000-0000-000092080000}"/>
    <cellStyle name="Total 2 4 4 2 10" xfId="14593" xr:uid="{10193064-C638-440C-8189-B27265A8F6D0}"/>
    <cellStyle name="Total 2 4 4 2 10 2" xfId="37054" xr:uid="{F90403F2-9D41-4BD5-9A5F-232229C74DB7}"/>
    <cellStyle name="Total 2 4 4 2 10 3" xfId="51909" xr:uid="{FD80609D-0E55-4D46-A078-00F29916F07B}"/>
    <cellStyle name="Total 2 4 4 2 11" xfId="21017" xr:uid="{72653989-6D4A-469D-B47F-4FCBC0218619}"/>
    <cellStyle name="Total 2 4 4 2 11 2" xfId="43267" xr:uid="{0D3C8289-1CA0-4204-B566-2D42D76C0DD9}"/>
    <cellStyle name="Total 2 4 4 2 11 3" xfId="53295" xr:uid="{E8977CB9-0BB2-46AC-B376-4E13C7115623}"/>
    <cellStyle name="Total 2 4 4 2 12" xfId="8807" xr:uid="{0369B46A-4C0E-4D7E-BF36-5EABBE436DE3}"/>
    <cellStyle name="Total 2 4 4 2 12 2" xfId="49547" xr:uid="{7BF626FD-25A4-40F3-A565-156F974C1B38}"/>
    <cellStyle name="Total 2 4 4 2 13" xfId="47773" xr:uid="{26919AAF-3B3C-4955-A2BE-EF28166774F8}"/>
    <cellStyle name="Total 2 4 4 2 2" xfId="4020" xr:uid="{00000000-0005-0000-0000-00008F080000}"/>
    <cellStyle name="Total 2 4 4 2 2 2" xfId="10924" xr:uid="{EB14ED11-8D22-48CC-AE99-1C85F64DF11E}"/>
    <cellStyle name="Total 2 4 4 2 2 2 2" xfId="33410" xr:uid="{53413E09-DC9A-41AB-9996-9E698FB7BD5C}"/>
    <cellStyle name="Total 2 4 4 2 2 2 3" xfId="51198" xr:uid="{09B761EA-DC9B-4761-84DB-ABA5126C376E}"/>
    <cellStyle name="Total 2 4 4 2 2 3" xfId="16044" xr:uid="{50E92FEE-C3A8-4A92-9D34-D0054BDBD545}"/>
    <cellStyle name="Total 2 4 4 2 2 3 2" xfId="38445" xr:uid="{892EE759-6A41-46A0-B38D-5F2E8F2723CE}"/>
    <cellStyle name="Total 2 4 4 2 2 3 3" xfId="26967" xr:uid="{AE2BFCEB-DA2E-4E56-9F32-3026B49E70C3}"/>
    <cellStyle name="Total 2 4 4 2 2 4" xfId="20757" xr:uid="{2DFF3672-AEC6-438A-87A9-D56B2A4D8B1E}"/>
    <cellStyle name="Total 2 4 4 2 2 4 2" xfId="43026" xr:uid="{FA664BC0-2896-4139-8647-255C92228B64}"/>
    <cellStyle name="Total 2 4 4 2 2 4 3" xfId="53458" xr:uid="{07CCED2C-E867-4B6B-B9F4-C103DA4F139E}"/>
    <cellStyle name="Total 2 4 4 2 2 5" xfId="15265" xr:uid="{EC7BEACB-84C0-46AD-9DFA-786F3345106F}"/>
    <cellStyle name="Total 2 4 4 2 2 5 2" xfId="44321" xr:uid="{E46BFE2C-EF38-40B8-97B9-E3A9649BB9F3}"/>
    <cellStyle name="Total 2 4 4 2 2 6" xfId="44277" xr:uid="{6CAC7D74-9E34-4712-BAC2-9E10356CE3CD}"/>
    <cellStyle name="Total 2 4 4 2 3" xfId="5395" xr:uid="{00000000-0005-0000-0000-00008F080000}"/>
    <cellStyle name="Total 2 4 4 2 3 2" xfId="12286" xr:uid="{E0682491-30CB-49A1-8513-716D2FA036BB}"/>
    <cellStyle name="Total 2 4 4 2 3 2 2" xfId="34771" xr:uid="{665463AC-4C79-4F9D-BF7C-952BE74E7807}"/>
    <cellStyle name="Total 2 4 4 2 3 2 3" xfId="45145" xr:uid="{030C83E4-1211-4699-8DA3-B0E1C56F1B74}"/>
    <cellStyle name="Total 2 4 4 2 3 3" xfId="17332" xr:uid="{81E7D8CA-CBC3-45D6-85DE-89EEFAE68937}"/>
    <cellStyle name="Total 2 4 4 2 3 3 2" xfId="39722" xr:uid="{37398A4A-9867-4C96-B026-1A4064B420FC}"/>
    <cellStyle name="Total 2 4 4 2 3 3 3" xfId="44272" xr:uid="{33D87B3E-79F5-4D34-B7C1-4BAA8BCF6586}"/>
    <cellStyle name="Total 2 4 4 2 3 4" xfId="8965" xr:uid="{02C4BF41-F495-4EB4-836C-A343DB4D6487}"/>
    <cellStyle name="Total 2 4 4 2 3 4 2" xfId="31544" xr:uid="{D2A10B3A-1B78-4FAC-9CE9-7F02EB9A41A7}"/>
    <cellStyle name="Total 2 4 4 2 3 4 3" xfId="48138" xr:uid="{F661DE14-943F-4FC9-91C0-C2D3693FCD2E}"/>
    <cellStyle name="Total 2 4 4 2 3 5" xfId="21756" xr:uid="{6A42285D-CBA9-4851-9862-9653DC86DDD2}"/>
    <cellStyle name="Total 2 4 4 2 3 5 2" xfId="53743" xr:uid="{2F9EB37F-072D-4F0C-B1DB-22887E92231C}"/>
    <cellStyle name="Total 2 4 4 2 3 6" xfId="45048" xr:uid="{FE680CBC-CDED-4051-9498-4168706621BC}"/>
    <cellStyle name="Total 2 4 4 2 4" xfId="5808" xr:uid="{00000000-0005-0000-0000-00008F080000}"/>
    <cellStyle name="Total 2 4 4 2 4 2" xfId="12691" xr:uid="{2CD3A788-C588-4A05-85D5-84D3DE9AAB4D}"/>
    <cellStyle name="Total 2 4 4 2 4 2 2" xfId="35176" xr:uid="{F261942B-46B8-4012-AB96-22B2770D2444}"/>
    <cellStyle name="Total 2 4 4 2 4 2 3" xfId="38108" xr:uid="{1D201CC1-5B7D-4047-9BFE-0ACAB1B61685}"/>
    <cellStyle name="Total 2 4 4 2 4 3" xfId="17745" xr:uid="{91ED0D56-43EC-462F-8A63-B054AEC78566}"/>
    <cellStyle name="Total 2 4 4 2 4 3 2" xfId="40135" xr:uid="{70DDCADB-1ADD-416B-8FA2-CA50B71DE890}"/>
    <cellStyle name="Total 2 4 4 2 4 3 3" xfId="43341" xr:uid="{5994F4BF-A395-4AAF-9CD9-1295C809BA6B}"/>
    <cellStyle name="Total 2 4 4 2 4 4" xfId="14562" xr:uid="{15E2EB88-5DD8-4CEC-B82A-8DCFDB46030C}"/>
    <cellStyle name="Total 2 4 4 2 4 4 2" xfId="37023" xr:uid="{EC88675F-EA70-4E70-8559-CB494AC8A18F}"/>
    <cellStyle name="Total 2 4 4 2 4 4 3" xfId="48389" xr:uid="{A17F7E4D-1660-4588-85DB-ADD05E4F1C1F}"/>
    <cellStyle name="Total 2 4 4 2 4 5" xfId="22169" xr:uid="{6646CD95-A373-4CD9-B8E8-410F305E1C0D}"/>
    <cellStyle name="Total 2 4 4 2 4 5 2" xfId="53688" xr:uid="{C54B7B5E-CFB1-4C53-A405-08FCACC367FC}"/>
    <cellStyle name="Total 2 4 4 2 4 6" xfId="53906" xr:uid="{6820A987-D2A6-4C16-855D-C2BFA5FD4BBD}"/>
    <cellStyle name="Total 2 4 4 2 5" xfId="6152" xr:uid="{00000000-0005-0000-0000-00008F080000}"/>
    <cellStyle name="Total 2 4 4 2 5 2" xfId="13029" xr:uid="{D334F5DE-761A-4944-95C8-8F492F6A50A2}"/>
    <cellStyle name="Total 2 4 4 2 5 2 2" xfId="35513" xr:uid="{465451B4-6899-4A50-8E07-CBB7F4939A87}"/>
    <cellStyle name="Total 2 4 4 2 5 2 3" xfId="28307" xr:uid="{A6B7E655-619F-4BB7-AA5A-F4D22E03DE1B}"/>
    <cellStyle name="Total 2 4 4 2 5 3" xfId="18089" xr:uid="{7560515D-4D96-478C-B605-9BDA16149B84}"/>
    <cellStyle name="Total 2 4 4 2 5 3 2" xfId="40479" xr:uid="{D2A76B9C-6077-49C8-8717-28BF1630480A}"/>
    <cellStyle name="Total 2 4 4 2 5 3 3" xfId="29899" xr:uid="{44127F99-94A7-4C10-8AC0-5162260A0809}"/>
    <cellStyle name="Total 2 4 4 2 5 4" xfId="15778" xr:uid="{0D3CD156-147D-4917-A78B-93F19E71CE3E}"/>
    <cellStyle name="Total 2 4 4 2 5 4 2" xfId="38188" xr:uid="{FC659EA1-49D9-47F7-AF5D-DD2ADECE0505}"/>
    <cellStyle name="Total 2 4 4 2 5 4 3" xfId="53289" xr:uid="{999939F2-5A3F-4322-BFC5-AE135234F079}"/>
    <cellStyle name="Total 2 4 4 2 5 5" xfId="22513" xr:uid="{F991579F-1437-4CD5-A1BC-C80043A290A1}"/>
    <cellStyle name="Total 2 4 4 2 5 5 2" xfId="51176" xr:uid="{23AE1AEC-EDD5-4351-825B-4CE4649834E9}"/>
    <cellStyle name="Total 2 4 4 2 5 6" xfId="46584" xr:uid="{1FDB4568-54BE-42F7-90A9-1F7DFF899660}"/>
    <cellStyle name="Total 2 4 4 2 6" xfId="6525" xr:uid="{00000000-0005-0000-0000-00008F080000}"/>
    <cellStyle name="Total 2 4 4 2 6 2" xfId="13394" xr:uid="{64B52653-16C1-48C2-AE6E-9015A681A5A3}"/>
    <cellStyle name="Total 2 4 4 2 6 2 2" xfId="35878" xr:uid="{408BAF2D-6256-456F-8717-7D4118F09948}"/>
    <cellStyle name="Total 2 4 4 2 6 2 3" xfId="29788" xr:uid="{9C7EC1EC-20E3-475A-9CEF-027CA2B3CF85}"/>
    <cellStyle name="Total 2 4 4 2 6 3" xfId="18462" xr:uid="{9B1CA7C0-CD1D-43D9-A8DB-41357C8A6193}"/>
    <cellStyle name="Total 2 4 4 2 6 3 2" xfId="40852" xr:uid="{F475AEE9-7300-42E3-8060-3A1C9E341998}"/>
    <cellStyle name="Total 2 4 4 2 6 3 3" xfId="45902" xr:uid="{307A765B-B289-4596-ABDA-338CDBB9BB6E}"/>
    <cellStyle name="Total 2 4 4 2 6 4" xfId="20928" xr:uid="{4324870A-A373-470E-9839-E033E0A32C85}"/>
    <cellStyle name="Total 2 4 4 2 6 4 2" xfId="43187" xr:uid="{30A34049-D553-47F8-8861-093812D32336}"/>
    <cellStyle name="Total 2 4 4 2 6 4 3" xfId="46748" xr:uid="{652D8DA0-631F-4D84-BC63-2818550D1FDC}"/>
    <cellStyle name="Total 2 4 4 2 6 5" xfId="22886" xr:uid="{66078BDE-6AC2-4F53-8BBA-950B5752E5FA}"/>
    <cellStyle name="Total 2 4 4 2 6 5 2" xfId="47676" xr:uid="{7DF602AD-2F6A-427D-95C0-6C950EA25B01}"/>
    <cellStyle name="Total 2 4 4 2 6 6" xfId="52192" xr:uid="{4B3983A6-EFFA-4ACA-A37F-CB57D8C9A5F6}"/>
    <cellStyle name="Total 2 4 4 2 7" xfId="6262" xr:uid="{00000000-0005-0000-0000-00008F080000}"/>
    <cellStyle name="Total 2 4 4 2 7 2" xfId="13134" xr:uid="{79A6A213-9176-46B1-94FC-16B3AE51B35B}"/>
    <cellStyle name="Total 2 4 4 2 7 2 2" xfId="35618" xr:uid="{1733C7C0-4014-476B-8F65-040F456F545F}"/>
    <cellStyle name="Total 2 4 4 2 7 2 3" xfId="49431" xr:uid="{2A06F524-34AE-4ECF-AE7E-826768128846}"/>
    <cellStyle name="Total 2 4 4 2 7 3" xfId="18199" xr:uid="{1B052519-E6EB-4AD5-BF55-C66EC69611D8}"/>
    <cellStyle name="Total 2 4 4 2 7 3 2" xfId="40589" xr:uid="{183C449E-4724-45F4-AB58-E6D6B6E205C7}"/>
    <cellStyle name="Total 2 4 4 2 7 3 3" xfId="30560" xr:uid="{83B9A541-3F89-42AE-A5FC-C89B41711896}"/>
    <cellStyle name="Total 2 4 4 2 7 4" xfId="14311" xr:uid="{314A4397-9790-41B1-8DA6-12F224C450A6}"/>
    <cellStyle name="Total 2 4 4 2 7 4 2" xfId="36780" xr:uid="{8DAE98DB-FC9D-4374-98AD-2CA8AF60413A}"/>
    <cellStyle name="Total 2 4 4 2 7 4 3" xfId="27195" xr:uid="{D0BCEC0F-1FB9-4840-A845-03BE226127EB}"/>
    <cellStyle name="Total 2 4 4 2 7 5" xfId="22623" xr:uid="{48BA7F56-BE68-4A96-8A29-89EDECA9737C}"/>
    <cellStyle name="Total 2 4 4 2 7 5 2" xfId="49483" xr:uid="{ED85FCEC-250D-4167-A3E3-59E795656FF3}"/>
    <cellStyle name="Total 2 4 4 2 7 6" xfId="50149" xr:uid="{D492A940-0A84-4CDA-875F-9E4CB7F377C9}"/>
    <cellStyle name="Total 2 4 4 2 8" xfId="7009" xr:uid="{00000000-0005-0000-0000-00008F080000}"/>
    <cellStyle name="Total 2 4 4 2 8 2" xfId="13846" xr:uid="{B0085838-1C08-41C7-8A82-8FB805ED72DC}"/>
    <cellStyle name="Total 2 4 4 2 8 2 2" xfId="36330" xr:uid="{303A6700-5766-4ED4-8D5C-F2EC7E30A570}"/>
    <cellStyle name="Total 2 4 4 2 8 2 3" xfId="49359" xr:uid="{8D72131C-05F0-46EA-B490-6635A2BF56AF}"/>
    <cellStyle name="Total 2 4 4 2 8 3" xfId="18946" xr:uid="{53A74E06-73E3-455F-8FA5-C85D9BA71DFD}"/>
    <cellStyle name="Total 2 4 4 2 8 3 2" xfId="41336" xr:uid="{CBD4332E-87F8-4CE5-96BF-2190E081B65A}"/>
    <cellStyle name="Total 2 4 4 2 8 3 3" xfId="35966" xr:uid="{086321B5-5E0F-46C3-80E9-CCF903FF49F4}"/>
    <cellStyle name="Total 2 4 4 2 8 4" xfId="20254" xr:uid="{BAEAD8DE-F1D9-4D6B-96EC-254A175CB028}"/>
    <cellStyle name="Total 2 4 4 2 8 4 2" xfId="42556" xr:uid="{E4B538FD-0C5A-4243-875F-A896DA14EF10}"/>
    <cellStyle name="Total 2 4 4 2 8 4 3" xfId="45789" xr:uid="{A997033F-5CDD-4F37-8630-1D12F545B254}"/>
    <cellStyle name="Total 2 4 4 2 8 5" xfId="23370" xr:uid="{ECDBA634-D352-44DF-8D45-D3AECF4980AF}"/>
    <cellStyle name="Total 2 4 4 2 8 5 2" xfId="47126" xr:uid="{E705AE49-0472-4AEC-82BC-B6240ECB23DF}"/>
    <cellStyle name="Total 2 4 4 2 8 6" xfId="52021" xr:uid="{80554055-2240-43CE-BFE6-7F069963B3DB}"/>
    <cellStyle name="Total 2 4 4 2 9" xfId="3566" xr:uid="{00000000-0005-0000-0000-00008F080000}"/>
    <cellStyle name="Total 2 4 4 2 9 2" xfId="15716" xr:uid="{CE50F9D2-E9CF-4AFD-8F0F-E36632465C61}"/>
    <cellStyle name="Total 2 4 4 2 9 2 2" xfId="38129" xr:uid="{096F91E5-73E1-42BF-885F-998F7AFDC436}"/>
    <cellStyle name="Total 2 4 4 2 9 2 3" xfId="50612" xr:uid="{BE0A49B6-49EA-45BE-AFD7-46636A4AC9A7}"/>
    <cellStyle name="Total 2 4 4 2 9 3" xfId="14764" xr:uid="{1A3B6B4A-4045-402F-AE26-5E7702544E05}"/>
    <cellStyle name="Total 2 4 4 2 9 3 2" xfId="37221" xr:uid="{50BE473A-6940-4CEA-87D5-5C6E95F5F568}"/>
    <cellStyle name="Total 2 4 4 2 9 3 3" xfId="52885" xr:uid="{210D8062-3F47-4FE6-B22D-8FD60A00302E}"/>
    <cellStyle name="Total 2 4 4 2 9 4" xfId="20367" xr:uid="{B54FEEC2-2951-484E-8530-42235F59E828}"/>
    <cellStyle name="Total 2 4 4 2 9 4 2" xfId="47810" xr:uid="{B9E8F468-4CAF-441D-9F4B-D82E18921E40}"/>
    <cellStyle name="Total 2 4 4 2 9 5" xfId="48003" xr:uid="{10AB2237-1C0F-4EA3-9A5A-A273C3C4B34A}"/>
    <cellStyle name="Total 2 4 4 3" xfId="3157" xr:uid="{00000000-0005-0000-0000-00008E080000}"/>
    <cellStyle name="Total 2 4 4 3 2" xfId="10066" xr:uid="{FB62D10E-13DF-4BF6-8667-DAC671D857F4}"/>
    <cellStyle name="Total 2 4 4 3 2 2" xfId="32573" xr:uid="{EAFC35D8-D4C3-45AD-9234-3086084548FF}"/>
    <cellStyle name="Total 2 4 4 3 2 3" xfId="42915" xr:uid="{77C2C50A-7C7E-4EDC-A58F-D654EE54FC16}"/>
    <cellStyle name="Total 2 4 4 3 3" xfId="15444" xr:uid="{22A94EEF-C8D7-4041-90AA-C2C11340BFDE}"/>
    <cellStyle name="Total 2 4 4 3 3 2" xfId="37870" xr:uid="{5D385F2F-58EE-4AC7-BA15-11706F703FA3}"/>
    <cellStyle name="Total 2 4 4 3 3 3" xfId="53837" xr:uid="{ACED419D-3D78-479B-9297-F0CE587E8DD5}"/>
    <cellStyle name="Total 2 4 4 3 4" xfId="13584" xr:uid="{FB4422B7-7F13-4017-B2CF-7012737D946A}"/>
    <cellStyle name="Total 2 4 4 3 4 2" xfId="36068" xr:uid="{FA412678-45C3-4B32-B876-BA146C348923}"/>
    <cellStyle name="Total 2 4 4 3 4 3" xfId="52969" xr:uid="{1FD5305F-B6F0-4F8C-B675-A59EDD46D028}"/>
    <cellStyle name="Total 2 4 4 3 5" xfId="20168" xr:uid="{888A854D-68BB-4FF8-82AE-45D7B1974A8E}"/>
    <cellStyle name="Total 2 4 4 3 5 2" xfId="38258" xr:uid="{9965D336-D915-43EF-9563-F9B418281D74}"/>
    <cellStyle name="Total 2 4 4 3 6" xfId="48911" xr:uid="{FC0E472A-9696-4E2B-AF8D-ACFBBC977236}"/>
    <cellStyle name="Total 2 4 4 4" xfId="4807" xr:uid="{00000000-0005-0000-0000-00008E080000}"/>
    <cellStyle name="Total 2 4 4 4 2" xfId="11704" xr:uid="{9F3E5E37-4073-45CC-B7D9-10E504536C4F}"/>
    <cellStyle name="Total 2 4 4 4 2 2" xfId="34190" xr:uid="{AF02A169-0A81-42F3-A284-CC3286ED74AD}"/>
    <cellStyle name="Total 2 4 4 4 2 3" xfId="24557" xr:uid="{D77A3535-4E93-4318-AE34-CC3E0AF09ABE}"/>
    <cellStyle name="Total 2 4 4 4 3" xfId="16744" xr:uid="{30640543-E10E-4646-BEDA-9D439A92EA23}"/>
    <cellStyle name="Total 2 4 4 4 3 2" xfId="39134" xr:uid="{A230E99B-6294-43B1-A277-27B983FD3C28}"/>
    <cellStyle name="Total 2 4 4 4 3 3" xfId="23744" xr:uid="{E42567C2-E3B6-4982-8120-E3019236F45A}"/>
    <cellStyle name="Total 2 4 4 4 4" xfId="8507" xr:uid="{88FC0940-817A-412A-9C64-73206FF8D08F}"/>
    <cellStyle name="Total 2 4 4 4 4 2" xfId="31094" xr:uid="{FCD8C324-3195-4BF9-994A-D42DF7191E9A}"/>
    <cellStyle name="Total 2 4 4 4 4 3" xfId="53496" xr:uid="{003DC3FC-EA92-4EAE-9EA6-04F19455287A}"/>
    <cellStyle name="Total 2 4 4 4 5" xfId="13203" xr:uid="{9B16508D-8F70-43BD-BE9D-6F8CA0109FAF}"/>
    <cellStyle name="Total 2 4 4 4 5 2" xfId="51273" xr:uid="{2F6506EE-CB01-40A2-9AC8-D0DB3676AA7E}"/>
    <cellStyle name="Total 2 4 4 4 6" xfId="49763" xr:uid="{64579A4A-337B-42A0-8905-ACA64C45D4CA}"/>
    <cellStyle name="Total 2 4 4 5" xfId="4464" xr:uid="{00000000-0005-0000-0000-00008E080000}"/>
    <cellStyle name="Total 2 4 4 5 2" xfId="11366" xr:uid="{30831171-949F-4DAA-8DD6-E08A25621C17}"/>
    <cellStyle name="Total 2 4 4 5 2 2" xfId="33852" xr:uid="{A3C90683-7EAD-4B4F-BFF7-104095FFE1AD}"/>
    <cellStyle name="Total 2 4 4 5 2 3" xfId="42727" xr:uid="{56DDA14A-0815-41B2-9429-C4EE18380206}"/>
    <cellStyle name="Total 2 4 4 5 3" xfId="16401" xr:uid="{E6A7009F-C4C4-42F8-83F9-7F51051D6063}"/>
    <cellStyle name="Total 2 4 4 5 3 2" xfId="38791" xr:uid="{B2409686-332B-46EE-91BA-B908EF350BEF}"/>
    <cellStyle name="Total 2 4 4 5 3 3" xfId="45877" xr:uid="{0671B1D2-FF9E-472B-9DDC-3DB04F3DB4CF}"/>
    <cellStyle name="Total 2 4 4 5 4" xfId="7992" xr:uid="{294E37D7-C68A-4E6B-BE54-7D6D020A9595}"/>
    <cellStyle name="Total 2 4 4 5 4 2" xfId="30614" xr:uid="{CE9E6BAB-4DBF-4CA1-9BCB-7AC1E3435955}"/>
    <cellStyle name="Total 2 4 4 5 4 3" xfId="30459" xr:uid="{702F0FB1-5BC4-4FB9-9688-F28116AFF22B}"/>
    <cellStyle name="Total 2 4 4 5 5" xfId="14987" xr:uid="{71A74735-CA64-457E-9F52-5B4429BE163D}"/>
    <cellStyle name="Total 2 4 4 5 5 2" xfId="29252" xr:uid="{F7F2105B-A364-4C6B-B2F7-74C22886E216}"/>
    <cellStyle name="Total 2 4 4 5 6" xfId="28620" xr:uid="{F3B501BB-C3E8-4AA1-9DB1-6C7D3814726D}"/>
    <cellStyle name="Total 2 4 4 6" xfId="4611" xr:uid="{00000000-0005-0000-0000-00008E080000}"/>
    <cellStyle name="Total 2 4 4 6 2" xfId="11512" xr:uid="{7ACF5ED1-3E15-45C8-B1C7-E91A3BBC23F5}"/>
    <cellStyle name="Total 2 4 4 6 2 2" xfId="33998" xr:uid="{12BBF248-2A2C-4E7C-B753-CECBDC5CECB6}"/>
    <cellStyle name="Total 2 4 4 6 2 3" xfId="32254" xr:uid="{601E89AC-6352-493C-8F5A-350AD09264DB}"/>
    <cellStyle name="Total 2 4 4 6 3" xfId="16548" xr:uid="{82465421-D2EE-4438-99E1-6DC9AA91DB64}"/>
    <cellStyle name="Total 2 4 4 6 3 2" xfId="38938" xr:uid="{40EE938F-20E7-471C-AEA8-65361903AA5E}"/>
    <cellStyle name="Total 2 4 4 6 3 3" xfId="29927" xr:uid="{9A97137B-C509-4C8B-A12B-499F1D3B8584}"/>
    <cellStyle name="Total 2 4 4 6 4" xfId="15863" xr:uid="{B3DD2405-F361-414A-93B4-1BE56FEA3F74}"/>
    <cellStyle name="Total 2 4 4 6 4 2" xfId="38269" xr:uid="{3F25CD8A-C05C-449C-B80F-40C1D2449F98}"/>
    <cellStyle name="Total 2 4 4 6 4 3" xfId="46112" xr:uid="{1CFCDB01-3495-41EE-B825-7565B7A193A6}"/>
    <cellStyle name="Total 2 4 4 6 5" xfId="14131" xr:uid="{78D224EF-C234-49B3-8F94-D8F2F353EDF6}"/>
    <cellStyle name="Total 2 4 4 6 5 2" xfId="52433" xr:uid="{880C74D7-2590-47A7-87CB-D27A902C8E8E}"/>
    <cellStyle name="Total 2 4 4 6 6" xfId="52741" xr:uid="{0D76775C-740E-4175-B5CE-D2AD36508CDC}"/>
    <cellStyle name="Total 2 4 4 7" xfId="4754" xr:uid="{00000000-0005-0000-0000-00008E080000}"/>
    <cellStyle name="Total 2 4 4 7 2" xfId="11652" xr:uid="{9F269AC1-82CE-4C56-A9D7-37D3C0EE9B15}"/>
    <cellStyle name="Total 2 4 4 7 2 2" xfId="34138" xr:uid="{5AC6BAD9-F639-4D77-8E37-CD9AB029ABC3}"/>
    <cellStyle name="Total 2 4 4 7 2 3" xfId="44422" xr:uid="{D3B722B1-6C5E-497B-825B-BA822F0D7964}"/>
    <cellStyle name="Total 2 4 4 7 3" xfId="16691" xr:uid="{7F9001F7-1C77-4C73-848B-4C8F0285BF1A}"/>
    <cellStyle name="Total 2 4 4 7 3 2" xfId="39081" xr:uid="{4D946704-F00F-4798-B84F-410B783B0FCA}"/>
    <cellStyle name="Total 2 4 4 7 3 3" xfId="29172" xr:uid="{A4AE206B-ABB1-4227-A5FA-805444BD1C3F}"/>
    <cellStyle name="Total 2 4 4 7 4" xfId="19485" xr:uid="{B07C44AF-393B-46A2-A2E8-486A3116BEED}"/>
    <cellStyle name="Total 2 4 4 7 4 2" xfId="41849" xr:uid="{473450E8-6A7D-4C7A-8F19-6EF80DA32F5B}"/>
    <cellStyle name="Total 2 4 4 7 4 3" xfId="24285" xr:uid="{A5CF59E1-FD87-4CE9-A39D-43ABFE8933DF}"/>
    <cellStyle name="Total 2 4 4 7 5" xfId="20307" xr:uid="{084D37ED-DF07-454F-B5CD-68A2EBBA992E}"/>
    <cellStyle name="Total 2 4 4 7 5 2" xfId="49069" xr:uid="{6E2342B4-9C84-4936-801D-937769D05B74}"/>
    <cellStyle name="Total 2 4 4 7 6" xfId="51655" xr:uid="{DABCE728-ACF3-4112-9104-E73AD3F1BC8C}"/>
    <cellStyle name="Total 2 4 4 8" xfId="7741" xr:uid="{16C8D841-F9CC-4CFC-9210-B01C0AC30E98}"/>
    <cellStyle name="Total 2 4 4 8 2" xfId="30390" xr:uid="{8447C514-5133-4140-84DC-6D7F2318BAB2}"/>
    <cellStyle name="Total 2 4 4 8 3" xfId="53832" xr:uid="{6FF549A1-2998-43A5-B544-CAD21C7BEA52}"/>
    <cellStyle name="Total 2 4 4 9" xfId="21246" xr:uid="{8A2FCD6E-74F7-4E17-91C6-F837D9A694A3}"/>
    <cellStyle name="Total 2 4 4 9 2" xfId="43481" xr:uid="{AB76331F-F5C4-4511-80AB-B46D7CFCDDC6}"/>
    <cellStyle name="Total 2 4 4 9 3" xfId="48653" xr:uid="{F28E0E45-25DE-4920-9AB2-12CFEBAAF028}"/>
    <cellStyle name="Total 2 4 5" xfId="1217" xr:uid="{00000000-0005-0000-0000-000093080000}"/>
    <cellStyle name="Total 2 4 5 10" xfId="19828" xr:uid="{624D5B9E-A4C8-4118-BEDE-43C86D0642A1}"/>
    <cellStyle name="Total 2 4 5 10 2" xfId="28256" xr:uid="{3B20BAE0-6D02-46E3-B472-A149FC5CE488}"/>
    <cellStyle name="Total 2 4 5 11" xfId="46189" xr:uid="{76DF6D35-5A91-42FA-839D-93B0EAFDF493}"/>
    <cellStyle name="Total 2 4 5 2" xfId="2017" xr:uid="{00000000-0005-0000-0000-000094080000}"/>
    <cellStyle name="Total 2 4 5 2 10" xfId="14665" xr:uid="{C9406E32-633B-499C-A1EE-739851D0C486}"/>
    <cellStyle name="Total 2 4 5 2 10 2" xfId="37125" xr:uid="{BD16675D-3D89-4CC7-8E99-6EB5C0DBD1CB}"/>
    <cellStyle name="Total 2 4 5 2 10 3" xfId="24559" xr:uid="{E8E3EA8D-2571-48EF-879D-AB8F21214042}"/>
    <cellStyle name="Total 2 4 5 2 11" xfId="20143" xr:uid="{C11F506C-FBE6-443E-9957-42AFC36EB771}"/>
    <cellStyle name="Total 2 4 5 2 11 2" xfId="42457" xr:uid="{87C4DEC4-65C1-40A7-96A4-26C06899FB15}"/>
    <cellStyle name="Total 2 4 5 2 11 3" xfId="29308" xr:uid="{ACAC6CE0-8FB7-46C7-89A7-F313A24155D9}"/>
    <cellStyle name="Total 2 4 5 2 12" xfId="14783" xr:uid="{D2F7EB25-6A93-4ED2-8F6E-905518AFC7EA}"/>
    <cellStyle name="Total 2 4 5 2 12 2" xfId="32125" xr:uid="{9D9AEC40-1D4F-439D-A6B7-078B6252C7D6}"/>
    <cellStyle name="Total 2 4 5 2 13" xfId="24566" xr:uid="{75086EB1-D819-4126-9813-B606056231B8}"/>
    <cellStyle name="Total 2 4 5 2 2" xfId="4112" xr:uid="{00000000-0005-0000-0000-000091080000}"/>
    <cellStyle name="Total 2 4 5 2 2 2" xfId="11016" xr:uid="{D303F72C-380A-44CD-A71D-C65ED3417554}"/>
    <cellStyle name="Total 2 4 5 2 2 2 2" xfId="33502" xr:uid="{DB21D3B1-252E-4866-9182-954FA53327DD}"/>
    <cellStyle name="Total 2 4 5 2 2 2 3" xfId="30240" xr:uid="{062CC61F-E9C3-46C6-A78C-6F6AFB4C3490}"/>
    <cellStyle name="Total 2 4 5 2 2 3" xfId="16116" xr:uid="{C904DC16-D21E-4038-94B0-E0E28C292924}"/>
    <cellStyle name="Total 2 4 5 2 2 3 2" xfId="38516" xr:uid="{722D2F2F-CF55-4AEF-B95F-E57DE8C55C84}"/>
    <cellStyle name="Total 2 4 5 2 2 3 3" xfId="29244" xr:uid="{04AAD977-2D73-496B-A7AF-8231CB7703EC}"/>
    <cellStyle name="Total 2 4 5 2 2 4" xfId="20238" xr:uid="{58B34B6C-81C5-46E1-B0F2-FE04705A168D}"/>
    <cellStyle name="Total 2 4 5 2 2 4 2" xfId="42541" xr:uid="{FFA10D2D-2633-4A17-BCA7-998D1EF9D00B}"/>
    <cellStyle name="Total 2 4 5 2 2 4 3" xfId="45793" xr:uid="{407EF1AA-9277-47FF-B6E7-7ECCD42BCCE4}"/>
    <cellStyle name="Total 2 4 5 2 2 5" xfId="14309" xr:uid="{7616F203-18F2-416C-A847-0825C3FB3805}"/>
    <cellStyle name="Total 2 4 5 2 2 5 2" xfId="50028" xr:uid="{B3B4E024-211C-4BF7-96A5-D9E0E69AEF26}"/>
    <cellStyle name="Total 2 4 5 2 2 6" xfId="44673" xr:uid="{86C581BA-387B-4FC3-98F5-E09E557E7910}"/>
    <cellStyle name="Total 2 4 5 2 3" xfId="5458" xr:uid="{00000000-0005-0000-0000-000091080000}"/>
    <cellStyle name="Total 2 4 5 2 3 2" xfId="12347" xr:uid="{22D7B380-67A0-4C85-A2EC-B89A275C42BC}"/>
    <cellStyle name="Total 2 4 5 2 3 2 2" xfId="34832" xr:uid="{8A2BE43B-FB20-4247-AAB0-9BDEB246FE89}"/>
    <cellStyle name="Total 2 4 5 2 3 2 3" xfId="24512" xr:uid="{700F4A74-BDDD-47D1-9A5B-C55A0D97F205}"/>
    <cellStyle name="Total 2 4 5 2 3 3" xfId="17395" xr:uid="{AC1779F6-5F37-46DA-B2A2-C78AD00C5227}"/>
    <cellStyle name="Total 2 4 5 2 3 3 2" xfId="39785" xr:uid="{C4A7B568-AC7D-42E4-B548-3035AF7AB9AD}"/>
    <cellStyle name="Total 2 4 5 2 3 3 3" xfId="28919" xr:uid="{618C65AE-B60C-4F80-BDBA-BDD673F45B8B}"/>
    <cellStyle name="Total 2 4 5 2 3 4" xfId="19390" xr:uid="{BD0CF7E9-04CB-4F4F-902E-61037D6D4BB6}"/>
    <cellStyle name="Total 2 4 5 2 3 4 2" xfId="41763" xr:uid="{2A557C3A-A805-434F-AE1A-93C20A809D14}"/>
    <cellStyle name="Total 2 4 5 2 3 4 3" xfId="45353" xr:uid="{043AAA56-077C-4427-89D4-259C33F4378F}"/>
    <cellStyle name="Total 2 4 5 2 3 5" xfId="21819" xr:uid="{1BBB8F99-3C0A-49C6-9BD3-36D7383B65D8}"/>
    <cellStyle name="Total 2 4 5 2 3 5 2" xfId="53461" xr:uid="{C8DA2C71-544A-4D5D-8C32-619B28262659}"/>
    <cellStyle name="Total 2 4 5 2 3 6" xfId="47297" xr:uid="{4DF6B2C3-5D97-479F-8C65-90295A1DBAA9}"/>
    <cellStyle name="Total 2 4 5 2 4" xfId="5881" xr:uid="{00000000-0005-0000-0000-000091080000}"/>
    <cellStyle name="Total 2 4 5 2 4 2" xfId="12763" xr:uid="{49A7AA97-0932-4DEF-AFE1-5917ED4E4187}"/>
    <cellStyle name="Total 2 4 5 2 4 2 2" xfId="35247" xr:uid="{1CBA16C4-A0F0-4D0C-9B57-CC6498892A0E}"/>
    <cellStyle name="Total 2 4 5 2 4 2 3" xfId="28222" xr:uid="{E6F9A70E-601B-43AD-AA4F-F7EE814FDFBC}"/>
    <cellStyle name="Total 2 4 5 2 4 3" xfId="17818" xr:uid="{71DFFB49-9723-438E-90D6-5F87237CEB04}"/>
    <cellStyle name="Total 2 4 5 2 4 3 2" xfId="40208" xr:uid="{B9983797-B3D5-44F0-98E0-FD57B8CD8FEC}"/>
    <cellStyle name="Total 2 4 5 2 4 3 3" xfId="28686" xr:uid="{04B86744-01C6-4C5A-AAEE-612AB98FDB42}"/>
    <cellStyle name="Total 2 4 5 2 4 4" xfId="14147" xr:uid="{45B5B7D4-9F1C-4449-91E2-4229753CDB06}"/>
    <cellStyle name="Total 2 4 5 2 4 4 2" xfId="36624" xr:uid="{7DCE0AA8-9140-4E2F-9A77-26C649366528}"/>
    <cellStyle name="Total 2 4 5 2 4 4 3" xfId="25753" xr:uid="{CEFCEB6F-9715-4B0F-B29D-A70C234CD02E}"/>
    <cellStyle name="Total 2 4 5 2 4 5" xfId="22242" xr:uid="{7DE574D4-2EEB-4DCB-B2CF-10F22BD51812}"/>
    <cellStyle name="Total 2 4 5 2 4 5 2" xfId="46607" xr:uid="{058618A8-1016-43A2-A273-F0BE473720A3}"/>
    <cellStyle name="Total 2 4 5 2 4 6" xfId="28992" xr:uid="{21478F12-0AE5-43CB-9BC4-740C76E2268B}"/>
    <cellStyle name="Total 2 4 5 2 5" xfId="6219" xr:uid="{00000000-0005-0000-0000-000091080000}"/>
    <cellStyle name="Total 2 4 5 2 5 2" xfId="13094" xr:uid="{8801DF10-6300-4975-B453-517693D26A27}"/>
    <cellStyle name="Total 2 4 5 2 5 2 2" xfId="35578" xr:uid="{EF3753FA-E9F0-49B2-A1ED-B479B09D356C}"/>
    <cellStyle name="Total 2 4 5 2 5 2 3" xfId="47585" xr:uid="{F45FD200-9A41-4147-B561-2BB9FCF0126C}"/>
    <cellStyle name="Total 2 4 5 2 5 3" xfId="18156" xr:uid="{CA81110C-97E0-4100-A48C-829C9E1F3E49}"/>
    <cellStyle name="Total 2 4 5 2 5 3 2" xfId="40546" xr:uid="{B3E028AE-CEDD-4F3D-9A2C-EF3AD4879125}"/>
    <cellStyle name="Total 2 4 5 2 5 3 3" xfId="29771" xr:uid="{F450A926-5FCD-4D1D-B93C-2E39378DEEFE}"/>
    <cellStyle name="Total 2 4 5 2 5 4" xfId="8661" xr:uid="{1F3CA364-E4B9-459D-AFCB-B2E7170704DF}"/>
    <cellStyle name="Total 2 4 5 2 5 4 2" xfId="31247" xr:uid="{23286D56-D019-415D-942D-B85F9E151286}"/>
    <cellStyle name="Total 2 4 5 2 5 4 3" xfId="51047" xr:uid="{9FCC7A8E-AF5A-473B-AFEF-44FB1E231CCD}"/>
    <cellStyle name="Total 2 4 5 2 5 5" xfId="22580" xr:uid="{44DD4AFD-9B30-42E3-AD6B-07B60647500A}"/>
    <cellStyle name="Total 2 4 5 2 5 5 2" xfId="47130" xr:uid="{90B90870-13C7-41B6-AA66-437EE3AFCF26}"/>
    <cellStyle name="Total 2 4 5 2 5 6" xfId="46004" xr:uid="{673AA227-8D22-4D74-BA89-AFE012881FEE}"/>
    <cellStyle name="Total 2 4 5 2 6" xfId="6585" xr:uid="{00000000-0005-0000-0000-000091080000}"/>
    <cellStyle name="Total 2 4 5 2 6 2" xfId="13451" xr:uid="{2F4C4839-4601-4FC6-A649-120D22B5665A}"/>
    <cellStyle name="Total 2 4 5 2 6 2 2" xfId="35935" xr:uid="{157DBFEA-0E75-45B3-AAEB-2530FA101836}"/>
    <cellStyle name="Total 2 4 5 2 6 2 3" xfId="49832" xr:uid="{F0326D2F-56A6-4D32-9759-F4F72F72AE17}"/>
    <cellStyle name="Total 2 4 5 2 6 3" xfId="18522" xr:uid="{A81278A8-0301-474F-BBED-3153D153E803}"/>
    <cellStyle name="Total 2 4 5 2 6 3 2" xfId="40912" xr:uid="{10353235-8036-4095-9B2B-16394330B6BE}"/>
    <cellStyle name="Total 2 4 5 2 6 3 3" xfId="38254" xr:uid="{77AA5EEF-FDB4-498D-9A8F-669D9C284871}"/>
    <cellStyle name="Total 2 4 5 2 6 4" xfId="20991" xr:uid="{FF0AD88C-DAFD-4E19-8C26-B8120850D4F4}"/>
    <cellStyle name="Total 2 4 5 2 6 4 2" xfId="43245" xr:uid="{C355D30B-68D5-4B61-ACBD-DA6F1EC50120}"/>
    <cellStyle name="Total 2 4 5 2 6 4 3" xfId="53091" xr:uid="{898A9CDA-ECC8-42E7-B9F5-F0E8526B3C2A}"/>
    <cellStyle name="Total 2 4 5 2 6 5" xfId="22946" xr:uid="{025612BC-2132-4FF9-99E7-B2C8F4AC97AE}"/>
    <cellStyle name="Total 2 4 5 2 6 5 2" xfId="26013" xr:uid="{AAF894DA-209A-4F8E-B0C1-8BD0A8AE49B8}"/>
    <cellStyle name="Total 2 4 5 2 6 6" xfId="23750" xr:uid="{7B30242D-96AC-4780-A252-ACD5EA628CCB}"/>
    <cellStyle name="Total 2 4 5 2 7" xfId="5305" xr:uid="{00000000-0005-0000-0000-000091080000}"/>
    <cellStyle name="Total 2 4 5 2 7 2" xfId="12197" xr:uid="{E021A14F-CEB8-4442-A8D9-0617FD417DC1}"/>
    <cellStyle name="Total 2 4 5 2 7 2 2" xfId="34682" xr:uid="{D89DB1DA-6351-42FF-9841-A1DEBF0474CF}"/>
    <cellStyle name="Total 2 4 5 2 7 2 3" xfId="42771" xr:uid="{24CDCB6D-3E57-4296-B105-62D078D59B62}"/>
    <cellStyle name="Total 2 4 5 2 7 3" xfId="17242" xr:uid="{3D523A58-1522-49E2-8162-DE00774A826A}"/>
    <cellStyle name="Total 2 4 5 2 7 3 2" xfId="39632" xr:uid="{F570C52C-BC19-4B51-AF27-5D4421489938}"/>
    <cellStyle name="Total 2 4 5 2 7 3 3" xfId="29469" xr:uid="{4563F97C-6B41-4F97-9215-4488FAA5B1AC}"/>
    <cellStyle name="Total 2 4 5 2 7 4" xfId="14710" xr:uid="{D526DB10-7F95-47D3-BEE8-FDF9F57B4F89}"/>
    <cellStyle name="Total 2 4 5 2 7 4 2" xfId="37168" xr:uid="{A5A3A842-60B5-49BE-81EC-4973541D3C7F}"/>
    <cellStyle name="Total 2 4 5 2 7 4 3" xfId="49140" xr:uid="{1F5344E6-C9C3-42B7-B98A-50AB675C2242}"/>
    <cellStyle name="Total 2 4 5 2 7 5" xfId="21666" xr:uid="{6045A800-48BA-4540-811D-66E2C0BCC96B}"/>
    <cellStyle name="Total 2 4 5 2 7 5 2" xfId="30771" xr:uid="{A904AEAD-3B4C-40D9-9C49-F51FF9CEAEC6}"/>
    <cellStyle name="Total 2 4 5 2 7 6" xfId="51259" xr:uid="{F4047260-500C-42FF-A1D6-776A214FA81E}"/>
    <cellStyle name="Total 2 4 5 2 8" xfId="7055" xr:uid="{00000000-0005-0000-0000-000091080000}"/>
    <cellStyle name="Total 2 4 5 2 8 2" xfId="13891" xr:uid="{DBD84075-750D-4A8E-8D52-99598CC40774}"/>
    <cellStyle name="Total 2 4 5 2 8 2 2" xfId="36375" xr:uid="{1437B26F-70F0-4268-A03C-19EC5D7E5DBE}"/>
    <cellStyle name="Total 2 4 5 2 8 2 3" xfId="47995" xr:uid="{1A7092AC-FFD4-490D-AA56-8C040BF51E09}"/>
    <cellStyle name="Total 2 4 5 2 8 3" xfId="18992" xr:uid="{0373244C-EF36-45E1-AA83-CEBE7C6AB050}"/>
    <cellStyle name="Total 2 4 5 2 8 3 2" xfId="41382" xr:uid="{2A25F475-3429-4D6A-9331-E74352484B00}"/>
    <cellStyle name="Total 2 4 5 2 8 3 3" xfId="45252" xr:uid="{E176A671-FE91-4EC5-9D35-D1C38E6345C6}"/>
    <cellStyle name="Total 2 4 5 2 8 4" xfId="20589" xr:uid="{52BBAFD7-61A3-4537-B0C2-534C08C32DB6}"/>
    <cellStyle name="Total 2 4 5 2 8 4 2" xfId="42871" xr:uid="{E171AEF9-E84E-4831-B655-8C144AED850D}"/>
    <cellStyle name="Total 2 4 5 2 8 4 3" xfId="49855" xr:uid="{EA05B312-26C2-4401-9203-286D99F783D8}"/>
    <cellStyle name="Total 2 4 5 2 8 5" xfId="23416" xr:uid="{B7B263F2-CD49-48CF-A88F-B40873D1CDA2}"/>
    <cellStyle name="Total 2 4 5 2 8 5 2" xfId="51058" xr:uid="{FF29BDFC-ABCD-4663-B530-D68D7ED5D6FC}"/>
    <cellStyle name="Total 2 4 5 2 8 6" xfId="46832" xr:uid="{A0090039-3649-4821-B7A6-C280BE96BF54}"/>
    <cellStyle name="Total 2 4 5 2 9" xfId="7170" xr:uid="{00000000-0005-0000-0000-000091080000}"/>
    <cellStyle name="Total 2 4 5 2 9 2" xfId="19107" xr:uid="{E1FD04EA-F51B-4728-A797-CD414FCB8747}"/>
    <cellStyle name="Total 2 4 5 2 9 2 2" xfId="41497" xr:uid="{AB972A08-73A4-44E8-AC2A-A1893945A23F}"/>
    <cellStyle name="Total 2 4 5 2 9 2 3" xfId="30627" xr:uid="{4D355182-07AA-46BA-85A4-CC6D5E5179D7}"/>
    <cellStyle name="Total 2 4 5 2 9 3" xfId="20874" xr:uid="{407E65D2-2825-4804-A8A9-A176E1A85B07}"/>
    <cellStyle name="Total 2 4 5 2 9 3 2" xfId="43139" xr:uid="{6FCBBAFF-3C85-43F8-AF05-1723BE083209}"/>
    <cellStyle name="Total 2 4 5 2 9 3 3" xfId="42290" xr:uid="{911550EF-9506-493A-8F6E-B315ED9BC3D0}"/>
    <cellStyle name="Total 2 4 5 2 9 4" xfId="23531" xr:uid="{5A176470-6FB8-45ED-81F5-A33A4A1119C3}"/>
    <cellStyle name="Total 2 4 5 2 9 4 2" xfId="50503" xr:uid="{4A1B2301-E180-46C8-9BAD-DF2EB57AB874}"/>
    <cellStyle name="Total 2 4 5 2 9 5" xfId="46241" xr:uid="{5F143285-2E10-47A1-AB4E-AEC262594731}"/>
    <cellStyle name="Total 2 4 5 3" xfId="3331" xr:uid="{00000000-0005-0000-0000-000090080000}"/>
    <cellStyle name="Total 2 4 5 3 2" xfId="10239" xr:uid="{753B5360-ADCB-4C84-9408-329FA5A3412E}"/>
    <cellStyle name="Total 2 4 5 3 2 2" xfId="32733" xr:uid="{20C2C13A-B003-46F0-8479-8A9CFC253E3E}"/>
    <cellStyle name="Total 2 4 5 3 2 3" xfId="32013" xr:uid="{AC9AC6DC-F71B-424B-9DBB-B6D5C43AD99C}"/>
    <cellStyle name="Total 2 4 5 3 3" xfId="15557" xr:uid="{4AB72C20-4C75-4783-8C33-02AD3939D16A}"/>
    <cellStyle name="Total 2 4 5 3 3 2" xfId="37976" xr:uid="{248DAADF-4672-45DC-9638-9139705832D2}"/>
    <cellStyle name="Total 2 4 5 3 3 3" xfId="29726" xr:uid="{4B609E13-EBD6-43A0-8B2B-16EFF57C07CC}"/>
    <cellStyle name="Total 2 4 5 3 4" xfId="15108" xr:uid="{F7B9103B-C56C-4542-B998-CB0AE4F4BA0D}"/>
    <cellStyle name="Total 2 4 5 3 4 2" xfId="37551" xr:uid="{D2AE3018-1F18-4C26-BDFD-0DB16A6FF670}"/>
    <cellStyle name="Total 2 4 5 3 4 3" xfId="47342" xr:uid="{2D6DCB43-5597-4352-846F-6E93D8B94C08}"/>
    <cellStyle name="Total 2 4 5 3 5" xfId="19981" xr:uid="{BD917886-B7EC-4A2D-ABF2-3B1EEFB0A233}"/>
    <cellStyle name="Total 2 4 5 3 5 2" xfId="29961" xr:uid="{D02573F8-2B69-46B3-AE78-C4474C229441}"/>
    <cellStyle name="Total 2 4 5 3 6" xfId="52315" xr:uid="{ECB09944-474B-4FE1-8D9C-A92D28DAA90D}"/>
    <cellStyle name="Total 2 4 5 4" xfId="4917" xr:uid="{00000000-0005-0000-0000-000090080000}"/>
    <cellStyle name="Total 2 4 5 4 2" xfId="11812" xr:uid="{D9639AED-6D82-40E3-BBE5-DBA3E712A4F6}"/>
    <cellStyle name="Total 2 4 5 4 2 2" xfId="34298" xr:uid="{87A178A9-54C0-4919-A745-6524FE7515B6}"/>
    <cellStyle name="Total 2 4 5 4 2 3" xfId="45480" xr:uid="{0FF7726D-CF9D-410A-9416-B21FDF1B7C9B}"/>
    <cellStyle name="Total 2 4 5 4 3" xfId="16854" xr:uid="{A2BCB381-96F7-4DFD-B1AF-D48D8587596E}"/>
    <cellStyle name="Total 2 4 5 4 3 2" xfId="39244" xr:uid="{B29ABEBD-E214-4277-8645-1C7B5C68237A}"/>
    <cellStyle name="Total 2 4 5 4 3 3" xfId="29110" xr:uid="{52B2B511-D58A-4ADC-9C38-C6A5D99DB49D}"/>
    <cellStyle name="Total 2 4 5 4 4" xfId="14350" xr:uid="{B9086574-4B2F-45C9-B9CB-F47C6FC13707}"/>
    <cellStyle name="Total 2 4 5 4 4 2" xfId="36818" xr:uid="{1F159312-30CD-4988-A288-D6AA8D61D25A}"/>
    <cellStyle name="Total 2 4 5 4 4 3" xfId="37805" xr:uid="{AB0EF7FA-3817-4224-B0FA-93A5882C95B4}"/>
    <cellStyle name="Total 2 4 5 4 5" xfId="20867" xr:uid="{312677DD-CD0B-46FD-A86E-499868629488}"/>
    <cellStyle name="Total 2 4 5 4 5 2" xfId="53092" xr:uid="{058D6306-5448-49EA-9C2E-4BC90B4F2F4A}"/>
    <cellStyle name="Total 2 4 5 4 6" xfId="50963" xr:uid="{4623E96F-1CC3-413C-8A70-D63DAD21EE62}"/>
    <cellStyle name="Total 2 4 5 5" xfId="6024" xr:uid="{00000000-0005-0000-0000-000090080000}"/>
    <cellStyle name="Total 2 4 5 5 2" xfId="12904" xr:uid="{330B3807-CA85-464E-996C-1C853F380F1E}"/>
    <cellStyle name="Total 2 4 5 5 2 2" xfId="35388" xr:uid="{27FB907B-BAF3-43A6-AE47-ABEAB4E568AD}"/>
    <cellStyle name="Total 2 4 5 5 2 3" xfId="51647" xr:uid="{67E12F2F-907B-4B0E-BD74-6837FB17E6AE}"/>
    <cellStyle name="Total 2 4 5 5 3" xfId="17961" xr:uid="{0A877450-7641-442F-9BA6-86A9B04D7009}"/>
    <cellStyle name="Total 2 4 5 5 3 2" xfId="40351" xr:uid="{0C860DF0-BFD6-40D9-9034-6652389237DA}"/>
    <cellStyle name="Total 2 4 5 5 3 3" xfId="29544" xr:uid="{7C8AF829-B82E-414A-AD9C-C2487BEF9D1C}"/>
    <cellStyle name="Total 2 4 5 5 4" xfId="13692" xr:uid="{48594D18-98FA-4D24-B924-531094C63C3B}"/>
    <cellStyle name="Total 2 4 5 5 4 2" xfId="36176" xr:uid="{2BED2B2F-4E14-49F1-8073-F7DA7C3B5F84}"/>
    <cellStyle name="Total 2 4 5 5 4 3" xfId="47341" xr:uid="{2C540257-2692-4DBE-AD1E-BB6D2DBE4511}"/>
    <cellStyle name="Total 2 4 5 5 5" xfId="22385" xr:uid="{A3105B8C-E9E1-448D-9AC6-86A53621590C}"/>
    <cellStyle name="Total 2 4 5 5 5 2" xfId="46206" xr:uid="{790E0112-2951-42BF-8018-1370384BD919}"/>
    <cellStyle name="Total 2 4 5 5 6" xfId="54020" xr:uid="{2A9441B2-9648-4118-AA0E-9336C8F03C84}"/>
    <cellStyle name="Total 2 4 5 6" xfId="4637" xr:uid="{00000000-0005-0000-0000-000090080000}"/>
    <cellStyle name="Total 2 4 5 6 2" xfId="11538" xr:uid="{4D89A21C-DFE4-471A-A2BA-DC9291C38AF2}"/>
    <cellStyle name="Total 2 4 5 6 2 2" xfId="34024" xr:uid="{7BBEEFDB-CC22-4314-9073-1E08300F8DDA}"/>
    <cellStyle name="Total 2 4 5 6 2 3" xfId="43633" xr:uid="{E01BE9BE-E92E-4E6E-A025-4FB45E92EA7E}"/>
    <cellStyle name="Total 2 4 5 6 3" xfId="16574" xr:uid="{C0C5C32C-62F3-4BA9-95D3-B0FA42C19BE4}"/>
    <cellStyle name="Total 2 4 5 6 3 2" xfId="38964" xr:uid="{6A41995B-E2B2-4FA0-A9BB-4E6EF02E1F52}"/>
    <cellStyle name="Total 2 4 5 6 3 3" xfId="28691" xr:uid="{F36339AD-48F6-4B38-A05B-D300A94EAD10}"/>
    <cellStyle name="Total 2 4 5 6 4" xfId="14846" xr:uid="{C2D41340-7031-4C8B-A7A7-7A349AD38906}"/>
    <cellStyle name="Total 2 4 5 6 4 2" xfId="37300" xr:uid="{D3EA05E3-B578-4890-80E4-7BB4745F18CA}"/>
    <cellStyle name="Total 2 4 5 6 4 3" xfId="29303" xr:uid="{5A76D6F4-12E7-421E-B6EB-8B5173DB9DED}"/>
    <cellStyle name="Total 2 4 5 6 5" xfId="19341" xr:uid="{C536AC98-38AF-49B0-BD05-C4667E2FA119}"/>
    <cellStyle name="Total 2 4 5 6 5 2" xfId="42395" xr:uid="{A6B3C29A-1EF7-44C7-93C2-25C738E42926}"/>
    <cellStyle name="Total 2 4 5 6 6" xfId="51456" xr:uid="{68283AD5-5F30-4720-9DD7-467833817D9B}"/>
    <cellStyle name="Total 2 4 5 7" xfId="6798" xr:uid="{00000000-0005-0000-0000-000090080000}"/>
    <cellStyle name="Total 2 4 5 7 2" xfId="13647" xr:uid="{66ABEEBF-15AB-4826-A51D-8FDDECC7963A}"/>
    <cellStyle name="Total 2 4 5 7 2 2" xfId="36131" xr:uid="{77A61130-1644-41DC-9D69-0753DE8DAFD1}"/>
    <cellStyle name="Total 2 4 5 7 2 3" xfId="51516" xr:uid="{32C75EED-C8A1-4D61-B003-F48B234CCE83}"/>
    <cellStyle name="Total 2 4 5 7 3" xfId="18735" xr:uid="{EDBB4CF9-985D-4A68-8684-F58E1D57FB8C}"/>
    <cellStyle name="Total 2 4 5 7 3 2" xfId="41125" xr:uid="{AD9905A5-F14B-412C-9764-34B04DCB41D2}"/>
    <cellStyle name="Total 2 4 5 7 3 3" xfId="28506" xr:uid="{5A295095-18B6-4E20-ACB9-1495ADB50AB8}"/>
    <cellStyle name="Total 2 4 5 7 4" xfId="20374" xr:uid="{66D5F9F1-233E-4F4B-8EDC-B8DD96A6BAEF}"/>
    <cellStyle name="Total 2 4 5 7 4 2" xfId="42671" xr:uid="{E7B4EF0E-E277-42BE-9559-3771CC2541A2}"/>
    <cellStyle name="Total 2 4 5 7 4 3" xfId="47248" xr:uid="{D5C2A234-E8B5-4451-BB6B-B02048005B2A}"/>
    <cellStyle name="Total 2 4 5 7 5" xfId="23159" xr:uid="{927A7D86-50C3-4151-BDD8-483CC05FB3E0}"/>
    <cellStyle name="Total 2 4 5 7 5 2" xfId="28773" xr:uid="{FA85F591-6D4F-41AD-8F71-537F9FD07C67}"/>
    <cellStyle name="Total 2 4 5 7 6" xfId="51416" xr:uid="{B9707704-8E7A-417A-8E96-EAAFD91FA16D}"/>
    <cellStyle name="Total 2 4 5 8" xfId="14092" xr:uid="{533771FA-5228-41DB-B85E-17057C873FA0}"/>
    <cellStyle name="Total 2 4 5 8 2" xfId="36570" xr:uid="{EF207211-DC3A-4C48-AE2D-86DF37484449}"/>
    <cellStyle name="Total 2 4 5 8 3" xfId="48545" xr:uid="{159C5F79-1E45-4B18-8D5C-BA610D7C2E40}"/>
    <cellStyle name="Total 2 4 5 9" xfId="20800" xr:uid="{0DA16EA4-2DF0-4805-9EF9-5690DD7FEC0B}"/>
    <cellStyle name="Total 2 4 5 9 2" xfId="43066" xr:uid="{C8C08C7F-0543-4687-8236-DAE1AADE616B}"/>
    <cellStyle name="Total 2 4 5 9 3" xfId="43652" xr:uid="{F1EB537B-C9C4-4107-B62B-B70BD074A8AB}"/>
    <cellStyle name="Total 2 4 6" xfId="1379" xr:uid="{00000000-0005-0000-0000-000095080000}"/>
    <cellStyle name="Total 2 4 6 10" xfId="19739" xr:uid="{E75F709C-87B2-4729-848B-4149E95F5416}"/>
    <cellStyle name="Total 2 4 6 10 2" xfId="26424" xr:uid="{B306C133-BFE9-484B-BB95-F328B396807F}"/>
    <cellStyle name="Total 2 4 6 11" xfId="51144" xr:uid="{DE4CA273-A6DE-480F-A4C8-FD55FB26E1A7}"/>
    <cellStyle name="Total 2 4 6 2" xfId="2108" xr:uid="{00000000-0005-0000-0000-000096080000}"/>
    <cellStyle name="Total 2 4 6 2 10" xfId="14737" xr:uid="{115E8F00-BCDA-4EDF-B3EF-EDA22BA0FD88}"/>
    <cellStyle name="Total 2 4 6 2 10 2" xfId="37195" xr:uid="{4B59351E-9543-4E66-AF1D-CA34D7007CD2}"/>
    <cellStyle name="Total 2 4 6 2 10 3" xfId="48926" xr:uid="{A6109D9B-735F-4408-9AA9-2761AF5CA06A}"/>
    <cellStyle name="Total 2 4 6 2 11" xfId="20428" xr:uid="{69704D5C-5021-46F4-A9FE-FEA6FDC92C06}"/>
    <cellStyle name="Total 2 4 6 2 11 2" xfId="42720" xr:uid="{5553630B-DD88-4632-83C0-EABC9DE235CC}"/>
    <cellStyle name="Total 2 4 6 2 11 3" xfId="49903" xr:uid="{81EF6C7A-22A6-40DB-8D30-7226B970E734}"/>
    <cellStyle name="Total 2 4 6 2 12" xfId="19572" xr:uid="{76BC60C6-F704-4658-9F79-53676626A80D}"/>
    <cellStyle name="Total 2 4 6 2 12 2" xfId="42902" xr:uid="{935043F4-DA00-4415-B069-7BC2B742F644}"/>
    <cellStyle name="Total 2 4 6 2 13" xfId="52544" xr:uid="{A9229E45-0C19-473B-90BC-87DA049ABABA}"/>
    <cellStyle name="Total 2 4 6 2 2" xfId="4201" xr:uid="{00000000-0005-0000-0000-000093080000}"/>
    <cellStyle name="Total 2 4 6 2 2 2" xfId="11105" xr:uid="{BA275477-7B91-4D42-BEED-15722CEA5C31}"/>
    <cellStyle name="Total 2 4 6 2 2 2 2" xfId="33591" xr:uid="{1FA641DD-9FF9-40D9-ADFB-D06CC439F33C}"/>
    <cellStyle name="Total 2 4 6 2 2 2 3" xfId="47046" xr:uid="{DCD7B4A4-B488-4D27-927A-A87D1618105E}"/>
    <cellStyle name="Total 2 4 6 2 2 3" xfId="16194" xr:uid="{483D9ED1-A88F-4B44-A7A1-2EE1603E7A01}"/>
    <cellStyle name="Total 2 4 6 2 2 3 2" xfId="38593" xr:uid="{500F516E-9F35-49B4-9A81-F6FD6B885FE9}"/>
    <cellStyle name="Total 2 4 6 2 2 3 3" xfId="43559" xr:uid="{FA8C8B57-48E7-4BB2-817D-A990029969A3}"/>
    <cellStyle name="Total 2 4 6 2 2 4" xfId="15467" xr:uid="{F3150995-B6E1-423B-A599-9801701CA5C7}"/>
    <cellStyle name="Total 2 4 6 2 2 4 2" xfId="37893" xr:uid="{7F86D633-AC4B-49EE-9E5F-436E1CDDC713}"/>
    <cellStyle name="Total 2 4 6 2 2 4 3" xfId="53971" xr:uid="{4C08782E-D12C-4034-B5AE-E999BDED864B}"/>
    <cellStyle name="Total 2 4 6 2 2 5" xfId="16239" xr:uid="{7FAA3A18-2381-4C43-9739-A989A6561043}"/>
    <cellStyle name="Total 2 4 6 2 2 5 2" xfId="29348" xr:uid="{2A1E4FB8-4FBD-473D-83C0-AA6AAD66138C}"/>
    <cellStyle name="Total 2 4 6 2 2 6" xfId="48377" xr:uid="{B6EC49CC-9F60-4ED5-B476-B57963E1E80E}"/>
    <cellStyle name="Total 2 4 6 2 3" xfId="5527" xr:uid="{00000000-0005-0000-0000-000093080000}"/>
    <cellStyle name="Total 2 4 6 2 3 2" xfId="12416" xr:uid="{8497884C-813A-4DF1-A69E-27569970A231}"/>
    <cellStyle name="Total 2 4 6 2 3 2 2" xfId="34901" xr:uid="{88C25F19-89FC-4B3A-B78C-7D6087BA6A39}"/>
    <cellStyle name="Total 2 4 6 2 3 2 3" xfId="24342" xr:uid="{2609B5C7-BA96-450B-907B-43F37774CE0B}"/>
    <cellStyle name="Total 2 4 6 2 3 3" xfId="17464" xr:uid="{A6A559A8-65ED-4075-BB2F-19B49C79844A}"/>
    <cellStyle name="Total 2 4 6 2 3 3 2" xfId="39854" xr:uid="{F491E03C-E98A-4829-9E82-8264E1706F12}"/>
    <cellStyle name="Total 2 4 6 2 3 3 3" xfId="42309" xr:uid="{E5C66BDC-2063-4BF5-9117-F16C35520B8A}"/>
    <cellStyle name="Total 2 4 6 2 3 4" xfId="15399" xr:uid="{D47B13EF-B566-45F7-89CB-14289C9DB5A0}"/>
    <cellStyle name="Total 2 4 6 2 3 4 2" xfId="37825" xr:uid="{1D6739C9-3F69-4CFF-A58E-96856BACC799}"/>
    <cellStyle name="Total 2 4 6 2 3 4 3" xfId="46278" xr:uid="{FE31A566-8942-424B-AB3C-972028B2028F}"/>
    <cellStyle name="Total 2 4 6 2 3 5" xfId="21888" xr:uid="{0B08D390-9D4A-4663-992C-51D79D66E1F5}"/>
    <cellStyle name="Total 2 4 6 2 3 5 2" xfId="46623" xr:uid="{201B54BC-0C01-4693-AE91-30F67AC7492D}"/>
    <cellStyle name="Total 2 4 6 2 3 6" xfId="50839" xr:uid="{81A88004-03E5-4C9C-8573-0E9816310928}"/>
    <cellStyle name="Total 2 4 6 2 4" xfId="5949" xr:uid="{00000000-0005-0000-0000-000093080000}"/>
    <cellStyle name="Total 2 4 6 2 4 2" xfId="12830" xr:uid="{0E2F5B42-015E-4AEA-A3B0-3940BF7543E7}"/>
    <cellStyle name="Total 2 4 6 2 4 2 2" xfId="35314" xr:uid="{04E57B90-12E2-4AF9-AA37-8D8BD386E011}"/>
    <cellStyle name="Total 2 4 6 2 4 2 3" xfId="45221" xr:uid="{860AE20D-6B4F-403D-B97E-AB59778345FC}"/>
    <cellStyle name="Total 2 4 6 2 4 3" xfId="17886" xr:uid="{53202D88-C763-4AEB-AECF-1BF1B6DD2FC4}"/>
    <cellStyle name="Total 2 4 6 2 4 3 2" xfId="40276" xr:uid="{41D9E9A0-75D2-4211-8362-977C536ED55E}"/>
    <cellStyle name="Total 2 4 6 2 4 3 3" xfId="28519" xr:uid="{BDD077AF-C304-4101-BF4B-878A7D7AFE79}"/>
    <cellStyle name="Total 2 4 6 2 4 4" xfId="16258" xr:uid="{5C8E81E9-405F-4A05-B02C-B5F20E4CAA33}"/>
    <cellStyle name="Total 2 4 6 2 4 4 2" xfId="38650" xr:uid="{0C70BA4C-8EE8-46C5-A397-A1FFA5546B62}"/>
    <cellStyle name="Total 2 4 6 2 4 4 3" xfId="44204" xr:uid="{0629E739-89F2-417C-BF27-8DFE951D5A54}"/>
    <cellStyle name="Total 2 4 6 2 4 5" xfId="22310" xr:uid="{0C944035-208C-417B-AFB5-D5A366CB3899}"/>
    <cellStyle name="Total 2 4 6 2 4 5 2" xfId="43284" xr:uid="{00BDEAAD-EB75-4237-B9C8-7BE360DB8D30}"/>
    <cellStyle name="Total 2 4 6 2 4 6" xfId="32813" xr:uid="{AB2D20BD-F03A-4140-A81E-CA78B35AF8CA}"/>
    <cellStyle name="Total 2 4 6 2 5" xfId="6289" xr:uid="{00000000-0005-0000-0000-000093080000}"/>
    <cellStyle name="Total 2 4 6 2 5 2" xfId="13161" xr:uid="{1E18EB3A-7C14-4D31-9444-B16AA1F792B4}"/>
    <cellStyle name="Total 2 4 6 2 5 2 2" xfId="35645" xr:uid="{4BB45817-3DBA-4F03-B8ED-94C903FBAB59}"/>
    <cellStyle name="Total 2 4 6 2 5 2 3" xfId="52826" xr:uid="{C9DBC378-FFAC-4F63-A673-BE28C54BEE5B}"/>
    <cellStyle name="Total 2 4 6 2 5 3" xfId="18226" xr:uid="{04D6CF82-262C-472D-9E42-3AC64728D918}"/>
    <cellStyle name="Total 2 4 6 2 5 3 2" xfId="40616" xr:uid="{DA04E0FA-2B3E-4605-944F-9AA22609EF46}"/>
    <cellStyle name="Total 2 4 6 2 5 3 3" xfId="29078" xr:uid="{889CF401-40E5-4A01-8E47-7169B1E913DE}"/>
    <cellStyle name="Total 2 4 6 2 5 4" xfId="14043" xr:uid="{4E036A54-6448-4181-82EA-E54A79A82FC3}"/>
    <cellStyle name="Total 2 4 6 2 5 4 2" xfId="36523" xr:uid="{DD5BE2DE-9568-47BD-81FE-8B0A0B06E8EC}"/>
    <cellStyle name="Total 2 4 6 2 5 4 3" xfId="25299" xr:uid="{06051F5F-9874-4CC8-B400-D8E7628BC955}"/>
    <cellStyle name="Total 2 4 6 2 5 5" xfId="22650" xr:uid="{41D986C5-5668-42B9-B158-5C0B152C21C5}"/>
    <cellStyle name="Total 2 4 6 2 5 5 2" xfId="50191" xr:uid="{E32C6C9B-37F0-428F-821D-0E558DE017BB}"/>
    <cellStyle name="Total 2 4 6 2 5 6" xfId="52905" xr:uid="{55F95650-6A0E-42E0-BD7B-C90B32C46C0F}"/>
    <cellStyle name="Total 2 4 6 2 6" xfId="6644" xr:uid="{00000000-0005-0000-0000-000093080000}"/>
    <cellStyle name="Total 2 4 6 2 6 2" xfId="13510" xr:uid="{13A722AC-6799-449E-8653-E3E483D0A37C}"/>
    <cellStyle name="Total 2 4 6 2 6 2 2" xfId="35994" xr:uid="{A53BF52D-39DE-4F27-BBD6-1AEF0E4EB6D2}"/>
    <cellStyle name="Total 2 4 6 2 6 2 3" xfId="25302" xr:uid="{A99FC3D8-5C48-4BAD-99EE-E927306F3E73}"/>
    <cellStyle name="Total 2 4 6 2 6 3" xfId="18581" xr:uid="{10530A21-38DE-42AB-AAEA-840F963692FB}"/>
    <cellStyle name="Total 2 4 6 2 6 3 2" xfId="40971" xr:uid="{8F9BB429-70ED-4509-A6D6-87FE489AFB1B}"/>
    <cellStyle name="Total 2 4 6 2 6 3 3" xfId="45891" xr:uid="{849117E6-69BF-4985-B33A-B04E9A3D082D}"/>
    <cellStyle name="Total 2 4 6 2 6 4" xfId="20754" xr:uid="{02478549-C648-4C97-AD71-EAE2CC8B6B00}"/>
    <cellStyle name="Total 2 4 6 2 6 4 2" xfId="43023" xr:uid="{653F8582-E6C4-48E4-B837-CA5A94128521}"/>
    <cellStyle name="Total 2 4 6 2 6 4 3" xfId="50788" xr:uid="{DD89E22F-DEAB-41E0-ADF9-6F468E94AB0D}"/>
    <cellStyle name="Total 2 4 6 2 6 5" xfId="23005" xr:uid="{CEBBA3C4-0ABA-4E2A-AB49-C1A33FD79FE5}"/>
    <cellStyle name="Total 2 4 6 2 6 5 2" xfId="30550" xr:uid="{D5BEFCFC-F1CC-4D86-8E32-3F5C7266FEA2}"/>
    <cellStyle name="Total 2 4 6 2 6 6" xfId="48738" xr:uid="{52897B6A-B83A-4C64-9556-1BAE5CC2F946}"/>
    <cellStyle name="Total 2 4 6 2 7" xfId="4858" xr:uid="{00000000-0005-0000-0000-000093080000}"/>
    <cellStyle name="Total 2 4 6 2 7 2" xfId="11754" xr:uid="{A4957E66-2117-468E-A6E7-929C05F3015D}"/>
    <cellStyle name="Total 2 4 6 2 7 2 2" xfId="34240" xr:uid="{2B961C33-F2DA-4169-B450-DEB53B21A5C7}"/>
    <cellStyle name="Total 2 4 6 2 7 2 3" xfId="29282" xr:uid="{C28CAED9-9C2E-42E9-8F1F-DD3015CAEC70}"/>
    <cellStyle name="Total 2 4 6 2 7 3" xfId="16795" xr:uid="{B3875842-BD2B-43DF-B546-8E1FFCAEADC0}"/>
    <cellStyle name="Total 2 4 6 2 7 3 2" xfId="39185" xr:uid="{62C5793C-17F0-4772-82CA-269C41572B1A}"/>
    <cellStyle name="Total 2 4 6 2 7 3 3" xfId="42030" xr:uid="{34F87628-81A9-4B36-9C10-76C4C237C7AC}"/>
    <cellStyle name="Total 2 4 6 2 7 4" xfId="14065" xr:uid="{77C01BDF-D7A6-4E1D-AAA9-7CE160BD4DCF}"/>
    <cellStyle name="Total 2 4 6 2 7 4 2" xfId="36543" xr:uid="{7DE7D58C-0EE2-4D87-A291-3CD529878DCE}"/>
    <cellStyle name="Total 2 4 6 2 7 4 3" xfId="52513" xr:uid="{5168BF03-B67A-4378-A0C5-37CF50FF8901}"/>
    <cellStyle name="Total 2 4 6 2 7 5" xfId="20895" xr:uid="{0085481C-0C75-404A-ADB7-3114177640F5}"/>
    <cellStyle name="Total 2 4 6 2 7 5 2" xfId="51268" xr:uid="{D45D4DFF-77A2-4B4A-8A13-4744D9238C1C}"/>
    <cellStyle name="Total 2 4 6 2 7 6" xfId="29344" xr:uid="{EC5D462C-7575-4911-9644-B56D32D846E2}"/>
    <cellStyle name="Total 2 4 6 2 8" xfId="7099" xr:uid="{00000000-0005-0000-0000-000093080000}"/>
    <cellStyle name="Total 2 4 6 2 8 2" xfId="13935" xr:uid="{0A981717-D613-4695-AECB-D6AC7232F516}"/>
    <cellStyle name="Total 2 4 6 2 8 2 2" xfId="36419" xr:uid="{D07B36D0-7D89-4517-86D9-084A87FC78AA}"/>
    <cellStyle name="Total 2 4 6 2 8 2 3" xfId="50362" xr:uid="{B669908A-CB54-4433-9F6B-693F42A78FAC}"/>
    <cellStyle name="Total 2 4 6 2 8 3" xfId="19036" xr:uid="{38065D1A-BCE4-487C-B056-6386A7BD4658}"/>
    <cellStyle name="Total 2 4 6 2 8 3 2" xfId="41426" xr:uid="{28F801E2-92A6-44C1-839A-AF9CEA3C0384}"/>
    <cellStyle name="Total 2 4 6 2 8 3 3" xfId="29796" xr:uid="{D3EA843C-3E2D-4CD7-A324-0D3C67EA29E1}"/>
    <cellStyle name="Total 2 4 6 2 8 4" xfId="20474" xr:uid="{F4E57F71-F4BF-46F8-9600-D60C3F788CB0}"/>
    <cellStyle name="Total 2 4 6 2 8 4 2" xfId="42763" xr:uid="{AFB87FAA-03BF-4377-A987-B713D9D9AAF6}"/>
    <cellStyle name="Total 2 4 6 2 8 4 3" xfId="52552" xr:uid="{CFBB3609-DA71-4530-AC53-CDE30A0EBCD1}"/>
    <cellStyle name="Total 2 4 6 2 8 5" xfId="23460" xr:uid="{1C20228F-48B1-4E54-8818-D78E55CBC000}"/>
    <cellStyle name="Total 2 4 6 2 8 5 2" xfId="50375" xr:uid="{99A2004C-9BC4-418D-8744-CBD6830BE252}"/>
    <cellStyle name="Total 2 4 6 2 8 6" xfId="44507" xr:uid="{F761FFCF-37AC-44BB-8A5E-5B26E76A82D3}"/>
    <cellStyle name="Total 2 4 6 2 9" xfId="7214" xr:uid="{00000000-0005-0000-0000-000093080000}"/>
    <cellStyle name="Total 2 4 6 2 9 2" xfId="19151" xr:uid="{2070851D-5D22-4D1E-8305-0A8B24395818}"/>
    <cellStyle name="Total 2 4 6 2 9 2 2" xfId="41541" xr:uid="{A68C0018-8E1F-4010-A654-3C25E02F57EF}"/>
    <cellStyle name="Total 2 4 6 2 9 2 3" xfId="45734" xr:uid="{2C07C38B-E759-4F6F-BFF9-CFF0895DBD91}"/>
    <cellStyle name="Total 2 4 6 2 9 3" xfId="14538" xr:uid="{CDD9CAE0-C694-42BE-A1FE-7EEEC4EE015E}"/>
    <cellStyle name="Total 2 4 6 2 9 3 2" xfId="36999" xr:uid="{CFC06259-97B0-4816-BBDD-BCD3A53E34F5}"/>
    <cellStyle name="Total 2 4 6 2 9 3 3" xfId="48043" xr:uid="{6DC8595A-BAB0-400E-A874-07F7C9569018}"/>
    <cellStyle name="Total 2 4 6 2 9 4" xfId="23575" xr:uid="{F50564CA-3BF0-4941-B75E-47F0F66D981E}"/>
    <cellStyle name="Total 2 4 6 2 9 4 2" xfId="45335" xr:uid="{881EEC57-561D-40A6-AFF4-F14247B60BEE}"/>
    <cellStyle name="Total 2 4 6 2 9 5" xfId="45035" xr:uid="{1C50B0FC-E620-4679-A6D7-69493176E5A5}"/>
    <cellStyle name="Total 2 4 6 3" xfId="3483" xr:uid="{00000000-0005-0000-0000-000092080000}"/>
    <cellStyle name="Total 2 4 6 3 2" xfId="10390" xr:uid="{0FB5FDB3-4CB3-41EE-86E2-2A4255E5AFD2}"/>
    <cellStyle name="Total 2 4 6 3 2 2" xfId="32877" xr:uid="{9E56FC8C-2FF8-46DF-AEDD-9E58F7B08B56}"/>
    <cellStyle name="Total 2 4 6 3 2 3" xfId="48993" xr:uid="{1304687D-BCB6-4FA2-A276-500168C9D430}"/>
    <cellStyle name="Total 2 4 6 3 3" xfId="15661" xr:uid="{98296A82-BFCD-476F-888C-A5338A3A349F}"/>
    <cellStyle name="Total 2 4 6 3 3 2" xfId="38077" xr:uid="{AFDCA0DF-03C8-4488-8555-4D593B319756}"/>
    <cellStyle name="Total 2 4 6 3 3 3" xfId="23875" xr:uid="{6F2BA577-47C2-4639-854D-87A2B730AB16}"/>
    <cellStyle name="Total 2 4 6 3 4" xfId="20051" xr:uid="{C5386AF5-EF70-46B3-ABAC-A66396913EDF}"/>
    <cellStyle name="Total 2 4 6 3 4 2" xfId="42372" xr:uid="{8D704AE3-ECCA-4E7D-A76C-A6E73B755CA7}"/>
    <cellStyle name="Total 2 4 6 3 4 3" xfId="24936" xr:uid="{8EE80E22-9086-45CF-B77B-FE57C4F8505E}"/>
    <cellStyle name="Total 2 4 6 3 5" xfId="21080" xr:uid="{218CE285-35F1-48DC-A59F-AACC075BC301}"/>
    <cellStyle name="Total 2 4 6 3 5 2" xfId="53387" xr:uid="{D8F8B602-36E1-4770-B2E6-80C71C4E14EE}"/>
    <cellStyle name="Total 2 4 6 3 6" xfId="47225" xr:uid="{1842F782-C1BE-4BCF-A516-4EDE77AF51F7}"/>
    <cellStyle name="Total 2 4 6 4" xfId="5016" xr:uid="{00000000-0005-0000-0000-000092080000}"/>
    <cellStyle name="Total 2 4 6 4 2" xfId="11910" xr:uid="{9002E669-7961-47CA-80E8-C24635C25F2B}"/>
    <cellStyle name="Total 2 4 6 4 2 2" xfId="34396" xr:uid="{9BF25D7F-B153-4684-A1B3-EF742B86CEFD}"/>
    <cellStyle name="Total 2 4 6 4 2 3" xfId="42108" xr:uid="{6B1C1F00-9EBA-499D-A464-0B5D34502908}"/>
    <cellStyle name="Total 2 4 6 4 3" xfId="16953" xr:uid="{A2070D21-BDA3-4256-B230-AA9ED06E9326}"/>
    <cellStyle name="Total 2 4 6 4 3 2" xfId="39343" xr:uid="{BB36375F-F768-419F-BB96-67720F18B548}"/>
    <cellStyle name="Total 2 4 6 4 3 3" xfId="45526" xr:uid="{9B436221-5812-48D0-9638-B1D7DD3DF9A7}"/>
    <cellStyle name="Total 2 4 6 4 4" xfId="15704" xr:uid="{8B4CA5EC-6410-4240-BBE5-9635F30E0C92}"/>
    <cellStyle name="Total 2 4 6 4 4 2" xfId="38117" xr:uid="{F9F8B8D5-E727-4905-9BB0-9E575C8988F0}"/>
    <cellStyle name="Total 2 4 6 4 4 3" xfId="51157" xr:uid="{D4A59468-9932-4178-9102-40FF6B376F57}"/>
    <cellStyle name="Total 2 4 6 4 5" xfId="21377" xr:uid="{4C0B1EF7-54C8-4CF0-82F1-BC0409DF0F31}"/>
    <cellStyle name="Total 2 4 6 4 5 2" xfId="46262" xr:uid="{01E9D9A7-20CE-4C2F-B1FE-4A9B55C116DC}"/>
    <cellStyle name="Total 2 4 6 4 6" xfId="49751" xr:uid="{3A517925-5B23-4E89-A3B3-1D10A51604F7}"/>
    <cellStyle name="Total 2 4 6 5" xfId="5907" xr:uid="{00000000-0005-0000-0000-000092080000}"/>
    <cellStyle name="Total 2 4 6 5 2" xfId="12788" xr:uid="{8B0F197C-F5A3-4A0F-ABD0-933FB7D503D6}"/>
    <cellStyle name="Total 2 4 6 5 2 2" xfId="35272" xr:uid="{114BCA96-D17A-4BB5-9983-D7EA233C026C}"/>
    <cellStyle name="Total 2 4 6 5 2 3" xfId="25969" xr:uid="{71B70F33-6425-4F1C-8B64-202652DD2DD1}"/>
    <cellStyle name="Total 2 4 6 5 3" xfId="17844" xr:uid="{BC155275-F76B-4DA5-9FFE-1FEC3377B854}"/>
    <cellStyle name="Total 2 4 6 5 3 2" xfId="40234" xr:uid="{9720217C-2299-43CD-8103-0836D2771E33}"/>
    <cellStyle name="Total 2 4 6 5 3 3" xfId="44546" xr:uid="{FD5A8C91-13AF-41E0-8418-199117B2B503}"/>
    <cellStyle name="Total 2 4 6 5 4" xfId="16209" xr:uid="{535FF1A0-FA6D-4CB3-8477-235C2888A660}"/>
    <cellStyle name="Total 2 4 6 5 4 2" xfId="38608" xr:uid="{4F6F4C18-9ED6-4357-8B02-4C05A67F256B}"/>
    <cellStyle name="Total 2 4 6 5 4 3" xfId="42233" xr:uid="{E0AAEEEA-A618-440C-B2CE-EF3FFCB9239D}"/>
    <cellStyle name="Total 2 4 6 5 5" xfId="22268" xr:uid="{A9888DEE-5F15-40F8-9AA6-38A72D1CF5D5}"/>
    <cellStyle name="Total 2 4 6 5 5 2" xfId="52093" xr:uid="{F19ECD58-42D0-448A-8819-C2DA053123E6}"/>
    <cellStyle name="Total 2 4 6 5 6" xfId="52747" xr:uid="{7DCBFA04-CA86-4BE5-B4F0-3CF7A29D230E}"/>
    <cellStyle name="Total 2 4 6 6" xfId="5913" xr:uid="{00000000-0005-0000-0000-000092080000}"/>
    <cellStyle name="Total 2 4 6 6 2" xfId="12794" xr:uid="{B8F8A26D-A26B-46AE-B2D9-717636BCB5FB}"/>
    <cellStyle name="Total 2 4 6 6 2 2" xfId="35278" xr:uid="{334A0FF6-F805-4990-8A48-C0A04F3AA9B4}"/>
    <cellStyle name="Total 2 4 6 6 2 3" xfId="28397" xr:uid="{4FC7308A-BCD8-4D26-87B2-3269D9A2711A}"/>
    <cellStyle name="Total 2 4 6 6 3" xfId="17850" xr:uid="{FE2D55E4-DEFD-4B8F-A26E-36A2E150A640}"/>
    <cellStyle name="Total 2 4 6 6 3 2" xfId="40240" xr:uid="{387A0198-843E-4AFB-B356-5D835350E01E}"/>
    <cellStyle name="Total 2 4 6 6 3 3" xfId="24351" xr:uid="{0D344876-CA9A-46AD-A689-E255DF804810}"/>
    <cellStyle name="Total 2 4 6 6 4" xfId="19356" xr:uid="{3022AB5F-91E7-40C5-8B17-29E27D115DBD}"/>
    <cellStyle name="Total 2 4 6 6 4 2" xfId="41730" xr:uid="{D12AEF46-D9EB-47A7-B532-B4D0F8D9F0A2}"/>
    <cellStyle name="Total 2 4 6 6 4 3" xfId="44624" xr:uid="{73B54682-91C7-497B-8EF4-B7DF6B7E50D2}"/>
    <cellStyle name="Total 2 4 6 6 5" xfId="22274" xr:uid="{18FDE08F-2239-4975-BC2D-B58787C6A8C8}"/>
    <cellStyle name="Total 2 4 6 6 5 2" xfId="44514" xr:uid="{26598984-486F-46A0-8DED-90DF05D1CF0B}"/>
    <cellStyle name="Total 2 4 6 6 6" xfId="52530" xr:uid="{1598BC34-DB55-4200-B8D4-B6DF1FD34DDB}"/>
    <cellStyle name="Total 2 4 6 7" xfId="4971" xr:uid="{00000000-0005-0000-0000-000092080000}"/>
    <cellStyle name="Total 2 4 6 7 2" xfId="11866" xr:uid="{E3E966BD-7654-4041-8BED-4B9F00F743C4}"/>
    <cellStyle name="Total 2 4 6 7 2 2" xfId="34352" xr:uid="{F7C32357-2C76-43B5-80D5-FD4E9307AA0F}"/>
    <cellStyle name="Total 2 4 6 7 2 3" xfId="27580" xr:uid="{063443ED-8697-4F34-84D8-3DF0F1DD5DE8}"/>
    <cellStyle name="Total 2 4 6 7 3" xfId="16908" xr:uid="{AF82D235-9440-4C4C-A246-93341FAFD100}"/>
    <cellStyle name="Total 2 4 6 7 3 2" xfId="39298" xr:uid="{468F3ED9-63D5-4359-A9EC-FA45B3FEBC1B}"/>
    <cellStyle name="Total 2 4 6 7 3 3" xfId="45134" xr:uid="{F32ED27D-8714-4663-8DAE-C4FEFF47202D}"/>
    <cellStyle name="Total 2 4 6 7 4" xfId="7320" xr:uid="{74B2C25C-CD8E-465A-A5F5-8EACD98EA5F0}"/>
    <cellStyle name="Total 2 4 6 7 4 2" xfId="30008" xr:uid="{E19F216A-B9B7-4677-99AD-337AA25B539C}"/>
    <cellStyle name="Total 2 4 6 7 4 3" xfId="23816" xr:uid="{33710AFC-738B-4FAC-8D71-E1081CE67E86}"/>
    <cellStyle name="Total 2 4 6 7 5" xfId="21332" xr:uid="{69663B50-7E40-40E0-9CDF-97A0B31A03D6}"/>
    <cellStyle name="Total 2 4 6 7 5 2" xfId="31018" xr:uid="{0C9A1D8E-2C7F-42A3-AE5B-C38FFD8A6191}"/>
    <cellStyle name="Total 2 4 6 7 6" xfId="49866" xr:uid="{A7B3FF47-2C8C-48C6-80A0-BB1891962EC7}"/>
    <cellStyle name="Total 2 4 6 8" xfId="14198" xr:uid="{07058F07-9D64-48D3-B060-1D3B1DB0F930}"/>
    <cellStyle name="Total 2 4 6 8 2" xfId="36673" xr:uid="{9CE862DF-E361-407C-80B2-44D5A8FACEBA}"/>
    <cellStyle name="Total 2 4 6 8 3" xfId="42398" xr:uid="{F0A8DD2E-7133-4E5F-8A61-43A2620A31CE}"/>
    <cellStyle name="Total 2 4 6 9" xfId="21217" xr:uid="{4719BCCF-FBE8-4B5F-80BA-E754019CEEE2}"/>
    <cellStyle name="Total 2 4 6 9 2" xfId="43456" xr:uid="{4284D915-0BEF-407B-A868-92F5A6EC314D}"/>
    <cellStyle name="Total 2 4 6 9 3" xfId="53964" xr:uid="{7D16310A-2390-463F-B856-DB354BC2A62E}"/>
    <cellStyle name="Total 2 4 7" xfId="1651" xr:uid="{00000000-0005-0000-0000-000097080000}"/>
    <cellStyle name="Total 2 4 7 10" xfId="14365" xr:uid="{CCA521DC-42FD-4992-A161-7F6FE5B3E1D3}"/>
    <cellStyle name="Total 2 4 7 10 2" xfId="36833" xr:uid="{DAF1F39C-7CDD-4AE4-992A-B312B090DE92}"/>
    <cellStyle name="Total 2 4 7 10 3" xfId="52001" xr:uid="{50FE1895-3705-44B2-8934-15D1953E2AD5}"/>
    <cellStyle name="Total 2 4 7 11" xfId="21284" xr:uid="{3CB09FA3-9E6E-459D-94B7-098BAEDA6E9B}"/>
    <cellStyle name="Total 2 4 7 11 2" xfId="43518" xr:uid="{D42F2E75-33D4-4BFD-BBA2-1B1C8F21CB2B}"/>
    <cellStyle name="Total 2 4 7 11 3" xfId="53581" xr:uid="{4962AB8B-1A94-494E-83AA-4C9C5DAD122D}"/>
    <cellStyle name="Total 2 4 7 12" xfId="19237" xr:uid="{B68ACD8C-7E28-4A7A-B361-E494BAD88992}"/>
    <cellStyle name="Total 2 4 7 12 2" xfId="28922" xr:uid="{7902F8A7-EFE2-4CE9-9960-5E5E790C2B03}"/>
    <cellStyle name="Total 2 4 7 13" xfId="52049" xr:uid="{0BF73F30-297D-4C79-9DFB-0EA26449C637}"/>
    <cellStyle name="Total 2 4 7 2" xfId="3749" xr:uid="{00000000-0005-0000-0000-000094080000}"/>
    <cellStyle name="Total 2 4 7 2 2" xfId="10653" xr:uid="{4D74BC94-A060-4500-B698-1832D9E5CB54}"/>
    <cellStyle name="Total 2 4 7 2 2 2" xfId="33139" xr:uid="{B60F3B00-6AE9-4F7E-ADD9-2F817632C9CC}"/>
    <cellStyle name="Total 2 4 7 2 2 3" xfId="47616" xr:uid="{FE566618-1D7C-46B7-AA22-86F362B5E505}"/>
    <cellStyle name="Total 2 4 7 2 3" xfId="15830" xr:uid="{064B741A-4444-4252-89E6-61C14E3FBB50}"/>
    <cellStyle name="Total 2 4 7 2 3 2" xfId="38238" xr:uid="{0FEF2506-8830-4ADB-A1B8-C386A7E16AFC}"/>
    <cellStyle name="Total 2 4 7 2 3 3" xfId="50792" xr:uid="{2797E47C-6D52-4F04-88C0-C8A9F16AEA7E}"/>
    <cellStyle name="Total 2 4 7 2 4" xfId="20216" xr:uid="{01C59694-8DD0-42A0-BEC7-CFF66BEC6712}"/>
    <cellStyle name="Total 2 4 7 2 4 2" xfId="42524" xr:uid="{4F1109E9-BBE5-4BA5-BEBE-8475BBB88609}"/>
    <cellStyle name="Total 2 4 7 2 4 3" xfId="30525" xr:uid="{ACC22757-D1D6-45F3-A25A-1070DB5A98C9}"/>
    <cellStyle name="Total 2 4 7 2 5" xfId="14332" xr:uid="{AE2A37BC-7B73-4D81-A2E1-D0318496B678}"/>
    <cellStyle name="Total 2 4 7 2 5 2" xfId="51112" xr:uid="{F5739331-DF6A-4A86-8A24-A8E35CA2CB45}"/>
    <cellStyle name="Total 2 4 7 2 6" xfId="49781" xr:uid="{EAFA0D39-C6B9-4701-963E-99CC42069F35}"/>
    <cellStyle name="Total 2 4 7 3" xfId="5184" xr:uid="{00000000-0005-0000-0000-000094080000}"/>
    <cellStyle name="Total 2 4 7 3 2" xfId="12077" xr:uid="{484A721D-3A49-4978-9B98-BF7B53B8C21A}"/>
    <cellStyle name="Total 2 4 7 3 2 2" xfId="34563" xr:uid="{EA256D63-F0E1-4EA0-9BFA-6703D0A56C23}"/>
    <cellStyle name="Total 2 4 7 3 2 3" xfId="29888" xr:uid="{92BD1D1A-FE85-4FFC-9929-7666A1533F1E}"/>
    <cellStyle name="Total 2 4 7 3 3" xfId="17121" xr:uid="{4CA5D340-C7F7-469E-AF74-ACC8CE2164A3}"/>
    <cellStyle name="Total 2 4 7 3 3 2" xfId="39511" xr:uid="{7B64D121-421E-4019-81AD-767BF08C2442}"/>
    <cellStyle name="Total 2 4 7 3 3 3" xfId="44999" xr:uid="{31031E07-C6A4-453C-B84B-12216A788492}"/>
    <cellStyle name="Total 2 4 7 3 4" xfId="14303" xr:uid="{EAE686DB-0CBD-4C1F-AA68-302DF4EC39CB}"/>
    <cellStyle name="Total 2 4 7 3 4 2" xfId="36772" xr:uid="{049F596A-59A6-4E1D-8BC5-CCB6C1E83E2F}"/>
    <cellStyle name="Total 2 4 7 3 4 3" xfId="28847" xr:uid="{B2D9FF0C-41FF-408A-95AA-0E56671A4C66}"/>
    <cellStyle name="Total 2 4 7 3 5" xfId="21545" xr:uid="{98C70D51-14FF-41BF-83A2-4A7407CA356E}"/>
    <cellStyle name="Total 2 4 7 3 5 2" xfId="41931" xr:uid="{6D1CF1A8-619A-4EBF-BAB1-DD4E9BFA95F4}"/>
    <cellStyle name="Total 2 4 7 3 6" xfId="29241" xr:uid="{0500B0C6-3305-4B91-8298-4E88C07A55BA}"/>
    <cellStyle name="Total 2 4 7 4" xfId="4732" xr:uid="{00000000-0005-0000-0000-000094080000}"/>
    <cellStyle name="Total 2 4 7 4 2" xfId="11630" xr:uid="{44603AE0-7E13-4824-B954-29F3DE04A064}"/>
    <cellStyle name="Total 2 4 7 4 2 2" xfId="34116" xr:uid="{AE218F08-D279-47CA-9C83-F1F1B8B47F56}"/>
    <cellStyle name="Total 2 4 7 4 2 3" xfId="24673" xr:uid="{FEE7BA95-4874-490A-A61E-EE34132BA9D3}"/>
    <cellStyle name="Total 2 4 7 4 3" xfId="16669" xr:uid="{53B5A3C5-C4DF-4726-9AF2-9F70FDD4C563}"/>
    <cellStyle name="Total 2 4 7 4 3 2" xfId="39059" xr:uid="{F8EACA87-9294-44B8-A242-904D64592932}"/>
    <cellStyle name="Total 2 4 7 4 3 3" xfId="26610" xr:uid="{C0492927-D34D-4D5D-B187-F9B0C5248E77}"/>
    <cellStyle name="Total 2 4 7 4 4" xfId="14631" xr:uid="{8071027C-E401-4A00-8A7D-070221F1269E}"/>
    <cellStyle name="Total 2 4 7 4 4 2" xfId="37092" xr:uid="{2F7CCA5D-21DD-4339-879E-0E3E765A10F4}"/>
    <cellStyle name="Total 2 4 7 4 4 3" xfId="50677" xr:uid="{27CEE8F4-1B78-419D-A219-9A0325951E81}"/>
    <cellStyle name="Total 2 4 7 4 5" xfId="20896" xr:uid="{FE86F6D7-6B47-437F-B990-5AEE567F7814}"/>
    <cellStyle name="Total 2 4 7 4 5 2" xfId="37548" xr:uid="{976EE8BB-DE08-469A-AE81-D0CC791DF24C}"/>
    <cellStyle name="Total 2 4 7 4 6" xfId="26463" xr:uid="{1054503F-1E7F-490F-ADA1-E2005C74EB5C}"/>
    <cellStyle name="Total 2 4 7 5" xfId="5287" xr:uid="{00000000-0005-0000-0000-000094080000}"/>
    <cellStyle name="Total 2 4 7 5 2" xfId="12179" xr:uid="{D57917F1-AB84-486A-A3B9-78B7BFAA83C0}"/>
    <cellStyle name="Total 2 4 7 5 2 2" xfId="34664" xr:uid="{F5CE9212-1608-4F63-8194-4CDEFD1A1250}"/>
    <cellStyle name="Total 2 4 7 5 2 3" xfId="28692" xr:uid="{4C7CEF18-10A0-4BCD-ACCF-63A6D107236E}"/>
    <cellStyle name="Total 2 4 7 5 3" xfId="17224" xr:uid="{9078C6A0-40A8-4F69-870D-B6345F907707}"/>
    <cellStyle name="Total 2 4 7 5 3 2" xfId="39614" xr:uid="{91C78E5F-FBF0-45D1-BC5A-280E6FAFF94C}"/>
    <cellStyle name="Total 2 4 7 5 3 3" xfId="36466" xr:uid="{7CD17417-0C3E-4988-84DF-C9952C0D0F4C}"/>
    <cellStyle name="Total 2 4 7 5 4" xfId="19366" xr:uid="{9EA21271-C9DD-4799-9A2C-49FA26A3D941}"/>
    <cellStyle name="Total 2 4 7 5 4 2" xfId="41740" xr:uid="{FAA1CC28-DC08-4324-8B4A-635E7FA8FF78}"/>
    <cellStyle name="Total 2 4 7 5 4 3" xfId="29339" xr:uid="{B70F33EC-F1F8-4063-AF29-B0D7F64CE0CD}"/>
    <cellStyle name="Total 2 4 7 5 5" xfId="21648" xr:uid="{9559A84B-8F31-4133-B715-D16F273AA423}"/>
    <cellStyle name="Total 2 4 7 5 5 2" xfId="46773" xr:uid="{4F27D068-2E46-43E2-9A1E-236EB62C9CDA}"/>
    <cellStyle name="Total 2 4 7 5 6" xfId="50101" xr:uid="{37AD067F-8C5A-48E4-B767-3FE3E61B7A8F}"/>
    <cellStyle name="Total 2 4 7 6" xfId="4367" xr:uid="{00000000-0005-0000-0000-000094080000}"/>
    <cellStyle name="Total 2 4 7 6 2" xfId="11270" xr:uid="{12FB302F-1969-45C5-A9F5-8E4449746F53}"/>
    <cellStyle name="Total 2 4 7 6 2 2" xfId="33756" xr:uid="{66FA1F94-5DFA-4CAF-987E-5082C316B5E7}"/>
    <cellStyle name="Total 2 4 7 6 2 3" xfId="23670" xr:uid="{3091315D-7CEF-4102-BA89-F8292A7BEEC9}"/>
    <cellStyle name="Total 2 4 7 6 3" xfId="16304" xr:uid="{10B166B5-4F93-41C2-AC93-8510793C90BB}"/>
    <cellStyle name="Total 2 4 7 6 3 2" xfId="38694" xr:uid="{15FB3A29-A53F-4700-B5E7-CA815EB2741B}"/>
    <cellStyle name="Total 2 4 7 6 3 3" xfId="24449" xr:uid="{C8F9208B-4C18-47A3-AD7E-D43042C12776}"/>
    <cellStyle name="Total 2 4 7 6 4" xfId="15613" xr:uid="{401BAF54-481F-450D-BA00-5ECA299C379C}"/>
    <cellStyle name="Total 2 4 7 6 4 2" xfId="38029" xr:uid="{B33A28F6-A0E2-425E-B8C2-DB4A48D69E11}"/>
    <cellStyle name="Total 2 4 7 6 4 3" xfId="48252" xr:uid="{76D1179F-C41E-4807-9BD6-EEAFF6BC8C56}"/>
    <cellStyle name="Total 2 4 7 6 5" xfId="19829" xr:uid="{204D025B-E80B-4BDC-BF09-09DD4149169F}"/>
    <cellStyle name="Total 2 4 7 6 5 2" xfId="29443" xr:uid="{0FBD32A2-BB59-4767-94D1-1EBC4141B14E}"/>
    <cellStyle name="Total 2 4 7 6 6" xfId="38660" xr:uid="{40D3DA89-1364-416D-87A5-9A03020F82B2}"/>
    <cellStyle name="Total 2 4 7 7" xfId="4554" xr:uid="{00000000-0005-0000-0000-000094080000}"/>
    <cellStyle name="Total 2 4 7 7 2" xfId="11456" xr:uid="{582150B7-501A-4386-BBF9-9D15C498F0D5}"/>
    <cellStyle name="Total 2 4 7 7 2 2" xfId="33942" xr:uid="{F2E255CF-1B5A-471D-918A-D4CA9D01DA5B}"/>
    <cellStyle name="Total 2 4 7 7 2 3" xfId="42787" xr:uid="{66E5E53F-D643-4CB9-B66A-48A28D7E1EAF}"/>
    <cellStyle name="Total 2 4 7 7 3" xfId="16491" xr:uid="{AD26E5D0-970D-46DB-BD21-17A50E3318C1}"/>
    <cellStyle name="Total 2 4 7 7 3 2" xfId="38881" xr:uid="{441EBC18-E17D-4663-817C-D1FC88C50281}"/>
    <cellStyle name="Total 2 4 7 7 3 3" xfId="28261" xr:uid="{3D2D1AB3-43BC-40F7-9B47-FD57F983AB7A}"/>
    <cellStyle name="Total 2 4 7 7 4" xfId="14944" xr:uid="{185DA936-390C-4D13-B617-97A2C9941F53}"/>
    <cellStyle name="Total 2 4 7 7 4 2" xfId="37398" xr:uid="{B8027A59-CDC9-4D23-981B-2939F8E86A76}"/>
    <cellStyle name="Total 2 4 7 7 4 3" xfId="49815" xr:uid="{1B504C6E-30B3-4C3C-AE02-F1190960D652}"/>
    <cellStyle name="Total 2 4 7 7 5" xfId="21040" xr:uid="{0016884F-7952-47B4-878C-D1C39FA17F26}"/>
    <cellStyle name="Total 2 4 7 7 5 2" xfId="54056" xr:uid="{9193CDE6-A059-42B0-9962-9DA9A72662F7}"/>
    <cellStyle name="Total 2 4 7 7 6" xfId="51505" xr:uid="{634C4DD0-1D06-454A-97D3-CA4C84BB87DB}"/>
    <cellStyle name="Total 2 4 7 8" xfId="5292" xr:uid="{00000000-0005-0000-0000-000094080000}"/>
    <cellStyle name="Total 2 4 7 8 2" xfId="12184" xr:uid="{33EFDA2E-053F-4DB8-BC31-5E38759F1C4A}"/>
    <cellStyle name="Total 2 4 7 8 2 2" xfId="34669" xr:uid="{2BD5CC7D-D006-405B-A819-EFC3CDD3BAA9}"/>
    <cellStyle name="Total 2 4 7 8 2 3" xfId="44843" xr:uid="{EB7D542C-68CF-4209-99C9-B36B13ADAC7C}"/>
    <cellStyle name="Total 2 4 7 8 3" xfId="17229" xr:uid="{8580903F-CADA-4697-B26E-CBC42DDDEF53}"/>
    <cellStyle name="Total 2 4 7 8 3 2" xfId="39619" xr:uid="{113C13AF-80FD-4658-991F-6154B577613E}"/>
    <cellStyle name="Total 2 4 7 8 3 3" xfId="24117" xr:uid="{74F3EE26-A790-4B65-A0CF-6E02B83416F2}"/>
    <cellStyle name="Total 2 4 7 8 4" xfId="14236" xr:uid="{7E3505D0-DCA1-44DB-90B1-729AF33448C5}"/>
    <cellStyle name="Total 2 4 7 8 4 2" xfId="36709" xr:uid="{3E09E9CB-90E2-47A8-A7B0-4EECB5C2E312}"/>
    <cellStyle name="Total 2 4 7 8 4 3" xfId="49827" xr:uid="{71FA0A0C-BF04-48D4-B01A-50F70FE0CDD7}"/>
    <cellStyle name="Total 2 4 7 8 5" xfId="21653" xr:uid="{17264E4E-D281-4DD4-B290-B85656505533}"/>
    <cellStyle name="Total 2 4 7 8 5 2" xfId="42864" xr:uid="{F2BA47BB-D287-4D50-ABDE-2366AC97D54D}"/>
    <cellStyle name="Total 2 4 7 8 6" xfId="49489" xr:uid="{C9104C93-D84B-4DE5-BFAF-9374CF4B2F31}"/>
    <cellStyle name="Total 2 4 7 9" xfId="5496" xr:uid="{00000000-0005-0000-0000-000094080000}"/>
    <cellStyle name="Total 2 4 7 9 2" xfId="17433" xr:uid="{620E8920-2A5D-41A6-AD45-889A9119F7B0}"/>
    <cellStyle name="Total 2 4 7 9 2 2" xfId="39823" xr:uid="{BBD8BEB0-283E-4332-8A7F-CD92C509A81F}"/>
    <cellStyle name="Total 2 4 7 9 2 3" xfId="45211" xr:uid="{DFB7ACDD-5195-4B41-AA0F-202D76E59522}"/>
    <cellStyle name="Total 2 4 7 9 3" xfId="19594" xr:uid="{A6FF1F1E-4ADE-4BAF-B7D6-DB29F990FF56}"/>
    <cellStyle name="Total 2 4 7 9 3 2" xfId="41949" xr:uid="{C44F5FC6-D28B-4472-B771-4F7C007D01B8}"/>
    <cellStyle name="Total 2 4 7 9 3 3" xfId="28770" xr:uid="{2C537B24-9C75-46FC-BAE2-72ABE8AE4335}"/>
    <cellStyle name="Total 2 4 7 9 4" xfId="21857" xr:uid="{564C062E-E4B5-41FD-893F-594E944A7A63}"/>
    <cellStyle name="Total 2 4 7 9 4 2" xfId="46235" xr:uid="{004B47CB-DBCB-45B3-B358-DC3ADBA43183}"/>
    <cellStyle name="Total 2 4 7 9 5" xfId="53037" xr:uid="{DBCB4EFB-59B2-4A5F-95B7-29852395C391}"/>
    <cellStyle name="Total 2 4 8" xfId="2600" xr:uid="{00000000-0005-0000-0000-000089080000}"/>
    <cellStyle name="Total 2 4 8 2" xfId="9509" xr:uid="{3F464FF4-25D6-455D-B962-DA95CFDB2573}"/>
    <cellStyle name="Total 2 4 8 2 2" xfId="32061" xr:uid="{551F056F-4E10-4AD0-8199-CB155727EC1E}"/>
    <cellStyle name="Total 2 4 8 2 3" xfId="48604" xr:uid="{9E24ECCD-0E14-47BA-94D8-07C0F508833B}"/>
    <cellStyle name="Total 2 4 8 3" xfId="15078" xr:uid="{6CDC81B9-3EDF-4C45-A29C-F47D1FC8997C}"/>
    <cellStyle name="Total 2 4 8 3 2" xfId="37523" xr:uid="{25B4D77F-8E58-438F-BC5E-0452D90DE011}"/>
    <cellStyle name="Total 2 4 8 3 3" xfId="32324" xr:uid="{B1D1D575-021A-4600-B977-6634A864172B}"/>
    <cellStyle name="Total 2 4 8 4" xfId="19333" xr:uid="{B05F8B94-3438-46D8-8130-51E67450281F}"/>
    <cellStyle name="Total 2 4 8 4 2" xfId="41710" xr:uid="{C9B547BA-D0F2-4951-BEB0-1F0B59DC8021}"/>
    <cellStyle name="Total 2 4 8 4 3" xfId="42209" xr:uid="{2F77191E-7910-400C-8D47-4331E0F90BDC}"/>
    <cellStyle name="Total 2 4 8 5" xfId="20646" xr:uid="{842A4E7D-022F-41FB-944F-3E37AC6B48E2}"/>
    <cellStyle name="Total 2 4 8 5 2" xfId="49768" xr:uid="{DD1323FE-F753-479B-91A4-74AF7196F774}"/>
    <cellStyle name="Total 2 4 8 6" xfId="50754" xr:uid="{E96D64EA-1645-4EFA-B5F1-155D9300B9C4}"/>
    <cellStyle name="Total 2 4 9" xfId="4429" xr:uid="{00000000-0005-0000-0000-000089080000}"/>
    <cellStyle name="Total 2 4 9 2" xfId="11331" xr:uid="{11CDF731-DD45-4961-A66C-98B032EE32F7}"/>
    <cellStyle name="Total 2 4 9 2 2" xfId="33817" xr:uid="{59C51897-DB13-4176-B661-2DFE205F8813}"/>
    <cellStyle name="Total 2 4 9 2 3" xfId="43996" xr:uid="{3E96F31A-6B6D-4065-ACA8-3A9DD0506E82}"/>
    <cellStyle name="Total 2 4 9 3" xfId="16366" xr:uid="{F8BC2E91-D3FA-4A51-9E67-9BD92DF02083}"/>
    <cellStyle name="Total 2 4 9 3 2" xfId="38756" xr:uid="{AD067B2A-F9C9-474F-BD30-CD0B23F82DA4}"/>
    <cellStyle name="Total 2 4 9 3 3" xfId="45172" xr:uid="{9729C130-E8C4-47E8-A48C-9FF293DD2D29}"/>
    <cellStyle name="Total 2 4 9 4" xfId="19416" xr:uid="{FDC852FD-2025-4733-9A5D-D4E5C8FC4352}"/>
    <cellStyle name="Total 2 4 9 4 2" xfId="41788" xr:uid="{01B6C29C-E4A3-4BAD-BC3E-F9AE6D3337F5}"/>
    <cellStyle name="Total 2 4 9 4 3" xfId="38006" xr:uid="{DF8CD10E-517C-40EC-A91A-CF6A210E3A7B}"/>
    <cellStyle name="Total 2 4 9 5" xfId="19448" xr:uid="{BD066145-B890-43C6-A265-7D4A93066281}"/>
    <cellStyle name="Total 2 4 9 5 2" xfId="45095" xr:uid="{7F8AE5E1-E30C-4929-8F15-06C089D1A964}"/>
    <cellStyle name="Total 2 4 9 6" xfId="46141" xr:uid="{51FC2C48-615A-42A4-B1D2-E0F3B2C23193}"/>
    <cellStyle name="Total 2 5" xfId="450" xr:uid="{00000000-0005-0000-0000-000098080000}"/>
    <cellStyle name="Total 2 5 10" xfId="2999" xr:uid="{00000000-0005-0000-0000-000095080000}"/>
    <cellStyle name="Total 2 5 10 2" xfId="9908" xr:uid="{E56636D9-5011-4ED7-8DC9-129E9286065E}"/>
    <cellStyle name="Total 2 5 10 2 2" xfId="32430" xr:uid="{1B24A0D7-67B8-4AF3-9665-7E4BD4F27DF8}"/>
    <cellStyle name="Total 2 5 10 2 3" xfId="46242" xr:uid="{822B7856-D70A-425B-84B7-DA188E1698A0}"/>
    <cellStyle name="Total 2 5 10 3" xfId="15342" xr:uid="{EBE0EF74-5A75-462F-9D3A-BA410329F2F4}"/>
    <cellStyle name="Total 2 5 10 3 2" xfId="37774" xr:uid="{E8CA8EBB-B2D0-41D3-AEDA-21F5BB0EC4AA}"/>
    <cellStyle name="Total 2 5 10 3 3" xfId="48816" xr:uid="{968D3963-8AA8-4951-8236-1C3C5E20F869}"/>
    <cellStyle name="Total 2 5 10 4" xfId="14395" xr:uid="{452FB473-EF19-4D9D-A2E2-9F6E222EFCD2}"/>
    <cellStyle name="Total 2 5 10 4 2" xfId="36861" xr:uid="{D7AFF28A-7596-411F-B2D6-9D0CE1734F98}"/>
    <cellStyle name="Total 2 5 10 4 3" xfId="50615" xr:uid="{47FEDA11-499C-47AA-8441-3C762C8A9E1B}"/>
    <cellStyle name="Total 2 5 10 5" xfId="21001" xr:uid="{12BED906-5B8D-41A2-B0AB-93B604163552}"/>
    <cellStyle name="Total 2 5 10 5 2" xfId="46374" xr:uid="{3774C79A-F03B-461C-992E-2EA3C838E383}"/>
    <cellStyle name="Total 2 5 10 6" xfId="28132" xr:uid="{19FF716D-D357-400F-838C-E421B50030DD}"/>
    <cellStyle name="Total 2 5 11" xfId="6304" xr:uid="{00000000-0005-0000-0000-000095080000}"/>
    <cellStyle name="Total 2 5 11 2" xfId="13176" xr:uid="{772BD467-836E-4850-AFAA-494CBE1E023C}"/>
    <cellStyle name="Total 2 5 11 2 2" xfId="35660" xr:uid="{EB61978A-E35E-4E56-8027-1B4968AC2367}"/>
    <cellStyle name="Total 2 5 11 2 3" xfId="29209" xr:uid="{4C3590DE-08AF-4FB7-AE31-7AC18D563903}"/>
    <cellStyle name="Total 2 5 11 3" xfId="18241" xr:uid="{CC08A00A-22C3-425B-86F7-93B71FFDE5A5}"/>
    <cellStyle name="Total 2 5 11 3 2" xfId="40631" xr:uid="{CEC6C678-14C0-4EA6-89ED-1B6E841C919D}"/>
    <cellStyle name="Total 2 5 11 3 3" xfId="24032" xr:uid="{2073102D-6685-487C-8869-0B971E58F747}"/>
    <cellStyle name="Total 2 5 11 4" xfId="14141" xr:uid="{63F689D6-FA38-46D0-9FA9-9AACD4564459}"/>
    <cellStyle name="Total 2 5 11 4 2" xfId="36618" xr:uid="{150BCAD0-24DF-4A66-86E7-97198F216C7C}"/>
    <cellStyle name="Total 2 5 11 4 3" xfId="29267" xr:uid="{5902D567-7022-49F6-8937-E972FB28C1D2}"/>
    <cellStyle name="Total 2 5 11 5" xfId="22665" xr:uid="{E2D06DF1-DE44-406C-BF0C-D1E3234A9072}"/>
    <cellStyle name="Total 2 5 11 5 2" xfId="51325" xr:uid="{0798E070-E836-405D-9444-4D76DA172A44}"/>
    <cellStyle name="Total 2 5 11 6" xfId="28782" xr:uid="{CB86D7C8-A9D4-4060-AF04-4BDB23665EF7}"/>
    <cellStyle name="Total 2 5 12" xfId="6250" xr:uid="{00000000-0005-0000-0000-000095080000}"/>
    <cellStyle name="Total 2 5 12 2" xfId="13123" xr:uid="{53F266DD-6229-46CA-A949-5D384DB24882}"/>
    <cellStyle name="Total 2 5 12 2 2" xfId="35607" xr:uid="{BC7F4549-AD12-4C91-890F-C78370D6B611}"/>
    <cellStyle name="Total 2 5 12 2 3" xfId="29299" xr:uid="{BA90464C-2120-4DD8-8646-AE5635FA2C93}"/>
    <cellStyle name="Total 2 5 12 3" xfId="18187" xr:uid="{4A3CCA78-4AD8-41BA-B807-B1677108D6F4}"/>
    <cellStyle name="Total 2 5 12 3 2" xfId="40577" xr:uid="{7D8BBA18-EEAD-49E6-8709-A638DC152E5F}"/>
    <cellStyle name="Total 2 5 12 3 3" xfId="30426" xr:uid="{E61093D5-5220-4487-B85C-F0CAC09EBA1D}"/>
    <cellStyle name="Total 2 5 12 4" xfId="19255" xr:uid="{5F17BC18-7712-47CD-B6F3-857A92139FDF}"/>
    <cellStyle name="Total 2 5 12 4 2" xfId="41638" xr:uid="{AF832543-2483-492B-B6B0-465FC4018AAF}"/>
    <cellStyle name="Total 2 5 12 4 3" xfId="28543" xr:uid="{8AFB9CA1-1A36-4895-94CA-52E75C61B169}"/>
    <cellStyle name="Total 2 5 12 5" xfId="22611" xr:uid="{6EF103A0-2C09-4B2F-918B-1998532942D4}"/>
    <cellStyle name="Total 2 5 12 5 2" xfId="50893" xr:uid="{43E7ADAF-DF5C-475E-ACB3-B3811ADC4991}"/>
    <cellStyle name="Total 2 5 12 6" xfId="53574" xr:uid="{736AA42C-C6DF-4663-A835-39A0F6B4A95C}"/>
    <cellStyle name="Total 2 5 13" xfId="7738" xr:uid="{0791BE60-CCCC-4507-A3C8-4A463240DB08}"/>
    <cellStyle name="Total 2 5 13 2" xfId="30387" xr:uid="{C2D84AF1-9869-433A-8C5D-2EBC6DFD204B}"/>
    <cellStyle name="Total 2 5 13 3" xfId="31471" xr:uid="{851E60DA-3DA6-4A10-8636-FB9CB8D51BF7}"/>
    <cellStyle name="Total 2 5 14" xfId="8552" xr:uid="{E4C33B66-60E6-4FB8-899F-D1E49E1B37B7}"/>
    <cellStyle name="Total 2 5 14 2" xfId="31139" xr:uid="{07E4401E-727B-44C5-862E-AA67B0EC175E}"/>
    <cellStyle name="Total 2 5 14 3" xfId="47696" xr:uid="{081B8470-B8FB-459D-897E-27D6129F462C}"/>
    <cellStyle name="Total 2 5 15" xfId="20396" xr:uid="{81E9E6E6-C9D0-43C6-988A-FEF6A17F0362}"/>
    <cellStyle name="Total 2 5 15 2" xfId="49557" xr:uid="{C734E2C4-6BE0-45FC-AC88-F7F3B0663833}"/>
    <cellStyle name="Total 2 5 16" xfId="50868" xr:uid="{C814AF8F-587A-4AFE-9A59-50F382589CD9}"/>
    <cellStyle name="Total 2 5 2" xfId="603" xr:uid="{00000000-0005-0000-0000-000099080000}"/>
    <cellStyle name="Total 2 5 2 10" xfId="20711" xr:uid="{89FD96C6-53F0-4B56-B477-8130FC2D5335}"/>
    <cellStyle name="Total 2 5 2 10 2" xfId="49198" xr:uid="{4B4721B8-4ECF-4F01-A221-E9E799AD416A}"/>
    <cellStyle name="Total 2 5 2 11" xfId="47157" xr:uid="{788F4370-C0C4-429B-A0ED-E5FB14F84D1E}"/>
    <cellStyle name="Total 2 5 2 2" xfId="1737" xr:uid="{00000000-0005-0000-0000-00009A080000}"/>
    <cellStyle name="Total 2 5 2 2 10" xfId="14438" xr:uid="{F52B2708-7850-4B8E-ACDD-614C3A149701}"/>
    <cellStyle name="Total 2 5 2 2 10 2" xfId="36904" xr:uid="{FB28317E-FD55-49EF-96D9-19BE927A4D3F}"/>
    <cellStyle name="Total 2 5 2 2 10 3" xfId="47952" xr:uid="{677EB792-6342-4DC4-B5E3-C4EFB71D3D2F}"/>
    <cellStyle name="Total 2 5 2 2 11" xfId="20701" xr:uid="{78783EE8-AAA7-4327-8455-E594DBAD2868}"/>
    <cellStyle name="Total 2 5 2 2 11 2" xfId="42973" xr:uid="{AAD7A6E5-F2E5-4C66-B3EC-301B5632B67F}"/>
    <cellStyle name="Total 2 5 2 2 11 3" xfId="30372" xr:uid="{300E113D-AAB1-4E7A-B502-E3C8B94293D1}"/>
    <cellStyle name="Total 2 5 2 2 12" xfId="15696" xr:uid="{564FC6C9-D30F-4A05-8CB9-A86F31F72E86}"/>
    <cellStyle name="Total 2 5 2 2 12 2" xfId="52469" xr:uid="{17B86D99-7924-43A1-8642-56BBC9A9B6EC}"/>
    <cellStyle name="Total 2 5 2 2 13" xfId="50832" xr:uid="{EF28C165-9E17-48E5-9604-D47F1EBAB952}"/>
    <cellStyle name="Total 2 5 2 2 2" xfId="3835" xr:uid="{00000000-0005-0000-0000-000097080000}"/>
    <cellStyle name="Total 2 5 2 2 2 2" xfId="10739" xr:uid="{D7F79A83-FF25-4A22-A780-ABC5B4653009}"/>
    <cellStyle name="Total 2 5 2 2 2 2 2" xfId="33225" xr:uid="{35CB2338-4F7B-410C-BB77-51EE760E1169}"/>
    <cellStyle name="Total 2 5 2 2 2 2 3" xfId="51278" xr:uid="{56C6BE4D-AAFA-4E88-8AEE-B72FFBB2A7C5}"/>
    <cellStyle name="Total 2 5 2 2 2 3" xfId="15895" xr:uid="{30404B60-3B57-4CE9-9DE1-4CDC949DB5BF}"/>
    <cellStyle name="Total 2 5 2 2 2 3 2" xfId="38301" xr:uid="{8A854FFC-BB79-460C-874A-E3E32FD48309}"/>
    <cellStyle name="Total 2 5 2 2 2 3 3" xfId="29861" xr:uid="{8D33A96A-766D-4EA7-8161-8FACEA537933}"/>
    <cellStyle name="Total 2 5 2 2 2 4" xfId="7951" xr:uid="{82DC695B-85E1-452A-9DAE-D0838306A754}"/>
    <cellStyle name="Total 2 5 2 2 2 4 2" xfId="30575" xr:uid="{E8520F22-1F71-4628-8F6E-0F92A1BDD973}"/>
    <cellStyle name="Total 2 5 2 2 2 4 3" xfId="48104" xr:uid="{F496E082-CC79-4666-8F33-669B07AFA0BE}"/>
    <cellStyle name="Total 2 5 2 2 2 5" xfId="21096" xr:uid="{8B74BAA2-10DD-4055-97D5-A985802C483D}"/>
    <cellStyle name="Total 2 5 2 2 2 5 2" xfId="54106" xr:uid="{B83DA7F4-7BB9-4AD3-835C-EB016D5AA3A3}"/>
    <cellStyle name="Total 2 5 2 2 2 6" xfId="51807" xr:uid="{59CEC072-9EC1-4BBC-8484-86FA29C91EC5}"/>
    <cellStyle name="Total 2 5 2 2 3" xfId="5251" xr:uid="{00000000-0005-0000-0000-000097080000}"/>
    <cellStyle name="Total 2 5 2 2 3 2" xfId="12143" xr:uid="{C0879428-3695-4A79-A323-AEFB6F0AF543}"/>
    <cellStyle name="Total 2 5 2 2 3 2 2" xfId="34628" xr:uid="{41C6DD0A-A67C-4871-83B3-38B5511C4350}"/>
    <cellStyle name="Total 2 5 2 2 3 2 3" xfId="24785" xr:uid="{16204F9A-9235-4AD0-B893-456C0D481032}"/>
    <cellStyle name="Total 2 5 2 2 3 3" xfId="17188" xr:uid="{486ECAB6-EA32-42C7-86F4-AF8202465F7E}"/>
    <cellStyle name="Total 2 5 2 2 3 3 2" xfId="39578" xr:uid="{085A8EA1-6EDE-4872-A25F-3AD70C8D2D1B}"/>
    <cellStyle name="Total 2 5 2 2 3 3 3" xfId="27710" xr:uid="{9E5D9CB6-8F4A-4D38-B24C-BC55FE2ABE98}"/>
    <cellStyle name="Total 2 5 2 2 3 4" xfId="14786" xr:uid="{AE5994B1-4952-4FB3-A30C-C8E2CBF00AD7}"/>
    <cellStyle name="Total 2 5 2 2 3 4 2" xfId="37242" xr:uid="{8B40F9AB-409C-4C0E-A4DA-A1EBC703CB30}"/>
    <cellStyle name="Total 2 5 2 2 3 4 3" xfId="45975" xr:uid="{25A1C9AB-A610-4BF5-8444-3FF3B4540E7A}"/>
    <cellStyle name="Total 2 5 2 2 3 5" xfId="21612" xr:uid="{4C8475D1-297D-4017-81C0-A83BF046B557}"/>
    <cellStyle name="Total 2 5 2 2 3 5 2" xfId="48304" xr:uid="{548538D7-5D65-4786-80E4-7AF0D13B4F5B}"/>
    <cellStyle name="Total 2 5 2 2 3 6" xfId="44963" xr:uid="{9915F779-52A9-41E0-A091-E2DC8ACDD1C9}"/>
    <cellStyle name="Total 2 5 2 2 4" xfId="5663" xr:uid="{00000000-0005-0000-0000-000097080000}"/>
    <cellStyle name="Total 2 5 2 2 4 2" xfId="12547" xr:uid="{BA46F91C-3BFA-4F0C-85ED-79DC6266F7C0}"/>
    <cellStyle name="Total 2 5 2 2 4 2 2" xfId="35032" xr:uid="{8A29C61E-49E8-4FF0-B4AD-D219C321904E}"/>
    <cellStyle name="Total 2 5 2 2 4 2 3" xfId="37992" xr:uid="{A36C1EFE-8F9F-4563-825E-596F8FD0943E}"/>
    <cellStyle name="Total 2 5 2 2 4 3" xfId="17600" xr:uid="{407DF8B9-D52B-467D-BCC0-ED0C535BB681}"/>
    <cellStyle name="Total 2 5 2 2 4 3 2" xfId="39990" xr:uid="{64B5F60D-2E5B-42E9-9000-AA6BE2C4D2E7}"/>
    <cellStyle name="Total 2 5 2 2 4 3 3" xfId="28202" xr:uid="{BD864CBC-56C2-491E-92B5-D1FBF4B68E65}"/>
    <cellStyle name="Total 2 5 2 2 4 4" xfId="15859" xr:uid="{FDB07FE6-8197-4C05-84F6-BE72E63A0069}"/>
    <cellStyle name="Total 2 5 2 2 4 4 2" xfId="38265" xr:uid="{6A58DC69-4642-4433-842F-D12C461C9E47}"/>
    <cellStyle name="Total 2 5 2 2 4 4 3" xfId="47523" xr:uid="{6507B5F5-7A32-4866-A10A-ED8CE644513E}"/>
    <cellStyle name="Total 2 5 2 2 4 5" xfId="22024" xr:uid="{5EC71503-C0D1-4660-A81A-E7FAFFAD4B72}"/>
    <cellStyle name="Total 2 5 2 2 4 5 2" xfId="28935" xr:uid="{C3167C2B-44E1-43F6-BB00-F63A509422DF}"/>
    <cellStyle name="Total 2 5 2 2 4 6" xfId="24432" xr:uid="{249AA61F-D79D-49B5-95A7-6FA24900AC28}"/>
    <cellStyle name="Total 2 5 2 2 5" xfId="4719" xr:uid="{00000000-0005-0000-0000-000097080000}"/>
    <cellStyle name="Total 2 5 2 2 5 2" xfId="11617" xr:uid="{7F44AA7C-B03C-435D-82F5-34613D26EF96}"/>
    <cellStyle name="Total 2 5 2 2 5 2 2" xfId="34103" xr:uid="{9266647C-87EC-4F36-9736-7BFE5B915FDA}"/>
    <cellStyle name="Total 2 5 2 2 5 2 3" xfId="45675" xr:uid="{6FFBD732-6F0F-4229-840E-74313A3A8AEC}"/>
    <cellStyle name="Total 2 5 2 2 5 3" xfId="16656" xr:uid="{23109F47-87BF-4A73-9EF8-9504194AAAEB}"/>
    <cellStyle name="Total 2 5 2 2 5 3 2" xfId="39046" xr:uid="{3AB26537-E3EA-4720-A3E0-58CBA34DB67D}"/>
    <cellStyle name="Total 2 5 2 2 5 3 3" xfId="24412" xr:uid="{2A4320AC-5C50-4397-870A-5491C05B968E}"/>
    <cellStyle name="Total 2 5 2 2 5 4" xfId="14707" xr:uid="{368E7EDA-ECA6-4738-A132-6E36343E74CB}"/>
    <cellStyle name="Total 2 5 2 2 5 4 2" xfId="37165" xr:uid="{497F73EF-6B8E-4BE6-8D26-554E8486510D}"/>
    <cellStyle name="Total 2 5 2 2 5 4 3" xfId="46651" xr:uid="{3BA11F3C-9618-4D95-B127-640FA8BE165A}"/>
    <cellStyle name="Total 2 5 2 2 5 5" xfId="14078" xr:uid="{3CDDE1BF-DD26-4D30-9420-4EFC8EDF2794}"/>
    <cellStyle name="Total 2 5 2 2 5 5 2" xfId="43148" xr:uid="{B08DC6B3-D170-45A5-97AF-C83EBF5230C2}"/>
    <cellStyle name="Total 2 5 2 2 5 6" xfId="52102" xr:uid="{CFAF652F-5C46-4A57-8C52-A637F3A33C29}"/>
    <cellStyle name="Total 2 5 2 2 6" xfId="6402" xr:uid="{00000000-0005-0000-0000-000097080000}"/>
    <cellStyle name="Total 2 5 2 2 6 2" xfId="13274" xr:uid="{6083EDAB-5C49-48AE-BDB4-4FB9368E96C1}"/>
    <cellStyle name="Total 2 5 2 2 6 2 2" xfId="35758" xr:uid="{7E5875EF-88FF-44B7-B695-CDA8FAE42613}"/>
    <cellStyle name="Total 2 5 2 2 6 2 3" xfId="49514" xr:uid="{AD34B673-523E-4D99-9418-8FE876D9E732}"/>
    <cellStyle name="Total 2 5 2 2 6 3" xfId="18339" xr:uid="{185B75AA-23A9-4848-B8DF-99FD04095222}"/>
    <cellStyle name="Total 2 5 2 2 6 3 2" xfId="40729" xr:uid="{FC98C390-7329-42DF-9B47-290F054C6539}"/>
    <cellStyle name="Total 2 5 2 2 6 3 3" xfId="45429" xr:uid="{7329F752-5609-4265-8D9D-09C94C6E1BA6}"/>
    <cellStyle name="Total 2 5 2 2 6 4" xfId="21239" xr:uid="{016273FB-8629-40E2-B855-0F15F3FEC30E}"/>
    <cellStyle name="Total 2 5 2 2 6 4 2" xfId="43475" xr:uid="{3708CB4E-B1AA-4019-8A0A-EAF255567294}"/>
    <cellStyle name="Total 2 5 2 2 6 4 3" xfId="46579" xr:uid="{87464B23-DF79-4777-9ACE-D938B69AC88F}"/>
    <cellStyle name="Total 2 5 2 2 6 5" xfId="22763" xr:uid="{EC1ACE52-11A6-4FBA-AB2E-CCC13332D474}"/>
    <cellStyle name="Total 2 5 2 2 6 5 2" xfId="42425" xr:uid="{C0C72E03-0BBC-470A-B680-DF78AA33EE43}"/>
    <cellStyle name="Total 2 5 2 2 6 6" xfId="47204" xr:uid="{097C0C0C-62A0-4B19-B9A5-C88EE49A9BA4}"/>
    <cellStyle name="Total 2 5 2 2 7" xfId="4587" xr:uid="{00000000-0005-0000-0000-000097080000}"/>
    <cellStyle name="Total 2 5 2 2 7 2" xfId="11489" xr:uid="{A5261741-0A51-4223-A426-82744913FE48}"/>
    <cellStyle name="Total 2 5 2 2 7 2 2" xfId="33975" xr:uid="{D8D09738-2695-4760-8604-AC8B627B3070}"/>
    <cellStyle name="Total 2 5 2 2 7 2 3" xfId="25868" xr:uid="{AEE31E83-8C1A-4D5F-A092-D9815F33AB7A}"/>
    <cellStyle name="Total 2 5 2 2 7 3" xfId="16524" xr:uid="{4D974D03-A50A-4376-99B7-15B1416A58C4}"/>
    <cellStyle name="Total 2 5 2 2 7 3 2" xfId="38914" xr:uid="{419C2F02-2688-4D6D-9B19-6F9E1656A124}"/>
    <cellStyle name="Total 2 5 2 2 7 3 3" xfId="38204" xr:uid="{F63F3488-8BD2-4842-84CE-03B79E71C695}"/>
    <cellStyle name="Total 2 5 2 2 7 4" xfId="14036" xr:uid="{F92305CD-114C-43C8-918E-0F5D138F7B52}"/>
    <cellStyle name="Total 2 5 2 2 7 4 2" xfId="36518" xr:uid="{6D53876F-B72D-4C2F-AE1C-2CC7E568F557}"/>
    <cellStyle name="Total 2 5 2 2 7 4 3" xfId="53993" xr:uid="{9917E1AD-9129-4EBE-8744-0F0A1C9B56B8}"/>
    <cellStyle name="Total 2 5 2 2 7 5" xfId="19256" xr:uid="{00A8BED0-3802-4214-99EC-F26C0CD4E3D0}"/>
    <cellStyle name="Total 2 5 2 2 7 5 2" xfId="43719" xr:uid="{1970E51F-FA7C-48E9-B1FE-9213396F2995}"/>
    <cellStyle name="Total 2 5 2 2 7 6" xfId="52485" xr:uid="{81769186-6508-42F3-B1EF-E157E3B3A4B3}"/>
    <cellStyle name="Total 2 5 2 2 8" xfId="6919" xr:uid="{00000000-0005-0000-0000-000097080000}"/>
    <cellStyle name="Total 2 5 2 2 8 2" xfId="13757" xr:uid="{9AD3212C-98AD-45BE-9BA2-40F48E90AE1B}"/>
    <cellStyle name="Total 2 5 2 2 8 2 2" xfId="36241" xr:uid="{A70A5546-B4FD-4E01-88B4-FF3B3C97F3B1}"/>
    <cellStyle name="Total 2 5 2 2 8 2 3" xfId="53116" xr:uid="{BAA86682-93DE-459A-A58B-42BDB8E73B37}"/>
    <cellStyle name="Total 2 5 2 2 8 3" xfId="18856" xr:uid="{1DCA144F-7A6B-41B0-9B90-29955EB10A16}"/>
    <cellStyle name="Total 2 5 2 2 8 3 2" xfId="41246" xr:uid="{31123C45-1F91-409C-9A51-2441909057A2}"/>
    <cellStyle name="Total 2 5 2 2 8 3 3" xfId="37253" xr:uid="{7EA05B56-245E-4097-B02A-EC45CA2FF478}"/>
    <cellStyle name="Total 2 5 2 2 8 4" xfId="20291" xr:uid="{345A5ECF-03B3-4459-BA1A-00C5316157B4}"/>
    <cellStyle name="Total 2 5 2 2 8 4 2" xfId="42591" xr:uid="{AFC2458C-20B1-4529-A64F-CEAD2EF5E63A}"/>
    <cellStyle name="Total 2 5 2 2 8 4 3" xfId="47905" xr:uid="{2745B814-1C77-474B-B36B-76C9928BE200}"/>
    <cellStyle name="Total 2 5 2 2 8 5" xfId="23280" xr:uid="{1335A128-C1B6-463D-889A-645C552FE166}"/>
    <cellStyle name="Total 2 5 2 2 8 5 2" xfId="45921" xr:uid="{1B5410B5-17DA-4163-8439-C08EE1C7C0F4}"/>
    <cellStyle name="Total 2 5 2 2 8 6" xfId="51705" xr:uid="{47A85CAF-F35C-4974-AC05-605F89A9B9D8}"/>
    <cellStyle name="Total 2 5 2 2 9" xfId="4398" xr:uid="{00000000-0005-0000-0000-000097080000}"/>
    <cellStyle name="Total 2 5 2 2 9 2" xfId="16335" xr:uid="{F7132D6F-3B20-4194-B6B2-6E8A558941E5}"/>
    <cellStyle name="Total 2 5 2 2 9 2 2" xfId="38725" xr:uid="{181DCF98-A516-4FDB-ADB6-5BF376E01C2B}"/>
    <cellStyle name="Total 2 5 2 2 9 2 3" xfId="37378" xr:uid="{DF6F62A6-FE3B-4DEE-9AD8-CC0333A115C6}"/>
    <cellStyle name="Total 2 5 2 2 9 3" xfId="19778" xr:uid="{3A61917D-C9C3-4652-A298-DE859DD18D21}"/>
    <cellStyle name="Total 2 5 2 2 9 3 2" xfId="42117" xr:uid="{3F5AA3E2-E96B-43B9-B9E6-ED75952117D2}"/>
    <cellStyle name="Total 2 5 2 2 9 3 3" xfId="24014" xr:uid="{8AAA255B-FF53-436B-A882-CCAE83E437E7}"/>
    <cellStyle name="Total 2 5 2 2 9 4" xfId="21210" xr:uid="{8A0660E5-FB9C-448C-9DFC-B1B5FF550A29}"/>
    <cellStyle name="Total 2 5 2 2 9 4 2" xfId="48390" xr:uid="{96E586EA-26F7-41CC-AEDD-08001282AB95}"/>
    <cellStyle name="Total 2 5 2 2 9 5" xfId="32788" xr:uid="{3B5FDD5A-1166-4F54-B280-8B116488F970}"/>
    <cellStyle name="Total 2 5 2 3" xfId="2749" xr:uid="{00000000-0005-0000-0000-000096080000}"/>
    <cellStyle name="Total 2 5 2 3 2" xfId="9658" xr:uid="{179E7256-B961-42C0-9751-C7F575505D91}"/>
    <cellStyle name="Total 2 5 2 3 2 2" xfId="32206" xr:uid="{F5AC2C93-A809-4006-B7F7-826BA32FF5B6}"/>
    <cellStyle name="Total 2 5 2 3 2 3" xfId="53621" xr:uid="{663F25D6-EC4C-4804-BCD6-CDE51E83E655}"/>
    <cellStyle name="Total 2 5 2 3 3" xfId="15176" xr:uid="{713EB6A6-8879-4710-81F8-E276D3391387}"/>
    <cellStyle name="Total 2 5 2 3 3 2" xfId="37616" xr:uid="{C65C5CE6-E160-4B9D-9689-0FE8C1EAA0B1}"/>
    <cellStyle name="Total 2 5 2 3 3 3" xfId="45213" xr:uid="{ADC4DE23-3F64-4AF5-9A71-D8D7A4563919}"/>
    <cellStyle name="Total 2 5 2 3 4" xfId="19436" xr:uid="{CFCFF6EE-4BC7-4AF8-9821-FD1B986E4064}"/>
    <cellStyle name="Total 2 5 2 3 4 2" xfId="41804" xr:uid="{DD0BD5C3-2AE1-4906-A253-5BACA96B8E82}"/>
    <cellStyle name="Total 2 5 2 3 4 3" xfId="28596" xr:uid="{EB091126-BB5F-491E-879A-7A03AD34A79A}"/>
    <cellStyle name="Total 2 5 2 3 5" xfId="20522" xr:uid="{F8967222-2F1B-4628-8B41-25B71E2EFFC1}"/>
    <cellStyle name="Total 2 5 2 3 5 2" xfId="50431" xr:uid="{E2E6922B-5487-4F11-9322-6E156AB0B2BA}"/>
    <cellStyle name="Total 2 5 2 3 6" xfId="23867" xr:uid="{F0B84E04-4B61-4969-94A6-1D2B12BC05D6}"/>
    <cellStyle name="Total 2 5 2 4" xfId="4542" xr:uid="{00000000-0005-0000-0000-000096080000}"/>
    <cellStyle name="Total 2 5 2 4 2" xfId="11444" xr:uid="{F15E4328-574D-4544-BFBB-F6844F78741A}"/>
    <cellStyle name="Total 2 5 2 4 2 2" xfId="33930" xr:uid="{364F1806-58A6-4FBD-8C01-FEEA5CBCA2F5}"/>
    <cellStyle name="Total 2 5 2 4 2 3" xfId="36700" xr:uid="{F03E35A1-BF52-419B-BD9C-B4888FDE6130}"/>
    <cellStyle name="Total 2 5 2 4 3" xfId="16479" xr:uid="{2A52F643-F0D3-449C-80EA-DD410D64AD8A}"/>
    <cellStyle name="Total 2 5 2 4 3 2" xfId="38869" xr:uid="{2DEE074A-C6E0-4915-8C63-DB34062DA5E5}"/>
    <cellStyle name="Total 2 5 2 4 3 3" xfId="43704" xr:uid="{6A144CAA-56BE-426C-939B-358E9B18A314}"/>
    <cellStyle name="Total 2 5 2 4 4" xfId="8140" xr:uid="{0D4BF987-76F9-452C-AFB0-91073423A15B}"/>
    <cellStyle name="Total 2 5 2 4 4 2" xfId="30752" xr:uid="{32B251DC-DC55-4BDF-88E9-33595FAF07CA}"/>
    <cellStyle name="Total 2 5 2 4 4 3" xfId="51380" xr:uid="{EC007E8C-DD3D-420F-9F28-B13DCCEC12FD}"/>
    <cellStyle name="Total 2 5 2 4 5" xfId="21190" xr:uid="{A1DFF27E-F541-4B3E-8636-F870956E16B3}"/>
    <cellStyle name="Total 2 5 2 4 5 2" xfId="52390" xr:uid="{D5BBDAB4-5C8A-4517-92C7-1164C3C8F86D}"/>
    <cellStyle name="Total 2 5 2 4 6" xfId="48288" xr:uid="{2C22BBFB-B902-4B51-9075-8A61AAB8754C}"/>
    <cellStyle name="Total 2 5 2 5" xfId="4358" xr:uid="{00000000-0005-0000-0000-000096080000}"/>
    <cellStyle name="Total 2 5 2 5 2" xfId="11261" xr:uid="{529A282E-9D4C-4AAB-9346-444BC59A23DC}"/>
    <cellStyle name="Total 2 5 2 5 2 2" xfId="33747" xr:uid="{44C9EE94-0A44-40F4-90D6-3247DDCC3A2E}"/>
    <cellStyle name="Total 2 5 2 5 2 3" xfId="43834" xr:uid="{4ED79E18-CF2B-471A-8942-EDF39D6012CC}"/>
    <cellStyle name="Total 2 5 2 5 3" xfId="16295" xr:uid="{16E34056-1F23-4706-947C-E2C5124E2617}"/>
    <cellStyle name="Total 2 5 2 5 3 2" xfId="38685" xr:uid="{A4EA6A9F-0C7A-41A0-BD25-F61AD8B0C424}"/>
    <cellStyle name="Total 2 5 2 5 3 3" xfId="29567" xr:uid="{4B4ED22B-341D-4426-998B-E0717E2D9D13}"/>
    <cellStyle name="Total 2 5 2 5 4" xfId="19822" xr:uid="{4D1F4D0B-956C-4B63-93BC-E3ABD29209D7}"/>
    <cellStyle name="Total 2 5 2 5 4 2" xfId="42160" xr:uid="{342A8657-203A-4186-A7C8-1F168F21AB12}"/>
    <cellStyle name="Total 2 5 2 5 4 3" xfId="25929" xr:uid="{3CFA5B2B-C94A-485C-8D2B-29BE90598A5A}"/>
    <cellStyle name="Total 2 5 2 5 5" xfId="20001" xr:uid="{21295647-1B20-42C0-B4FE-9626A0760CFE}"/>
    <cellStyle name="Total 2 5 2 5 5 2" xfId="25155" xr:uid="{4D7A9955-0051-4A6A-917F-6527A86802B2}"/>
    <cellStyle name="Total 2 5 2 5 6" xfId="28809" xr:uid="{3AFD7D0C-E680-4410-A9E0-827A8277FAE4}"/>
    <cellStyle name="Total 2 5 2 6" xfId="6320" xr:uid="{00000000-0005-0000-0000-000096080000}"/>
    <cellStyle name="Total 2 5 2 6 2" xfId="13192" xr:uid="{86C33F0E-F4D5-4E47-A96A-758F1B305A71}"/>
    <cellStyle name="Total 2 5 2 6 2 2" xfId="35676" xr:uid="{DC233DA0-E0E7-4933-AEC1-4A2E7A397861}"/>
    <cellStyle name="Total 2 5 2 6 2 3" xfId="48321" xr:uid="{EAFC00C0-52DD-4948-AC57-54FF463FE3FD}"/>
    <cellStyle name="Total 2 5 2 6 3" xfId="18257" xr:uid="{59DD0823-224D-49B8-B11F-5A4CA988F1D7}"/>
    <cellStyle name="Total 2 5 2 6 3 2" xfId="40647" xr:uid="{43ADDE30-BA20-4E9C-A9C5-63F0EA68C3B0}"/>
    <cellStyle name="Total 2 5 2 6 3 3" xfId="43532" xr:uid="{9A5B6A88-6CD3-416D-85DF-AED01C41050C}"/>
    <cellStyle name="Total 2 5 2 6 4" xfId="14958" xr:uid="{2A5A051E-0B5F-4421-BD43-0B270128606B}"/>
    <cellStyle name="Total 2 5 2 6 4 2" xfId="37410" xr:uid="{2D97672B-7F9C-4C05-8A59-E33D26AFAF83}"/>
    <cellStyle name="Total 2 5 2 6 4 3" xfId="49263" xr:uid="{0DDBC233-7722-4DD5-A124-39F94962B556}"/>
    <cellStyle name="Total 2 5 2 6 5" xfId="22681" xr:uid="{CEE764DC-D34E-44DA-9AFE-343D8BF8053F}"/>
    <cellStyle name="Total 2 5 2 6 5 2" xfId="48270" xr:uid="{913A6A49-6D98-48E8-8B1E-28CA214F496C}"/>
    <cellStyle name="Total 2 5 2 6 6" xfId="51888" xr:uid="{1CC44636-9E91-426F-B5B9-73F9700D9A1E}"/>
    <cellStyle name="Total 2 5 2 7" xfId="4976" xr:uid="{00000000-0005-0000-0000-000096080000}"/>
    <cellStyle name="Total 2 5 2 7 2" xfId="11871" xr:uid="{D0815C45-116C-4029-806E-F8526AD29DF0}"/>
    <cellStyle name="Total 2 5 2 7 2 2" xfId="34357" xr:uid="{01018BF6-D5C3-4C63-BB72-658FFDCDFD3D}"/>
    <cellStyle name="Total 2 5 2 7 2 3" xfId="44841" xr:uid="{635AC200-045B-4B7A-B5E2-BD3276EA4434}"/>
    <cellStyle name="Total 2 5 2 7 3" xfId="16913" xr:uid="{A4370B2B-B084-4BB6-8559-1986E5838F89}"/>
    <cellStyle name="Total 2 5 2 7 3 2" xfId="39303" xr:uid="{4D900A2B-53F0-4C8C-96A0-DE84212EF7FF}"/>
    <cellStyle name="Total 2 5 2 7 3 3" xfId="45875" xr:uid="{F33D0951-C2D0-4F09-9522-481518EC3855}"/>
    <cellStyle name="Total 2 5 2 7 4" xfId="19370" xr:uid="{6D3A149B-8E0A-4578-9CB9-AFA51448C398}"/>
    <cellStyle name="Total 2 5 2 7 4 2" xfId="41744" xr:uid="{420B2787-B52B-4F3A-85AD-EA108D613859}"/>
    <cellStyle name="Total 2 5 2 7 4 3" xfId="25294" xr:uid="{EC2F1674-6330-4650-9E07-775C69A1CE6B}"/>
    <cellStyle name="Total 2 5 2 7 5" xfId="21337" xr:uid="{1E003727-1ABA-4A70-AD29-E13E7E38339C}"/>
    <cellStyle name="Total 2 5 2 7 5 2" xfId="53381" xr:uid="{F8502301-E6A0-46C7-B062-021F87E34391}"/>
    <cellStyle name="Total 2 5 2 7 6" xfId="48996" xr:uid="{2846D823-4778-4187-8D02-3D2D0D350741}"/>
    <cellStyle name="Total 2 5 2 8" xfId="11244" xr:uid="{D38FC8BA-82D6-4303-B288-092DEB5AD4F9}"/>
    <cellStyle name="Total 2 5 2 8 2" xfId="33730" xr:uid="{B9A41B72-57D0-4A93-85A7-589524A6C45D}"/>
    <cellStyle name="Total 2 5 2 8 3" xfId="25755" xr:uid="{E8DCC0B4-D116-4384-82C5-E7CD6E73F72B}"/>
    <cellStyle name="Total 2 5 2 9" xfId="20921" xr:uid="{70B42D04-6093-4453-AF40-6DC8538C1B16}"/>
    <cellStyle name="Total 2 5 2 9 2" xfId="43180" xr:uid="{65A44C64-A9C2-48F1-8C4D-86004BF7BE7A}"/>
    <cellStyle name="Total 2 5 2 9 3" xfId="24030" xr:uid="{9FEA876A-EF7F-4619-87B8-DDC6B6B38040}"/>
    <cellStyle name="Total 2 5 3" xfId="850" xr:uid="{00000000-0005-0000-0000-00009B080000}"/>
    <cellStyle name="Total 2 5 3 10" xfId="19913" xr:uid="{72D2C23C-A9B5-46DD-AA03-B8B9E08CB562}"/>
    <cellStyle name="Total 2 5 3 10 2" xfId="26440" xr:uid="{CD7023C9-96D7-45D8-99CC-365B81BEEEF1}"/>
    <cellStyle name="Total 2 5 3 11" xfId="52879" xr:uid="{5EEF66F2-9A49-425D-B9B7-B9F64B27ED12}"/>
    <cellStyle name="Total 2 5 3 2" xfId="1835" xr:uid="{00000000-0005-0000-0000-00009C080000}"/>
    <cellStyle name="Total 2 5 3 2 10" xfId="14519" xr:uid="{378D1A1E-F93D-4326-9C6B-F0474FA91D18}"/>
    <cellStyle name="Total 2 5 3 2 10 2" xfId="36980" xr:uid="{9E7CAC15-12C7-4BD9-BEA7-94AE0EECAEF6}"/>
    <cellStyle name="Total 2 5 3 2 10 3" xfId="42487" xr:uid="{7FB35462-4020-4DF5-84D0-060044E25699}"/>
    <cellStyle name="Total 2 5 3 2 11" xfId="20212" xr:uid="{91B8A975-D1E5-430B-937B-AA08DBFEC7CB}"/>
    <cellStyle name="Total 2 5 3 2 11 2" xfId="42520" xr:uid="{E0931082-F483-434E-96AF-45A4C0D94315}"/>
    <cellStyle name="Total 2 5 3 2 11 3" xfId="30952" xr:uid="{A701BEDC-148C-4CD9-9D3A-98AD59F384A6}"/>
    <cellStyle name="Total 2 5 3 2 12" xfId="14167" xr:uid="{DFBD2939-5DD8-4103-97B0-8351ED7F9E06}"/>
    <cellStyle name="Total 2 5 3 2 12 2" xfId="49750" xr:uid="{3F9BB708-E228-4CA7-A79E-44A17EFCD3D9}"/>
    <cellStyle name="Total 2 5 3 2 13" xfId="48805" xr:uid="{68445A9B-C1A4-4D3A-8BB2-DD124DFDBE4B}"/>
    <cellStyle name="Total 2 5 3 2 2" xfId="3933" xr:uid="{00000000-0005-0000-0000-000099080000}"/>
    <cellStyle name="Total 2 5 3 2 2 2" xfId="10837" xr:uid="{60B3A53F-946F-476F-BFDE-7F182688AD17}"/>
    <cellStyle name="Total 2 5 3 2 2 2 2" xfId="33323" xr:uid="{5AFD9D31-70DC-4C91-A100-538656335E74}"/>
    <cellStyle name="Total 2 5 3 2 2 2 3" xfId="50094" xr:uid="{42A72F7C-22B7-4A01-BBD8-9EE299551ED5}"/>
    <cellStyle name="Total 2 5 3 2 2 3" xfId="15975" xr:uid="{BF274C71-D2E3-4C37-99E4-44381F3175B1}"/>
    <cellStyle name="Total 2 5 3 2 2 3 2" xfId="38378" xr:uid="{1877A2DD-E9CB-40C4-8691-1D39E16B34E2}"/>
    <cellStyle name="Total 2 5 3 2 2 3 3" xfId="53870" xr:uid="{D38240B2-F453-4BE7-A2EC-86B6126062DA}"/>
    <cellStyle name="Total 2 5 3 2 2 4" xfId="20685" xr:uid="{3099DB2A-175A-4C91-BBC8-C4A635848D8A}"/>
    <cellStyle name="Total 2 5 3 2 2 4 2" xfId="42959" xr:uid="{4D27DD5C-773D-4407-9D33-F7BFA74A3334}"/>
    <cellStyle name="Total 2 5 3 2 2 4 3" xfId="26317" xr:uid="{E952570B-640C-4F6F-8CC1-CD093D82C651}"/>
    <cellStyle name="Total 2 5 3 2 2 5" xfId="15104" xr:uid="{77A5EBE9-BC7D-49FD-8319-EF161E3E9AD5}"/>
    <cellStyle name="Total 2 5 3 2 2 5 2" xfId="46021" xr:uid="{50DE40C9-8A80-4CFD-B94E-41883E53B8D1}"/>
    <cellStyle name="Total 2 5 3 2 2 6" xfId="46804" xr:uid="{F3A1FCD2-EA8B-44AD-8091-861D4258D691}"/>
    <cellStyle name="Total 2 5 3 2 3" xfId="5328" xr:uid="{00000000-0005-0000-0000-000099080000}"/>
    <cellStyle name="Total 2 5 3 2 3 2" xfId="12220" xr:uid="{46B9348B-126C-4DEB-9205-A4830C047552}"/>
    <cellStyle name="Total 2 5 3 2 3 2 2" xfId="34705" xr:uid="{67F11690-6206-42CE-BAED-49CF9F0270F2}"/>
    <cellStyle name="Total 2 5 3 2 3 2 3" xfId="26193" xr:uid="{740D05BC-997D-4F87-BD30-AF7CC246E860}"/>
    <cellStyle name="Total 2 5 3 2 3 3" xfId="17265" xr:uid="{08193D1C-A1CA-4FAC-A786-062931FA8DB5}"/>
    <cellStyle name="Total 2 5 3 2 3 3 2" xfId="39655" xr:uid="{09DDAC70-DCF0-4A4A-A53A-2CC0E6262AA8}"/>
    <cellStyle name="Total 2 5 3 2 3 3 3" xfId="28203" xr:uid="{619503D5-E244-4595-B94D-C6BED991C0EE}"/>
    <cellStyle name="Total 2 5 3 2 3 4" xfId="19241" xr:uid="{1C686C23-5E37-4D94-A538-C36B69871022}"/>
    <cellStyle name="Total 2 5 3 2 3 4 2" xfId="41626" xr:uid="{0709CE06-CBCF-4564-B952-091C2FAAFA41}"/>
    <cellStyle name="Total 2 5 3 2 3 4 3" xfId="45023" xr:uid="{F1C678C7-6849-4DC5-AD0C-63CAE2105822}"/>
    <cellStyle name="Total 2 5 3 2 3 5" xfId="21689" xr:uid="{810020F5-229D-48C9-AFA6-BBE6C1FEA92F}"/>
    <cellStyle name="Total 2 5 3 2 3 5 2" xfId="50914" xr:uid="{C213AC9A-F5DD-40D0-A64B-4130919BC0F6}"/>
    <cellStyle name="Total 2 5 3 2 3 6" xfId="43649" xr:uid="{28CC3750-6DD7-4687-8FD1-BE42A983E4B8}"/>
    <cellStyle name="Total 2 5 3 2 4" xfId="5738" xr:uid="{00000000-0005-0000-0000-000099080000}"/>
    <cellStyle name="Total 2 5 3 2 4 2" xfId="12622" xr:uid="{94D69140-9F7B-4F1E-B780-B68064E5B48C}"/>
    <cellStyle name="Total 2 5 3 2 4 2 2" xfId="35107" xr:uid="{EBF8D19A-8012-4E02-AE6A-B52D69648EFE}"/>
    <cellStyle name="Total 2 5 3 2 4 2 3" xfId="28640" xr:uid="{8BDE2ECB-1A3E-473D-9FD0-720D67B19CD4}"/>
    <cellStyle name="Total 2 5 3 2 4 3" xfId="17675" xr:uid="{2CB7ED62-AD52-49C2-AC14-DA9860E6032B}"/>
    <cellStyle name="Total 2 5 3 2 4 3 2" xfId="40065" xr:uid="{D7056ED5-2D68-48F6-A5AA-3B773D80CFDC}"/>
    <cellStyle name="Total 2 5 3 2 4 3 3" xfId="28684" xr:uid="{7751BC04-329A-4461-946A-3CE9E5216820}"/>
    <cellStyle name="Total 2 5 3 2 4 4" xfId="19584" xr:uid="{0474E62B-08B9-4DFB-895D-DE15EDEAE79D}"/>
    <cellStyle name="Total 2 5 3 2 4 4 2" xfId="41940" xr:uid="{8BC4E624-B657-4AD1-A1D5-ED3C7064F5FB}"/>
    <cellStyle name="Total 2 5 3 2 4 4 3" xfId="26341" xr:uid="{7D3B0416-F1CE-48F7-AD8F-273D6D26A6CF}"/>
    <cellStyle name="Total 2 5 3 2 4 5" xfId="22099" xr:uid="{5136E718-D863-41CE-A738-053D6A96D24B}"/>
    <cellStyle name="Total 2 5 3 2 4 5 2" xfId="54120" xr:uid="{FC021229-1C99-43A8-8B67-7D5F4CF996E8}"/>
    <cellStyle name="Total 2 5 3 2 4 6" xfId="51035" xr:uid="{8DFA2D46-4B16-4E2C-B1C9-C3E90DAF85E5}"/>
    <cellStyle name="Total 2 5 3 2 5" xfId="6092" xr:uid="{00000000-0005-0000-0000-000099080000}"/>
    <cellStyle name="Total 2 5 3 2 5 2" xfId="12970" xr:uid="{6E00B04F-E902-4841-88DC-AEDB98B7A192}"/>
    <cellStyle name="Total 2 5 3 2 5 2 2" xfId="35454" xr:uid="{F836DEF7-C29D-45CA-B6F0-50104E77E194}"/>
    <cellStyle name="Total 2 5 3 2 5 2 3" xfId="42015" xr:uid="{307843A6-4412-4AF3-BDF3-FB3F63867F4F}"/>
    <cellStyle name="Total 2 5 3 2 5 3" xfId="18029" xr:uid="{63B394A0-4CEF-43EC-9B8D-5DC07FE32888}"/>
    <cellStyle name="Total 2 5 3 2 5 3 2" xfId="40419" xr:uid="{FB5D7353-739E-44F7-AA81-7CE53012F58C}"/>
    <cellStyle name="Total 2 5 3 2 5 3 3" xfId="25994" xr:uid="{6A5A91A8-D669-4836-A2AD-FA351B78FD28}"/>
    <cellStyle name="Total 2 5 3 2 5 4" xfId="8823" xr:uid="{49F78124-66E1-4A20-AB8C-6DE4456706DA}"/>
    <cellStyle name="Total 2 5 3 2 5 4 2" xfId="31404" xr:uid="{68CC0DFF-0C35-451C-838B-38C5DE637ABB}"/>
    <cellStyle name="Total 2 5 3 2 5 4 3" xfId="51215" xr:uid="{107DDAD5-F447-4E22-B418-102E49B37491}"/>
    <cellStyle name="Total 2 5 3 2 5 5" xfId="22453" xr:uid="{E03777A3-D874-47FD-A363-ADD64F2A9CD3}"/>
    <cellStyle name="Total 2 5 3 2 5 5 2" xfId="54117" xr:uid="{4F6A3DD1-2B47-4BD6-AE4D-A8BE531DCFDA}"/>
    <cellStyle name="Total 2 5 3 2 5 6" xfId="54067" xr:uid="{FC8B0FAA-73B0-4F2E-BE9C-14CCE319C73B}"/>
    <cellStyle name="Total 2 5 3 2 6" xfId="6467" xr:uid="{00000000-0005-0000-0000-000099080000}"/>
    <cellStyle name="Total 2 5 3 2 6 2" xfId="13337" xr:uid="{D8AEB205-E5A8-43EF-A716-057503D93766}"/>
    <cellStyle name="Total 2 5 3 2 6 2 2" xfId="35821" xr:uid="{57D6F1E1-AFE0-4C26-946F-B484E49AD1AF}"/>
    <cellStyle name="Total 2 5 3 2 6 2 3" xfId="50739" xr:uid="{66200A8C-95EF-456B-BD19-74D2C7E082F6}"/>
    <cellStyle name="Total 2 5 3 2 6 3" xfId="18404" xr:uid="{0ED18BC9-FAC6-487B-8072-BC75E7E99C58}"/>
    <cellStyle name="Total 2 5 3 2 6 3 2" xfId="40794" xr:uid="{17403886-8F34-487C-9AE8-F2CC73F4B94B}"/>
    <cellStyle name="Total 2 5 3 2 6 3 3" xfId="27522" xr:uid="{31F0B802-3346-4D3D-A3FE-B6F7F892CA92}"/>
    <cellStyle name="Total 2 5 3 2 6 4" xfId="20687" xr:uid="{B7F9BC75-AF83-4848-AD20-56F791FFD737}"/>
    <cellStyle name="Total 2 5 3 2 6 4 2" xfId="42960" xr:uid="{A38AE983-E698-4547-8067-A0ABF8353A0E}"/>
    <cellStyle name="Total 2 5 3 2 6 4 3" xfId="51146" xr:uid="{AFFBE47E-DCAD-4353-82E6-13D7553CC496}"/>
    <cellStyle name="Total 2 5 3 2 6 5" xfId="22828" xr:uid="{9AC59602-F044-4FDC-A52E-F04B62AE00DC}"/>
    <cellStyle name="Total 2 5 3 2 6 5 2" xfId="30623" xr:uid="{6204A554-5BAC-40C7-9E84-6CD637875C45}"/>
    <cellStyle name="Total 2 5 3 2 6 6" xfId="48635" xr:uid="{7FA2798F-7842-4171-B44A-F6D589440655}"/>
    <cellStyle name="Total 2 5 3 2 7" xfId="4585" xr:uid="{00000000-0005-0000-0000-000099080000}"/>
    <cellStyle name="Total 2 5 3 2 7 2" xfId="11487" xr:uid="{B63B6B6C-7DE4-4A79-8441-99B18A1AADD9}"/>
    <cellStyle name="Total 2 5 3 2 7 2 2" xfId="33973" xr:uid="{9A6B2756-6B4B-4129-A79A-7715F0227486}"/>
    <cellStyle name="Total 2 5 3 2 7 2 3" xfId="45155" xr:uid="{06D902C0-37EF-4C8F-9B6A-EF865CBBABC8}"/>
    <cellStyle name="Total 2 5 3 2 7 3" xfId="16522" xr:uid="{11E71E83-2E57-482C-BBBD-4B1DD7CC79B7}"/>
    <cellStyle name="Total 2 5 3 2 7 3 2" xfId="38912" xr:uid="{BFD3C0D4-4BDF-4355-883C-9A4EDE6D59B2}"/>
    <cellStyle name="Total 2 5 3 2 7 3 3" xfId="44835" xr:uid="{D82F171E-550D-4C6D-80E9-54D756DCFC9C}"/>
    <cellStyle name="Total 2 5 3 2 7 4" xfId="19296" xr:uid="{216F5C74-EA6A-4E79-A1F8-EFD895136A65}"/>
    <cellStyle name="Total 2 5 3 2 7 4 2" xfId="41676" xr:uid="{4A7CDAC4-5F38-4F19-B374-83ECACB7D894}"/>
    <cellStyle name="Total 2 5 3 2 7 4 3" xfId="28786" xr:uid="{A94F75CF-B18A-4AA3-9388-FF6ABDDACEE2}"/>
    <cellStyle name="Total 2 5 3 2 7 5" xfId="19386" xr:uid="{6782DF18-EB5B-49DC-934D-C3C03278D582}"/>
    <cellStyle name="Total 2 5 3 2 7 5 2" xfId="43669" xr:uid="{2A84F0EA-0426-40AE-B426-FB71C13212C6}"/>
    <cellStyle name="Total 2 5 3 2 7 6" xfId="28287" xr:uid="{919EA9F8-3035-4AD9-8A13-79382D0382BE}"/>
    <cellStyle name="Total 2 5 3 2 8" xfId="6967" xr:uid="{00000000-0005-0000-0000-000099080000}"/>
    <cellStyle name="Total 2 5 3 2 8 2" xfId="13804" xr:uid="{610246A6-9182-4848-AFE6-EC2734EF72C5}"/>
    <cellStyle name="Total 2 5 3 2 8 2 2" xfId="36288" xr:uid="{DB168120-FFC8-4531-884D-67A58F2C8285}"/>
    <cellStyle name="Total 2 5 3 2 8 2 3" xfId="48423" xr:uid="{61418176-C5E4-4E04-AA57-66C08E9A673E}"/>
    <cellStyle name="Total 2 5 3 2 8 3" xfId="18904" xr:uid="{2480ADA8-45B7-4239-9DED-B7BEE624EA34}"/>
    <cellStyle name="Total 2 5 3 2 8 3 2" xfId="41294" xr:uid="{285E52E2-3818-4B9D-91BE-73620EF0970F}"/>
    <cellStyle name="Total 2 5 3 2 8 3 3" xfId="28234" xr:uid="{8AB38379-73DA-495D-8F43-D772E6036387}"/>
    <cellStyle name="Total 2 5 3 2 8 4" xfId="21070" xr:uid="{725359A1-9A01-4757-B1FA-F34BEEE9A052}"/>
    <cellStyle name="Total 2 5 3 2 8 4 2" xfId="43318" xr:uid="{A953C3FA-01E3-4B2F-B185-D6C8AF346625}"/>
    <cellStyle name="Total 2 5 3 2 8 4 3" xfId="48245" xr:uid="{ECE17DA5-419C-46B0-8181-4195B364E2E0}"/>
    <cellStyle name="Total 2 5 3 2 8 5" xfId="23328" xr:uid="{45F31C5C-5724-4658-9F4B-88FE7EF91766}"/>
    <cellStyle name="Total 2 5 3 2 8 5 2" xfId="44025" xr:uid="{38380858-C515-4413-8113-5E3CAB68BD64}"/>
    <cellStyle name="Total 2 5 3 2 8 6" xfId="49349" xr:uid="{6986C794-02B8-49A2-BD5D-FE95EDB1BCB7}"/>
    <cellStyle name="Total 2 5 3 2 9" xfId="7116" xr:uid="{00000000-0005-0000-0000-000099080000}"/>
    <cellStyle name="Total 2 5 3 2 9 2" xfId="19053" xr:uid="{4EA76DD2-367A-408E-A613-E368966BFA7E}"/>
    <cellStyle name="Total 2 5 3 2 9 2 2" xfId="41443" xr:uid="{E0614671-DC59-488D-93AB-95CD3922D8B3}"/>
    <cellStyle name="Total 2 5 3 2 9 2 3" xfId="27702" xr:uid="{EB564EF8-1BD7-4777-9C33-C9725A9A4696}"/>
    <cellStyle name="Total 2 5 3 2 9 3" xfId="20485" xr:uid="{C41C1BDF-CCA8-4BA5-B47D-711CDAA70592}"/>
    <cellStyle name="Total 2 5 3 2 9 3 2" xfId="42773" xr:uid="{37000ADC-77B5-416E-9C2E-0E1DF06EF643}"/>
    <cellStyle name="Total 2 5 3 2 9 3 3" xfId="23618" xr:uid="{B6CC786C-7323-42CA-8711-6885C1166DDC}"/>
    <cellStyle name="Total 2 5 3 2 9 4" xfId="23477" xr:uid="{6DAD5AE0-EA5D-4D1D-A67F-12311617B92B}"/>
    <cellStyle name="Total 2 5 3 2 9 4 2" xfId="32671" xr:uid="{41B356D8-D917-4BF2-9149-71FFBEC2C511}"/>
    <cellStyle name="Total 2 5 3 2 9 5" xfId="50649" xr:uid="{497DA4E4-8D77-4CD6-91B4-3A57AECCC176}"/>
    <cellStyle name="Total 2 5 3 3" xfId="2982" xr:uid="{00000000-0005-0000-0000-000098080000}"/>
    <cellStyle name="Total 2 5 3 3 2" xfId="9891" xr:uid="{AA54B357-7478-4471-91C1-EDB250BAAEE4}"/>
    <cellStyle name="Total 2 5 3 3 2 2" xfId="32414" xr:uid="{67895C7B-32E5-4E54-9DBE-C867E27E56D4}"/>
    <cellStyle name="Total 2 5 3 3 2 3" xfId="50014" xr:uid="{82CAA208-8D9D-485C-A50A-FBB2F64C79E1}"/>
    <cellStyle name="Total 2 5 3 3 3" xfId="15329" xr:uid="{BC0A5215-8BFA-4241-BDB1-704786048C9A}"/>
    <cellStyle name="Total 2 5 3 3 3 2" xfId="37761" xr:uid="{170CD459-12BC-46CD-AD22-BCBF86F2E7FA}"/>
    <cellStyle name="Total 2 5 3 3 3 3" xfId="28172" xr:uid="{C09BC2F1-3A06-43A0-9D52-CB014B2E5D8B}"/>
    <cellStyle name="Total 2 5 3 3 4" xfId="8960" xr:uid="{B7AFD022-089C-48F4-8223-2B059C6B8438}"/>
    <cellStyle name="Total 2 5 3 3 4 2" xfId="31539" xr:uid="{DD0FA6A5-6F15-4B6A-B07A-4C6E7A66BAFA}"/>
    <cellStyle name="Total 2 5 3 3 4 3" xfId="49096" xr:uid="{5B8E82EB-811E-443F-BDA0-CD97FD4FFD94}"/>
    <cellStyle name="Total 2 5 3 3 5" xfId="20223" xr:uid="{F01EA74C-2F89-4E7F-A71E-3579643088BC}"/>
    <cellStyle name="Total 2 5 3 3 5 2" xfId="44076" xr:uid="{099606F9-C823-4449-8F18-08CE988CEBF5}"/>
    <cellStyle name="Total 2 5 3 3 6" xfId="48211" xr:uid="{81375171-6C8D-44D9-AB6C-F95F66C42B41}"/>
    <cellStyle name="Total 2 5 3 4" xfId="4694" xr:uid="{00000000-0005-0000-0000-000098080000}"/>
    <cellStyle name="Total 2 5 3 4 2" xfId="11592" xr:uid="{09155CED-E1D8-4A67-B3FD-ED5803E8C457}"/>
    <cellStyle name="Total 2 5 3 4 2 2" xfId="34078" xr:uid="{7728FD96-704E-468F-950D-5E5476DC8B4D}"/>
    <cellStyle name="Total 2 5 3 4 2 3" xfId="43152" xr:uid="{6D25F50D-2A83-4F64-8CCA-425E9D1CA7ED}"/>
    <cellStyle name="Total 2 5 3 4 3" xfId="16631" xr:uid="{86627E03-9B80-4599-93BA-86C81D95B818}"/>
    <cellStyle name="Total 2 5 3 4 3 2" xfId="39021" xr:uid="{05447299-4F50-4633-AC97-24AF39A2BEB0}"/>
    <cellStyle name="Total 2 5 3 4 3 3" xfId="43073" xr:uid="{78EE0F45-6D16-4417-884A-E5CBDFA0CE78}"/>
    <cellStyle name="Total 2 5 3 4 4" xfId="19725" xr:uid="{46CAD128-E83C-4EA0-8B53-32651C565A71}"/>
    <cellStyle name="Total 2 5 3 4 4 2" xfId="42071" xr:uid="{5D2E99C4-A538-4DF5-9F1A-46BF928048B6}"/>
    <cellStyle name="Total 2 5 3 4 4 3" xfId="26686" xr:uid="{6E3D1C70-EA01-402D-B01F-A95F2C594BB3}"/>
    <cellStyle name="Total 2 5 3 4 5" xfId="19539" xr:uid="{59F8182A-FC7D-46D7-BAC4-1484B474159B}"/>
    <cellStyle name="Total 2 5 3 4 5 2" xfId="27722" xr:uid="{9599CF86-C1C4-494F-AE3B-709A53680618}"/>
    <cellStyle name="Total 2 5 3 4 6" xfId="28069" xr:uid="{54F78CBA-7A96-44F5-AB70-73623966BB0D}"/>
    <cellStyle name="Total 2 5 3 5" xfId="4396" xr:uid="{00000000-0005-0000-0000-000098080000}"/>
    <cellStyle name="Total 2 5 3 5 2" xfId="11298" xr:uid="{95D57B1E-79F1-44D4-B2F2-DEAA74419DC2}"/>
    <cellStyle name="Total 2 5 3 5 2 2" xfId="33784" xr:uid="{D54F9D51-B14A-4C4E-BC8B-318C90EF31DA}"/>
    <cellStyle name="Total 2 5 3 5 2 3" xfId="30256" xr:uid="{FF48D106-2F08-4976-8FE6-D6033271DCE5}"/>
    <cellStyle name="Total 2 5 3 5 3" xfId="16333" xr:uid="{0A3345CE-795D-4CF3-BDD2-69595C3F1E5E}"/>
    <cellStyle name="Total 2 5 3 5 3 2" xfId="38723" xr:uid="{F9F6209C-2BED-47EA-8471-F6817955EE26}"/>
    <cellStyle name="Total 2 5 3 5 3 3" xfId="24146" xr:uid="{50B71100-C93D-409C-B407-4CAADD6C6E44}"/>
    <cellStyle name="Total 2 5 3 5 4" xfId="14389" xr:uid="{73FFA885-B38D-4009-9AE4-D1A143712CAE}"/>
    <cellStyle name="Total 2 5 3 5 4 2" xfId="36856" xr:uid="{051E352E-FA3C-4210-B950-894C3C3E2E40}"/>
    <cellStyle name="Total 2 5 3 5 4 3" xfId="24167" xr:uid="{6B8D1DAF-E94E-4DD0-A3D7-5228B18A286C}"/>
    <cellStyle name="Total 2 5 3 5 5" xfId="19287" xr:uid="{11134B64-EF83-4782-95EA-4F06A34E5917}"/>
    <cellStyle name="Total 2 5 3 5 5 2" xfId="29302" xr:uid="{40F41BFB-26CE-426D-8EEF-94D71267A8A6}"/>
    <cellStyle name="Total 2 5 3 5 6" xfId="46614" xr:uid="{DB71B3D1-E1BF-4854-9D8E-12979D8F492F}"/>
    <cellStyle name="Total 2 5 3 6" xfId="5286" xr:uid="{00000000-0005-0000-0000-000098080000}"/>
    <cellStyle name="Total 2 5 3 6 2" xfId="12178" xr:uid="{3C1BAEBF-720F-455C-96C3-D0E8FA72E80B}"/>
    <cellStyle name="Total 2 5 3 6 2 2" xfId="34663" xr:uid="{3DFB97D5-FDE3-43FE-9946-A79C6BAF4054}"/>
    <cellStyle name="Total 2 5 3 6 2 3" xfId="44319" xr:uid="{EC6D3CDE-5CFF-4DB2-ACBA-D0FE30B694DD}"/>
    <cellStyle name="Total 2 5 3 6 3" xfId="17223" xr:uid="{3DECC34A-9AF4-4C49-B58C-1FA9F5044865}"/>
    <cellStyle name="Total 2 5 3 6 3 2" xfId="39613" xr:uid="{6D50809B-3053-4839-90CF-62522C37D310}"/>
    <cellStyle name="Total 2 5 3 6 3 3" xfId="44216" xr:uid="{0F2855CE-B171-417F-BCF5-AF6D11BA7D27}"/>
    <cellStyle name="Total 2 5 3 6 4" xfId="11522" xr:uid="{499624C2-8CAF-4C32-8007-44ECEFB17790}"/>
    <cellStyle name="Total 2 5 3 6 4 2" xfId="34008" xr:uid="{72C83762-4D1F-4B9F-B623-AC85053CEFD9}"/>
    <cellStyle name="Total 2 5 3 6 4 3" xfId="28977" xr:uid="{FE263A4B-5FE8-4FDA-A826-F3392E5AF309}"/>
    <cellStyle name="Total 2 5 3 6 5" xfId="21647" xr:uid="{E97339D9-EFD0-43F8-A4F7-D926B3E9126E}"/>
    <cellStyle name="Total 2 5 3 6 5 2" xfId="50134" xr:uid="{48EF0CF4-430A-48A9-BFFE-466C98D9DD3C}"/>
    <cellStyle name="Total 2 5 3 6 6" xfId="47801" xr:uid="{AE006CE4-1FCB-403C-82A5-B127F8B5E35A}"/>
    <cellStyle name="Total 2 5 3 7" xfId="6707" xr:uid="{00000000-0005-0000-0000-000098080000}"/>
    <cellStyle name="Total 2 5 3 7 2" xfId="13570" xr:uid="{CA063D9C-CFC1-4B9E-A599-709A6458CC64}"/>
    <cellStyle name="Total 2 5 3 7 2 2" xfId="36054" xr:uid="{E1CA73E9-6D24-4D8F-A5A1-E6569CFC2155}"/>
    <cellStyle name="Total 2 5 3 7 2 3" xfId="46153" xr:uid="{6DBC965D-9B0C-446C-B37B-AC36A4F18BE7}"/>
    <cellStyle name="Total 2 5 3 7 3" xfId="18644" xr:uid="{34EEA8C5-4857-4884-9751-13F644483288}"/>
    <cellStyle name="Total 2 5 3 7 3 2" xfId="41034" xr:uid="{24383B17-5876-44F8-AD2D-47B0B52A6BF2}"/>
    <cellStyle name="Total 2 5 3 7 3 3" xfId="25818" xr:uid="{2C68FB8A-EFA1-4408-B032-3878D665FD9B}"/>
    <cellStyle name="Total 2 5 3 7 4" xfId="20557" xr:uid="{D452E13D-F4A2-4130-857D-7D70FA44BDBA}"/>
    <cellStyle name="Total 2 5 3 7 4 2" xfId="42842" xr:uid="{69BE1EF6-88BB-4D36-BF0F-3954531D7870}"/>
    <cellStyle name="Total 2 5 3 7 4 3" xfId="48578" xr:uid="{F67E52DC-3011-4DC8-A4A2-01B55F2AC7C1}"/>
    <cellStyle name="Total 2 5 3 7 5" xfId="23068" xr:uid="{1438E2EF-BF9A-4AAB-A772-5FDCC2BF48E5}"/>
    <cellStyle name="Total 2 5 3 7 5 2" xfId="37020" xr:uid="{6703DBF5-F25D-4412-A292-D596E2BCB7DB}"/>
    <cellStyle name="Total 2 5 3 7 6" xfId="52452" xr:uid="{89B955C5-2F6D-42F7-90DA-FB13EC04900A}"/>
    <cellStyle name="Total 2 5 3 8" xfId="7321" xr:uid="{857E76EB-41B8-4E9C-85D4-87A33D6418AA}"/>
    <cellStyle name="Total 2 5 3 8 2" xfId="30009" xr:uid="{558FC502-D2A2-4F49-A67E-00BD0B1DF0C9}"/>
    <cellStyle name="Total 2 5 3 8 3" xfId="49632" xr:uid="{DEBA86B9-E627-41B1-BA52-4A536ECEEE9A}"/>
    <cellStyle name="Total 2 5 3 9" xfId="19479" xr:uid="{45308F18-596F-4527-B19E-6F5978B33263}"/>
    <cellStyle name="Total 2 5 3 9 2" xfId="41843" xr:uid="{848C4D64-32F0-4500-B75D-7D4A48400827}"/>
    <cellStyle name="Total 2 5 3 9 3" xfId="26422" xr:uid="{1C90D952-8A92-4E6E-8F92-6085DB8F498C}"/>
    <cellStyle name="Total 2 5 4" xfId="1037" xr:uid="{00000000-0005-0000-0000-00009D080000}"/>
    <cellStyle name="Total 2 5 4 10" xfId="21180" xr:uid="{41621AC8-ECC7-423B-B5EF-25AA493A7D7E}"/>
    <cellStyle name="Total 2 5 4 10 2" xfId="46622" xr:uid="{C4B971AD-FFCC-43FA-9F43-A6F01E027541}"/>
    <cellStyle name="Total 2 5 4 11" xfId="53228" xr:uid="{FF91031B-6AE1-4115-A50A-55D59630FB77}"/>
    <cellStyle name="Total 2 5 4 2" xfId="1927" xr:uid="{00000000-0005-0000-0000-00009E080000}"/>
    <cellStyle name="Total 2 5 4 2 10" xfId="14597" xr:uid="{7D702C25-EC25-4874-84F2-59DBC9B102D3}"/>
    <cellStyle name="Total 2 5 4 2 10 2" xfId="37058" xr:uid="{FCF43675-73EF-4EED-A484-8EE5AB317377}"/>
    <cellStyle name="Total 2 5 4 2 10 3" xfId="52104" xr:uid="{9807B0BD-394A-4E42-9020-C3E0F0183E49}"/>
    <cellStyle name="Total 2 5 4 2 11" xfId="19801" xr:uid="{58750C9D-C068-424F-97A6-9E2C9266DC47}"/>
    <cellStyle name="Total 2 5 4 2 11 2" xfId="42139" xr:uid="{36BD345E-4258-4785-B8CB-1B42BB1CBFD3}"/>
    <cellStyle name="Total 2 5 4 2 11 3" xfId="45466" xr:uid="{53B07F77-BE13-4C61-BB42-F94ABD9C9469}"/>
    <cellStyle name="Total 2 5 4 2 12" xfId="20362" xr:uid="{87EE1C6E-C32D-49DB-910A-E70757AB4F92}"/>
    <cellStyle name="Total 2 5 4 2 12 2" xfId="48224" xr:uid="{B8B7B10D-2F76-4A33-B3E2-44CC6F5B7C1B}"/>
    <cellStyle name="Total 2 5 4 2 13" xfId="46760" xr:uid="{FA81CEE8-B954-4FE1-8A8A-27FBFB86CFCF}"/>
    <cellStyle name="Total 2 5 4 2 2" xfId="4024" xr:uid="{00000000-0005-0000-0000-00009B080000}"/>
    <cellStyle name="Total 2 5 4 2 2 2" xfId="10928" xr:uid="{3FA4CBC6-DF59-49FB-A362-CE94ABDEA8F5}"/>
    <cellStyle name="Total 2 5 4 2 2 2 2" xfId="33414" xr:uid="{1194CA1E-EFF2-4635-8344-306A9F4AB144}"/>
    <cellStyle name="Total 2 5 4 2 2 2 3" xfId="47707" xr:uid="{77AC906D-B06F-4310-A986-B547C0239210}"/>
    <cellStyle name="Total 2 5 4 2 2 3" xfId="16048" xr:uid="{92F0AD55-5E69-45E9-A3CD-E97A48B798C0}"/>
    <cellStyle name="Total 2 5 4 2 2 3 2" xfId="38449" xr:uid="{D9731521-EFC3-4980-B2CD-494B4730EDD0}"/>
    <cellStyle name="Total 2 5 4 2 2 3 3" xfId="34454" xr:uid="{C649EE4F-B03E-472B-BD66-D2108D677EC6}"/>
    <cellStyle name="Total 2 5 4 2 2 4" xfId="21264" xr:uid="{BC0A47D3-0C53-4C1E-8088-60594069E3EF}"/>
    <cellStyle name="Total 2 5 4 2 2 4 2" xfId="43499" xr:uid="{490BE615-1A14-4144-AED5-287863F9E897}"/>
    <cellStyle name="Total 2 5 4 2 2 4 3" xfId="43578" xr:uid="{BD7ADB1F-FB88-4DBF-8B9A-FE09BB2B0CDD}"/>
    <cellStyle name="Total 2 5 4 2 2 5" xfId="20277" xr:uid="{58399313-AE41-453C-876A-7E5D7F3DA441}"/>
    <cellStyle name="Total 2 5 4 2 2 5 2" xfId="46338" xr:uid="{AB246477-F603-4EE6-BC64-F9C9A9556D2B}"/>
    <cellStyle name="Total 2 5 4 2 2 6" xfId="28867" xr:uid="{D174D875-0FE4-4077-ADB0-EE4E4C79E080}"/>
    <cellStyle name="Total 2 5 4 2 3" xfId="5399" xr:uid="{00000000-0005-0000-0000-00009B080000}"/>
    <cellStyle name="Total 2 5 4 2 3 2" xfId="12290" xr:uid="{E54410C9-0CB4-4E14-9EFE-332CA438F3FE}"/>
    <cellStyle name="Total 2 5 4 2 3 2 2" xfId="34775" xr:uid="{5808DCD4-292C-4554-BF03-464316BFA25F}"/>
    <cellStyle name="Total 2 5 4 2 3 2 3" xfId="41901" xr:uid="{371192D0-40AC-469F-8E99-371CE92C9A2A}"/>
    <cellStyle name="Total 2 5 4 2 3 3" xfId="17336" xr:uid="{186DE77A-A9A1-4700-B0CB-80777D1EE415}"/>
    <cellStyle name="Total 2 5 4 2 3 3 2" xfId="39726" xr:uid="{4CFB3266-67DD-4F23-932E-71DB52040104}"/>
    <cellStyle name="Total 2 5 4 2 3 3 3" xfId="24489" xr:uid="{7F731109-CBD9-48C4-9640-5D2E8366EC73}"/>
    <cellStyle name="Total 2 5 4 2 3 4" xfId="14698" xr:uid="{80EBC432-39B1-4466-A6A6-5D68CB19B96B}"/>
    <cellStyle name="Total 2 5 4 2 3 4 2" xfId="37156" xr:uid="{EF90E4CD-BF7D-405B-B668-BFEF0E7A2E90}"/>
    <cellStyle name="Total 2 5 4 2 3 4 3" xfId="50531" xr:uid="{798030FB-FBCB-4CC4-BEF7-63A5117215F2}"/>
    <cellStyle name="Total 2 5 4 2 3 5" xfId="21760" xr:uid="{E1E2DCFB-45B7-4944-8426-ABDC80825082}"/>
    <cellStyle name="Total 2 5 4 2 3 5 2" xfId="53507" xr:uid="{8A3CB050-A3C3-4C70-AAA3-2C52FA42785C}"/>
    <cellStyle name="Total 2 5 4 2 3 6" xfId="46782" xr:uid="{301B998B-7C81-41B5-9D8F-1EAFECB635C9}"/>
    <cellStyle name="Total 2 5 4 2 4" xfId="5812" xr:uid="{00000000-0005-0000-0000-00009B080000}"/>
    <cellStyle name="Total 2 5 4 2 4 2" xfId="12695" xr:uid="{142F254F-260F-4A74-A17A-E4E946C1EF82}"/>
    <cellStyle name="Total 2 5 4 2 4 2 2" xfId="35180" xr:uid="{3CA134AB-0E62-4940-B278-56B563EC74B2}"/>
    <cellStyle name="Total 2 5 4 2 4 2 3" xfId="23629" xr:uid="{B1681F34-48CF-44FA-915F-3E03145636D9}"/>
    <cellStyle name="Total 2 5 4 2 4 3" xfId="17749" xr:uid="{1CECF98D-955D-4760-919B-1AC2D94A7A26}"/>
    <cellStyle name="Total 2 5 4 2 4 3 2" xfId="40139" xr:uid="{60287DEC-63BA-403F-BC88-5EA25ECE4D66}"/>
    <cellStyle name="Total 2 5 4 2 4 3 3" xfId="28377" xr:uid="{5783A5DD-5D49-4C5C-8747-25191266C7D6}"/>
    <cellStyle name="Total 2 5 4 2 4 4" xfId="8743" xr:uid="{061C1F0E-FB6E-43D9-B4BA-CC21C760FA02}"/>
    <cellStyle name="Total 2 5 4 2 4 4 2" xfId="31326" xr:uid="{1BD5DD12-CE60-4A39-8DDE-7B626778F1C1}"/>
    <cellStyle name="Total 2 5 4 2 4 4 3" xfId="32299" xr:uid="{748AD5CC-56EC-49D9-8FC7-AC96764AE8A3}"/>
    <cellStyle name="Total 2 5 4 2 4 5" xfId="22173" xr:uid="{97B1BD35-40BA-4CA0-89C6-8A8C88735644}"/>
    <cellStyle name="Total 2 5 4 2 4 5 2" xfId="53441" xr:uid="{893C560C-ABA2-4E5E-AA38-74DA007A4D86}"/>
    <cellStyle name="Total 2 5 4 2 4 6" xfId="32611" xr:uid="{AD695FDC-F09F-4EEE-B516-1BE27C0CCF90}"/>
    <cellStyle name="Total 2 5 4 2 5" xfId="6156" xr:uid="{00000000-0005-0000-0000-00009B080000}"/>
    <cellStyle name="Total 2 5 4 2 5 2" xfId="13033" xr:uid="{0C7B0184-7D4D-4256-A80E-B15425968D4A}"/>
    <cellStyle name="Total 2 5 4 2 5 2 2" xfId="35517" xr:uid="{E09E237E-C7EB-4BFB-A50E-F2F7F5C03B7B}"/>
    <cellStyle name="Total 2 5 4 2 5 2 3" xfId="53944" xr:uid="{C5D23710-3484-4D4D-82FC-C3192C530BD5}"/>
    <cellStyle name="Total 2 5 4 2 5 3" xfId="18093" xr:uid="{92EFC011-0AD7-4275-A44E-B2D5CB7EABA2}"/>
    <cellStyle name="Total 2 5 4 2 5 3 2" xfId="40483" xr:uid="{BCAFBE54-6DC4-446B-A17E-45EA29B4E86A}"/>
    <cellStyle name="Total 2 5 4 2 5 3 3" xfId="24587" xr:uid="{CB5E38BB-23BA-467E-839E-8846B5F6F049}"/>
    <cellStyle name="Total 2 5 4 2 5 4" xfId="15414" xr:uid="{F11A0930-7842-44F6-8A6D-51745B7582C5}"/>
    <cellStyle name="Total 2 5 4 2 5 4 2" xfId="37840" xr:uid="{DD946D7A-61E6-4B67-85AB-B33FE9CA8113}"/>
    <cellStyle name="Total 2 5 4 2 5 4 3" xfId="47369" xr:uid="{83118BF1-2561-4C51-B4BE-87A6E1BFAF7D}"/>
    <cellStyle name="Total 2 5 4 2 5 5" xfId="22517" xr:uid="{8AB9D45C-47B6-4FC6-AD2A-3F3EB06FD80D}"/>
    <cellStyle name="Total 2 5 4 2 5 5 2" xfId="47684" xr:uid="{B80194C0-B5BD-4D79-B094-AB0378E03C77}"/>
    <cellStyle name="Total 2 5 4 2 5 6" xfId="49493" xr:uid="{42AD0A3C-17EE-48AA-8A56-798E69728E7F}"/>
    <cellStyle name="Total 2 5 4 2 6" xfId="6529" xr:uid="{00000000-0005-0000-0000-00009B080000}"/>
    <cellStyle name="Total 2 5 4 2 6 2" xfId="13398" xr:uid="{F8B88F1B-652F-48BB-9840-E44AF0545485}"/>
    <cellStyle name="Total 2 5 4 2 6 2 2" xfId="35882" xr:uid="{7915CD1A-D54B-42EA-BD5A-E25BABDB2E19}"/>
    <cellStyle name="Total 2 5 4 2 6 2 3" xfId="24100" xr:uid="{8611D7CC-4284-48DA-99F0-E21609BC85CD}"/>
    <cellStyle name="Total 2 5 4 2 6 3" xfId="18466" xr:uid="{6FC17027-E689-4F5D-825A-6B453173DF65}"/>
    <cellStyle name="Total 2 5 4 2 6 3 2" xfId="40856" xr:uid="{EC818CE1-2003-449D-83E6-7F7AB120E785}"/>
    <cellStyle name="Total 2 5 4 2 6 3 3" xfId="45899" xr:uid="{5F03FA17-28A0-46B1-81A5-7A14E47EBB07}"/>
    <cellStyle name="Total 2 5 4 2 6 4" xfId="19673" xr:uid="{093DACC2-CBAE-4922-B56A-B56897D982FC}"/>
    <cellStyle name="Total 2 5 4 2 6 4 2" xfId="42021" xr:uid="{B6CAB247-751A-449A-A7CF-3FDD57DCE4D7}"/>
    <cellStyle name="Total 2 5 4 2 6 4 3" xfId="28943" xr:uid="{2F912555-A5BF-466A-97FE-E2B4A1833DBB}"/>
    <cellStyle name="Total 2 5 4 2 6 5" xfId="22890" xr:uid="{9BCE758E-E8F8-4ED8-AA65-B547199FB3FB}"/>
    <cellStyle name="Total 2 5 4 2 6 5 2" xfId="46172" xr:uid="{A8C21BA9-F45C-4F89-81BB-AE2801983417}"/>
    <cellStyle name="Total 2 5 4 2 6 6" xfId="30825" xr:uid="{C81C415D-4FE1-4A81-9146-549BF2466839}"/>
    <cellStyle name="Total 2 5 4 2 7" xfId="5080" xr:uid="{00000000-0005-0000-0000-00009B080000}"/>
    <cellStyle name="Total 2 5 4 2 7 2" xfId="11973" xr:uid="{32EBAA3D-C686-4935-A973-1732FED36909}"/>
    <cellStyle name="Total 2 5 4 2 7 2 2" xfId="34459" xr:uid="{0F6746D9-EE22-4646-8872-12AA714976BA}"/>
    <cellStyle name="Total 2 5 4 2 7 2 3" xfId="28444" xr:uid="{05DA2752-50B2-437E-89B1-036093AEE99C}"/>
    <cellStyle name="Total 2 5 4 2 7 3" xfId="17017" xr:uid="{9DDBC792-52EF-4BF2-A260-33FC1E849885}"/>
    <cellStyle name="Total 2 5 4 2 7 3 2" xfId="39407" xr:uid="{9F21A0D9-7507-4AB5-A875-3F12F9B8BF10}"/>
    <cellStyle name="Total 2 5 4 2 7 3 3" xfId="45591" xr:uid="{EB810D91-EF23-4CA3-B4D6-1530DC723445}"/>
    <cellStyle name="Total 2 5 4 2 7 4" xfId="8834" xr:uid="{668B9313-9E5E-4F95-965F-264C7AA7487F}"/>
    <cellStyle name="Total 2 5 4 2 7 4 2" xfId="31415" xr:uid="{A66ABD90-8077-431A-A724-08C2C823731B}"/>
    <cellStyle name="Total 2 5 4 2 7 4 3" xfId="50818" xr:uid="{5CBE8448-83D8-40DF-B08F-8162C52333D3}"/>
    <cellStyle name="Total 2 5 4 2 7 5" xfId="21441" xr:uid="{ACDEC8D0-718D-4768-87B9-77030238EA86}"/>
    <cellStyle name="Total 2 5 4 2 7 5 2" xfId="29321" xr:uid="{274D2D16-81CB-4E88-B616-617B6C76ABE6}"/>
    <cellStyle name="Total 2 5 4 2 7 6" xfId="52010" xr:uid="{91E0F64D-3FBD-4238-BF0E-326D871A05D0}"/>
    <cellStyle name="Total 2 5 4 2 8" xfId="7013" xr:uid="{00000000-0005-0000-0000-00009B080000}"/>
    <cellStyle name="Total 2 5 4 2 8 2" xfId="13850" xr:uid="{CA01F8D8-D2C2-4AF8-8B33-600C53605A8B}"/>
    <cellStyle name="Total 2 5 4 2 8 2 2" xfId="36334" xr:uid="{448B24A5-56A3-400E-89B7-BC1619A6CF37}"/>
    <cellStyle name="Total 2 5 4 2 8 2 3" xfId="48913" xr:uid="{217A1085-E0D1-4682-A224-FF737A96F727}"/>
    <cellStyle name="Total 2 5 4 2 8 3" xfId="18950" xr:uid="{D3E71D77-4045-4369-9DC2-886B4C73FA8A}"/>
    <cellStyle name="Total 2 5 4 2 8 3 2" xfId="41340" xr:uid="{90501B45-31E1-49DA-801E-DCB340205D81}"/>
    <cellStyle name="Total 2 5 4 2 8 3 3" xfId="30414" xr:uid="{33398F5F-671F-46AA-8659-7AD9F285832F}"/>
    <cellStyle name="Total 2 5 4 2 8 4" xfId="19550" xr:uid="{04F2746D-22CD-40D1-B94A-12CA0060403E}"/>
    <cellStyle name="Total 2 5 4 2 8 4 2" xfId="41909" xr:uid="{D2AE5EA3-6D27-4A65-889C-3E941FF6DAB3}"/>
    <cellStyle name="Total 2 5 4 2 8 4 3" xfId="26148" xr:uid="{5E94B400-5E34-44B7-A096-7C7534E6600F}"/>
    <cellStyle name="Total 2 5 4 2 8 5" xfId="23374" xr:uid="{D07B3BAB-9EF2-41BA-8314-EDDACBB34B89}"/>
    <cellStyle name="Total 2 5 4 2 8 5 2" xfId="46893" xr:uid="{6EF86F4C-1C9F-4529-B60F-D1D3E1358B3F}"/>
    <cellStyle name="Total 2 5 4 2 8 6" xfId="53031" xr:uid="{665C278B-D36F-4A1C-9A71-10B285B0CEA1}"/>
    <cellStyle name="Total 2 5 4 2 9" xfId="7129" xr:uid="{00000000-0005-0000-0000-00009B080000}"/>
    <cellStyle name="Total 2 5 4 2 9 2" xfId="19066" xr:uid="{FC7FD4F1-11D7-499C-B4A6-DBD8308A10F4}"/>
    <cellStyle name="Total 2 5 4 2 9 2 2" xfId="41456" xr:uid="{6F76B4C7-A7CB-440F-A091-8544200B23E7}"/>
    <cellStyle name="Total 2 5 4 2 9 2 3" xfId="44719" xr:uid="{0DA57015-B05D-46DA-9ABF-BDA9FA75741B}"/>
    <cellStyle name="Total 2 5 4 2 9 3" xfId="20864" xr:uid="{3E082CE0-1670-4685-AAC2-510DEC70C5A9}"/>
    <cellStyle name="Total 2 5 4 2 9 3 2" xfId="43129" xr:uid="{2519FF64-4AC8-42A1-87D2-C9520CE7ABE0}"/>
    <cellStyle name="Total 2 5 4 2 9 3 3" xfId="51054" xr:uid="{1E7CD85B-E61E-4326-8A8E-E932995D487F}"/>
    <cellStyle name="Total 2 5 4 2 9 4" xfId="23490" xr:uid="{217DE286-02B0-4695-95D2-04551E8ECF08}"/>
    <cellStyle name="Total 2 5 4 2 9 4 2" xfId="53087" xr:uid="{4CE77738-C51A-419F-BF69-8D48FFB84E7B}"/>
    <cellStyle name="Total 2 5 4 2 9 5" xfId="52786" xr:uid="{135DD1B3-D34C-42DA-AF42-A626B218D43A}"/>
    <cellStyle name="Total 2 5 4 3" xfId="3160" xr:uid="{00000000-0005-0000-0000-00009A080000}"/>
    <cellStyle name="Total 2 5 4 3 2" xfId="10069" xr:uid="{FB927FCD-0F1F-4152-928D-240B75CE1DAB}"/>
    <cellStyle name="Total 2 5 4 3 2 2" xfId="32576" xr:uid="{110CC1F4-611B-41C3-B1EB-46ED3596BAFE}"/>
    <cellStyle name="Total 2 5 4 3 2 3" xfId="51665" xr:uid="{DB357E58-F4CC-4189-8CD6-0268AF737229}"/>
    <cellStyle name="Total 2 5 4 3 3" xfId="15447" xr:uid="{646FE272-BA46-4C9D-82D3-4CDF3ECBB998}"/>
    <cellStyle name="Total 2 5 4 3 3 2" xfId="37873" xr:uid="{1CB97DC0-2ACF-4075-A50C-96DBC5AF54D3}"/>
    <cellStyle name="Total 2 5 4 3 3 3" xfId="30535" xr:uid="{CE29CA8F-09BA-4029-A2C3-41D1F83A3378}"/>
    <cellStyle name="Total 2 5 4 3 4" xfId="15719" xr:uid="{941738EA-D099-49F3-81CC-098220AFD31E}"/>
    <cellStyle name="Total 2 5 4 3 4 2" xfId="38132" xr:uid="{5CF337C5-AEB4-47ED-A4FE-96DD5C1AEF99}"/>
    <cellStyle name="Total 2 5 4 3 4 3" xfId="53305" xr:uid="{FFCB4EE1-1FF2-46A2-9A35-90A149B862A7}"/>
    <cellStyle name="Total 2 5 4 3 5" xfId="20565" xr:uid="{B1F996D8-DF52-4668-87B8-41354BB32358}"/>
    <cellStyle name="Total 2 5 4 3 5 2" xfId="53865" xr:uid="{5513FA98-B525-4CDC-B5D0-B8F40DABBF67}"/>
    <cellStyle name="Total 2 5 4 3 6" xfId="47809" xr:uid="{77A35A8B-9807-472B-B86A-AAFF881AA88F}"/>
    <cellStyle name="Total 2 5 4 4" xfId="4811" xr:uid="{00000000-0005-0000-0000-00009A080000}"/>
    <cellStyle name="Total 2 5 4 4 2" xfId="11708" xr:uid="{FE0A2E19-410F-496F-AFFA-47B3ECED511B}"/>
    <cellStyle name="Total 2 5 4 4 2 2" xfId="34194" xr:uid="{59A8DD02-09F4-40A7-84CF-AB4D5C5E3DB3}"/>
    <cellStyle name="Total 2 5 4 4 2 3" xfId="29425" xr:uid="{6107A6A4-3EC5-4BE8-9B4D-8253DC135BB9}"/>
    <cellStyle name="Total 2 5 4 4 3" xfId="16748" xr:uid="{FFCD83C3-9D0C-4582-8C4A-9F39105F488D}"/>
    <cellStyle name="Total 2 5 4 4 3 2" xfId="39138" xr:uid="{F27875E8-091F-432E-8EAD-3466014302AC}"/>
    <cellStyle name="Total 2 5 4 4 3 3" xfId="37212" xr:uid="{5BE31490-8428-4FE2-A47B-A8BE440393D0}"/>
    <cellStyle name="Total 2 5 4 4 4" xfId="19264" xr:uid="{4FCAC769-746C-4861-81E2-8334CD420E15}"/>
    <cellStyle name="Total 2 5 4 4 4 2" xfId="41647" xr:uid="{1E8C359F-BBAA-4E02-8234-6A9E32951724}"/>
    <cellStyle name="Total 2 5 4 4 4 3" xfId="25704" xr:uid="{773646B1-16AE-438F-8B72-96CCD0EE0EE3}"/>
    <cellStyle name="Total 2 5 4 4 5" xfId="13984" xr:uid="{D3CE79E6-7E5B-4A23-84AD-66A8ECCAB900}"/>
    <cellStyle name="Total 2 5 4 4 5 2" xfId="23989" xr:uid="{CEC26783-03C1-48C4-B6CB-9B61B03A1F24}"/>
    <cellStyle name="Total 2 5 4 4 6" xfId="51830" xr:uid="{9415DFA1-D747-4BAA-869D-7C306FC1DEF5}"/>
    <cellStyle name="Total 2 5 4 5" xfId="5058" xr:uid="{00000000-0005-0000-0000-00009A080000}"/>
    <cellStyle name="Total 2 5 4 5 2" xfId="11951" xr:uid="{69120902-6145-41F3-AC6D-94B0820CD872}"/>
    <cellStyle name="Total 2 5 4 5 2 2" xfId="34437" xr:uid="{BC49887C-53F6-4047-B886-2704CF46CAF5}"/>
    <cellStyle name="Total 2 5 4 5 2 3" xfId="29892" xr:uid="{FA9B2A0C-7372-4DC6-8096-B700E6F68464}"/>
    <cellStyle name="Total 2 5 4 5 3" xfId="16995" xr:uid="{05FD3228-D164-429C-A76A-D1653EDE9A51}"/>
    <cellStyle name="Total 2 5 4 5 3 2" xfId="39385" xr:uid="{AA4D1494-0D36-4D9E-A630-4E42B9CE4BD6}"/>
    <cellStyle name="Total 2 5 4 5 3 3" xfId="28434" xr:uid="{AB96FDFC-C945-4028-84D7-0FA67C03CED1}"/>
    <cellStyle name="Total 2 5 4 5 4" xfId="14700" xr:uid="{9D55E354-AFD0-4EB8-8ED5-5868D59E5B12}"/>
    <cellStyle name="Total 2 5 4 5 4 2" xfId="37158" xr:uid="{3689D97B-89DF-4A64-ADCE-00447176BDE0}"/>
    <cellStyle name="Total 2 5 4 5 4 3" xfId="42064" xr:uid="{E2ED02CB-A43E-4153-9B6C-FD760EABF9CA}"/>
    <cellStyle name="Total 2 5 4 5 5" xfId="21419" xr:uid="{A2CA77B4-FA0E-4777-A503-0D80581F0992}"/>
    <cellStyle name="Total 2 5 4 5 5 2" xfId="49181" xr:uid="{50DA6A88-103F-4BDF-9715-D098FA59FD3D}"/>
    <cellStyle name="Total 2 5 4 5 6" xfId="47891" xr:uid="{ED858AA4-C5D8-4538-B25C-0BF733C7A66A}"/>
    <cellStyle name="Total 2 5 4 6" xfId="4456" xr:uid="{00000000-0005-0000-0000-00009A080000}"/>
    <cellStyle name="Total 2 5 4 6 2" xfId="11358" xr:uid="{B9D9A984-5422-4816-9845-1207CBA2B9F7}"/>
    <cellStyle name="Total 2 5 4 6 2 2" xfId="33844" xr:uid="{FBD5E170-FC4D-4479-BF5F-6521A1343850}"/>
    <cellStyle name="Total 2 5 4 6 2 3" xfId="29112" xr:uid="{BC9E3931-0B48-4BE2-B111-8B0FDBFED33D}"/>
    <cellStyle name="Total 2 5 4 6 3" xfId="16393" xr:uid="{9EF53B73-0C1D-4105-A4F4-6B55FD144A4A}"/>
    <cellStyle name="Total 2 5 4 6 3 2" xfId="38783" xr:uid="{9CE62D34-3552-4E05-8A4B-D946CED52AC2}"/>
    <cellStyle name="Total 2 5 4 6 3 3" xfId="27534" xr:uid="{EBB81D3E-202E-4AB8-88EB-1E77D3B8E8B0}"/>
    <cellStyle name="Total 2 5 4 6 4" xfId="15695" xr:uid="{D3BF1F19-884B-4766-A455-37B2849AEA26}"/>
    <cellStyle name="Total 2 5 4 6 4 2" xfId="38109" xr:uid="{FA78C189-3C1C-49A4-9CEB-FA5621776C4B}"/>
    <cellStyle name="Total 2 5 4 6 4 3" xfId="29409" xr:uid="{E532CAFB-A40F-4BFE-9064-E9268803F970}"/>
    <cellStyle name="Total 2 5 4 6 5" xfId="20587" xr:uid="{6DCE7B6A-B6CD-45CB-BC32-EA776265A7C5}"/>
    <cellStyle name="Total 2 5 4 6 5 2" xfId="28804" xr:uid="{CEA1E0FF-9FB3-4288-BD12-8BA0F599E4D2}"/>
    <cellStyle name="Total 2 5 4 6 6" xfId="51236" xr:uid="{341D5CB1-1A13-4010-884C-672C07C7CB7E}"/>
    <cellStyle name="Total 2 5 4 7" xfId="5626" xr:uid="{00000000-0005-0000-0000-00009A080000}"/>
    <cellStyle name="Total 2 5 4 7 2" xfId="12510" xr:uid="{F98E7DBF-3EF1-41B4-B3E3-63F06DC89E1D}"/>
    <cellStyle name="Total 2 5 4 7 2 2" xfId="34995" xr:uid="{16A3539A-5BE4-4490-B7A1-3DD26E64CC87}"/>
    <cellStyle name="Total 2 5 4 7 2 3" xfId="25290" xr:uid="{E07BA78D-EFF6-4621-8B21-C91AB42CFFC0}"/>
    <cellStyle name="Total 2 5 4 7 3" xfId="17563" xr:uid="{AE47C5D9-873B-4C79-BC5B-89DDB7A99DB5}"/>
    <cellStyle name="Total 2 5 4 7 3 2" xfId="39953" xr:uid="{3D1C519C-DD37-47A9-961F-EAFA512EF754}"/>
    <cellStyle name="Total 2 5 4 7 3 3" xfId="29758" xr:uid="{49480D59-BDD1-4B42-8B79-BD892D1D1563}"/>
    <cellStyle name="Total 2 5 4 7 4" xfId="7289" xr:uid="{72A73718-9B69-4FF8-9564-620EF140358F}"/>
    <cellStyle name="Total 2 5 4 7 4 2" xfId="29977" xr:uid="{72972003-3AB0-4196-8D26-230D7C09F8F3}"/>
    <cellStyle name="Total 2 5 4 7 4 3" xfId="46682" xr:uid="{8DBC5229-0050-417A-A9A9-FD5BD8C893F1}"/>
    <cellStyle name="Total 2 5 4 7 5" xfId="21987" xr:uid="{748B5DE1-D30E-4563-A5F1-99FEAF67936B}"/>
    <cellStyle name="Total 2 5 4 7 5 2" xfId="23623" xr:uid="{60AE5B00-ED28-4C56-9432-99AFE43F35FB}"/>
    <cellStyle name="Total 2 5 4 7 6" xfId="44929" xr:uid="{019B21CC-3B05-4889-8F01-3B89B999EBD8}"/>
    <cellStyle name="Total 2 5 4 8" xfId="14013" xr:uid="{7462C886-72C6-4FC5-BF0E-0E1CB8252B19}"/>
    <cellStyle name="Total 2 5 4 8 2" xfId="36496" xr:uid="{C3D85101-50D7-49B5-A847-B47CE5C651C7}"/>
    <cellStyle name="Total 2 5 4 8 3" xfId="51277" xr:uid="{07716AA7-F85E-47B8-A642-8FFF47895208}"/>
    <cellStyle name="Total 2 5 4 9" xfId="20806" xr:uid="{67F80DE9-BEBA-4561-8909-8B9B40904CDC}"/>
    <cellStyle name="Total 2 5 4 9 2" xfId="43072" xr:uid="{A82CC706-E66B-423F-B585-C1A02C436083}"/>
    <cellStyle name="Total 2 5 4 9 3" xfId="47670" xr:uid="{A98B39D6-1B7E-453F-A904-B9BE1AE56050}"/>
    <cellStyle name="Total 2 5 5" xfId="1221" xr:uid="{00000000-0005-0000-0000-00009F080000}"/>
    <cellStyle name="Total 2 5 5 10" xfId="14327" xr:uid="{50043F00-B1D8-4EF5-ACC7-377964BE98B8}"/>
    <cellStyle name="Total 2 5 5 10 2" xfId="29254" xr:uid="{AA3C12DF-EE4C-46BC-9CC2-B672A4298552}"/>
    <cellStyle name="Total 2 5 5 11" xfId="49385" xr:uid="{491D748B-52E7-4D2D-99B5-21190CB45878}"/>
    <cellStyle name="Total 2 5 5 2" xfId="2021" xr:uid="{00000000-0005-0000-0000-0000A0080000}"/>
    <cellStyle name="Total 2 5 5 2 10" xfId="14669" xr:uid="{019F671E-9B5A-4A1F-B7B8-E3DA57376928}"/>
    <cellStyle name="Total 2 5 5 2 10 2" xfId="37129" xr:uid="{5D5E500E-3791-4273-AE4E-1A7C00D6FB52}"/>
    <cellStyle name="Total 2 5 5 2 10 3" xfId="36848" xr:uid="{6803EADB-4C7A-4185-9CE6-98B35D256745}"/>
    <cellStyle name="Total 2 5 5 2 11" xfId="20975" xr:uid="{ECD8AAB2-1594-4DD4-A87A-7EE58079D101}"/>
    <cellStyle name="Total 2 5 5 2 11 2" xfId="43229" xr:uid="{1B1D2D50-D20D-4F9B-8D8E-8D008B4EE16D}"/>
    <cellStyle name="Total 2 5 5 2 11 3" xfId="36946" xr:uid="{9995D337-7230-432D-8C3D-60A1A50F95CE}"/>
    <cellStyle name="Total 2 5 5 2 12" xfId="21229" xr:uid="{A1B8DF95-EDB4-4709-8EDB-66227BA7223C}"/>
    <cellStyle name="Total 2 5 5 2 12 2" xfId="53373" xr:uid="{430476BF-7FB3-4023-B109-DBA2572347F9}"/>
    <cellStyle name="Total 2 5 5 2 13" xfId="54059" xr:uid="{A018AD80-F40E-4477-8232-632D36443F64}"/>
    <cellStyle name="Total 2 5 5 2 2" xfId="4116" xr:uid="{00000000-0005-0000-0000-00009D080000}"/>
    <cellStyle name="Total 2 5 5 2 2 2" xfId="11020" xr:uid="{3D9E8B71-B905-4DC0-A20B-58770B7A1ED1}"/>
    <cellStyle name="Total 2 5 5 2 2 2 2" xfId="33506" xr:uid="{4048DE68-1582-44AD-B3AA-3683AA484BCC}"/>
    <cellStyle name="Total 2 5 5 2 2 2 3" xfId="29766" xr:uid="{5F49EEDB-DED7-4852-9B57-C7082912FA6D}"/>
    <cellStyle name="Total 2 5 5 2 2 3" xfId="16120" xr:uid="{6779E39C-8C00-4AC4-B86A-F91508D43EB8}"/>
    <cellStyle name="Total 2 5 5 2 2 3 2" xfId="38520" xr:uid="{5A10C909-F544-4EC2-A4EE-A57E0033F27F}"/>
    <cellStyle name="Total 2 5 5 2 2 3 3" xfId="44794" xr:uid="{6E6287C3-F29A-437D-84BE-93454642EC9D}"/>
    <cellStyle name="Total 2 5 5 2 2 4" xfId="20543" xr:uid="{CE1444E2-B4BB-4875-8D97-29243BA877A8}"/>
    <cellStyle name="Total 2 5 5 2 2 4 2" xfId="42829" xr:uid="{63FBBB64-7CA9-4F9D-9673-AD2D4C3C41BD}"/>
    <cellStyle name="Total 2 5 5 2 2 4 3" xfId="52448" xr:uid="{5937F367-CA64-4102-A64C-F7C10BA8F4A9}"/>
    <cellStyle name="Total 2 5 5 2 2 5" xfId="9027" xr:uid="{D35D4F00-34A5-42B6-82AA-67FF377ADC02}"/>
    <cellStyle name="Total 2 5 5 2 2 5 2" xfId="49612" xr:uid="{ED2C9718-C480-4E84-9423-2F2D08C2922D}"/>
    <cellStyle name="Total 2 5 5 2 2 6" xfId="24642" xr:uid="{1ADB5128-66A3-4B9E-AF80-FB0E9F49584E}"/>
    <cellStyle name="Total 2 5 5 2 3" xfId="5462" xr:uid="{00000000-0005-0000-0000-00009D080000}"/>
    <cellStyle name="Total 2 5 5 2 3 2" xfId="12351" xr:uid="{012AA042-EF35-478C-ADE5-C3BDA634AC8F}"/>
    <cellStyle name="Total 2 5 5 2 3 2 2" xfId="34836" xr:uid="{8BAA6A37-AB46-484D-911B-CC202109F43E}"/>
    <cellStyle name="Total 2 5 5 2 3 2 3" xfId="26615" xr:uid="{376F4EAC-C615-49B2-93DC-3BCB5B34287A}"/>
    <cellStyle name="Total 2 5 5 2 3 3" xfId="17399" xr:uid="{970AF269-DC94-48BE-802D-56C2C5BDB3D4}"/>
    <cellStyle name="Total 2 5 5 2 3 3 2" xfId="39789" xr:uid="{75BF6C5E-7AEF-4ABE-A654-72479B9D0047}"/>
    <cellStyle name="Total 2 5 5 2 3 3 3" xfId="43351" xr:uid="{311DF57C-2620-46B1-ADDA-8880C04F151A}"/>
    <cellStyle name="Total 2 5 5 2 3 4" xfId="19200" xr:uid="{560E1325-CD3F-4CB0-B10E-BC757D578346}"/>
    <cellStyle name="Total 2 5 5 2 3 4 2" xfId="41589" xr:uid="{C541BF56-C2AB-493D-8E0A-BA2021FDF901}"/>
    <cellStyle name="Total 2 5 5 2 3 4 3" xfId="29694" xr:uid="{AA1E01B2-4FF7-4F0C-B19E-A187248A2355}"/>
    <cellStyle name="Total 2 5 5 2 3 5" xfId="21823" xr:uid="{B2C28CE4-B2CF-4EE9-9B98-5CE5D71B7070}"/>
    <cellStyle name="Total 2 5 5 2 3 5 2" xfId="53238" xr:uid="{DD66FDC2-64DF-4A06-B2E7-6DFBD211456C}"/>
    <cellStyle name="Total 2 5 5 2 3 6" xfId="49847" xr:uid="{995F4C56-FD92-4C49-9C7B-EE02CC165A21}"/>
    <cellStyle name="Total 2 5 5 2 4" xfId="5885" xr:uid="{00000000-0005-0000-0000-00009D080000}"/>
    <cellStyle name="Total 2 5 5 2 4 2" xfId="12767" xr:uid="{CEA56095-3F8A-4B5B-86C1-F631EBCDAC26}"/>
    <cellStyle name="Total 2 5 5 2 4 2 2" xfId="35251" xr:uid="{E564CFAA-175C-44C3-95C4-E39478CCF5D4}"/>
    <cellStyle name="Total 2 5 5 2 4 2 3" xfId="43160" xr:uid="{47B3AA4D-4281-40C5-A60B-916ED426579E}"/>
    <cellStyle name="Total 2 5 5 2 4 3" xfId="17822" xr:uid="{8577D0F7-B66D-422F-8BDB-3F9969E953BC}"/>
    <cellStyle name="Total 2 5 5 2 4 3 2" xfId="40212" xr:uid="{F1ED7F26-299C-44B7-984B-CE65411260BD}"/>
    <cellStyle name="Total 2 5 5 2 4 3 3" xfId="44349" xr:uid="{3A36D0F5-8206-49DA-8D68-CAC0C3668B4E}"/>
    <cellStyle name="Total 2 5 5 2 4 4" xfId="16079" xr:uid="{97416BD7-9FC7-4DD5-B449-800FE86B1124}"/>
    <cellStyle name="Total 2 5 5 2 4 4 2" xfId="38479" xr:uid="{12F4C285-194A-4256-A55B-B79D882E46F8}"/>
    <cellStyle name="Total 2 5 5 2 4 4 3" xfId="46439" xr:uid="{3A8A95AE-384C-4425-B936-E1C7DFB9A6DC}"/>
    <cellStyle name="Total 2 5 5 2 4 5" xfId="22246" xr:uid="{67827606-4674-4B95-B1ED-6DC06A07A56E}"/>
    <cellStyle name="Total 2 5 5 2 4 5 2" xfId="45626" xr:uid="{3E8BE0D3-9D53-4433-8656-EB10A241C8DD}"/>
    <cellStyle name="Total 2 5 5 2 4 6" xfId="47371" xr:uid="{33A43710-28A8-47CE-933F-64FBD2547FD5}"/>
    <cellStyle name="Total 2 5 5 2 5" xfId="6223" xr:uid="{00000000-0005-0000-0000-00009D080000}"/>
    <cellStyle name="Total 2 5 5 2 5 2" xfId="13098" xr:uid="{A2526AF6-6443-401C-9D91-7F8A7995020E}"/>
    <cellStyle name="Total 2 5 5 2 5 2 2" xfId="35582" xr:uid="{3656BC22-0025-437E-815D-72827DD709AB}"/>
    <cellStyle name="Total 2 5 5 2 5 2 3" xfId="46817" xr:uid="{4EEE68D2-6587-46FF-947D-B5C4A0C3FFE7}"/>
    <cellStyle name="Total 2 5 5 2 5 3" xfId="18160" xr:uid="{2519286B-C136-457A-B5E4-5079D2DAA5A6}"/>
    <cellStyle name="Total 2 5 5 2 5 3 2" xfId="40550" xr:uid="{D32B5A50-1D8B-4252-BEBD-8E649D06FB07}"/>
    <cellStyle name="Total 2 5 5 2 5 3 3" xfId="43932" xr:uid="{D038CB93-FFF4-48BF-AD1F-374984D9F4DC}"/>
    <cellStyle name="Total 2 5 5 2 5 4" xfId="14986" xr:uid="{08745096-E0DF-4689-A57E-A10681B6457C}"/>
    <cellStyle name="Total 2 5 5 2 5 4 2" xfId="37437" xr:uid="{FD1BB001-DD89-4CC0-9983-D621383658DF}"/>
    <cellStyle name="Total 2 5 5 2 5 4 3" xfId="46995" xr:uid="{52E5C185-5242-48AE-B5C5-7E6ACB412B96}"/>
    <cellStyle name="Total 2 5 5 2 5 5" xfId="22584" xr:uid="{F60D5725-42DF-4975-8059-0818FB71CB54}"/>
    <cellStyle name="Total 2 5 5 2 5 5 2" xfId="47340" xr:uid="{C7F3D27E-13E1-42D8-A195-6D0FA6573966}"/>
    <cellStyle name="Total 2 5 5 2 5 6" xfId="50280" xr:uid="{15906EE8-91D4-4E63-BE7B-6DA7D46BE5F9}"/>
    <cellStyle name="Total 2 5 5 2 6" xfId="6589" xr:uid="{00000000-0005-0000-0000-00009D080000}"/>
    <cellStyle name="Total 2 5 5 2 6 2" xfId="13455" xr:uid="{990526D8-9678-4974-8CF0-268FECFC1EE5}"/>
    <cellStyle name="Total 2 5 5 2 6 2 2" xfId="35939" xr:uid="{E78305A8-04FA-40D2-A502-CF50DA99AF9C}"/>
    <cellStyle name="Total 2 5 5 2 6 2 3" xfId="50657" xr:uid="{D6C7396B-6DCA-4EB9-A5B9-DB2FA60F72F5}"/>
    <cellStyle name="Total 2 5 5 2 6 3" xfId="18526" xr:uid="{12E6E04E-BA0C-4687-B91C-DC67EE356861}"/>
    <cellStyle name="Total 2 5 5 2 6 3 2" xfId="40916" xr:uid="{2B9291D9-525C-4386-B551-8A5DC1DC0E6F}"/>
    <cellStyle name="Total 2 5 5 2 6 3 3" xfId="29610" xr:uid="{28C6FECC-5B69-42B5-915A-331E9ECE9705}"/>
    <cellStyle name="Total 2 5 5 2 6 4" xfId="19764" xr:uid="{27760A97-6D27-4F72-AB90-31B264791B53}"/>
    <cellStyle name="Total 2 5 5 2 6 4 2" xfId="42106" xr:uid="{035D07CD-7F4D-4427-9943-9FE1988C2BFE}"/>
    <cellStyle name="Total 2 5 5 2 6 4 3" xfId="29090" xr:uid="{DCF33539-7BD1-4E33-AEE1-94524CF0BF7C}"/>
    <cellStyle name="Total 2 5 5 2 6 5" xfId="22950" xr:uid="{A6524759-4AE6-48FD-BF89-27B680FC208A}"/>
    <cellStyle name="Total 2 5 5 2 6 5 2" xfId="43900" xr:uid="{CC9F0CB5-AA35-445D-AA4A-D0297E80B6CB}"/>
    <cellStyle name="Total 2 5 5 2 6 6" xfId="46145" xr:uid="{6C05D5E3-BBD7-4193-873E-B1838B98B64C}"/>
    <cellStyle name="Total 2 5 5 2 7" xfId="4851" xr:uid="{00000000-0005-0000-0000-00009D080000}"/>
    <cellStyle name="Total 2 5 5 2 7 2" xfId="11747" xr:uid="{DCCF3234-54F8-4B86-A781-A02C900772EA}"/>
    <cellStyle name="Total 2 5 5 2 7 2 2" xfId="34233" xr:uid="{9501E1AA-34CE-4B29-AEB2-A9DD9436BA4D}"/>
    <cellStyle name="Total 2 5 5 2 7 2 3" xfId="41566" xr:uid="{0D51C0DB-DC3A-4200-97DE-6DD17510D28E}"/>
    <cellStyle name="Total 2 5 5 2 7 3" xfId="16788" xr:uid="{D29DB622-87F8-403D-A2E9-FC21553475D0}"/>
    <cellStyle name="Total 2 5 5 2 7 3 2" xfId="39178" xr:uid="{BB4C1DE0-F003-4437-A25B-BF1AE91AB7F9}"/>
    <cellStyle name="Total 2 5 5 2 7 3 3" xfId="44909" xr:uid="{5CDD0534-367D-4FF4-BAAF-02F41C1026AB}"/>
    <cellStyle name="Total 2 5 5 2 7 4" xfId="16254" xr:uid="{E942CFE0-1366-4B6F-B039-E0B54C5C161C}"/>
    <cellStyle name="Total 2 5 5 2 7 4 2" xfId="38646" xr:uid="{99B33AB0-6564-484B-888F-5E311EFBFA38}"/>
    <cellStyle name="Total 2 5 5 2 7 4 3" xfId="29924" xr:uid="{26A993A3-B612-47C8-84BD-07EAFC840A86}"/>
    <cellStyle name="Total 2 5 5 2 7 5" xfId="8420" xr:uid="{E0FF5983-686A-4CBF-8831-80AAF4B0A32E}"/>
    <cellStyle name="Total 2 5 5 2 7 5 2" xfId="47147" xr:uid="{7A2916FB-D2E2-40F0-8E03-438FB7AB8B93}"/>
    <cellStyle name="Total 2 5 5 2 7 6" xfId="46875" xr:uid="{C9CDF70E-4CDD-47E1-B046-397F20D5D76E}"/>
    <cellStyle name="Total 2 5 5 2 8" xfId="7059" xr:uid="{00000000-0005-0000-0000-00009D080000}"/>
    <cellStyle name="Total 2 5 5 2 8 2" xfId="13895" xr:uid="{7A26E3EA-5DE4-48E0-A2E2-20F99C2D06E8}"/>
    <cellStyle name="Total 2 5 5 2 8 2 2" xfId="36379" xr:uid="{F77F90A8-60E4-4EC1-B158-54BD9B9F02A6}"/>
    <cellStyle name="Total 2 5 5 2 8 2 3" xfId="51837" xr:uid="{B88823CD-C8FE-4378-A75B-4C1699D8F1FD}"/>
    <cellStyle name="Total 2 5 5 2 8 3" xfId="18996" xr:uid="{76A748D7-CD1B-45C2-A80F-0742CB701DE4}"/>
    <cellStyle name="Total 2 5 5 2 8 3 2" xfId="41386" xr:uid="{18399092-5B96-429B-9623-EC48765F5F84}"/>
    <cellStyle name="Total 2 5 5 2 8 3 3" xfId="41946" xr:uid="{C81A8BF3-79F6-42A8-B4C0-5294D05C2F5F}"/>
    <cellStyle name="Total 2 5 5 2 8 4" xfId="14312" xr:uid="{852303A3-59E9-42E3-A384-A097FC362E52}"/>
    <cellStyle name="Total 2 5 5 2 8 4 2" xfId="36781" xr:uid="{9870C820-1822-44DB-89FC-4BA4E946AA9B}"/>
    <cellStyle name="Total 2 5 5 2 8 4 3" xfId="52108" xr:uid="{C01DCAA7-9B20-4880-85F9-42B0D39B23D6}"/>
    <cellStyle name="Total 2 5 5 2 8 5" xfId="23420" xr:uid="{0BC78489-6EB9-43A6-98BB-9FB672274F66}"/>
    <cellStyle name="Total 2 5 5 2 8 5 2" xfId="50463" xr:uid="{C6A45937-EF39-44B0-802F-27EA01DE20D6}"/>
    <cellStyle name="Total 2 5 5 2 8 6" xfId="49919" xr:uid="{2596EBB8-FBD5-4333-9239-103EE11A9B6E}"/>
    <cellStyle name="Total 2 5 5 2 9" xfId="7174" xr:uid="{00000000-0005-0000-0000-00009D080000}"/>
    <cellStyle name="Total 2 5 5 2 9 2" xfId="19111" xr:uid="{DA3D017A-B3F9-4DFE-A5C4-253094AB6653}"/>
    <cellStyle name="Total 2 5 5 2 9 2 2" xfId="41501" xr:uid="{B86EFB4A-130A-473E-9C93-1EEFA1FBF10B}"/>
    <cellStyle name="Total 2 5 5 2 9 2 3" xfId="29297" xr:uid="{E9F93CC6-CAF2-4345-9171-8738AB33CC49}"/>
    <cellStyle name="Total 2 5 5 2 9 3" xfId="20752" xr:uid="{A729F0E6-C55F-4967-900D-3C6AEE2161BB}"/>
    <cellStyle name="Total 2 5 5 2 9 3 2" xfId="43021" xr:uid="{AF219F8E-B737-4E3E-BCA2-F6E5D5A78931}"/>
    <cellStyle name="Total 2 5 5 2 9 3 3" xfId="36040" xr:uid="{32BEE0D4-A626-4B93-AD4A-CD51E9C61762}"/>
    <cellStyle name="Total 2 5 5 2 9 4" xfId="23535" xr:uid="{787DDEDD-AFCB-488B-970E-AB2B6C3F2211}"/>
    <cellStyle name="Total 2 5 5 2 9 4 2" xfId="47329" xr:uid="{BA79F511-CA89-49BB-83DD-166ADF906BBA}"/>
    <cellStyle name="Total 2 5 5 2 9 5" xfId="49764" xr:uid="{2D5434CD-7E2A-4E21-A074-1ED9939B0AB9}"/>
    <cellStyle name="Total 2 5 5 3" xfId="3334" xr:uid="{00000000-0005-0000-0000-00009C080000}"/>
    <cellStyle name="Total 2 5 5 3 2" xfId="10242" xr:uid="{7B16324F-F35F-4630-8229-EFF252FB7806}"/>
    <cellStyle name="Total 2 5 5 3 2 2" xfId="32736" xr:uid="{48A96AE2-7677-4712-9FCB-65514BF63056}"/>
    <cellStyle name="Total 2 5 5 3 2 3" xfId="46322" xr:uid="{BD86324C-6742-41DE-BF9A-FBD568D5D128}"/>
    <cellStyle name="Total 2 5 5 3 3" xfId="15560" xr:uid="{3C141033-EEE0-4AA8-B6BE-287A4D870FEA}"/>
    <cellStyle name="Total 2 5 5 3 3 2" xfId="37979" xr:uid="{093591E8-3BBD-4E18-B3B3-3B85DEDB5CA9}"/>
    <cellStyle name="Total 2 5 5 3 3 3" xfId="52150" xr:uid="{EA39EA0F-0EBC-4B5A-A50C-BB432D5E49E7}"/>
    <cellStyle name="Total 2 5 5 3 4" xfId="14962" xr:uid="{336F5CDC-0082-4B08-BF87-C791AECC3399}"/>
    <cellStyle name="Total 2 5 5 3 4 2" xfId="37413" xr:uid="{BDD4107D-D695-4B64-8CA3-5E4F7A3BD96B}"/>
    <cellStyle name="Total 2 5 5 3 4 3" xfId="50553" xr:uid="{43A10276-6784-4568-AA94-0B46AB529B39}"/>
    <cellStyle name="Total 2 5 5 3 5" xfId="19382" xr:uid="{ED5E96AE-C5BB-49E5-B7E0-F9C73C05D2B2}"/>
    <cellStyle name="Total 2 5 5 3 5 2" xfId="43918" xr:uid="{7634E476-8653-4104-8970-71E615C5031A}"/>
    <cellStyle name="Total 2 5 5 3 6" xfId="53941" xr:uid="{0045DC50-E55F-4F9C-AD69-C068B8392BFB}"/>
    <cellStyle name="Total 2 5 5 4" xfId="4921" xr:uid="{00000000-0005-0000-0000-00009C080000}"/>
    <cellStyle name="Total 2 5 5 4 2" xfId="11816" xr:uid="{D4FE78EB-9B98-4974-9BE5-3B9C8E20C4B4}"/>
    <cellStyle name="Total 2 5 5 4 2 2" xfId="34302" xr:uid="{9B56BA73-8DC7-436E-8050-9461D259A520}"/>
    <cellStyle name="Total 2 5 5 4 2 3" xfId="43763" xr:uid="{999874DB-12CC-4DD4-9B61-26D5A8ECF9BA}"/>
    <cellStyle name="Total 2 5 5 4 3" xfId="16858" xr:uid="{0FE9D7F5-8C9C-4025-9ACE-760C49FF92B8}"/>
    <cellStyle name="Total 2 5 5 4 3 2" xfId="39248" xr:uid="{56BAB286-A20C-4439-8920-E0A080A948E5}"/>
    <cellStyle name="Total 2 5 5 4 3 3" xfId="41821" xr:uid="{348D8B8E-3A8D-4B58-973A-86AB65214B3F}"/>
    <cellStyle name="Total 2 5 5 4 4" xfId="15860" xr:uid="{85FB9407-CC7B-49BA-97AB-DC5443E5F29C}"/>
    <cellStyle name="Total 2 5 5 4 4 2" xfId="38266" xr:uid="{546A1C8C-5778-408E-B0BB-8DCE5A7619AB}"/>
    <cellStyle name="Total 2 5 5 4 4 3" xfId="32522" xr:uid="{58AC3FE2-6F58-4632-A8BC-7857E38FE241}"/>
    <cellStyle name="Total 2 5 5 4 5" xfId="20399" xr:uid="{A2F760C6-AA1A-4790-93DC-2FE2E0764105}"/>
    <cellStyle name="Total 2 5 5 4 5 2" xfId="53681" xr:uid="{5329C925-A59F-46CE-8CC6-6DACF104E9C2}"/>
    <cellStyle name="Total 2 5 5 4 6" xfId="52293" xr:uid="{083199A2-E9F3-43AF-B334-1459E3AE8FB6}"/>
    <cellStyle name="Total 2 5 5 5" xfId="5921" xr:uid="{00000000-0005-0000-0000-00009C080000}"/>
    <cellStyle name="Total 2 5 5 5 2" xfId="12802" xr:uid="{1B5236B5-4D60-41BF-9C79-A1F8BBAB671F}"/>
    <cellStyle name="Total 2 5 5 5 2 2" xfId="35286" xr:uid="{A6D2FD80-CA5C-43CB-ACDB-3858A9B6A15D}"/>
    <cellStyle name="Total 2 5 5 5 2 3" xfId="30341" xr:uid="{991EFD29-F8AD-4361-95F9-3FF2C083BFA5}"/>
    <cellStyle name="Total 2 5 5 5 3" xfId="17858" xr:uid="{88D82E82-16F6-48F7-92D4-B812113725AD}"/>
    <cellStyle name="Total 2 5 5 5 3 2" xfId="40248" xr:uid="{E027781E-181F-4461-9659-F6B2843693F5}"/>
    <cellStyle name="Total 2 5 5 5 3 3" xfId="29480" xr:uid="{63B80DC8-92F6-4EA7-AAC0-20A777D94051}"/>
    <cellStyle name="Total 2 5 5 5 4" xfId="14959" xr:uid="{4367EB45-C7B0-4579-8FA5-8EF7A2388275}"/>
    <cellStyle name="Total 2 5 5 5 4 2" xfId="37411" xr:uid="{872DA072-75BF-45CE-9FC5-467037C45C85}"/>
    <cellStyle name="Total 2 5 5 5 4 3" xfId="45919" xr:uid="{6E4D02CD-0007-4E4C-9ED7-A5C22C7586F7}"/>
    <cellStyle name="Total 2 5 5 5 5" xfId="22282" xr:uid="{FCC41A6A-75BC-431D-853E-6C8014B62032}"/>
    <cellStyle name="Total 2 5 5 5 5 2" xfId="31885" xr:uid="{DFE75CF1-36BA-4802-8265-F94C33DD7493}"/>
    <cellStyle name="Total 2 5 5 5 6" xfId="52287" xr:uid="{58B8EFD8-3CAB-4B95-86C8-ABB6EDE16678}"/>
    <cellStyle name="Total 2 5 5 6" xfId="5153" xr:uid="{00000000-0005-0000-0000-00009C080000}"/>
    <cellStyle name="Total 2 5 5 6 2" xfId="12046" xr:uid="{F78CEFF4-EA97-4ADE-876B-F7B8184CF681}"/>
    <cellStyle name="Total 2 5 5 6 2 2" xfId="34532" xr:uid="{304F4CC2-FD6A-443C-BE8A-5C33D9395B4F}"/>
    <cellStyle name="Total 2 5 5 6 2 3" xfId="44823" xr:uid="{58DB6862-2526-4234-99E0-518EA36D7DC8}"/>
    <cellStyle name="Total 2 5 5 6 3" xfId="17090" xr:uid="{C143EE4B-5091-423B-AE44-BFDC27A20C92}"/>
    <cellStyle name="Total 2 5 5 6 3 2" xfId="39480" xr:uid="{CF7CC546-C4F6-4B54-9315-19FFCF66D840}"/>
    <cellStyle name="Total 2 5 5 6 3 3" xfId="27188" xr:uid="{B258A279-BD33-4AD6-8906-6D88E85098F5}"/>
    <cellStyle name="Total 2 5 5 6 4" xfId="15236" xr:uid="{6BFCE4EC-E47A-41AA-8FA5-3CDD88C3CF4B}"/>
    <cellStyle name="Total 2 5 5 6 4 2" xfId="37672" xr:uid="{2A7B2F0B-3905-467C-969C-20FE95733E3D}"/>
    <cellStyle name="Total 2 5 5 6 4 3" xfId="52783" xr:uid="{78C0D8DB-EABD-4C95-A4A6-B7F34C3B0A99}"/>
    <cellStyle name="Total 2 5 5 6 5" xfId="21514" xr:uid="{5407DEDB-1B0F-45A2-BDF4-64B259271144}"/>
    <cellStyle name="Total 2 5 5 6 5 2" xfId="47652" xr:uid="{CCAABB69-78A3-4311-B3DA-1EE51C770F4A}"/>
    <cellStyle name="Total 2 5 5 6 6" xfId="48785" xr:uid="{2C00FA81-BD63-40A1-90B8-7640363C303A}"/>
    <cellStyle name="Total 2 5 5 7" xfId="6746" xr:uid="{00000000-0005-0000-0000-00009C080000}"/>
    <cellStyle name="Total 2 5 5 7 2" xfId="13602" xr:uid="{4CE477E6-3B83-4E8B-802C-A2884265682A}"/>
    <cellStyle name="Total 2 5 5 7 2 2" xfId="36086" xr:uid="{BBF7636F-100B-42D1-86B0-407A05F45722}"/>
    <cellStyle name="Total 2 5 5 7 2 3" xfId="47506" xr:uid="{8F39AC14-8A80-480E-9A35-430316E22C82}"/>
    <cellStyle name="Total 2 5 5 7 3" xfId="18683" xr:uid="{213C4DDB-B77D-4DDD-949E-B22A672B3FCE}"/>
    <cellStyle name="Total 2 5 5 7 3 2" xfId="41073" xr:uid="{97270AD2-18EF-4F52-8180-F0082DF688E1}"/>
    <cellStyle name="Total 2 5 5 7 3 3" xfId="37227" xr:uid="{64A736C8-8E83-4CE1-9705-9BE32F4E4AA5}"/>
    <cellStyle name="Total 2 5 5 7 4" xfId="19410" xr:uid="{E3A859EE-ED0D-4775-98E3-4D59C4327B59}"/>
    <cellStyle name="Total 2 5 5 7 4 2" xfId="41782" xr:uid="{06BC8BBC-F3D2-4B82-ADC4-30B14D155500}"/>
    <cellStyle name="Total 2 5 5 7 4 3" xfId="30672" xr:uid="{25B93B07-0340-471E-9740-0374EA04FD0D}"/>
    <cellStyle name="Total 2 5 5 7 5" xfId="23107" xr:uid="{B3B7154C-4CD3-4E72-B419-8485BDA654BB}"/>
    <cellStyle name="Total 2 5 5 7 5 2" xfId="50183" xr:uid="{EA88B808-3270-4CD5-8BD8-35789941BE48}"/>
    <cellStyle name="Total 2 5 5 7 6" xfId="53342" xr:uid="{9D0F83F2-7884-41A1-8407-63B918BE8234}"/>
    <cellStyle name="Total 2 5 5 8" xfId="14096" xr:uid="{CAD60918-587E-4B04-9286-F96BFDFAC18A}"/>
    <cellStyle name="Total 2 5 5 8 2" xfId="36574" xr:uid="{C4B2D80A-A4A6-4EB3-BC09-249EDB6B826F}"/>
    <cellStyle name="Total 2 5 5 8 3" xfId="51055" xr:uid="{CB74C7E3-D72B-4F63-BD4E-7AD2C1EC62DA}"/>
    <cellStyle name="Total 2 5 5 9" xfId="15122" xr:uid="{BDE86CE1-5FB7-41E8-A67C-353678205149}"/>
    <cellStyle name="Total 2 5 5 9 2" xfId="37564" xr:uid="{41E1C9E6-59DA-4E41-AEDC-F7ECB7014DD5}"/>
    <cellStyle name="Total 2 5 5 9 3" xfId="51569" xr:uid="{CBBD0135-F201-4849-B79F-DAB458B7B6C6}"/>
    <cellStyle name="Total 2 5 6" xfId="1383" xr:uid="{00000000-0005-0000-0000-0000A1080000}"/>
    <cellStyle name="Total 2 5 6 10" xfId="20844" xr:uid="{C73A9B7B-77F5-4C67-834D-962FCAE7884B}"/>
    <cellStyle name="Total 2 5 6 10 2" xfId="48358" xr:uid="{EFB68C41-89C7-4C8B-B58F-6F13555867BA}"/>
    <cellStyle name="Total 2 5 6 11" xfId="48263" xr:uid="{C80613FB-EA4A-45E4-B540-3283952BD5FD}"/>
    <cellStyle name="Total 2 5 6 2" xfId="2112" xr:uid="{00000000-0005-0000-0000-0000A2080000}"/>
    <cellStyle name="Total 2 5 6 2 10" xfId="14741" xr:uid="{63049FB2-71FB-4514-AC60-5729DA0FD5C1}"/>
    <cellStyle name="Total 2 5 6 2 10 2" xfId="37199" xr:uid="{1BDA3672-447F-41CB-BA00-0809BB10D897}"/>
    <cellStyle name="Total 2 5 6 2 10 3" xfId="52716" xr:uid="{988A060B-37E1-4915-A5D4-BB6822C73595}"/>
    <cellStyle name="Total 2 5 6 2 11" xfId="15351" xr:uid="{DDC94E0D-3385-46EE-A772-3F406C515DEE}"/>
    <cellStyle name="Total 2 5 6 2 11 2" xfId="37782" xr:uid="{880C3A19-420F-4FBE-BF55-1600ECB39DD9}"/>
    <cellStyle name="Total 2 5 6 2 11 3" xfId="47709" xr:uid="{89189071-AAB7-48BD-96EC-A5D22421AB40}"/>
    <cellStyle name="Total 2 5 6 2 12" xfId="21104" xr:uid="{4772EC31-1A2B-4AC9-9538-EE74AD5D1659}"/>
    <cellStyle name="Total 2 5 6 2 12 2" xfId="49778" xr:uid="{A05F7211-6EBA-43E7-964F-BA4B50C3395E}"/>
    <cellStyle name="Total 2 5 6 2 13" xfId="47816" xr:uid="{D8A45EB4-C330-4DFE-B1F4-F4922BA99D42}"/>
    <cellStyle name="Total 2 5 6 2 2" xfId="4205" xr:uid="{00000000-0005-0000-0000-00009F080000}"/>
    <cellStyle name="Total 2 5 6 2 2 2" xfId="11109" xr:uid="{ECAE329A-55AD-4811-BE5D-FA409E0A6523}"/>
    <cellStyle name="Total 2 5 6 2 2 2 2" xfId="33595" xr:uid="{407159A9-DF24-4AB1-BC98-B6E072134BC4}"/>
    <cellStyle name="Total 2 5 6 2 2 2 3" xfId="46803" xr:uid="{583DE413-0892-4169-897D-805A5BC413C2}"/>
    <cellStyle name="Total 2 5 6 2 2 3" xfId="16198" xr:uid="{148FF995-DFBC-4C7D-A79D-7E7B0C37F589}"/>
    <cellStyle name="Total 2 5 6 2 2 3 2" xfId="38597" xr:uid="{78BF547F-3796-45CD-B6FE-793EDD19B993}"/>
    <cellStyle name="Total 2 5 6 2 2 3 3" xfId="44678" xr:uid="{7005A8DD-DEA1-4829-97A7-FF7F4EE5AD6D}"/>
    <cellStyle name="Total 2 5 6 2 2 4" xfId="20999" xr:uid="{624DABDA-3AC2-48E6-9FDD-813D3806F62F}"/>
    <cellStyle name="Total 2 5 6 2 2 4 2" xfId="43252" xr:uid="{5FEACBC6-E076-4C09-9B9E-26CD85AAB521}"/>
    <cellStyle name="Total 2 5 6 2 2 4 3" xfId="52644" xr:uid="{6ED37E60-E309-46A1-9B6D-01CDC59457AD}"/>
    <cellStyle name="Total 2 5 6 2 2 5" xfId="19409" xr:uid="{62A0B61A-AFB4-4486-A6A0-AFB8BA285C13}"/>
    <cellStyle name="Total 2 5 6 2 2 5 2" xfId="28359" xr:uid="{433B3451-7BB4-4D36-970A-958159686DE5}"/>
    <cellStyle name="Total 2 5 6 2 2 6" xfId="53311" xr:uid="{5AC9D77D-A74C-4EEC-A681-467D10A60185}"/>
    <cellStyle name="Total 2 5 6 2 3" xfId="5531" xr:uid="{00000000-0005-0000-0000-00009F080000}"/>
    <cellStyle name="Total 2 5 6 2 3 2" xfId="12420" xr:uid="{F2FA94C2-4034-45CA-A3A6-0DD27693DF0E}"/>
    <cellStyle name="Total 2 5 6 2 3 2 2" xfId="34905" xr:uid="{CEFD3D9C-9152-494F-BB35-841000EEBE6D}"/>
    <cellStyle name="Total 2 5 6 2 3 2 3" xfId="31604" xr:uid="{2565E67A-C2A6-4027-8DAC-FC020B170C3A}"/>
    <cellStyle name="Total 2 5 6 2 3 3" xfId="17468" xr:uid="{CA543F99-E5F8-4538-A939-69FAED1BCDD0}"/>
    <cellStyle name="Total 2 5 6 2 3 3 2" xfId="39858" xr:uid="{EB15DF91-0DBC-4164-A026-4A3E537A37C8}"/>
    <cellStyle name="Total 2 5 6 2 3 3 3" xfId="38037" xr:uid="{D4E8A827-6AEC-451F-A51B-69E6B48C9D6C}"/>
    <cellStyle name="Total 2 5 6 2 3 4" xfId="15585" xr:uid="{FA0DD6B4-1A3A-45C0-B049-1C0F700F15EA}"/>
    <cellStyle name="Total 2 5 6 2 3 4 2" xfId="38004" xr:uid="{3ECE9863-2C5E-45AD-BED5-3E4B03D3F24C}"/>
    <cellStyle name="Total 2 5 6 2 3 4 3" xfId="53904" xr:uid="{51F18C7B-D51C-4D84-BB43-CC4799098623}"/>
    <cellStyle name="Total 2 5 6 2 3 5" xfId="21892" xr:uid="{63E2BA2B-65A1-46C9-B05B-A2787EF480E6}"/>
    <cellStyle name="Total 2 5 6 2 3 5 2" xfId="45641" xr:uid="{49FB2BE1-266D-4936-9341-19EE3F4B5060}"/>
    <cellStyle name="Total 2 5 6 2 3 6" xfId="48759" xr:uid="{3B45BD99-45E2-4EAD-BC6E-D178B93DA5BD}"/>
    <cellStyle name="Total 2 5 6 2 4" xfId="5953" xr:uid="{00000000-0005-0000-0000-00009F080000}"/>
    <cellStyle name="Total 2 5 6 2 4 2" xfId="12834" xr:uid="{1E0FE70F-6339-4775-AA7B-945B6D6F9E44}"/>
    <cellStyle name="Total 2 5 6 2 4 2 2" xfId="35318" xr:uid="{38C34769-A450-419C-89DB-E0DEF2639F01}"/>
    <cellStyle name="Total 2 5 6 2 4 2 3" xfId="50402" xr:uid="{BAFA0D26-6323-4BED-AC77-9DF45BA54FAA}"/>
    <cellStyle name="Total 2 5 6 2 4 3" xfId="17890" xr:uid="{A879D8E3-9D11-4404-A08C-06112F6B621A}"/>
    <cellStyle name="Total 2 5 6 2 4 3 2" xfId="40280" xr:uid="{09C37CEE-A452-49A4-BAEA-ED13AF3346C2}"/>
    <cellStyle name="Total 2 5 6 2 4 3 3" xfId="44073" xr:uid="{114CA4F4-061E-49B2-9A73-8A5CB8A60EE7}"/>
    <cellStyle name="Total 2 5 6 2 4 4" xfId="16151" xr:uid="{10111803-3554-4575-9649-8668B27FA91A}"/>
    <cellStyle name="Total 2 5 6 2 4 4 2" xfId="38551" xr:uid="{84935D5E-6787-4450-A87D-12B355A70D02}"/>
    <cellStyle name="Total 2 5 6 2 4 4 3" xfId="26546" xr:uid="{91016E60-456C-475D-B3AA-351552979E10}"/>
    <cellStyle name="Total 2 5 6 2 4 5" xfId="22314" xr:uid="{98AE26B9-F15F-4296-B9FC-DCB6A9F6EE7A}"/>
    <cellStyle name="Total 2 5 6 2 4 5 2" xfId="23957" xr:uid="{5850D8D7-6288-482D-BF9C-869B98CCC15F}"/>
    <cellStyle name="Total 2 5 6 2 4 6" xfId="51891" xr:uid="{7245E0F2-9FEE-4903-8BB6-B03B79836147}"/>
    <cellStyle name="Total 2 5 6 2 5" xfId="6293" xr:uid="{00000000-0005-0000-0000-00009F080000}"/>
    <cellStyle name="Total 2 5 6 2 5 2" xfId="13165" xr:uid="{59ED4D87-93AF-4A61-BC34-91F950B35E21}"/>
    <cellStyle name="Total 2 5 6 2 5 2 2" xfId="35649" xr:uid="{1D6202DC-4476-450A-BC11-A44167C4D4F2}"/>
    <cellStyle name="Total 2 5 6 2 5 2 3" xfId="52341" xr:uid="{85BEB89F-3BF2-419C-B9FD-BB0653231104}"/>
    <cellStyle name="Total 2 5 6 2 5 3" xfId="18230" xr:uid="{5748C627-67E2-45A3-A6BA-1C11C2153563}"/>
    <cellStyle name="Total 2 5 6 2 5 3 2" xfId="40620" xr:uid="{950CAE7D-905E-4BE3-8D1E-A6E8FA17B01A}"/>
    <cellStyle name="Total 2 5 6 2 5 3 3" xfId="37649" xr:uid="{71072D4E-767E-44E3-9B86-70AA43EE13EB}"/>
    <cellStyle name="Total 2 5 6 2 5 4" xfId="14117" xr:uid="{1E9AB14C-1A91-4B7C-88F7-53B1A863E51D}"/>
    <cellStyle name="Total 2 5 6 2 5 4 2" xfId="36594" xr:uid="{6463C02B-B194-4E2D-8E56-2F4BE0E1B8D8}"/>
    <cellStyle name="Total 2 5 6 2 5 4 3" xfId="46578" xr:uid="{6AFFCB7C-4E2E-42C5-A3D3-D6E38E8881BB}"/>
    <cellStyle name="Total 2 5 6 2 5 5" xfId="22654" xr:uid="{A74E4202-DB02-4842-8D1E-7F1EF9164354}"/>
    <cellStyle name="Total 2 5 6 2 5 5 2" xfId="49915" xr:uid="{E5BD702F-A8E4-4212-A9EE-F416D6A72DFB}"/>
    <cellStyle name="Total 2 5 6 2 5 6" xfId="44662" xr:uid="{34B0D7B3-5703-47E3-B447-C8B9F837D4BD}"/>
    <cellStyle name="Total 2 5 6 2 6" xfId="6648" xr:uid="{00000000-0005-0000-0000-00009F080000}"/>
    <cellStyle name="Total 2 5 6 2 6 2" xfId="13514" xr:uid="{D6892AF4-E0D4-40F3-BAE2-4B71CD0E1844}"/>
    <cellStyle name="Total 2 5 6 2 6 2 2" xfId="35998" xr:uid="{A848D936-ABB9-407F-BC7B-F11F40BA0988}"/>
    <cellStyle name="Total 2 5 6 2 6 2 3" xfId="43759" xr:uid="{4D962A9B-0293-433E-926C-26E389A6CC03}"/>
    <cellStyle name="Total 2 5 6 2 6 3" xfId="18585" xr:uid="{2211F1FF-91AB-4965-8D66-1DC73C10D9E7}"/>
    <cellStyle name="Total 2 5 6 2 6 3 2" xfId="40975" xr:uid="{CD34E59C-0334-4499-A472-50BF61261548}"/>
    <cellStyle name="Total 2 5 6 2 6 3 3" xfId="30970" xr:uid="{6F085B9C-2E1B-42FC-B14D-4CAE94E0CC4C}"/>
    <cellStyle name="Total 2 5 6 2 6 4" xfId="19906" xr:uid="{19D22646-FDD6-437D-9870-694738C96D25}"/>
    <cellStyle name="Total 2 5 6 2 6 4 2" xfId="42238" xr:uid="{24E4101C-6728-4CD3-939C-A0C0931275F4}"/>
    <cellStyle name="Total 2 5 6 2 6 4 3" xfId="25768" xr:uid="{C5C45E29-F43A-48CE-AC41-7C19B462DDA6}"/>
    <cellStyle name="Total 2 5 6 2 6 5" xfId="23009" xr:uid="{19C37981-5C82-473E-A87D-B6754A95ACE6}"/>
    <cellStyle name="Total 2 5 6 2 6 5 2" xfId="28520" xr:uid="{876621AF-05EF-4A4D-9C5E-2712AE102052}"/>
    <cellStyle name="Total 2 5 6 2 6 6" xfId="48554" xr:uid="{113A2B22-87DD-4B6E-B9B3-61CC3FBB0A4C}"/>
    <cellStyle name="Total 2 5 6 2 7" xfId="5483" xr:uid="{00000000-0005-0000-0000-00009F080000}"/>
    <cellStyle name="Total 2 5 6 2 7 2" xfId="12372" xr:uid="{88F0542F-E120-42F3-B825-1685AF90FA7D}"/>
    <cellStyle name="Total 2 5 6 2 7 2 2" xfId="34857" xr:uid="{C1172EFC-6264-46CD-ACB7-9FB1A56A1B41}"/>
    <cellStyle name="Total 2 5 6 2 7 2 3" xfId="35687" xr:uid="{9BB8F72B-D0B8-480A-8D8D-271ACB216148}"/>
    <cellStyle name="Total 2 5 6 2 7 3" xfId="17420" xr:uid="{E0FCF9CE-1B7D-4B07-B025-F051D86F441C}"/>
    <cellStyle name="Total 2 5 6 2 7 3 2" xfId="39810" xr:uid="{A9CFF51D-E45E-4FC6-9936-63ACDFE6244A}"/>
    <cellStyle name="Total 2 5 6 2 7 3 3" xfId="44972" xr:uid="{59D14E3D-3601-411B-8D63-905C92EBF536}"/>
    <cellStyle name="Total 2 5 6 2 7 4" xfId="19303" xr:uid="{750D238A-B433-4A39-B456-5CC80E73729E}"/>
    <cellStyle name="Total 2 5 6 2 7 4 2" xfId="41683" xr:uid="{1AAFD9E1-9B5F-4574-AABA-3101B91EFC33}"/>
    <cellStyle name="Total 2 5 6 2 7 4 3" xfId="44054" xr:uid="{D528C526-8950-4B17-AC3A-8AEF51D7713D}"/>
    <cellStyle name="Total 2 5 6 2 7 5" xfId="21844" xr:uid="{3575751E-BC4B-4249-A1C9-3F3CE92A26EF}"/>
    <cellStyle name="Total 2 5 6 2 7 5 2" xfId="50987" xr:uid="{B545E846-EF98-4C9C-869E-8FABFD3216FD}"/>
    <cellStyle name="Total 2 5 6 2 7 6" xfId="28983" xr:uid="{BB229FC7-0297-4D56-B1AB-540CE3D3DC47}"/>
    <cellStyle name="Total 2 5 6 2 8" xfId="7103" xr:uid="{00000000-0005-0000-0000-00009F080000}"/>
    <cellStyle name="Total 2 5 6 2 8 2" xfId="13939" xr:uid="{F3BE547A-7D3E-4BD6-94CB-FBE1EA69FC2D}"/>
    <cellStyle name="Total 2 5 6 2 8 2 2" xfId="36423" xr:uid="{CB9490F1-7CFF-452F-A1CD-5BC1BB6D7323}"/>
    <cellStyle name="Total 2 5 6 2 8 2 3" xfId="50059" xr:uid="{97376B2B-685A-45B8-A50B-A5492B03EBD5}"/>
    <cellStyle name="Total 2 5 6 2 8 3" xfId="19040" xr:uid="{2798D3FE-3EFA-4E9A-987B-95CF8C8B82D5}"/>
    <cellStyle name="Total 2 5 6 2 8 3 2" xfId="41430" xr:uid="{458A77CF-653F-425B-9FEF-EED25FF0813F}"/>
    <cellStyle name="Total 2 5 6 2 8 3 3" xfId="28724" xr:uid="{25E04970-A9A2-449D-8567-CBE4EF02E293}"/>
    <cellStyle name="Total 2 5 6 2 8 4" xfId="19487" xr:uid="{54E23372-1B9C-4C94-BFC3-01F0906EC766}"/>
    <cellStyle name="Total 2 5 6 2 8 4 2" xfId="41851" xr:uid="{7ABBAB6B-88DE-40F7-A4FF-954DFBB68870}"/>
    <cellStyle name="Total 2 5 6 2 8 4 3" xfId="43878" xr:uid="{05B18146-B906-409F-81A7-2EC508DF63A8}"/>
    <cellStyle name="Total 2 5 6 2 8 5" xfId="23464" xr:uid="{28E33288-5634-47B3-BD9C-4112BD830F47}"/>
    <cellStyle name="Total 2 5 6 2 8 5 2" xfId="49413" xr:uid="{6A46CE37-2D8C-46D4-851E-58DEB1659411}"/>
    <cellStyle name="Total 2 5 6 2 8 6" xfId="23937" xr:uid="{3F32FFA9-7BB9-476C-8C0A-687B6ECEDF56}"/>
    <cellStyle name="Total 2 5 6 2 9" xfId="7218" xr:uid="{00000000-0005-0000-0000-00009F080000}"/>
    <cellStyle name="Total 2 5 6 2 9 2" xfId="19155" xr:uid="{B509611B-FF21-48F9-AE60-D670A36B614B}"/>
    <cellStyle name="Total 2 5 6 2 9 2 2" xfId="41545" xr:uid="{CBC535D0-FC80-41D5-A81B-25C923A3D066}"/>
    <cellStyle name="Total 2 5 6 2 9 2 3" xfId="32321" xr:uid="{27AD0311-B2E7-478B-AF49-7D24E1AC131A}"/>
    <cellStyle name="Total 2 5 6 2 9 3" xfId="14619" xr:uid="{C20FE3E1-40E1-4CFB-932C-275ADA8FA61B}"/>
    <cellStyle name="Total 2 5 6 2 9 3 2" xfId="37080" xr:uid="{1450F4E0-4323-4D1F-B399-1D0D4432210E}"/>
    <cellStyle name="Total 2 5 6 2 9 3 3" xfId="49027" xr:uid="{9D14C0D6-2350-4542-81F3-66A64CA46777}"/>
    <cellStyle name="Total 2 5 6 2 9 4" xfId="23579" xr:uid="{77216A32-864F-473C-ACAB-4C7A7B625367}"/>
    <cellStyle name="Total 2 5 6 2 9 4 2" xfId="36639" xr:uid="{95E34E93-0954-4BAA-99F0-70EC689EA090}"/>
    <cellStyle name="Total 2 5 6 2 9 5" xfId="49806" xr:uid="{93EDBA48-AF92-4BFF-AB7A-F554A890ED81}"/>
    <cellStyle name="Total 2 5 6 3" xfId="3487" xr:uid="{00000000-0005-0000-0000-00009E080000}"/>
    <cellStyle name="Total 2 5 6 3 2" xfId="10394" xr:uid="{60EBA3F1-6CA8-4A61-A5F1-CBEE8B58B27B}"/>
    <cellStyle name="Total 2 5 6 3 2 2" xfId="32881" xr:uid="{AE5741B0-3B50-4650-89B8-4BCC8688F191}"/>
    <cellStyle name="Total 2 5 6 3 2 3" xfId="52256" xr:uid="{E54F12E2-B433-431A-8F70-5E71B76F7A3B}"/>
    <cellStyle name="Total 2 5 6 3 3" xfId="15665" xr:uid="{8EAC6463-D2C2-4EC3-963F-CFF943B1826D}"/>
    <cellStyle name="Total 2 5 6 3 3 2" xfId="38081" xr:uid="{697656BD-7CD0-4546-9591-05660427C432}"/>
    <cellStyle name="Total 2 5 6 3 3 3" xfId="28208" xr:uid="{0954910F-12AC-4FF8-BE23-51F0E5DCD52D}"/>
    <cellStyle name="Total 2 5 6 3 4" xfId="20460" xr:uid="{22AAF894-E3DA-46E9-A780-FD45DF554F21}"/>
    <cellStyle name="Total 2 5 6 3 4 2" xfId="42749" xr:uid="{4B085AB8-B83F-4497-86DA-E779D9A861E9}"/>
    <cellStyle name="Total 2 5 6 3 4 3" xfId="47336" xr:uid="{58F36FAD-3972-44FD-B4E4-DF37F48BE8F5}"/>
    <cellStyle name="Total 2 5 6 3 5" xfId="15750" xr:uid="{DDAE4D0B-F7AD-454A-BFC0-B9A27F31A315}"/>
    <cellStyle name="Total 2 5 6 3 5 2" xfId="24467" xr:uid="{81ECECC9-D90F-429D-86F4-D4315BAE3BCC}"/>
    <cellStyle name="Total 2 5 6 3 6" xfId="49401" xr:uid="{BD7DD50F-196F-4288-8EEB-32AF5C374CB6}"/>
    <cellStyle name="Total 2 5 6 4" xfId="5020" xr:uid="{00000000-0005-0000-0000-00009E080000}"/>
    <cellStyle name="Total 2 5 6 4 2" xfId="11914" xr:uid="{B9CEAB77-C90B-465E-B064-32D6EC4F6649}"/>
    <cellStyle name="Total 2 5 6 4 2 2" xfId="34400" xr:uid="{EA1BEC36-5843-4CDE-B7AD-F8AACF80C056}"/>
    <cellStyle name="Total 2 5 6 4 2 3" xfId="44044" xr:uid="{0F1E1736-190A-47EC-BCDF-D04DA3D6BB3A}"/>
    <cellStyle name="Total 2 5 6 4 3" xfId="16957" xr:uid="{C84AE0CE-EEC7-431F-A826-6AF2B16C54D6}"/>
    <cellStyle name="Total 2 5 6 4 3 2" xfId="39347" xr:uid="{D69E5507-580D-45ED-B2C5-057D287F08A8}"/>
    <cellStyle name="Total 2 5 6 4 3 3" xfId="32462" xr:uid="{828EC82A-45D7-463A-8B54-0510A7814253}"/>
    <cellStyle name="Total 2 5 6 4 4" xfId="14107" xr:uid="{02B9FFC5-C32A-4FDB-A98A-CF198C991CD8}"/>
    <cellStyle name="Total 2 5 6 4 4 2" xfId="36585" xr:uid="{846A3502-252D-4FF2-BB37-CF53E30B9AE2}"/>
    <cellStyle name="Total 2 5 6 4 4 3" xfId="53372" xr:uid="{984DC2AE-0958-4198-A3B8-2381F94AA48B}"/>
    <cellStyle name="Total 2 5 6 4 5" xfId="21381" xr:uid="{B5407B60-2268-4080-BCD0-A4D1175838EE}"/>
    <cellStyle name="Total 2 5 6 4 5 2" xfId="46957" xr:uid="{025D9EFE-A9F9-416A-B55B-DCD74B152FCC}"/>
    <cellStyle name="Total 2 5 6 4 6" xfId="50347" xr:uid="{A168FAA2-D5A1-4828-A145-4626E20A5F42}"/>
    <cellStyle name="Total 2 5 6 5" xfId="5762" xr:uid="{00000000-0005-0000-0000-00009E080000}"/>
    <cellStyle name="Total 2 5 6 5 2" xfId="12646" xr:uid="{E60D6165-4600-47E0-91C0-F4A2B11B7F15}"/>
    <cellStyle name="Total 2 5 6 5 2 2" xfId="35131" xr:uid="{993385BF-0770-4F59-8363-0FC159C3FA34}"/>
    <cellStyle name="Total 2 5 6 5 2 3" xfId="28676" xr:uid="{1D73BD28-7C67-4820-8F7B-FABC13B7F424}"/>
    <cellStyle name="Total 2 5 6 5 3" xfId="17699" xr:uid="{8848CC5B-F0CE-4572-8C34-071CA396206E}"/>
    <cellStyle name="Total 2 5 6 5 3 2" xfId="40089" xr:uid="{CC904D5C-4794-48B3-AF71-840B8295A2CA}"/>
    <cellStyle name="Total 2 5 6 5 3 3" xfId="42940" xr:uid="{15E1AD98-5D0E-4245-AC76-D56FF3B54066}"/>
    <cellStyle name="Total 2 5 6 5 4" xfId="19729" xr:uid="{D6137637-4FD8-4291-8EF7-DF0BFB17D945}"/>
    <cellStyle name="Total 2 5 6 5 4 2" xfId="42075" xr:uid="{D8FB0BF7-1771-4594-95C5-B26626F3FA10}"/>
    <cellStyle name="Total 2 5 6 5 4 3" xfId="26572" xr:uid="{4A6CB368-7BFE-4C89-AA50-33DDB75E4DB0}"/>
    <cellStyle name="Total 2 5 6 5 5" xfId="22123" xr:uid="{9FF9D5D3-1C38-4418-86EC-9BD501C0DBFB}"/>
    <cellStyle name="Total 2 5 6 5 5 2" xfId="50046" xr:uid="{D680830C-CCFF-42F9-8F85-295F1D865D7A}"/>
    <cellStyle name="Total 2 5 6 5 6" xfId="47863" xr:uid="{07391DA8-F35D-44C8-9D43-2399A172B8FA}"/>
    <cellStyle name="Total 2 5 6 6" xfId="3183" xr:uid="{00000000-0005-0000-0000-00009E080000}"/>
    <cellStyle name="Total 2 5 6 6 2" xfId="10092" xr:uid="{87DB95A5-D40C-43AC-AA9C-553A81DF7AD7}"/>
    <cellStyle name="Total 2 5 6 6 2 2" xfId="32599" xr:uid="{957FFDDB-7493-4CED-9C1F-CB47AEE800F4}"/>
    <cellStyle name="Total 2 5 6 6 2 3" xfId="50621" xr:uid="{B865E439-FDB3-49E1-A03E-43B13A00983A}"/>
    <cellStyle name="Total 2 5 6 6 3" xfId="15465" xr:uid="{95C59EC7-FC6C-4230-B068-E5DA78423D29}"/>
    <cellStyle name="Total 2 5 6 6 3 2" xfId="37891" xr:uid="{14BB1501-515A-43B4-87EE-5660E741FD1C}"/>
    <cellStyle name="Total 2 5 6 6 3 3" xfId="50876" xr:uid="{CBF84CE1-3D36-4548-BE19-23FAC4ECF89E}"/>
    <cellStyle name="Total 2 5 6 6 4" xfId="14812" xr:uid="{47F84ABF-582B-470C-ADC2-A3ADD9FC0F65}"/>
    <cellStyle name="Total 2 5 6 6 4 2" xfId="37267" xr:uid="{957431F1-9288-4FA4-A8EB-9C05DEC5EF7E}"/>
    <cellStyle name="Total 2 5 6 6 4 3" xfId="50697" xr:uid="{0F3B8870-F55F-4C16-9A40-7DB4FA16844B}"/>
    <cellStyle name="Total 2 5 6 6 5" xfId="19707" xr:uid="{2666F151-8004-444F-B783-51350B78C274}"/>
    <cellStyle name="Total 2 5 6 6 5 2" xfId="38093" xr:uid="{16E040C7-D93A-4689-8B28-F92AD5C79663}"/>
    <cellStyle name="Total 2 5 6 6 6" xfId="48771" xr:uid="{D6EC3ABB-08A6-4A40-A047-078BC5AFFB99}"/>
    <cellStyle name="Total 2 5 6 7" xfId="4875" xr:uid="{00000000-0005-0000-0000-00009E080000}"/>
    <cellStyle name="Total 2 5 6 7 2" xfId="11770" xr:uid="{7DC070BB-9C16-4C4C-8A07-B4DFEED08C67}"/>
    <cellStyle name="Total 2 5 6 7 2 2" xfId="34256" xr:uid="{9528B418-466F-4D9C-84C4-58ADDD001FAC}"/>
    <cellStyle name="Total 2 5 6 7 2 3" xfId="29574" xr:uid="{BEC0EA80-0A87-4413-A6C2-BEB7D5A70A9E}"/>
    <cellStyle name="Total 2 5 6 7 3" xfId="16812" xr:uid="{63FB460E-3AA1-41BB-B60C-27A883D09A90}"/>
    <cellStyle name="Total 2 5 6 7 3 2" xfId="39202" xr:uid="{EDDBFFF8-3B8E-4FBB-B1E8-2D2958F30A64}"/>
    <cellStyle name="Total 2 5 6 7 3 3" xfId="43468" xr:uid="{8D996A9B-AF23-4328-BE86-3BCC6E8C2BD7}"/>
    <cellStyle name="Total 2 5 6 7 4" xfId="19291" xr:uid="{A20F1CCB-A266-4E67-B6D7-5A96C75A7FB7}"/>
    <cellStyle name="Total 2 5 6 7 4 2" xfId="41672" xr:uid="{982402F5-02D9-4B0F-823B-7FA59BA0C89E}"/>
    <cellStyle name="Total 2 5 6 7 4 3" xfId="29258" xr:uid="{01EC3262-9CB8-474B-85DE-589E163B6783}"/>
    <cellStyle name="Total 2 5 6 7 5" xfId="20148" xr:uid="{A7BE71A8-4431-416E-921F-81062ACE53C0}"/>
    <cellStyle name="Total 2 5 6 7 5 2" xfId="38162" xr:uid="{5764A2AD-88AF-4178-B24A-73F3964E0411}"/>
    <cellStyle name="Total 2 5 6 7 6" xfId="47627" xr:uid="{BD4A75A4-691D-4958-8673-72F708D3C3DD}"/>
    <cellStyle name="Total 2 5 6 8" xfId="14202" xr:uid="{AE28B62D-1D84-4ABC-A9C0-7C9AE1C2EAAC}"/>
    <cellStyle name="Total 2 5 6 8 2" xfId="36677" xr:uid="{849F4456-A966-43E5-A0EF-BB6236D04891}"/>
    <cellStyle name="Total 2 5 6 8 3" xfId="27533" xr:uid="{EAA11762-8DCF-46DF-83DC-792E2B3D8CCC}"/>
    <cellStyle name="Total 2 5 6 9" xfId="20680" xr:uid="{D47A7D63-E2DF-4B01-8592-EB1524B44A58}"/>
    <cellStyle name="Total 2 5 6 9 2" xfId="42954" xr:uid="{5C01B1D9-A6D4-48D9-B4FB-2D2008527FC2}"/>
    <cellStyle name="Total 2 5 6 9 3" xfId="48859" xr:uid="{EF122F26-6397-43D8-8E8E-A2BFD5F41285}"/>
    <cellStyle name="Total 2 5 7" xfId="1655" xr:uid="{00000000-0005-0000-0000-0000A3080000}"/>
    <cellStyle name="Total 2 5 7 10" xfId="14369" xr:uid="{AD41CDF2-98DA-47BE-9C44-88E31D7AD68F}"/>
    <cellStyle name="Total 2 5 7 10 2" xfId="36837" xr:uid="{155124DD-BBDD-40D0-BB19-F8348F674A58}"/>
    <cellStyle name="Total 2 5 7 10 3" xfId="41882" xr:uid="{80713F97-98BD-4F1C-BAD2-B4C29C2CE1CC}"/>
    <cellStyle name="Total 2 5 7 11" xfId="20853" xr:uid="{D1A7CAE9-B4EF-4329-A02B-723309C07A24}"/>
    <cellStyle name="Total 2 5 7 11 2" xfId="43118" xr:uid="{340CD16C-37D9-4005-A07D-A82F3D06BCE8}"/>
    <cellStyle name="Total 2 5 7 11 3" xfId="49499" xr:uid="{3AA8D196-6A1C-445D-84AC-49FD203FF7AB}"/>
    <cellStyle name="Total 2 5 7 12" xfId="14301" xr:uid="{15B1AE8B-3EEA-4A9D-9118-A8D70BE85BFB}"/>
    <cellStyle name="Total 2 5 7 12 2" xfId="51793" xr:uid="{1AE93C02-6C3A-4E3D-B11C-124A705358FE}"/>
    <cellStyle name="Total 2 5 7 13" xfId="44053" xr:uid="{78F0BA7D-2A39-4E97-B60F-3B83506619B7}"/>
    <cellStyle name="Total 2 5 7 2" xfId="3753" xr:uid="{00000000-0005-0000-0000-0000A0080000}"/>
    <cellStyle name="Total 2 5 7 2 2" xfId="10657" xr:uid="{B3956329-F057-4418-859C-6BFD9F0C7B9B}"/>
    <cellStyle name="Total 2 5 7 2 2 2" xfId="33143" xr:uid="{47A07DA3-B502-4E98-BA4E-2E9970B8E23C}"/>
    <cellStyle name="Total 2 5 7 2 2 3" xfId="47468" xr:uid="{0CBA442D-74F3-4989-94FB-E95F71F1D650}"/>
    <cellStyle name="Total 2 5 7 2 3" xfId="15834" xr:uid="{02228F07-86F0-4F0D-9D44-54AD3CFA3E7A}"/>
    <cellStyle name="Total 2 5 7 2 3 2" xfId="38242" xr:uid="{729C15E9-A622-4CDC-85E1-9F35AB666519}"/>
    <cellStyle name="Total 2 5 7 2 3 3" xfId="50548" xr:uid="{FBC5B772-CD93-4EFB-A8D9-F5ABA261DA47}"/>
    <cellStyle name="Total 2 5 7 2 4" xfId="19893" xr:uid="{506E6AA7-A6BB-4E9A-A99D-F6DB671BC233}"/>
    <cellStyle name="Total 2 5 7 2 4 2" xfId="42226" xr:uid="{6C04FE79-1A93-496E-9972-962EF2116583}"/>
    <cellStyle name="Total 2 5 7 2 4 3" xfId="30342" xr:uid="{51823E52-BDA0-44C4-9B7E-282F743A83BE}"/>
    <cellStyle name="Total 2 5 7 2 5" xfId="20098" xr:uid="{6042C0A7-2C3E-4817-87A6-6C0321F30321}"/>
    <cellStyle name="Total 2 5 7 2 5 2" xfId="44617" xr:uid="{60C34606-B429-497F-B602-912F10FA91D0}"/>
    <cellStyle name="Total 2 5 7 2 6" xfId="48546" xr:uid="{28142C0E-7E09-4AA9-BB04-54E134AFEE22}"/>
    <cellStyle name="Total 2 5 7 3" xfId="5188" xr:uid="{00000000-0005-0000-0000-0000A0080000}"/>
    <cellStyle name="Total 2 5 7 3 2" xfId="12081" xr:uid="{0AE8975A-9E1B-450F-8BB8-7DADBD91229B}"/>
    <cellStyle name="Total 2 5 7 3 2 2" xfId="34567" xr:uid="{EE704DEE-E9DD-4A5A-A29D-D0C074302DAE}"/>
    <cellStyle name="Total 2 5 7 3 2 3" xfId="41921" xr:uid="{92B0A713-1279-44BE-ABD2-AAC47A72ED5A}"/>
    <cellStyle name="Total 2 5 7 3 3" xfId="17125" xr:uid="{B8A1D0CA-8F36-404B-8D12-A168017E4073}"/>
    <cellStyle name="Total 2 5 7 3 3 2" xfId="39515" xr:uid="{7DE88CDF-3BA2-4644-A962-94902D6C1A38}"/>
    <cellStyle name="Total 2 5 7 3 3 3" xfId="24184" xr:uid="{B6FC238C-3A96-4732-8AEE-43BBEAD61D3D}"/>
    <cellStyle name="Total 2 5 7 3 4" xfId="14873" xr:uid="{DABA4955-3AB2-46C0-8DCF-49D9B72BBC2D}"/>
    <cellStyle name="Total 2 5 7 3 4 2" xfId="37327" xr:uid="{441884B7-D2B0-42AB-B48D-B3903614562E}"/>
    <cellStyle name="Total 2 5 7 3 4 3" xfId="44854" xr:uid="{4F77A588-619C-4F87-A697-5D6465160E2F}"/>
    <cellStyle name="Total 2 5 7 3 5" xfId="21549" xr:uid="{FD257452-D0CF-438A-BC6F-80002E3F3706}"/>
    <cellStyle name="Total 2 5 7 3 5 2" xfId="49677" xr:uid="{978BACB0-6D7C-40E7-B8CC-ACEC18B8AFA9}"/>
    <cellStyle name="Total 2 5 7 3 6" xfId="46650" xr:uid="{F030DFAB-C25D-4230-AF44-851302A003C9}"/>
    <cellStyle name="Total 2 5 7 4" xfId="2359" xr:uid="{00000000-0005-0000-0000-0000A0080000}"/>
    <cellStyle name="Total 2 5 7 4 2" xfId="9268" xr:uid="{06D6AF01-54AD-4697-B8BE-328134CC893A}"/>
    <cellStyle name="Total 2 5 7 4 2 2" xfId="31843" xr:uid="{13152B68-C9DC-4A64-83BB-B819153A11EA}"/>
    <cellStyle name="Total 2 5 7 4 2 3" xfId="23941" xr:uid="{C19C2E2D-65A2-4225-B0F6-A9B10228F167}"/>
    <cellStyle name="Total 2 5 7 4 3" xfId="14914" xr:uid="{2B740A1F-67BC-4312-A4E5-E78998A31219}"/>
    <cellStyle name="Total 2 5 7 4 3 2" xfId="37368" xr:uid="{D8E9FA10-4405-47A0-BCFE-4792FAB8B975}"/>
    <cellStyle name="Total 2 5 7 4 3 3" xfId="45951" xr:uid="{FE440F6A-FF77-48EE-A7A2-859E79F7E2AD}"/>
    <cellStyle name="Total 2 5 7 4 4" xfId="20797" xr:uid="{E931F82C-0DCD-40A1-BC75-2C5F592C4170}"/>
    <cellStyle name="Total 2 5 7 4 4 2" xfId="43063" xr:uid="{FE03AE69-DC62-44F2-BBE3-B9924BDC2409}"/>
    <cellStyle name="Total 2 5 7 4 4 3" xfId="52536" xr:uid="{122852B4-895F-4FDE-97FB-24B78898E8C2}"/>
    <cellStyle name="Total 2 5 7 4 5" xfId="19646" xr:uid="{6AFC787B-9D22-40A7-B2AF-323B6D9833B1}"/>
    <cellStyle name="Total 2 5 7 4 5 2" xfId="41842" xr:uid="{0A9C4453-37B4-4C6F-99A1-FF0C9D0323FA}"/>
    <cellStyle name="Total 2 5 7 4 6" xfId="46088" xr:uid="{40BAC942-7941-4B84-A645-A83E5B3D52B4}"/>
    <cellStyle name="Total 2 5 7 5" xfId="4886" xr:uid="{00000000-0005-0000-0000-0000A0080000}"/>
    <cellStyle name="Total 2 5 7 5 2" xfId="11781" xr:uid="{4BD2D8A9-B19E-4B95-A9F7-424039899DF2}"/>
    <cellStyle name="Total 2 5 7 5 2 2" xfId="34267" xr:uid="{E3DDAA15-B7DD-483B-9CC3-48DEEC6676D1}"/>
    <cellStyle name="Total 2 5 7 5 2 3" xfId="25971" xr:uid="{3803B2CF-F4DE-4D48-8871-48AD88637819}"/>
    <cellStyle name="Total 2 5 7 5 3" xfId="16823" xr:uid="{AA6D2C7B-2822-4DFA-94D5-CFF258D69596}"/>
    <cellStyle name="Total 2 5 7 5 3 2" xfId="39213" xr:uid="{107A7025-5BDB-456B-93A6-22B8436478F7}"/>
    <cellStyle name="Total 2 5 7 5 3 3" xfId="43328" xr:uid="{15047720-5DBA-44EB-96B9-E4A60B10E53A}"/>
    <cellStyle name="Total 2 5 7 5 4" xfId="19367" xr:uid="{22AB5268-B678-42D5-A0D5-8EE766429856}"/>
    <cellStyle name="Total 2 5 7 5 4 2" xfId="41741" xr:uid="{2FFB6B11-CBDC-4F11-A2C9-672A28259E0B}"/>
    <cellStyle name="Total 2 5 7 5 4 3" xfId="29186" xr:uid="{E00C57B3-47CF-4BEE-802E-84E741E90EF8}"/>
    <cellStyle name="Total 2 5 7 5 5" xfId="15804" xr:uid="{9F29E45B-E608-44E3-B3DD-FF81E60A2C8B}"/>
    <cellStyle name="Total 2 5 7 5 5 2" xfId="46631" xr:uid="{FD53DDBD-FDAC-433B-82BD-C4C4F46E7609}"/>
    <cellStyle name="Total 2 5 7 5 6" xfId="28233" xr:uid="{3F886C67-5EDC-4D06-A888-A5C2F645F55F}"/>
    <cellStyle name="Total 2 5 7 6" xfId="3134" xr:uid="{00000000-0005-0000-0000-0000A0080000}"/>
    <cellStyle name="Total 2 5 7 6 2" xfId="10043" xr:uid="{9F15CD42-903C-4CEA-BCBD-8FBBDEC95ABB}"/>
    <cellStyle name="Total 2 5 7 6 2 2" xfId="32550" xr:uid="{BDBA01FF-D295-443B-91A9-341B33232662}"/>
    <cellStyle name="Total 2 5 7 6 2 3" xfId="53578" xr:uid="{84C29A4D-6781-4126-9CA8-78535AD8CF13}"/>
    <cellStyle name="Total 2 5 7 6 3" xfId="15421" xr:uid="{A9914F40-E5DA-4DFB-82FC-62A7C3D86A88}"/>
    <cellStyle name="Total 2 5 7 6 3 2" xfId="37847" xr:uid="{D488FAF3-393B-4AEB-BEF4-69E4CAB0F94D}"/>
    <cellStyle name="Total 2 5 7 6 3 3" xfId="50513" xr:uid="{6477B4B4-5E19-4DB7-8010-83B0725819F1}"/>
    <cellStyle name="Total 2 5 7 6 4" xfId="15213" xr:uid="{4085D9BD-E9C3-43FE-963E-767B0C65C5E0}"/>
    <cellStyle name="Total 2 5 7 6 4 2" xfId="37651" xr:uid="{BDB1759D-3EAD-4608-826E-FFC6B98A6696}"/>
    <cellStyle name="Total 2 5 7 6 4 3" xfId="53891" xr:uid="{F4578BBC-85E7-4D41-8811-FFDE17039532}"/>
    <cellStyle name="Total 2 5 7 6 5" xfId="11406" xr:uid="{B19163B9-097C-4101-AF3B-8A44C0418655}"/>
    <cellStyle name="Total 2 5 7 6 5 2" xfId="24111" xr:uid="{7D8207CB-2376-480F-8256-4ACBC6C134EB}"/>
    <cellStyle name="Total 2 5 7 6 6" xfId="49074" xr:uid="{B38B1309-1381-45B9-A48B-975DA47F6C9A}"/>
    <cellStyle name="Total 2 5 7 7" xfId="6694" xr:uid="{00000000-0005-0000-0000-0000A0080000}"/>
    <cellStyle name="Total 2 5 7 7 2" xfId="13560" xr:uid="{1E6EB967-D197-45CA-A015-5965FFDAA458}"/>
    <cellStyle name="Total 2 5 7 7 2 2" xfId="36044" xr:uid="{C7CDCDA4-DCC3-4243-ADD8-F0CC7BD4565F}"/>
    <cellStyle name="Total 2 5 7 7 2 3" xfId="27550" xr:uid="{E87F3B7F-A21E-47EE-A417-B559594F9D81}"/>
    <cellStyle name="Total 2 5 7 7 3" xfId="18631" xr:uid="{BD51C2CD-5613-45A7-87BC-ABFB7E4E02BC}"/>
    <cellStyle name="Total 2 5 7 7 3 2" xfId="41021" xr:uid="{1E7B9C37-9457-49CA-89C4-E745AAEADF6F}"/>
    <cellStyle name="Total 2 5 7 7 3 3" xfId="23738" xr:uid="{732D6DA8-90F9-4221-9FB9-3DFB11D52389}"/>
    <cellStyle name="Total 2 5 7 7 4" xfId="19701" xr:uid="{5263C1EA-521B-4BE9-9F56-4A602491C40A}"/>
    <cellStyle name="Total 2 5 7 7 4 2" xfId="42048" xr:uid="{8108543F-2508-4538-9923-5A71E9612937}"/>
    <cellStyle name="Total 2 5 7 7 4 3" xfId="44560" xr:uid="{9DA11167-770C-448B-850A-BEF6D74D8D63}"/>
    <cellStyle name="Total 2 5 7 7 5" xfId="23055" xr:uid="{C4EC2FD6-414F-4C6F-AFB9-BA12A0214F90}"/>
    <cellStyle name="Total 2 5 7 7 5 2" xfId="48500" xr:uid="{9F2075EF-A628-4AFD-B5C8-B07BFFE4A226}"/>
    <cellStyle name="Total 2 5 7 7 6" xfId="50151" xr:uid="{79E6AF39-8E54-4200-A570-05CB5E04AA93}"/>
    <cellStyle name="Total 2 5 7 8" xfId="6753" xr:uid="{00000000-0005-0000-0000-0000A0080000}"/>
    <cellStyle name="Total 2 5 7 8 2" xfId="13609" xr:uid="{66982127-412B-443E-8F04-58EDA182DD4E}"/>
    <cellStyle name="Total 2 5 7 8 2 2" xfId="36093" xr:uid="{12C23E80-C290-4B6B-9C03-D93DFA5333B5}"/>
    <cellStyle name="Total 2 5 7 8 2 3" xfId="50374" xr:uid="{8B5714E8-32D4-44D8-8F87-D0A0DAA6C8B6}"/>
    <cellStyle name="Total 2 5 7 8 3" xfId="18690" xr:uid="{C59E43C2-E7FD-4DD2-9322-DB45D78BFDED}"/>
    <cellStyle name="Total 2 5 7 8 3 2" xfId="41080" xr:uid="{4F102E97-7506-4EDA-BEB9-123707C31260}"/>
    <cellStyle name="Total 2 5 7 8 3 3" xfId="27596" xr:uid="{2E79A420-7102-45B2-83B9-871BAE728A02}"/>
    <cellStyle name="Total 2 5 7 8 4" xfId="20464" xr:uid="{D9421C7A-D149-418F-924B-ACCC3D91FC3E}"/>
    <cellStyle name="Total 2 5 7 8 4 2" xfId="42753" xr:uid="{FE93B609-3F71-4F6F-A294-F97DA5D86479}"/>
    <cellStyle name="Total 2 5 7 8 4 3" xfId="47102" xr:uid="{56FA7185-6A1A-428D-8B6A-401BFD6C2633}"/>
    <cellStyle name="Total 2 5 7 8 5" xfId="23114" xr:uid="{E669DC99-5AEB-41CF-A83F-4C772C48D8DF}"/>
    <cellStyle name="Total 2 5 7 8 5 2" xfId="44001" xr:uid="{F7561584-DD0C-490D-8A07-DD1CA6CE6B4A}"/>
    <cellStyle name="Total 2 5 7 8 6" xfId="50991" xr:uid="{E559BB4F-0AC4-49BB-991C-32B2B2645820}"/>
    <cellStyle name="Total 2 5 7 9" xfId="6660" xr:uid="{00000000-0005-0000-0000-0000A0080000}"/>
    <cellStyle name="Total 2 5 7 9 2" xfId="18597" xr:uid="{0A31537C-C0D2-4245-818B-123AB08867B1}"/>
    <cellStyle name="Total 2 5 7 9 2 2" xfId="40987" xr:uid="{04B95052-4633-4824-AF4E-E3DA061F5F97}"/>
    <cellStyle name="Total 2 5 7 9 2 3" xfId="45756" xr:uid="{CE9A2A24-E01D-4D3B-83F4-86870C348835}"/>
    <cellStyle name="Total 2 5 7 9 3" xfId="21010" xr:uid="{115DC84D-2D58-4C5C-ABFD-7374F7540EA7}"/>
    <cellStyle name="Total 2 5 7 9 3 2" xfId="43261" xr:uid="{658D7475-4B84-491F-B3A1-8DA62D68355A}"/>
    <cellStyle name="Total 2 5 7 9 3 3" xfId="28788" xr:uid="{A7B70E76-A759-46FF-8996-32E0E91A1971}"/>
    <cellStyle name="Total 2 5 7 9 4" xfId="23021" xr:uid="{2DA63C7C-4B20-4C37-8086-3034C26C59C2}"/>
    <cellStyle name="Total 2 5 7 9 4 2" xfId="43301" xr:uid="{4FDB1316-7288-468F-BE66-68722F9A5485}"/>
    <cellStyle name="Total 2 5 7 9 5" xfId="49389" xr:uid="{5CCAC013-D20E-45AD-9145-F6BC108FFB30}"/>
    <cellStyle name="Total 2 5 8" xfId="2603" xr:uid="{00000000-0005-0000-0000-000095080000}"/>
    <cellStyle name="Total 2 5 8 2" xfId="9512" xr:uid="{789563CA-710E-43AC-BAD9-4B5AD151F3A3}"/>
    <cellStyle name="Total 2 5 8 2 2" xfId="32064" xr:uid="{86371425-F3E5-48A4-B59C-33391D4EFE4E}"/>
    <cellStyle name="Total 2 5 8 2 3" xfId="43621" xr:uid="{E5E40735-3CDA-4C21-9C26-7AF3E65E77C3}"/>
    <cellStyle name="Total 2 5 8 3" xfId="15081" xr:uid="{1E99FAF0-0395-4E33-9EA2-0B6E2A8C5919}"/>
    <cellStyle name="Total 2 5 8 3 2" xfId="37526" xr:uid="{66DE74BE-FCFB-4882-A7A7-ED5DE22E1FF1}"/>
    <cellStyle name="Total 2 5 8 3 3" xfId="46118" xr:uid="{E5185E4C-28A4-45E9-90D8-6BB48B160688}"/>
    <cellStyle name="Total 2 5 8 4" xfId="15910" xr:uid="{2E9DF7B3-3BDB-4C9A-B0B9-AE8FCD7520D6}"/>
    <cellStyle name="Total 2 5 8 4 2" xfId="38316" xr:uid="{21C62B15-FED5-4E5F-ACF2-5A84147C132D}"/>
    <cellStyle name="Total 2 5 8 4 3" xfId="48149" xr:uid="{406E73B8-F425-4672-8403-D66F25368B2E}"/>
    <cellStyle name="Total 2 5 8 5" xfId="15140" xr:uid="{66BDD554-5814-43A7-B7CB-3B73337218DC}"/>
    <cellStyle name="Total 2 5 8 5 2" xfId="46859" xr:uid="{D3545D36-3B45-40F2-956B-C80FD36CB001}"/>
    <cellStyle name="Total 2 5 8 6" xfId="53105" xr:uid="{3E85970B-2AB0-4741-BD22-76EC157A6938}"/>
    <cellStyle name="Total 2 5 9" xfId="4433" xr:uid="{00000000-0005-0000-0000-000095080000}"/>
    <cellStyle name="Total 2 5 9 2" xfId="11335" xr:uid="{B5151833-FE91-4A08-8861-0CEACCDF9D4A}"/>
    <cellStyle name="Total 2 5 9 2 2" xfId="33821" xr:uid="{EFF1F6A3-44D7-4174-A8F3-4DB2C95F4E8B}"/>
    <cellStyle name="Total 2 5 9 2 3" xfId="27871" xr:uid="{A1DE6859-D025-4683-A4B7-9A0C17226AED}"/>
    <cellStyle name="Total 2 5 9 3" xfId="16370" xr:uid="{525EA9A2-8D6D-4AAC-B41C-51B9B88434B1}"/>
    <cellStyle name="Total 2 5 9 3 2" xfId="38760" xr:uid="{DEBEC641-F0D8-44FD-9C5C-C09923B6B842}"/>
    <cellStyle name="Total 2 5 9 3 3" xfId="28058" xr:uid="{5847EBC0-D9DB-44C3-9C1B-125AE9326418}"/>
    <cellStyle name="Total 2 5 9 4" xfId="19355" xr:uid="{C3BF54A0-BF16-415E-876D-C6B3ACBEEE4D}"/>
    <cellStyle name="Total 2 5 9 4 2" xfId="41729" xr:uid="{80C68A01-AF83-4180-B25C-542EFCC2D54A}"/>
    <cellStyle name="Total 2 5 9 4 3" xfId="30118" xr:uid="{24AE1873-745E-40FB-B031-D4E7EF756106}"/>
    <cellStyle name="Total 2 5 9 5" xfId="15929" xr:uid="{6194BBE0-CB5A-440D-878A-890224163899}"/>
    <cellStyle name="Total 2 5 9 5 2" xfId="49507" xr:uid="{D719BA99-F8D5-4638-8537-82E10C275A47}"/>
    <cellStyle name="Total 2 5 9 6" xfId="48623" xr:uid="{B5D9AEA9-31C7-447E-9353-327428217C75}"/>
    <cellStyle name="Total 2 6" xfId="455" xr:uid="{00000000-0005-0000-0000-0000A4080000}"/>
    <cellStyle name="Total 2 6 10" xfId="5618" xr:uid="{00000000-0005-0000-0000-0000A1080000}"/>
    <cellStyle name="Total 2 6 10 2" xfId="12502" xr:uid="{92DB4B6A-7C3C-4AB9-A640-B9E536EC4D91}"/>
    <cellStyle name="Total 2 6 10 2 2" xfId="34987" xr:uid="{C87142CF-0773-44BF-9651-FE61258A1FC7}"/>
    <cellStyle name="Total 2 6 10 2 3" xfId="43689" xr:uid="{4222A9AB-F6EC-4A0B-A515-6EEE6CEA503E}"/>
    <cellStyle name="Total 2 6 10 3" xfId="17555" xr:uid="{6B7FF661-ECA8-4A2D-8BC7-1179986477CF}"/>
    <cellStyle name="Total 2 6 10 3 2" xfId="39945" xr:uid="{DB7A90EE-7BC1-4310-ACCC-DFB9BF84C170}"/>
    <cellStyle name="Total 2 6 10 3 3" xfId="43858" xr:uid="{0DF88BF0-3949-400D-830E-35B7293247B8}"/>
    <cellStyle name="Total 2 6 10 4" xfId="14276" xr:uid="{45BF4D5F-8726-4A68-BA2D-7307A68C9F02}"/>
    <cellStyle name="Total 2 6 10 4 2" xfId="36746" xr:uid="{1B65BC1E-A6F5-4A80-97B9-7BA9F615B363}"/>
    <cellStyle name="Total 2 6 10 4 3" xfId="48587" xr:uid="{E80CD6D6-890A-4907-B527-CA9D69487070}"/>
    <cellStyle name="Total 2 6 10 5" xfId="21979" xr:uid="{692EB436-96DA-4EF3-9004-628E519DB09F}"/>
    <cellStyle name="Total 2 6 10 5 2" xfId="44541" xr:uid="{19B44375-1183-4186-817E-BB113E00CFB4}"/>
    <cellStyle name="Total 2 6 10 6" xfId="47851" xr:uid="{15F1CF2D-CFDB-4A40-A5B2-03FFB8FB7119}"/>
    <cellStyle name="Total 2 6 11" xfId="6310" xr:uid="{00000000-0005-0000-0000-0000A1080000}"/>
    <cellStyle name="Total 2 6 11 2" xfId="13182" xr:uid="{E612CF12-B124-479D-9DA3-632A7123FCB8}"/>
    <cellStyle name="Total 2 6 11 2 2" xfId="35666" xr:uid="{AA10950D-C9BE-44D8-A53B-04DB7BA6D8FB}"/>
    <cellStyle name="Total 2 6 11 2 3" xfId="52451" xr:uid="{BE258616-479F-455A-8885-12757887B33D}"/>
    <cellStyle name="Total 2 6 11 3" xfId="18247" xr:uid="{36254556-EB7E-4097-AB6A-EB52A14359C2}"/>
    <cellStyle name="Total 2 6 11 3 2" xfId="40637" xr:uid="{EF6A39C9-B750-493F-9DDE-8011E35D5B6C}"/>
    <cellStyle name="Total 2 6 11 3 3" xfId="43604" xr:uid="{E763BEC5-9478-4217-8013-7E8A50BD47B0}"/>
    <cellStyle name="Total 2 6 11 4" xfId="14225" xr:uid="{79E5280B-62F6-4E11-944A-63274CAB15E2}"/>
    <cellStyle name="Total 2 6 11 4 2" xfId="36699" xr:uid="{7DDBD097-629F-4981-96E9-B7163877F765}"/>
    <cellStyle name="Total 2 6 11 4 3" xfId="46813" xr:uid="{E73B7679-7AA2-4DC6-8732-9F87C6683FA5}"/>
    <cellStyle name="Total 2 6 11 5" xfId="22671" xr:uid="{3CDF0D0D-9F29-4066-93D0-8DCE5A74FC20}"/>
    <cellStyle name="Total 2 6 11 5 2" xfId="44980" xr:uid="{0F035951-A893-42FE-A4C5-1AA9F40C245F}"/>
    <cellStyle name="Total 2 6 11 6" xfId="53887" xr:uid="{BE1B221B-3478-47D7-9970-C4CD5E2BEF03}"/>
    <cellStyle name="Total 2 6 12" xfId="5567" xr:uid="{00000000-0005-0000-0000-0000A1080000}"/>
    <cellStyle name="Total 2 6 12 2" xfId="12452" xr:uid="{375A92F6-83CF-45A6-B183-934F56FEAD7B}"/>
    <cellStyle name="Total 2 6 12 2 2" xfId="34937" xr:uid="{D10D872A-5586-44A1-AA58-07AE899EFA5E}"/>
    <cellStyle name="Total 2 6 12 2 3" xfId="45757" xr:uid="{6C19CB58-A5B3-4B2F-A98D-BDA46C399402}"/>
    <cellStyle name="Total 2 6 12 3" xfId="17504" xr:uid="{6BC1B6DA-A32D-4078-B1AD-55DC2205935E}"/>
    <cellStyle name="Total 2 6 12 3 2" xfId="39894" xr:uid="{DB15D83A-DF83-41D0-959C-260A2FBCA86F}"/>
    <cellStyle name="Total 2 6 12 3 3" xfId="44205" xr:uid="{6A7DA236-7B48-4D47-AE39-6A4C25BD1993}"/>
    <cellStyle name="Total 2 6 12 4" xfId="15584" xr:uid="{474141BB-09C9-4DB5-8B19-4A42C3E74DA0}"/>
    <cellStyle name="Total 2 6 12 4 2" xfId="38003" xr:uid="{5DD008BE-B6C2-4519-961D-928E070FE86B}"/>
    <cellStyle name="Total 2 6 12 4 3" xfId="44988" xr:uid="{49C55B2A-9DB5-43C7-8BBB-91A066437D85}"/>
    <cellStyle name="Total 2 6 12 5" xfId="21928" xr:uid="{1F960272-9663-4C9D-892D-8C9AAF8ABD94}"/>
    <cellStyle name="Total 2 6 12 5 2" xfId="24455" xr:uid="{54AF3D40-8CD7-46C1-A937-B69089C52043}"/>
    <cellStyle name="Total 2 6 12 6" xfId="26494" xr:uid="{D81F0576-799B-4AC5-BF7B-99E8FE8F4007}"/>
    <cellStyle name="Total 2 6 13" xfId="9037" xr:uid="{C336D979-D2FA-428D-9024-5EDAD86B8C1D}"/>
    <cellStyle name="Total 2 6 13 2" xfId="31613" xr:uid="{44507FB1-70B8-4D4E-A828-B2123C8BBE62}"/>
    <cellStyle name="Total 2 6 13 3" xfId="28200" xr:uid="{23BB0C6B-2DB8-4724-AF73-DD0BB4FAF81A}"/>
    <cellStyle name="Total 2 6 14" xfId="20353" xr:uid="{58E7886E-DE98-4861-AB75-5246803E7316}"/>
    <cellStyle name="Total 2 6 14 2" xfId="42650" xr:uid="{EBA9FA8E-1E93-4714-B2E1-5D8800EA13CD}"/>
    <cellStyle name="Total 2 6 14 3" xfId="50039" xr:uid="{A9EB5910-84DD-4BDC-B8CE-EFB42C1931C8}"/>
    <cellStyle name="Total 2 6 15" xfId="15578" xr:uid="{1FD5F9DD-5755-4792-9686-A4CEEF662318}"/>
    <cellStyle name="Total 2 6 15 2" xfId="51562" xr:uid="{2EEE9738-EF20-492F-AC4F-70B174C7BAA9}"/>
    <cellStyle name="Total 2 6 16" xfId="48462" xr:uid="{4922597C-483F-4A0C-B618-4FFD13ABA838}"/>
    <cellStyle name="Total 2 6 2" xfId="608" xr:uid="{00000000-0005-0000-0000-0000A5080000}"/>
    <cellStyle name="Total 2 6 2 10" xfId="19698" xr:uid="{9BBAAB1C-3ED7-41F1-A838-753E4800F9F7}"/>
    <cellStyle name="Total 2 6 2 10 2" xfId="29079" xr:uid="{25E76B99-C4E6-4135-B6CC-FB6A27D97527}"/>
    <cellStyle name="Total 2 6 2 11" xfId="46935" xr:uid="{81ADC66F-2FC8-4680-8427-A5292E8F0BD2}"/>
    <cellStyle name="Total 2 6 2 2" xfId="1742" xr:uid="{00000000-0005-0000-0000-0000A6080000}"/>
    <cellStyle name="Total 2 6 2 2 10" xfId="14443" xr:uid="{611191F2-1840-4C67-821B-00E39F57A321}"/>
    <cellStyle name="Total 2 6 2 2 10 2" xfId="36909" xr:uid="{E4F1DBF8-798D-4577-A955-6A411AD41A7C}"/>
    <cellStyle name="Total 2 6 2 2 10 3" xfId="48628" xr:uid="{88194DAD-C143-4F83-860E-D48B9D77B204}"/>
    <cellStyle name="Total 2 6 2 2 11" xfId="20479" xr:uid="{4F5AD01D-D57B-41B8-B591-CC94092280AD}"/>
    <cellStyle name="Total 2 6 2 2 11 2" xfId="42768" xr:uid="{94BD96AA-08BC-4672-939E-66439098FA71}"/>
    <cellStyle name="Total 2 6 2 2 11 3" xfId="32018" xr:uid="{E64CCA9C-6AB8-41F6-BA69-FE73CEA1D768}"/>
    <cellStyle name="Total 2 6 2 2 12" xfId="20293" xr:uid="{699ABAD8-7385-4129-B4B9-65C04CD88D86}"/>
    <cellStyle name="Total 2 6 2 2 12 2" xfId="46191" xr:uid="{9A1CD520-9ADD-4734-9DE2-21EAA9B933EA}"/>
    <cellStyle name="Total 2 6 2 2 13" xfId="47495" xr:uid="{54DD5863-08C3-467D-90CC-472AA49659F9}"/>
    <cellStyle name="Total 2 6 2 2 2" xfId="3840" xr:uid="{00000000-0005-0000-0000-0000A3080000}"/>
    <cellStyle name="Total 2 6 2 2 2 2" xfId="10744" xr:uid="{0E7AA487-CEDE-46DF-A748-B685FB4DB65D}"/>
    <cellStyle name="Total 2 6 2 2 2 2 2" xfId="33230" xr:uid="{B135EDAE-883D-4EF4-B247-6F3D3C47016B}"/>
    <cellStyle name="Total 2 6 2 2 2 2 3" xfId="47564" xr:uid="{475ED5BD-0649-4E07-9046-6C299DF8A2E0}"/>
    <cellStyle name="Total 2 6 2 2 2 3" xfId="15900" xr:uid="{1E90C9CF-6485-4F04-8209-82774395D732}"/>
    <cellStyle name="Total 2 6 2 2 2 3 2" xfId="38306" xr:uid="{E7A0E3F1-1763-42BD-B80B-CE36A17A9D33}"/>
    <cellStyle name="Total 2 6 2 2 2 3 3" xfId="52900" xr:uid="{5419A3CC-8838-458A-8487-032D5EA0CD48}"/>
    <cellStyle name="Total 2 6 2 2 2 4" xfId="19402" xr:uid="{0C0C9E7B-E819-45DC-990B-0DDCF9E62C96}"/>
    <cellStyle name="Total 2 6 2 2 2 4 2" xfId="41774" xr:uid="{BE591485-EDC4-4DAD-97AE-7E7A7EA6483F}"/>
    <cellStyle name="Total 2 6 2 2 2 4 3" xfId="29521" xr:uid="{958DA53D-C8F9-45C4-89F9-2054532D3C46}"/>
    <cellStyle name="Total 2 6 2 2 2 5" xfId="15209" xr:uid="{B99C78DE-ECB7-4A04-BB90-F2AD28B6C24F}"/>
    <cellStyle name="Total 2 6 2 2 2 5 2" xfId="47839" xr:uid="{E095FB2B-91BE-4AD0-82B0-5F35E29BAB09}"/>
    <cellStyle name="Total 2 6 2 2 2 6" xfId="51060" xr:uid="{877BEE2D-EBE4-432B-ABBD-FB0F71B6BE96}"/>
    <cellStyle name="Total 2 6 2 2 3" xfId="5256" xr:uid="{00000000-0005-0000-0000-0000A3080000}"/>
    <cellStyle name="Total 2 6 2 2 3 2" xfId="12148" xr:uid="{BAB1D4DE-0AE9-43E5-BAB7-59D3575C2271}"/>
    <cellStyle name="Total 2 6 2 2 3 2 2" xfId="34633" xr:uid="{5B0C6AAE-71F4-43DF-A946-6EB304FCEDA0}"/>
    <cellStyle name="Total 2 6 2 2 3 2 3" xfId="26477" xr:uid="{B2B78479-D257-480E-80B6-F0BCBC45A872}"/>
    <cellStyle name="Total 2 6 2 2 3 3" xfId="17193" xr:uid="{2EDF17A5-B5FB-45C6-912E-1E44EE54855F}"/>
    <cellStyle name="Total 2 6 2 2 3 3 2" xfId="39583" xr:uid="{BE58B9D3-B1C8-44B7-8B24-B96EB90900E9}"/>
    <cellStyle name="Total 2 6 2 2 3 3 3" xfId="24634" xr:uid="{0FB31452-3F03-4C58-806E-1CFB5D5EE092}"/>
    <cellStyle name="Total 2 6 2 2 3 4" xfId="7275" xr:uid="{469E073F-9407-4356-826D-B3EAFCE3B96F}"/>
    <cellStyle name="Total 2 6 2 2 3 4 2" xfId="29963" xr:uid="{20B1C1C6-EA30-4EB0-9696-CA54355129B2}"/>
    <cellStyle name="Total 2 6 2 2 3 4 3" xfId="43151" xr:uid="{F555C4AF-DF06-4769-A700-BFE0EA211C1F}"/>
    <cellStyle name="Total 2 6 2 2 3 5" xfId="21617" xr:uid="{EB4C6353-81A2-4190-80AD-CC3EE0A572BA}"/>
    <cellStyle name="Total 2 6 2 2 3 5 2" xfId="45572" xr:uid="{AD0021F6-17C9-4375-93F4-9EF328383998}"/>
    <cellStyle name="Total 2 6 2 2 3 6" xfId="42867" xr:uid="{7D0F55F0-71CF-417F-B6BC-0AEDBC69C870}"/>
    <cellStyle name="Total 2 6 2 2 4" xfId="5668" xr:uid="{00000000-0005-0000-0000-0000A3080000}"/>
    <cellStyle name="Total 2 6 2 2 4 2" xfId="12552" xr:uid="{423A8850-7951-44B2-AD36-A50EAE48AD20}"/>
    <cellStyle name="Total 2 6 2 2 4 2 2" xfId="35037" xr:uid="{595725C1-9B71-4FE9-8D79-42A9E940B4E3}"/>
    <cellStyle name="Total 2 6 2 2 4 2 3" xfId="24143" xr:uid="{2946784A-8AA0-4DC4-BC15-4442CBCEAD86}"/>
    <cellStyle name="Total 2 6 2 2 4 3" xfId="17605" xr:uid="{D65CDCA8-4690-4C99-9DE0-95109617A0AF}"/>
    <cellStyle name="Total 2 6 2 2 4 3 2" xfId="39995" xr:uid="{4F5BCDF7-4D66-4AB8-8A66-49E14F99548B}"/>
    <cellStyle name="Total 2 6 2 2 4 3 3" xfId="44877" xr:uid="{3034607B-AD38-4DBE-99B8-F6321DCCA582}"/>
    <cellStyle name="Total 2 6 2 2 4 4" xfId="13987" xr:uid="{D71D1667-4BFF-4BB3-BDF2-F5AADCD43511}"/>
    <cellStyle name="Total 2 6 2 2 4 4 2" xfId="36471" xr:uid="{065C7CDD-DFE6-40B8-B2A3-F6F61B0773BF}"/>
    <cellStyle name="Total 2 6 2 2 4 4 3" xfId="47402" xr:uid="{E221A792-DD8E-4DDA-B311-82B95AAECBA9}"/>
    <cellStyle name="Total 2 6 2 2 4 5" xfId="22029" xr:uid="{701D2360-B159-43D7-B606-1277A036F340}"/>
    <cellStyle name="Total 2 6 2 2 4 5 2" xfId="49202" xr:uid="{0D905A04-A5EA-4345-85EB-EB5B737FE3D3}"/>
    <cellStyle name="Total 2 6 2 2 4 6" xfId="30969" xr:uid="{DAAB3C7C-1D33-471C-94EE-5EF1778273C4}"/>
    <cellStyle name="Total 2 6 2 2 5" xfId="5481" xr:uid="{00000000-0005-0000-0000-0000A3080000}"/>
    <cellStyle name="Total 2 6 2 2 5 2" xfId="12370" xr:uid="{30474326-4ECA-490C-AE0C-01F6FAC7629D}"/>
    <cellStyle name="Total 2 6 2 2 5 2 2" xfId="34855" xr:uid="{75D4FAC6-E1D0-4378-8DB9-E6BFAF8DDAE2}"/>
    <cellStyle name="Total 2 6 2 2 5 2 3" xfId="28240" xr:uid="{13C55340-1391-40E0-8E80-5C8950EE5E13}"/>
    <cellStyle name="Total 2 6 2 2 5 3" xfId="17418" xr:uid="{28A45825-A309-4B54-9ED4-C48129F1C38C}"/>
    <cellStyle name="Total 2 6 2 2 5 3 2" xfId="39808" xr:uid="{05E11782-76A0-42A7-AF82-0C41D8193B54}"/>
    <cellStyle name="Total 2 6 2 2 5 3 3" xfId="37145" xr:uid="{B72CA977-7FB5-4A04-881F-21941466766B}"/>
    <cellStyle name="Total 2 6 2 2 5 4" xfId="14020" xr:uid="{0B353DC6-4AD9-4E2F-B917-7494D2C0451F}"/>
    <cellStyle name="Total 2 6 2 2 5 4 2" xfId="36503" xr:uid="{198BD18B-9C1A-4A3F-93E2-10F1E73B1B70}"/>
    <cellStyle name="Total 2 6 2 2 5 4 3" xfId="28555" xr:uid="{63FF4FA5-63EE-4934-9613-6049DAD6860E}"/>
    <cellStyle name="Total 2 6 2 2 5 5" xfId="21842" xr:uid="{C640F590-3A9E-41C4-A4E3-8E1FA60B06A6}"/>
    <cellStyle name="Total 2 6 2 2 5 5 2" xfId="26290" xr:uid="{CCC3B115-F849-4DBC-8C2E-66FFCFF23276}"/>
    <cellStyle name="Total 2 6 2 2 5 6" xfId="52368" xr:uid="{6118795C-710F-4DBC-A8C3-BDA2DD4DD240}"/>
    <cellStyle name="Total 2 6 2 2 6" xfId="6407" xr:uid="{00000000-0005-0000-0000-0000A3080000}"/>
    <cellStyle name="Total 2 6 2 2 6 2" xfId="13279" xr:uid="{C84EA966-8104-42AA-971C-011B83E7DEAD}"/>
    <cellStyle name="Total 2 6 2 2 6 2 2" xfId="35763" xr:uid="{5C1C998F-2D4C-472B-8A36-675227C1530C}"/>
    <cellStyle name="Total 2 6 2 2 6 2 3" xfId="47394" xr:uid="{AE132802-78AE-4F39-9094-2DB27EE066E4}"/>
    <cellStyle name="Total 2 6 2 2 6 3" xfId="18344" xr:uid="{E093480A-A19A-494B-B674-4CF2E0842D11}"/>
    <cellStyle name="Total 2 6 2 2 6 3 2" xfId="40734" xr:uid="{F2600D94-4A9C-42EE-843F-BFF7907C5466}"/>
    <cellStyle name="Total 2 6 2 2 6 3 3" xfId="23878" xr:uid="{0055E365-0D4B-4173-AFD9-C4288A6D52EE}"/>
    <cellStyle name="Total 2 6 2 2 6 4" xfId="20633" xr:uid="{520551D3-E6D3-43B6-868F-785206586A05}"/>
    <cellStyle name="Total 2 6 2 2 6 4 2" xfId="42912" xr:uid="{094E17FD-7285-47CB-8848-CEB299002C42}"/>
    <cellStyle name="Total 2 6 2 2 6 4 3" xfId="53783" xr:uid="{E6D74A34-A468-493C-B819-727C764BE591}"/>
    <cellStyle name="Total 2 6 2 2 6 5" xfId="22768" xr:uid="{BA57C85C-6157-41A9-BF35-EC20F852EEA3}"/>
    <cellStyle name="Total 2 6 2 2 6 5 2" xfId="53145" xr:uid="{B4333EA8-7B1E-461C-AB4C-2CF154E7E55F}"/>
    <cellStyle name="Total 2 6 2 2 6 6" xfId="46988" xr:uid="{9BDBDF86-2481-4EA5-A031-2FE39A6DB19A}"/>
    <cellStyle name="Total 2 6 2 2 7" xfId="6334" xr:uid="{00000000-0005-0000-0000-0000A3080000}"/>
    <cellStyle name="Total 2 6 2 2 7 2" xfId="13206" xr:uid="{AFBFD56A-B272-4605-B10A-5C2C0933DC12}"/>
    <cellStyle name="Total 2 6 2 2 7 2 2" xfId="35690" xr:uid="{CA975F5D-47DD-4CAF-B25F-B3DF9BB07593}"/>
    <cellStyle name="Total 2 6 2 2 7 2 3" xfId="41830" xr:uid="{129DFCC0-4ACF-4E38-9251-5A01BF1CBFB4}"/>
    <cellStyle name="Total 2 6 2 2 7 3" xfId="18271" xr:uid="{23FE6F0C-881F-49F6-ADAD-F87372FF9B3C}"/>
    <cellStyle name="Total 2 6 2 2 7 3 2" xfId="40661" xr:uid="{D48240A2-A009-440D-9EDA-8D9D10573DCE}"/>
    <cellStyle name="Total 2 6 2 2 7 3 3" xfId="30927" xr:uid="{5774C538-12DD-4604-B8EE-7C2FE3F287B8}"/>
    <cellStyle name="Total 2 6 2 2 7 4" xfId="8285" xr:uid="{501EA30C-C9D5-4AEF-8DB2-C363FF7BF7CD}"/>
    <cellStyle name="Total 2 6 2 2 7 4 2" xfId="30885" xr:uid="{C69D112F-1DE1-4BB4-8DA1-2C5BCFB942EE}"/>
    <cellStyle name="Total 2 6 2 2 7 4 3" xfId="47351" xr:uid="{B72ED305-C176-4C99-A0A3-35B4AF532988}"/>
    <cellStyle name="Total 2 6 2 2 7 5" xfId="22695" xr:uid="{927B7D96-53A4-458A-A676-57D6B7974ACA}"/>
    <cellStyle name="Total 2 6 2 2 7 5 2" xfId="30619" xr:uid="{C6431216-6EBC-43E4-9E96-DBF10B53B9F9}"/>
    <cellStyle name="Total 2 6 2 2 7 6" xfId="51519" xr:uid="{787B4D32-E699-40D9-998A-E4A2103AC6D7}"/>
    <cellStyle name="Total 2 6 2 2 8" xfId="6924" xr:uid="{00000000-0005-0000-0000-0000A3080000}"/>
    <cellStyle name="Total 2 6 2 2 8 2" xfId="13762" xr:uid="{CA820EE4-98A9-4431-8AD1-EFD0F1F60688}"/>
    <cellStyle name="Total 2 6 2 2 8 2 2" xfId="36246" xr:uid="{F23912F1-A0DF-4B4B-A99B-D3F67C38E587}"/>
    <cellStyle name="Total 2 6 2 2 8 2 3" xfId="49916" xr:uid="{14AEDD42-04D8-485F-A156-4ED5D85CE5AA}"/>
    <cellStyle name="Total 2 6 2 2 8 3" xfId="18861" xr:uid="{23C3B9F3-7872-4ED5-A843-5E8FEAF681A9}"/>
    <cellStyle name="Total 2 6 2 2 8 3 2" xfId="41251" xr:uid="{B4ACB959-BA9B-4E30-873B-97B26A415D7A}"/>
    <cellStyle name="Total 2 6 2 2 8 3 3" xfId="26164" xr:uid="{C0C331DF-4076-4A58-882A-7E03F0D6CF03}"/>
    <cellStyle name="Total 2 6 2 2 8 4" xfId="20106" xr:uid="{6555AF96-A584-4E5E-A870-B1CBB42D6248}"/>
    <cellStyle name="Total 2 6 2 2 8 4 2" xfId="42421" xr:uid="{1D67366D-DB8C-4BEA-AB4D-9C923C9D2E4D}"/>
    <cellStyle name="Total 2 6 2 2 8 4 3" xfId="31600" xr:uid="{AA0BFBAF-D140-4638-9BF8-C235BEA447AC}"/>
    <cellStyle name="Total 2 6 2 2 8 5" xfId="23285" xr:uid="{1BA03141-8DD8-4607-8AC9-2559219ED375}"/>
    <cellStyle name="Total 2 6 2 2 8 5 2" xfId="25654" xr:uid="{220E162B-971E-4924-9434-65FCB26DFF68}"/>
    <cellStyle name="Total 2 6 2 2 8 6" xfId="52399" xr:uid="{E27BEE08-3C54-4420-A9A4-1CA58643DFEC}"/>
    <cellStyle name="Total 2 6 2 2 9" xfId="6732" xr:uid="{00000000-0005-0000-0000-0000A3080000}"/>
    <cellStyle name="Total 2 6 2 2 9 2" xfId="18669" xr:uid="{FDF55BE2-4362-4119-8E5B-C53BFC028370}"/>
    <cellStyle name="Total 2 6 2 2 9 2 2" xfId="41059" xr:uid="{CF1FA450-7EE3-4504-BC48-09DE336A61DF}"/>
    <cellStyle name="Total 2 6 2 2 9 2 3" xfId="45727" xr:uid="{1D848516-37E7-4C91-904B-B675E1409FA7}"/>
    <cellStyle name="Total 2 6 2 2 9 3" xfId="8139" xr:uid="{30BDF8BD-EC11-407F-AE20-FAF377323F7B}"/>
    <cellStyle name="Total 2 6 2 2 9 3 2" xfId="30751" xr:uid="{EF26D9AA-ADF8-410E-8FDC-FF3868BADE44}"/>
    <cellStyle name="Total 2 6 2 2 9 3 3" xfId="49070" xr:uid="{891F4EF7-D27B-45D9-A12B-0805B7730B8B}"/>
    <cellStyle name="Total 2 6 2 2 9 4" xfId="23093" xr:uid="{30581E4A-7A0C-47F5-9D1A-D63C26359827}"/>
    <cellStyle name="Total 2 6 2 2 9 4 2" xfId="52565" xr:uid="{5935360B-71EE-4511-80D6-85001E4BBDFC}"/>
    <cellStyle name="Total 2 6 2 2 9 5" xfId="49171" xr:uid="{CC5CADD9-7740-42D6-8485-2672033D7231}"/>
    <cellStyle name="Total 2 6 2 3" xfId="2753" xr:uid="{00000000-0005-0000-0000-0000A2080000}"/>
    <cellStyle name="Total 2 6 2 3 2" xfId="9662" xr:uid="{FD0A7A80-3C51-445B-B6DB-C35935B37AF5}"/>
    <cellStyle name="Total 2 6 2 3 2 2" xfId="32210" xr:uid="{12DDF2F3-D8F6-432D-9C13-2D8A7C645D97}"/>
    <cellStyle name="Total 2 6 2 3 2 3" xfId="53370" xr:uid="{5142A98E-C589-4AB5-8389-63703E11F2DB}"/>
    <cellStyle name="Total 2 6 2 3 3" xfId="15180" xr:uid="{CD163BAE-C85D-459C-9E6E-0A27349EDAEF}"/>
    <cellStyle name="Total 2 6 2 3 3 2" xfId="37620" xr:uid="{72ED188D-9558-40B0-9BD9-20B3231D8ED5}"/>
    <cellStyle name="Total 2 6 2 3 3 3" xfId="43917" xr:uid="{34043DAC-48A1-426F-AF69-B2DD59061C30}"/>
    <cellStyle name="Total 2 6 2 3 4" xfId="19372" xr:uid="{425E81AB-CC93-4AA5-B4D5-4AE852BBC87D}"/>
    <cellStyle name="Total 2 6 2 3 4 2" xfId="41746" xr:uid="{6628A0D9-F653-4D45-B1C8-14D97702C78C}"/>
    <cellStyle name="Total 2 6 2 3 4 3" xfId="24236" xr:uid="{32F0395C-7695-464E-8094-27A5891DB1A7}"/>
    <cellStyle name="Total 2 6 2 3 5" xfId="19661" xr:uid="{ADBB2C83-3020-47F2-A2E9-CAEC6DF1432B}"/>
    <cellStyle name="Total 2 6 2 3 5 2" xfId="27038" xr:uid="{2B2D7D5B-0EE0-4817-BC46-AF1EB5C2B2F4}"/>
    <cellStyle name="Total 2 6 2 3 6" xfId="47385" xr:uid="{FE66085A-4C0C-4E7A-A295-9A656C942205}"/>
    <cellStyle name="Total 2 6 2 4" xfId="4547" xr:uid="{00000000-0005-0000-0000-0000A2080000}"/>
    <cellStyle name="Total 2 6 2 4 2" xfId="11449" xr:uid="{D4BC4327-E0BA-48D6-A625-3DE9D37AE142}"/>
    <cellStyle name="Total 2 6 2 4 2 2" xfId="33935" xr:uid="{D1BB5D5A-06A7-4D27-B6FC-51400013C2B5}"/>
    <cellStyle name="Total 2 6 2 4 2 3" xfId="32834" xr:uid="{ADF65EC3-F9F7-408A-8355-61E6E85E08F7}"/>
    <cellStyle name="Total 2 6 2 4 3" xfId="16484" xr:uid="{1F10DA7A-0D61-48D0-9572-9F2C51F7C74F}"/>
    <cellStyle name="Total 2 6 2 4 3 2" xfId="38874" xr:uid="{EB0BA4D3-C9B5-4AB4-AD11-24E018F2B991}"/>
    <cellStyle name="Total 2 6 2 4 3 3" xfId="27106" xr:uid="{941A149E-A20F-471A-A1A7-AD9D35666AE2}"/>
    <cellStyle name="Total 2 6 2 4 4" xfId="14223" xr:uid="{6078804A-7BDB-46E1-A580-F52318156AD6}"/>
    <cellStyle name="Total 2 6 2 4 4 2" xfId="36697" xr:uid="{80EB33D2-F53F-4559-B0AE-777A42D54786}"/>
    <cellStyle name="Total 2 6 2 4 4 3" xfId="53099" xr:uid="{EC63E1C6-22A1-498F-8BBA-F2048968ABD1}"/>
    <cellStyle name="Total 2 6 2 4 5" xfId="20492" xr:uid="{6A67A0B2-1803-48FF-BE24-6B2C1FB937AF}"/>
    <cellStyle name="Total 2 6 2 4 5 2" xfId="46409" xr:uid="{492350F8-3027-49B2-A176-CA858328D2E1}"/>
    <cellStyle name="Total 2 6 2 4 6" xfId="51761" xr:uid="{B2A814F1-E4EB-403F-92B4-31CEB840AF4F}"/>
    <cellStyle name="Total 2 6 2 5" xfId="5628" xr:uid="{00000000-0005-0000-0000-0000A2080000}"/>
    <cellStyle name="Total 2 6 2 5 2" xfId="12512" xr:uid="{BEDCCE78-190F-4E77-B22A-56B8B0576396}"/>
    <cellStyle name="Total 2 6 2 5 2 2" xfId="34997" xr:uid="{644C46CE-988C-4E12-9D86-69E99333BB8C}"/>
    <cellStyle name="Total 2 6 2 5 2 3" xfId="27852" xr:uid="{8F62E9DA-AE32-40DB-BBBA-F52265CCBC53}"/>
    <cellStyle name="Total 2 6 2 5 3" xfId="17565" xr:uid="{07EB1F79-641F-4A10-A06F-D0AD4DB13B04}"/>
    <cellStyle name="Total 2 6 2 5 3 2" xfId="39955" xr:uid="{9BAEC47E-F1B7-4740-84AE-A13A7ACA9608}"/>
    <cellStyle name="Total 2 6 2 5 3 3" xfId="29763" xr:uid="{7AB589F0-B488-42FF-B2C7-492EFDCF0711}"/>
    <cellStyle name="Total 2 6 2 5 4" xfId="19235" xr:uid="{6C709329-1111-4B88-9D9A-53F9B87769B2}"/>
    <cellStyle name="Total 2 6 2 5 4 2" xfId="41620" xr:uid="{7E219643-4227-4B8D-83D4-7C08A9BADCB3}"/>
    <cellStyle name="Total 2 6 2 5 4 3" xfId="32774" xr:uid="{8F9F2334-ECDD-482B-AF7A-7724E1B7B117}"/>
    <cellStyle name="Total 2 6 2 5 5" xfId="21989" xr:uid="{19219906-A0EF-42D7-88A2-9FEC90C4B6C6}"/>
    <cellStyle name="Total 2 6 2 5 5 2" xfId="50597" xr:uid="{34D676E8-2E61-436D-97CC-FC4490E8822D}"/>
    <cellStyle name="Total 2 6 2 5 6" xfId="51913" xr:uid="{70313B1A-277B-40FB-B7CC-7545AF865286}"/>
    <cellStyle name="Total 2 6 2 6" xfId="4823" xr:uid="{00000000-0005-0000-0000-0000A2080000}"/>
    <cellStyle name="Total 2 6 2 6 2" xfId="11720" xr:uid="{C1E8597E-BA06-4934-9320-95D2FCF3459D}"/>
    <cellStyle name="Total 2 6 2 6 2 2" xfId="34206" xr:uid="{6FA66310-1703-453A-BE25-E28FA3A17F7B}"/>
    <cellStyle name="Total 2 6 2 6 2 3" xfId="31883" xr:uid="{32C39905-A14B-4626-9B5B-8684F40C9715}"/>
    <cellStyle name="Total 2 6 2 6 3" xfId="16760" xr:uid="{70EB8164-5F4E-485F-AF23-9E8F335AAC4C}"/>
    <cellStyle name="Total 2 6 2 6 3 2" xfId="39150" xr:uid="{5BCEFAA3-A9F2-4081-9731-CD4910C9504F}"/>
    <cellStyle name="Total 2 6 2 6 3 3" xfId="30424" xr:uid="{3C595F93-9DCD-4938-A138-E63163BAAF61}"/>
    <cellStyle name="Total 2 6 2 6 4" xfId="15526" xr:uid="{034B9C3C-4E17-4A12-AFFD-C95CD0F40E01}"/>
    <cellStyle name="Total 2 6 2 6 4 2" xfId="37946" xr:uid="{FC9DD819-C94A-4E78-AB3E-3D76AEA31904}"/>
    <cellStyle name="Total 2 6 2 6 4 3" xfId="53939" xr:uid="{71CECD87-61FB-4E22-BEDA-AF30D0531DB2}"/>
    <cellStyle name="Total 2 6 2 6 5" xfId="14017" xr:uid="{16D5C050-729E-42A0-99E9-C55C398018D0}"/>
    <cellStyle name="Total 2 6 2 6 5 2" xfId="52429" xr:uid="{0D696BB2-F2E9-49FB-84A3-F37A0CF4A3D0}"/>
    <cellStyle name="Total 2 6 2 6 6" xfId="46879" xr:uid="{A32680BA-8834-401B-B03A-90D89B8DA230}"/>
    <cellStyle name="Total 2 6 2 7" xfId="6861" xr:uid="{00000000-0005-0000-0000-0000A2080000}"/>
    <cellStyle name="Total 2 6 2 7 2" xfId="13703" xr:uid="{8B8C94D7-1C88-4734-B044-4C05A2150829}"/>
    <cellStyle name="Total 2 6 2 7 2 2" xfId="36187" xr:uid="{3E9A027A-EFFE-4A54-B80E-137E914B8F98}"/>
    <cellStyle name="Total 2 6 2 7 2 3" xfId="49960" xr:uid="{66612EC9-D7B4-4114-972B-871836AC0C7D}"/>
    <cellStyle name="Total 2 6 2 7 3" xfId="18798" xr:uid="{CD478A6E-9A08-4016-9AEA-098AB576B464}"/>
    <cellStyle name="Total 2 6 2 7 3 2" xfId="41188" xr:uid="{74567677-333B-4560-A72D-BDF8E7717A79}"/>
    <cellStyle name="Total 2 6 2 7 3 3" xfId="45859" xr:uid="{63C4DA98-BDAE-41F1-AE08-9DCD4DA7E4E8}"/>
    <cellStyle name="Total 2 6 2 7 4" xfId="7374" xr:uid="{816E9D80-DD23-44B7-9B66-EFE253A4AAC4}"/>
    <cellStyle name="Total 2 6 2 7 4 2" xfId="30059" xr:uid="{69174DDB-AE85-4010-86E9-363AAD98F697}"/>
    <cellStyle name="Total 2 6 2 7 4 3" xfId="51756" xr:uid="{218186F2-A625-43B1-9D46-712018F39126}"/>
    <cellStyle name="Total 2 6 2 7 5" xfId="23222" xr:uid="{A5FC6F0C-6476-41B2-B478-F48F2A0F11DE}"/>
    <cellStyle name="Total 2 6 2 7 5 2" xfId="28019" xr:uid="{01384DF1-A832-410C-A653-781897BCD41C}"/>
    <cellStyle name="Total 2 6 2 7 6" xfId="50369" xr:uid="{DEDB24E2-602B-40CB-A243-39509E53C066}"/>
    <cellStyle name="Total 2 6 2 8" xfId="8553" xr:uid="{29072DC1-6C72-4634-9FF2-58EDA5D662AE}"/>
    <cellStyle name="Total 2 6 2 8 2" xfId="31140" xr:uid="{9619A725-8E75-40DD-AFC6-16DD2886792B}"/>
    <cellStyle name="Total 2 6 2 8 3" xfId="24235" xr:uid="{45FE2B3F-EF4D-48DB-B423-46DC11927CDE}"/>
    <cellStyle name="Total 2 6 2 9" xfId="14133" xr:uid="{7433C55C-2597-45AC-82D3-DF1B07CCE7E3}"/>
    <cellStyle name="Total 2 6 2 9 2" xfId="36610" xr:uid="{5A1729D0-B352-4406-A265-577445D787C2}"/>
    <cellStyle name="Total 2 6 2 9 3" xfId="46183" xr:uid="{DF79A426-1726-49AF-9CB2-155E789672A4}"/>
    <cellStyle name="Total 2 6 3" xfId="855" xr:uid="{00000000-0005-0000-0000-0000A7080000}"/>
    <cellStyle name="Total 2 6 3 10" xfId="20653" xr:uid="{6B604E5F-952D-44F5-9BAC-1DD1A16166FD}"/>
    <cellStyle name="Total 2 6 3 10 2" xfId="52015" xr:uid="{5B860069-CF7C-4F17-BB9C-0F67D9A0C2E7}"/>
    <cellStyle name="Total 2 6 3 11" xfId="53310" xr:uid="{C8AEC51C-DC7A-4616-9056-BBA9CD2725BF}"/>
    <cellStyle name="Total 2 6 3 2" xfId="1840" xr:uid="{00000000-0005-0000-0000-0000A8080000}"/>
    <cellStyle name="Total 2 6 3 2 10" xfId="14524" xr:uid="{6AE786B3-9B17-42CB-AE9B-6E6EF1BE5E98}"/>
    <cellStyle name="Total 2 6 3 2 10 2" xfId="36985" xr:uid="{710BDB52-D5CF-43A0-8513-343D9D0AC1E2}"/>
    <cellStyle name="Total 2 6 3 2 10 3" xfId="53077" xr:uid="{ADAEC51F-98EF-44A7-AD50-DA007E20A3F1}"/>
    <cellStyle name="Total 2 6 3 2 11" xfId="20843" xr:uid="{65E21FD7-1B85-4244-9634-87C68A0112AF}"/>
    <cellStyle name="Total 2 6 3 2 11 2" xfId="43108" xr:uid="{1392B966-F0DB-4903-BBA6-7573BD67BD65}"/>
    <cellStyle name="Total 2 6 3 2 11 3" xfId="24210" xr:uid="{6E5FBD53-5250-4E79-A1A2-63C2FE02963C}"/>
    <cellStyle name="Total 2 6 3 2 12" xfId="15139" xr:uid="{05051C12-26FD-4FD8-AD59-25B7B92774A5}"/>
    <cellStyle name="Total 2 6 3 2 12 2" xfId="50226" xr:uid="{1ECD55CF-3F84-4756-9353-4150EF68A53B}"/>
    <cellStyle name="Total 2 6 3 2 13" xfId="52393" xr:uid="{F68C893A-ADF4-4CE9-908D-994E402F21F3}"/>
    <cellStyle name="Total 2 6 3 2 2" xfId="3938" xr:uid="{00000000-0005-0000-0000-0000A5080000}"/>
    <cellStyle name="Total 2 6 3 2 2 2" xfId="10842" xr:uid="{91ACD811-09BC-4D91-A084-D0A8876C7BD7}"/>
    <cellStyle name="Total 2 6 3 2 2 2 2" xfId="33328" xr:uid="{39B6031D-FAD5-4FB4-BB7D-ACC5F61C7871}"/>
    <cellStyle name="Total 2 6 3 2 2 2 3" xfId="45853" xr:uid="{9E6122E6-8DA2-4E6A-A926-89065C9A26D6}"/>
    <cellStyle name="Total 2 6 3 2 2 3" xfId="15980" xr:uid="{59F38FBE-E051-4676-9A75-7A89EF003F1F}"/>
    <cellStyle name="Total 2 6 3 2 2 3 2" xfId="38383" xr:uid="{035A2911-DFAF-47BB-91B0-69DA8725FF4A}"/>
    <cellStyle name="Total 2 6 3 2 2 3 3" xfId="48772" xr:uid="{E9EF3C07-FA2B-4D49-9B92-48725F034BB0}"/>
    <cellStyle name="Total 2 6 3 2 2 4" xfId="19797" xr:uid="{FFA85C1A-6911-4DDE-812F-C3770C4851A1}"/>
    <cellStyle name="Total 2 6 3 2 2 4 2" xfId="42135" xr:uid="{3E0F4B8B-8AE2-42CE-A911-B5D1A6248306}"/>
    <cellStyle name="Total 2 6 3 2 2 4 3" xfId="28931" xr:uid="{81660931-D01F-4506-90B6-05FDA85E1E0A}"/>
    <cellStyle name="Total 2 6 3 2 2 5" xfId="20142" xr:uid="{DECF6FC9-327E-4600-8C2B-F42AC67E738A}"/>
    <cellStyle name="Total 2 6 3 2 2 5 2" xfId="44698" xr:uid="{F5E05252-BB69-4FDB-86F0-2C50995854FB}"/>
    <cellStyle name="Total 2 6 3 2 2 6" xfId="46537" xr:uid="{87360556-9A87-40CA-8C4A-F5FEC1E93AB8}"/>
    <cellStyle name="Total 2 6 3 2 3" xfId="5333" xr:uid="{00000000-0005-0000-0000-0000A5080000}"/>
    <cellStyle name="Total 2 6 3 2 3 2" xfId="12225" xr:uid="{0FBDE627-2F9C-4DA2-A116-51724FED8E52}"/>
    <cellStyle name="Total 2 6 3 2 3 2 2" xfId="34710" xr:uid="{A1CE372C-DA4E-4C56-83B8-43C17C68AB6F}"/>
    <cellStyle name="Total 2 6 3 2 3 2 3" xfId="44722" xr:uid="{A30EDDC2-011A-4F72-ADD2-B96A64CC1875}"/>
    <cellStyle name="Total 2 6 3 2 3 3" xfId="17270" xr:uid="{305FF991-C471-40A7-8284-E3E8FE8A51AA}"/>
    <cellStyle name="Total 2 6 3 2 3 3 2" xfId="39660" xr:uid="{887B4304-1A9C-402A-939A-1AD6F5C3CC2A}"/>
    <cellStyle name="Total 2 6 3 2 3 3 3" xfId="43949" xr:uid="{AD2AE367-EBA2-4DC0-B8DD-7A51EA3C9995}"/>
    <cellStyle name="Total 2 6 3 2 3 4" xfId="14278" xr:uid="{3E31366B-36E6-407B-A998-7915DB6B8E41}"/>
    <cellStyle name="Total 2 6 3 2 3 4 2" xfId="36748" xr:uid="{A478E9A5-1EC0-48D9-BD7A-67BF09C86B82}"/>
    <cellStyle name="Total 2 6 3 2 3 4 3" xfId="45914" xr:uid="{A99D1B1A-642C-4CFE-815C-57585848C94A}"/>
    <cellStyle name="Total 2 6 3 2 3 5" xfId="21694" xr:uid="{12E122D5-E96F-48AF-9E13-13800731493D}"/>
    <cellStyle name="Total 2 6 3 2 3 5 2" xfId="32753" xr:uid="{925F54CA-A0AB-4BDD-8430-2DE365E24AEF}"/>
    <cellStyle name="Total 2 6 3 2 3 6" xfId="43076" xr:uid="{9D96F5D7-AFAC-43DE-8147-998837E19006}"/>
    <cellStyle name="Total 2 6 3 2 4" xfId="5743" xr:uid="{00000000-0005-0000-0000-0000A5080000}"/>
    <cellStyle name="Total 2 6 3 2 4 2" xfId="12627" xr:uid="{E2155E43-3179-4142-9A51-E3C957480546}"/>
    <cellStyle name="Total 2 6 3 2 4 2 2" xfId="35112" xr:uid="{504A77AD-0054-4955-A804-CD3B13FE49A5}"/>
    <cellStyle name="Total 2 6 3 2 4 2 3" xfId="42189" xr:uid="{84E128CD-538F-49E8-BF8F-AFD110FDEC19}"/>
    <cellStyle name="Total 2 6 3 2 4 3" xfId="17680" xr:uid="{CB637455-BF88-4B02-961E-2D6921483EFF}"/>
    <cellStyle name="Total 2 6 3 2 4 3 2" xfId="40070" xr:uid="{EFE2348E-8D75-48FC-800C-1448B038B33B}"/>
    <cellStyle name="Total 2 6 3 2 4 3 3" xfId="43132" xr:uid="{7CE9FE45-16FA-4F52-91BD-FB9740070107}"/>
    <cellStyle name="Total 2 6 3 2 4 4" xfId="15254" xr:uid="{FF46226B-9311-4522-9E61-8C06CD6B4C4A}"/>
    <cellStyle name="Total 2 6 3 2 4 4 2" xfId="37689" xr:uid="{F9917E1C-6F53-40E4-ABBF-815485E6BE04}"/>
    <cellStyle name="Total 2 6 3 2 4 4 3" xfId="50462" xr:uid="{A8B22BD4-EEEC-444D-9357-D7CF8900225D}"/>
    <cellStyle name="Total 2 6 3 2 4 5" xfId="22104" xr:uid="{6C39B284-9CDD-437B-BC79-5C1EF4B1D51A}"/>
    <cellStyle name="Total 2 6 3 2 4 5 2" xfId="47719" xr:uid="{BD789BC3-AAC2-4F06-97C6-836667C3B835}"/>
    <cellStyle name="Total 2 6 3 2 4 6" xfId="49796" xr:uid="{E3D90AF1-E722-4E63-B6C5-AD3FC9A1917F}"/>
    <cellStyle name="Total 2 6 3 2 5" xfId="6097" xr:uid="{00000000-0005-0000-0000-0000A5080000}"/>
    <cellStyle name="Total 2 6 3 2 5 2" xfId="12975" xr:uid="{53AED5EE-D38B-4DCE-AD8B-28DD1FFA8FDA}"/>
    <cellStyle name="Total 2 6 3 2 5 2 2" xfId="35459" xr:uid="{08F5C3E1-3832-4A51-94E5-88F4722292F5}"/>
    <cellStyle name="Total 2 6 3 2 5 2 3" xfId="51066" xr:uid="{1C782F9F-58A2-4D85-B911-FD6D5FB8B251}"/>
    <cellStyle name="Total 2 6 3 2 5 3" xfId="18034" xr:uid="{ED3CC6DF-CCB1-448E-8C43-BE9A5524D771}"/>
    <cellStyle name="Total 2 6 3 2 5 3 2" xfId="40424" xr:uid="{3E4971CF-E728-42B9-BEC1-859E89F10C04}"/>
    <cellStyle name="Total 2 6 3 2 5 3 3" xfId="30581" xr:uid="{FD2193AB-772C-480A-8455-571886F26C59}"/>
    <cellStyle name="Total 2 6 3 2 5 4" xfId="14000" xr:uid="{C2B51178-CBC9-40CE-B7CB-078AD0BF8704}"/>
    <cellStyle name="Total 2 6 3 2 5 4 2" xfId="36483" xr:uid="{8C52AB1F-0EB9-4781-89A6-FF3E568903DF}"/>
    <cellStyle name="Total 2 6 3 2 5 4 3" xfId="27620" xr:uid="{FC56F5C1-5933-4614-9CA5-18D874B7D96D}"/>
    <cellStyle name="Total 2 6 3 2 5 5" xfId="22458" xr:uid="{C3B8E903-B36F-4E6D-B85E-A33DBFCCE84D}"/>
    <cellStyle name="Total 2 6 3 2 5 5 2" xfId="47716" xr:uid="{5C2ECCB6-9BF9-453B-9867-4BE274D0BCCC}"/>
    <cellStyle name="Total 2 6 3 2 5 6" xfId="51911" xr:uid="{2D1E468C-1F70-404D-B70F-033F1312C9C1}"/>
    <cellStyle name="Total 2 6 3 2 6" xfId="6472" xr:uid="{00000000-0005-0000-0000-0000A5080000}"/>
    <cellStyle name="Total 2 6 3 2 6 2" xfId="13342" xr:uid="{F7458315-0E41-4CE0-80DA-65B2656B3140}"/>
    <cellStyle name="Total 2 6 3 2 6 2 2" xfId="35826" xr:uid="{2DBEB150-27BD-4664-8687-F50331B8AE4E}"/>
    <cellStyle name="Total 2 6 3 2 6 2 3" xfId="47118" xr:uid="{F16856A0-F64A-46D9-BD60-E843862FC241}"/>
    <cellStyle name="Total 2 6 3 2 6 3" xfId="18409" xr:uid="{DB8CE107-73B6-4627-9E3F-FF776D64508C}"/>
    <cellStyle name="Total 2 6 3 2 6 3 2" xfId="40799" xr:uid="{62DC4A78-4873-48AC-84DE-0741D707C41A}"/>
    <cellStyle name="Total 2 6 3 2 6 3 3" xfId="43533" xr:uid="{7C5DEC85-130F-48E9-9699-9C25584AA5C5}"/>
    <cellStyle name="Total 2 6 3 2 6 4" xfId="20546" xr:uid="{34F2BBE9-3B5A-4D1C-9979-9D752895B7D9}"/>
    <cellStyle name="Total 2 6 3 2 6 4 2" xfId="42832" xr:uid="{15849EB7-5AD6-4A79-95C3-C2EE5C4A018F}"/>
    <cellStyle name="Total 2 6 3 2 6 4 3" xfId="49464" xr:uid="{A73F5678-AD9A-4029-A3B1-7AB92C6ED449}"/>
    <cellStyle name="Total 2 6 3 2 6 5" xfId="22833" xr:uid="{B4F29311-2D13-45D9-B496-7A949462E136}"/>
    <cellStyle name="Total 2 6 3 2 6 5 2" xfId="53716" xr:uid="{6BC81559-9C23-4E33-A724-A8818C558B78}"/>
    <cellStyle name="Total 2 6 3 2 6 6" xfId="51340" xr:uid="{351DEE41-50DF-4D4B-AD38-F28FD5A70EBB}"/>
    <cellStyle name="Total 2 6 3 2 7" xfId="6053" xr:uid="{00000000-0005-0000-0000-0000A5080000}"/>
    <cellStyle name="Total 2 6 3 2 7 2" xfId="12932" xr:uid="{D8FBD353-7AC9-4ABE-9A50-11DB44128176}"/>
    <cellStyle name="Total 2 6 3 2 7 2 2" xfId="35416" xr:uid="{0998E77A-9866-4C71-8BA9-7E08E6FE5010}"/>
    <cellStyle name="Total 2 6 3 2 7 2 3" xfId="50290" xr:uid="{1E6577EE-A3F2-4C28-A27B-DEFBA30B665D}"/>
    <cellStyle name="Total 2 6 3 2 7 3" xfId="17990" xr:uid="{AD2AD649-5E8B-4470-9780-496F66F85D95}"/>
    <cellStyle name="Total 2 6 3 2 7 3 2" xfId="40380" xr:uid="{EC7BF051-ECCD-467F-BCF5-11CA21C34AF4}"/>
    <cellStyle name="Total 2 6 3 2 7 3 3" xfId="26565" xr:uid="{E7261C87-5609-4E99-B119-3AFCFA6C8F45}"/>
    <cellStyle name="Total 2 6 3 2 7 4" xfId="15014" xr:uid="{F9B74BF3-138D-43DB-997A-AB5634480007}"/>
    <cellStyle name="Total 2 6 3 2 7 4 2" xfId="37464" xr:uid="{AE3946CA-8DFA-4B66-B111-D1992D409087}"/>
    <cellStyle name="Total 2 6 3 2 7 4 3" xfId="52018" xr:uid="{AABBD76B-6CEF-428B-86BD-3FD9A6667F96}"/>
    <cellStyle name="Total 2 6 3 2 7 5" xfId="22414" xr:uid="{577F88D3-8590-4FF2-AC04-EE21CCA41E20}"/>
    <cellStyle name="Total 2 6 3 2 7 5 2" xfId="28807" xr:uid="{E080E3A4-B69C-4259-B54F-CD2962B1EA8D}"/>
    <cellStyle name="Total 2 6 3 2 7 6" xfId="43957" xr:uid="{46FD9DD6-0BC0-4BD7-B6D8-1D526F571806}"/>
    <cellStyle name="Total 2 6 3 2 8" xfId="6972" xr:uid="{00000000-0005-0000-0000-0000A5080000}"/>
    <cellStyle name="Total 2 6 3 2 8 2" xfId="13809" xr:uid="{94E09841-8CAD-44A8-A28B-A1AB1B248716}"/>
    <cellStyle name="Total 2 6 3 2 8 2 2" xfId="36293" xr:uid="{3A8A7BE5-0F3D-4A02-AB4D-324064F69489}"/>
    <cellStyle name="Total 2 6 3 2 8 2 3" xfId="50645" xr:uid="{6FCE5A17-52CD-4B2A-97F0-FB06008B44CB}"/>
    <cellStyle name="Total 2 6 3 2 8 3" xfId="18909" xr:uid="{2FE3DA2E-25A3-4AB5-B82B-D2761C8D2AB6}"/>
    <cellStyle name="Total 2 6 3 2 8 3 2" xfId="41299" xr:uid="{C47E3BE6-C301-4A70-A6BC-39228133082A}"/>
    <cellStyle name="Total 2 6 3 2 8 3 3" xfId="25924" xr:uid="{EC42B527-F3EC-4719-A3B2-2854412CED08}"/>
    <cellStyle name="Total 2 6 3 2 8 4" xfId="19967" xr:uid="{3CB6A2C8-8175-4EE0-8E29-928EB737B6AF}"/>
    <cellStyle name="Total 2 6 3 2 8 4 2" xfId="42293" xr:uid="{6774C10B-99D3-4D00-A151-5EF3A76058F2}"/>
    <cellStyle name="Total 2 6 3 2 8 4 3" xfId="30870" xr:uid="{B6A4657F-E099-4AF0-B564-3F3104678445}"/>
    <cellStyle name="Total 2 6 3 2 8 5" xfId="23333" xr:uid="{34809B5E-27D2-4C02-9E62-9F549DFE50A2}"/>
    <cellStyle name="Total 2 6 3 2 8 5 2" xfId="51879" xr:uid="{54E2534D-1C5B-4BA2-B6B6-E5516C97D920}"/>
    <cellStyle name="Total 2 6 3 2 8 6" xfId="50730" xr:uid="{651EB1AB-37B5-4E2A-9D06-32CC4B76A872}"/>
    <cellStyle name="Total 2 6 3 2 9" xfId="6768" xr:uid="{00000000-0005-0000-0000-0000A5080000}"/>
    <cellStyle name="Total 2 6 3 2 9 2" xfId="18705" xr:uid="{EFFB07F2-20D5-48D0-BF52-B8B13C0A8AC3}"/>
    <cellStyle name="Total 2 6 3 2 9 2 2" xfId="41095" xr:uid="{B81A2935-98E0-434E-9FE2-D952CFD17EF5}"/>
    <cellStyle name="Total 2 6 3 2 9 2 3" xfId="30480" xr:uid="{DC801939-A67D-4B18-A84F-C67D2D9B4A40}"/>
    <cellStyle name="Total 2 6 3 2 9 3" xfId="20433" xr:uid="{51CEB3A7-8EBD-485F-84B1-67F0E547F58D}"/>
    <cellStyle name="Total 2 6 3 2 9 3 2" xfId="42725" xr:uid="{75FFA6F8-8770-498C-9D85-131A1478838C}"/>
    <cellStyle name="Total 2 6 3 2 9 3 3" xfId="46906" xr:uid="{E97D298A-8ED4-45F9-84B5-DA3F7B88CB80}"/>
    <cellStyle name="Total 2 6 3 2 9 4" xfId="23129" xr:uid="{C77A93C8-4F8B-4A52-84E5-51374BBFF3D9}"/>
    <cellStyle name="Total 2 6 3 2 9 4 2" xfId="26676" xr:uid="{DBF25AB8-159E-4C9D-9EDF-150D741EF9C1}"/>
    <cellStyle name="Total 2 6 3 2 9 5" xfId="48719" xr:uid="{5A5DE190-757E-45F0-AA2C-685CE182D9E2}"/>
    <cellStyle name="Total 2 6 3 3" xfId="2986" xr:uid="{00000000-0005-0000-0000-0000A4080000}"/>
    <cellStyle name="Total 2 6 3 3 2" xfId="9895" xr:uid="{2AC2B14D-2465-431B-BDFD-494E399A487A}"/>
    <cellStyle name="Total 2 6 3 3 2 2" xfId="32418" xr:uid="{0E792EB7-39AB-44BA-AC5A-779B5FDAB545}"/>
    <cellStyle name="Total 2 6 3 3 2 3" xfId="49146" xr:uid="{DF0E7DBD-8E75-4B4D-8A9F-BC0D6925D4AE}"/>
    <cellStyle name="Total 2 6 3 3 3" xfId="15333" xr:uid="{D7834776-8FE8-46EC-9166-CE22DB0A8287}"/>
    <cellStyle name="Total 2 6 3 3 3 2" xfId="37765" xr:uid="{904AF5DA-F10C-448A-A9FA-510CC6087172}"/>
    <cellStyle name="Total 2 6 3 3 3 3" xfId="42820" xr:uid="{974DD047-75E0-4746-AEC8-15146671981E}"/>
    <cellStyle name="Total 2 6 3 3 4" xfId="9021" xr:uid="{7C80D18A-A1DC-4F36-A6FA-C7049C4A4B2F}"/>
    <cellStyle name="Total 2 6 3 3 4 2" xfId="31599" xr:uid="{7E3E6757-6AEF-4A39-BD35-4ED2D5CC6077}"/>
    <cellStyle name="Total 2 6 3 3 4 3" xfId="28345" xr:uid="{80CAB419-A71F-4FED-A1D4-8A0146FB21E9}"/>
    <cellStyle name="Total 2 6 3 3 5" xfId="20740" xr:uid="{DB253296-BCA5-4835-9ADC-1695D46D00EA}"/>
    <cellStyle name="Total 2 6 3 3 5 2" xfId="24322" xr:uid="{D5E62CB0-FC6E-41D3-8E36-500214AB676B}"/>
    <cellStyle name="Total 2 6 3 3 6" xfId="51895" xr:uid="{399A6419-BA08-4414-B245-3C68003106CB}"/>
    <cellStyle name="Total 2 6 3 4" xfId="4699" xr:uid="{00000000-0005-0000-0000-0000A4080000}"/>
    <cellStyle name="Total 2 6 3 4 2" xfId="11597" xr:uid="{5BDC56EB-5A4C-4A8E-9EA2-644ED2028268}"/>
    <cellStyle name="Total 2 6 3 4 2 2" xfId="34083" xr:uid="{046CFA0F-D232-4244-B4DF-A066FF7DB077}"/>
    <cellStyle name="Total 2 6 3 4 2 3" xfId="26517" xr:uid="{96EF0312-5B79-4098-B802-899D30F93162}"/>
    <cellStyle name="Total 2 6 3 4 3" xfId="16636" xr:uid="{F3314E89-229D-4843-A5C0-F0C4180EE8B5}"/>
    <cellStyle name="Total 2 6 3 4 3 2" xfId="39026" xr:uid="{538B5E58-7FFD-4F63-A40F-63175BB763ED}"/>
    <cellStyle name="Total 2 6 3 4 3 3" xfId="44757" xr:uid="{A34FB54F-54D6-4389-B5AD-8B05CA7DD931}"/>
    <cellStyle name="Total 2 6 3 4 4" xfId="13995" xr:uid="{C809E053-4EDE-46DF-B085-88C6CFCAF698}"/>
    <cellStyle name="Total 2 6 3 4 4 2" xfId="36478" xr:uid="{7E8CBE1F-521D-4A42-AE15-9590C2F5380C}"/>
    <cellStyle name="Total 2 6 3 4 4 3" xfId="46945" xr:uid="{21427680-6A50-4934-B1B1-987B7670A62A}"/>
    <cellStyle name="Total 2 6 3 4 5" xfId="21133" xr:uid="{0845D857-874E-4EC0-B2A5-B706284DC4E7}"/>
    <cellStyle name="Total 2 6 3 4 5 2" xfId="51783" xr:uid="{371FDC0D-36CF-48EA-B422-85E51458B12F}"/>
    <cellStyle name="Total 2 6 3 4 6" xfId="51958" xr:uid="{DD5414C7-BD73-4271-BFA2-7313A022F940}"/>
    <cellStyle name="Total 2 6 3 5" xfId="4627" xr:uid="{00000000-0005-0000-0000-0000A4080000}"/>
    <cellStyle name="Total 2 6 3 5 2" xfId="11528" xr:uid="{0AD5E2D4-774C-4598-88C2-9B4CA069DC62}"/>
    <cellStyle name="Total 2 6 3 5 2 2" xfId="34014" xr:uid="{11D0C002-0073-42ED-B6F8-F711591DE5DD}"/>
    <cellStyle name="Total 2 6 3 5 2 3" xfId="29194" xr:uid="{3CC075B5-2B38-4A7B-9F28-73BA34D470F3}"/>
    <cellStyle name="Total 2 6 3 5 3" xfId="16564" xr:uid="{8668F5A8-6B8E-49D8-8A3C-C64631F6366C}"/>
    <cellStyle name="Total 2 6 3 5 3 2" xfId="38954" xr:uid="{6BA5E3C1-F692-44C2-BE46-BEE33B813F78}"/>
    <cellStyle name="Total 2 6 3 5 3 3" xfId="42416" xr:uid="{F01C5F08-4294-44FF-8B83-BBC57269B64A}"/>
    <cellStyle name="Total 2 6 3 5 4" xfId="7974" xr:uid="{753EF959-48EE-4AE0-9E4C-0DB42117EE5B}"/>
    <cellStyle name="Total 2 6 3 5 4 2" xfId="30596" xr:uid="{A1ADF7C9-F8A3-4189-9411-831BCA7A371D}"/>
    <cellStyle name="Total 2 6 3 5 4 3" xfId="49420" xr:uid="{DA177362-DCF8-4864-A694-8EE47825C2C0}"/>
    <cellStyle name="Total 2 6 3 5 5" xfId="14754" xr:uid="{C6A78958-45AD-4F3F-B1DB-B9B6F1B81069}"/>
    <cellStyle name="Total 2 6 3 5 5 2" xfId="47348" xr:uid="{32F70EF5-96B7-427A-A302-E324424EDC4F}"/>
    <cellStyle name="Total 2 6 3 5 6" xfId="52759" xr:uid="{38419D09-91BD-4EA7-B27B-A285C087F623}"/>
    <cellStyle name="Total 2 6 3 6" xfId="5986" xr:uid="{00000000-0005-0000-0000-0000A4080000}"/>
    <cellStyle name="Total 2 6 3 6 2" xfId="12867" xr:uid="{D07D1970-4A45-4536-9DDE-BE6EBB02AA58}"/>
    <cellStyle name="Total 2 6 3 6 2 2" xfId="35351" xr:uid="{31E7640B-22DD-4050-BB76-44B85DE66420}"/>
    <cellStyle name="Total 2 6 3 6 2 3" xfId="29468" xr:uid="{0F235663-93DC-41B8-A864-4390FF4DC059}"/>
    <cellStyle name="Total 2 6 3 6 3" xfId="17923" xr:uid="{97637CB6-9935-450F-A8F5-B25A3029DF39}"/>
    <cellStyle name="Total 2 6 3 6 3 2" xfId="40313" xr:uid="{D005B709-D88F-4DF5-81C9-39495B45149B}"/>
    <cellStyle name="Total 2 6 3 6 3 3" xfId="44964" xr:uid="{079370D8-26A1-40D4-B4F3-AAF576E59262}"/>
    <cellStyle name="Total 2 6 3 6 4" xfId="8414" xr:uid="{3AC9B8F3-5614-4FFB-A5FA-096C9FA47C6C}"/>
    <cellStyle name="Total 2 6 3 6 4 2" xfId="31002" xr:uid="{F9DF923D-B60B-4162-91E4-0DCB43138584}"/>
    <cellStyle name="Total 2 6 3 6 4 3" xfId="51901" xr:uid="{7E897CB9-F6CD-46FA-B4FD-72070B21515B}"/>
    <cellStyle name="Total 2 6 3 6 5" xfId="22347" xr:uid="{FC465F8A-95F9-44F6-8CA4-DE9094782236}"/>
    <cellStyle name="Total 2 6 3 6 5 2" xfId="50647" xr:uid="{6D449D31-5EA7-4114-A879-30DEB941CDEE}"/>
    <cellStyle name="Total 2 6 3 6 6" xfId="36765" xr:uid="{08704C00-A4D3-4ADF-AEAA-2B6A2736F5FB}"/>
    <cellStyle name="Total 2 6 3 7" xfId="6019" xr:uid="{00000000-0005-0000-0000-0000A4080000}"/>
    <cellStyle name="Total 2 6 3 7 2" xfId="12899" xr:uid="{CF9238FB-9D6C-4680-BEB2-89048C60758C}"/>
    <cellStyle name="Total 2 6 3 7 2 2" xfId="35383" xr:uid="{62924783-2456-424C-9F7A-4D6EF5A0944D}"/>
    <cellStyle name="Total 2 6 3 7 2 3" xfId="23757" xr:uid="{A8743D41-8907-4B2D-B3A6-75B09383CAC6}"/>
    <cellStyle name="Total 2 6 3 7 3" xfId="17956" xr:uid="{C060A39E-28DB-4BCC-BFD7-D8DD9BE790C3}"/>
    <cellStyle name="Total 2 6 3 7 3 2" xfId="40346" xr:uid="{722CA313-03C2-44EA-8908-54018CAC8022}"/>
    <cellStyle name="Total 2 6 3 7 3 3" xfId="27726" xr:uid="{D47247B2-3D11-4A02-9407-DD768E0E193F}"/>
    <cellStyle name="Total 2 6 3 7 4" xfId="13981" xr:uid="{99148E18-2544-4777-8BE8-6FE64105D9E7}"/>
    <cellStyle name="Total 2 6 3 7 4 2" xfId="36465" xr:uid="{F787D91B-BA52-44A2-811E-23F0B7AC2CA2}"/>
    <cellStyle name="Total 2 6 3 7 4 3" xfId="48247" xr:uid="{0FEA6DFF-E52F-4BE5-B278-4DF423536693}"/>
    <cellStyle name="Total 2 6 3 7 5" xfId="22380" xr:uid="{01759F4C-9002-4027-B0ED-38B1F4099D26}"/>
    <cellStyle name="Total 2 6 3 7 5 2" xfId="50328" xr:uid="{DF4BBBBF-2F1B-491B-90AB-485C27C055E4}"/>
    <cellStyle name="Total 2 6 3 7 6" xfId="42300" xr:uid="{1ADE1572-37C4-4A65-89A6-88888A0A1A74}"/>
    <cellStyle name="Total 2 6 3 8" xfId="7340" xr:uid="{DCED473C-FEC6-4041-8578-9C858D1D3BD5}"/>
    <cellStyle name="Total 2 6 3 8 2" xfId="30028" xr:uid="{BF32EE36-C254-4A37-B86A-B0462DD23ECF}"/>
    <cellStyle name="Total 2 6 3 8 3" xfId="50404" xr:uid="{EF6AB4E5-7582-4FFD-ADD9-3DB95787DE4D}"/>
    <cellStyle name="Total 2 6 3 9" xfId="19820" xr:uid="{FDED963E-1AE1-4ED6-968C-8A32660B6EA3}"/>
    <cellStyle name="Total 2 6 3 9 2" xfId="42158" xr:uid="{8DAC8C2A-7124-4720-9321-D59D7489E5D4}"/>
    <cellStyle name="Total 2 6 3 9 3" xfId="29818" xr:uid="{455DDC45-4253-4A8B-A12F-4FB658014DF0}"/>
    <cellStyle name="Total 2 6 4" xfId="1042" xr:uid="{00000000-0005-0000-0000-0000A9080000}"/>
    <cellStyle name="Total 2 6 4 10" xfId="19603" xr:uid="{3DB864CF-1146-4430-9068-D68FB7EF9C81}"/>
    <cellStyle name="Total 2 6 4 10 2" xfId="31012" xr:uid="{4B48EC94-B6DD-4A0C-B2CE-308F57AFD1ED}"/>
    <cellStyle name="Total 2 6 4 11" xfId="52929" xr:uid="{512403FC-4309-493B-917B-E5DCA2182E03}"/>
    <cellStyle name="Total 2 6 4 2" xfId="1932" xr:uid="{00000000-0005-0000-0000-0000AA080000}"/>
    <cellStyle name="Total 2 6 4 2 10" xfId="14602" xr:uid="{0336FF53-E5D1-42FC-B434-579D32D1BC7F}"/>
    <cellStyle name="Total 2 6 4 2 10 2" xfId="37063" xr:uid="{5BFE380F-1F60-4D7C-B72E-6320300736A2}"/>
    <cellStyle name="Total 2 6 4 2 10 3" xfId="47892" xr:uid="{0094C488-AE63-4425-910E-E6F940C0FE46}"/>
    <cellStyle name="Total 2 6 4 2 11" xfId="19335" xr:uid="{F9E8AD30-39E1-4092-B13F-5098C56F5681}"/>
    <cellStyle name="Total 2 6 4 2 11 2" xfId="41712" xr:uid="{0E6E797D-B01B-497F-A10A-93846CD0B3E2}"/>
    <cellStyle name="Total 2 6 4 2 11 3" xfId="32472" xr:uid="{B5E055D3-4F10-42C0-9FC8-482D7BE63585}"/>
    <cellStyle name="Total 2 6 4 2 12" xfId="14056" xr:uid="{5FD2F97A-4AA1-42C4-93A0-B7B23FFF01E7}"/>
    <cellStyle name="Total 2 6 4 2 12 2" xfId="52896" xr:uid="{A6F74EA3-E568-49B3-98F9-74D441667F2D}"/>
    <cellStyle name="Total 2 6 4 2 13" xfId="45977" xr:uid="{AF95542E-D35F-48EE-96D4-84EE033EB731}"/>
    <cellStyle name="Total 2 6 4 2 2" xfId="4029" xr:uid="{00000000-0005-0000-0000-0000A7080000}"/>
    <cellStyle name="Total 2 6 4 2 2 2" xfId="10933" xr:uid="{F13A0552-F3AE-4B55-BE2B-24ED929D3216}"/>
    <cellStyle name="Total 2 6 4 2 2 2 2" xfId="33419" xr:uid="{3A230CB2-1F0E-4E5F-88D1-016148DDAAAB}"/>
    <cellStyle name="Total 2 6 4 2 2 2 3" xfId="45355" xr:uid="{48937BB9-E538-4411-9D78-924069067B31}"/>
    <cellStyle name="Total 2 6 4 2 2 3" xfId="16053" xr:uid="{8B3B0C24-B8E7-46D8-A022-0C7D5F54F544}"/>
    <cellStyle name="Total 2 6 4 2 2 3 2" xfId="38454" xr:uid="{BA6943F3-4AD8-4540-AA22-DEE0E4159CAE}"/>
    <cellStyle name="Total 2 6 4 2 2 3 3" xfId="42149" xr:uid="{A69D59EC-460F-4FC0-BEED-6DBC3C20448D}"/>
    <cellStyle name="Total 2 6 4 2 2 4" xfId="20663" xr:uid="{16D66807-28B6-49EE-9475-4A0C4A3122D5}"/>
    <cellStyle name="Total 2 6 4 2 2 4 2" xfId="42939" xr:uid="{6CC4EB69-8E6D-4A53-BEE8-A912CD6E35C2}"/>
    <cellStyle name="Total 2 6 4 2 2 4 3" xfId="53097" xr:uid="{CBB6CDD5-3C22-48B9-91DB-DA62657FCA46}"/>
    <cellStyle name="Total 2 6 4 2 2 5" xfId="16012" xr:uid="{F54A35C5-ED9E-4970-9D80-646BA8670E38}"/>
    <cellStyle name="Total 2 6 4 2 2 5 2" xfId="47045" xr:uid="{B4BD2927-71DC-40B0-A768-33BAE281CD6A}"/>
    <cellStyle name="Total 2 6 4 2 2 6" xfId="28528" xr:uid="{4661689C-46BE-470B-9FEA-079FAB759DB9}"/>
    <cellStyle name="Total 2 6 4 2 3" xfId="5404" xr:uid="{00000000-0005-0000-0000-0000A7080000}"/>
    <cellStyle name="Total 2 6 4 2 3 2" xfId="12295" xr:uid="{59CAF84B-C75A-492E-9712-7DDADBB8CD7E}"/>
    <cellStyle name="Total 2 6 4 2 3 2 2" xfId="34780" xr:uid="{40EC50ED-4D7F-4137-9315-3F3CED7359C0}"/>
    <cellStyle name="Total 2 6 4 2 3 2 3" xfId="30625" xr:uid="{94294733-A7B3-4588-A590-B80DE216C6AB}"/>
    <cellStyle name="Total 2 6 4 2 3 3" xfId="17341" xr:uid="{D68A0512-1200-404D-AD53-0BEA1F3C5C50}"/>
    <cellStyle name="Total 2 6 4 2 3 3 2" xfId="39731" xr:uid="{1B84BBBF-05A1-45D3-9B49-BCE933599A24}"/>
    <cellStyle name="Total 2 6 4 2 3 3 3" xfId="28255" xr:uid="{7D1B0354-594D-4DCB-B1BD-8597964A4C9A}"/>
    <cellStyle name="Total 2 6 4 2 3 4" xfId="15294" xr:uid="{A7F9B150-5ABE-4D3C-BC42-554AF7C492D4}"/>
    <cellStyle name="Total 2 6 4 2 3 4 2" xfId="37726" xr:uid="{2765D2D7-AE95-4031-9524-6E8631F12B58}"/>
    <cellStyle name="Total 2 6 4 2 3 4 3" xfId="46254" xr:uid="{99F9DC51-07D5-420A-95EF-7C69A81E5E1C}"/>
    <cellStyle name="Total 2 6 4 2 3 5" xfId="21765" xr:uid="{356CAD42-B7FD-47F2-A74D-7799E42588A7}"/>
    <cellStyle name="Total 2 6 4 2 3 5 2" xfId="50364" xr:uid="{174E0C7F-45B9-4380-9916-D4DCD9461810}"/>
    <cellStyle name="Total 2 6 4 2 3 6" xfId="46517" xr:uid="{160B91B0-4270-4576-9291-DC5710009924}"/>
    <cellStyle name="Total 2 6 4 2 4" xfId="5817" xr:uid="{00000000-0005-0000-0000-0000A7080000}"/>
    <cellStyle name="Total 2 6 4 2 4 2" xfId="12700" xr:uid="{CCFD829B-1FE2-47F4-AEF8-23EC96E886AB}"/>
    <cellStyle name="Total 2 6 4 2 4 2 2" xfId="35185" xr:uid="{AC455041-FF95-4016-9A33-DD6539A8071F}"/>
    <cellStyle name="Total 2 6 4 2 4 2 3" xfId="32349" xr:uid="{A01C2D47-C0F9-4D6F-AF16-72350851639C}"/>
    <cellStyle name="Total 2 6 4 2 4 3" xfId="17754" xr:uid="{549CFABC-CCFA-4295-9AB4-5647179B6ECE}"/>
    <cellStyle name="Total 2 6 4 2 4 3 2" xfId="40144" xr:uid="{E8FADF85-5472-459C-8B53-06B11F3B4284}"/>
    <cellStyle name="Total 2 6 4 2 4 3 3" xfId="24746" xr:uid="{8F12D6A3-C8FB-4D22-83EB-3FD9485BD091}"/>
    <cellStyle name="Total 2 6 4 2 4 4" xfId="8287" xr:uid="{BD4FDBA7-BFBB-407F-97E4-D51DB85E864F}"/>
    <cellStyle name="Total 2 6 4 2 4 4 2" xfId="30887" xr:uid="{6D5CD30A-0732-46AC-AC24-0613F499352E}"/>
    <cellStyle name="Total 2 6 4 2 4 4 3" xfId="53406" xr:uid="{789CBD79-741C-434F-8D0B-3AB2332BBF7D}"/>
    <cellStyle name="Total 2 6 4 2 4 5" xfId="22178" xr:uid="{37CC0A8C-158E-4862-8A82-FB9E6BFA1ED6}"/>
    <cellStyle name="Total 2 6 4 2 4 5 2" xfId="50296" xr:uid="{B387A391-CD1A-4A7C-AFCB-1BC7545792F2}"/>
    <cellStyle name="Total 2 6 4 2 4 6" xfId="23663" xr:uid="{213F2906-4FE3-4CBE-8C09-DB06507E2300}"/>
    <cellStyle name="Total 2 6 4 2 5" xfId="6161" xr:uid="{00000000-0005-0000-0000-0000A7080000}"/>
    <cellStyle name="Total 2 6 4 2 5 2" xfId="13038" xr:uid="{308EFD87-9679-46F1-8A43-ED774CF2CC9D}"/>
    <cellStyle name="Total 2 6 4 2 5 2 2" xfId="35522" xr:uid="{BDD7B2CB-E03C-4DDC-9775-E4E9075F5F27}"/>
    <cellStyle name="Total 2 6 4 2 5 2 3" xfId="50923" xr:uid="{16D78E0B-0C4D-4006-ABF4-DF8CE8D08D7F}"/>
    <cellStyle name="Total 2 6 4 2 5 3" xfId="18098" xr:uid="{1D77244D-7E15-4955-9E7D-2E28D4059218}"/>
    <cellStyle name="Total 2 6 4 2 5 3 2" xfId="40488" xr:uid="{938D71E8-BEDB-4472-89AE-3566DC8D0DBB}"/>
    <cellStyle name="Total 2 6 4 2 5 3 3" xfId="27888" xr:uid="{B08A9C84-8DFA-41A0-9BFA-FB1DFD6559AB}"/>
    <cellStyle name="Total 2 6 4 2 5 4" xfId="16076" xr:uid="{645502DC-DF5A-465E-A6E5-6E9EB798DA3D}"/>
    <cellStyle name="Total 2 6 4 2 5 4 2" xfId="38476" xr:uid="{8B34DCD9-4584-4D6D-B388-BE3069E19F97}"/>
    <cellStyle name="Total 2 6 4 2 5 4 3" xfId="43683" xr:uid="{CB4382DA-1747-4BE6-BEFA-A7CBBA4C649B}"/>
    <cellStyle name="Total 2 6 4 2 5 5" xfId="22522" xr:uid="{8FA0EE52-D7E7-4C96-A187-377054AD0145}"/>
    <cellStyle name="Total 2 6 4 2 5 5 2" xfId="24135" xr:uid="{903B1CFB-C7CC-44D1-8C3F-EC575C285C04}"/>
    <cellStyle name="Total 2 6 4 2 5 6" xfId="48625" xr:uid="{CF75F10B-8B66-437D-A934-ABB3B2652969}"/>
    <cellStyle name="Total 2 6 4 2 6" xfId="6534" xr:uid="{00000000-0005-0000-0000-0000A7080000}"/>
    <cellStyle name="Total 2 6 4 2 6 2" xfId="13403" xr:uid="{6964E18C-DF73-40BC-8F27-7DA6017EECD3}"/>
    <cellStyle name="Total 2 6 4 2 6 2 2" xfId="35887" xr:uid="{0589F996-D829-4CEF-BE33-2CC7E02284FD}"/>
    <cellStyle name="Total 2 6 4 2 6 2 3" xfId="53126" xr:uid="{2ABE64FA-B9A7-4A9E-9CEB-357EA751694A}"/>
    <cellStyle name="Total 2 6 4 2 6 3" xfId="18471" xr:uid="{114AC5E1-A370-4095-B909-BC94AA2F4462}"/>
    <cellStyle name="Total 2 6 4 2 6 3 2" xfId="40861" xr:uid="{15901CCA-3F95-4C7D-A18D-DAC0D536E7BC}"/>
    <cellStyle name="Total 2 6 4 2 6 3 3" xfId="44584" xr:uid="{87CDD656-091F-43B0-8409-F6A8FF9C91A7}"/>
    <cellStyle name="Total 2 6 4 2 6 4" xfId="19993" xr:uid="{6D5C32DA-7527-451F-9BC6-519FA4494E82}"/>
    <cellStyle name="Total 2 6 4 2 6 4 2" xfId="42318" xr:uid="{88BDF6BF-BE35-47A9-81AD-CF093C7D3D10}"/>
    <cellStyle name="Total 2 6 4 2 6 4 3" xfId="25705" xr:uid="{1231B5F5-D3D8-436F-87B1-B01F9A292F27}"/>
    <cellStyle name="Total 2 6 4 2 6 5" xfId="22895" xr:uid="{18D04A5C-8431-4A3C-AE2A-4B377FFAE0BC}"/>
    <cellStyle name="Total 2 6 4 2 6 5 2" xfId="28415" xr:uid="{58C1703E-222B-4533-B3DE-A66AE953AEFE}"/>
    <cellStyle name="Total 2 6 4 2 6 6" xfId="51252" xr:uid="{FF78E5BA-52F7-4C17-BE04-873CF7E7C59C}"/>
    <cellStyle name="Total 2 6 4 2 7" xfId="4573" xr:uid="{00000000-0005-0000-0000-0000A7080000}"/>
    <cellStyle name="Total 2 6 4 2 7 2" xfId="11475" xr:uid="{600BD1D7-257E-445A-A573-3E98B8B5BBCE}"/>
    <cellStyle name="Total 2 6 4 2 7 2 2" xfId="33961" xr:uid="{2677AAF0-ACB7-421D-9F7A-02CA41F0362A}"/>
    <cellStyle name="Total 2 6 4 2 7 2 3" xfId="42554" xr:uid="{D3085AFA-4C64-48E0-A0A4-A23914F44705}"/>
    <cellStyle name="Total 2 6 4 2 7 3" xfId="16510" xr:uid="{D2531514-D2B9-41BF-B1C1-8C4F4E493817}"/>
    <cellStyle name="Total 2 6 4 2 7 3 2" xfId="38900" xr:uid="{7B1403B5-2D75-4BC1-A90A-FCA39D5E0FF6}"/>
    <cellStyle name="Total 2 6 4 2 7 3 3" xfId="28865" xr:uid="{96E139C3-FD84-4C58-B882-9F828B53A1ED}"/>
    <cellStyle name="Total 2 6 4 2 7 4" xfId="19475" xr:uid="{620AEDB6-7DF0-4661-934F-A99C9DCF1DD7}"/>
    <cellStyle name="Total 2 6 4 2 7 4 2" xfId="41840" xr:uid="{70A9FB63-2309-409E-85EC-4C246FE40926}"/>
    <cellStyle name="Total 2 6 4 2 7 4 3" xfId="30125" xr:uid="{D4CDD538-4BB7-4ADB-9BD1-7DB31A34ADBA}"/>
    <cellStyle name="Total 2 6 4 2 7 5" xfId="20935" xr:uid="{1BC0561B-9B9A-45FC-82CB-947DF038DB5B}"/>
    <cellStyle name="Total 2 6 4 2 7 5 2" xfId="50071" xr:uid="{BDC2E4BE-BA1B-4049-A3A0-AD995451CF0B}"/>
    <cellStyle name="Total 2 6 4 2 7 6" xfId="49012" xr:uid="{6C9EA2F6-AF37-4C21-8471-425CD6AF9CCB}"/>
    <cellStyle name="Total 2 6 4 2 8" xfId="7018" xr:uid="{00000000-0005-0000-0000-0000A7080000}"/>
    <cellStyle name="Total 2 6 4 2 8 2" xfId="13855" xr:uid="{2C7A778B-C1E9-4317-9F8B-B04453AB9D1C}"/>
    <cellStyle name="Total 2 6 4 2 8 2 2" xfId="36339" xr:uid="{D7364523-BFA1-4C03-B428-D0A9500E98EC}"/>
    <cellStyle name="Total 2 6 4 2 8 2 3" xfId="48464" xr:uid="{5FA8EF18-2E8D-4B10-89DF-29137AEB3B00}"/>
    <cellStyle name="Total 2 6 4 2 8 3" xfId="18955" xr:uid="{80B6FFCD-B7D6-4CE8-B837-5905056AC0E5}"/>
    <cellStyle name="Total 2 6 4 2 8 3 2" xfId="41345" xr:uid="{D6C8FA3C-71B9-4948-A4FB-06D71D4BC01F}"/>
    <cellStyle name="Total 2 6 4 2 8 3 3" xfId="26368" xr:uid="{2AA1DA6A-22D1-4468-B9DE-6A443553C27C}"/>
    <cellStyle name="Total 2 6 4 2 8 4" xfId="20198" xr:uid="{51529911-3025-4307-AA12-7480ED810D53}"/>
    <cellStyle name="Total 2 6 4 2 8 4 2" xfId="42506" xr:uid="{32831268-1EED-4674-AECF-6D657CC40401}"/>
    <cellStyle name="Total 2 6 4 2 8 4 3" xfId="24127" xr:uid="{DD99C36D-B118-44D5-9F88-74B15D08FA21}"/>
    <cellStyle name="Total 2 6 4 2 8 5" xfId="23379" xr:uid="{8B97410A-30E8-468D-8EDB-71F3A40709B1}"/>
    <cellStyle name="Total 2 6 4 2 8 5 2" xfId="25641" xr:uid="{91C35261-9D6E-4A63-8EAB-60F912C448B9}"/>
    <cellStyle name="Total 2 6 4 2 8 6" xfId="47755" xr:uid="{BCDF7D85-8673-47FC-92AC-B08416D4D6CA}"/>
    <cellStyle name="Total 2 6 4 2 9" xfId="7134" xr:uid="{00000000-0005-0000-0000-0000A7080000}"/>
    <cellStyle name="Total 2 6 4 2 9 2" xfId="19071" xr:uid="{CC5EA67C-506B-4C15-93AB-761638C9891C}"/>
    <cellStyle name="Total 2 6 4 2 9 2 2" xfId="41461" xr:uid="{93EA304C-B331-4AE7-A1C1-A6109C96D18D}"/>
    <cellStyle name="Total 2 6 4 2 9 2 3" xfId="45845" xr:uid="{515241E3-1B09-4B3F-9A50-33BBEE67014E}"/>
    <cellStyle name="Total 2 6 4 2 9 3" xfId="15906" xr:uid="{5D081D63-98E9-4F6F-90CA-4529CF698579}"/>
    <cellStyle name="Total 2 6 4 2 9 3 2" xfId="38312" xr:uid="{AB47E0E2-DD87-47C6-A897-7DE510642228}"/>
    <cellStyle name="Total 2 6 4 2 9 3 3" xfId="45646" xr:uid="{109BFB33-D198-49A6-A309-9F1DF3F947AD}"/>
    <cellStyle name="Total 2 6 4 2 9 4" xfId="23495" xr:uid="{D016DE03-B3D7-45FD-9DBD-C642852DE21A}"/>
    <cellStyle name="Total 2 6 4 2 9 4 2" xfId="49884" xr:uid="{DBFF60A0-C405-45D8-9FEB-DBE2C1C15268}"/>
    <cellStyle name="Total 2 6 4 2 9 5" xfId="47846" xr:uid="{394B1550-6057-4C15-A277-6473DE04A06A}"/>
    <cellStyle name="Total 2 6 4 3" xfId="3163" xr:uid="{00000000-0005-0000-0000-0000A6080000}"/>
    <cellStyle name="Total 2 6 4 3 2" xfId="10072" xr:uid="{758B942B-26BB-4F44-951D-0A355B61035A}"/>
    <cellStyle name="Total 2 6 4 3 2 2" xfId="32579" xr:uid="{D8078EC5-24FA-4ED6-8F98-1A34E93B6A54}"/>
    <cellStyle name="Total 2 6 4 3 2 3" xfId="50397" xr:uid="{6E6F2B1B-A598-4ECE-8E1E-66C6D43F30DB}"/>
    <cellStyle name="Total 2 6 4 3 3" xfId="15450" xr:uid="{CE4CF8C0-6EFE-4465-9132-3D5CE50E51C1}"/>
    <cellStyle name="Total 2 6 4 3 3 2" xfId="37876" xr:uid="{46859C83-9227-41F7-9EA0-E0208B7BE1C9}"/>
    <cellStyle name="Total 2 6 4 3 3 3" xfId="46377" xr:uid="{FC72238C-84F4-40C0-BE1D-CD415DF592EB}"/>
    <cellStyle name="Total 2 6 4 3 4" xfId="14688" xr:uid="{1437D579-C1C1-4DA5-B9CF-4704F7789D6F}"/>
    <cellStyle name="Total 2 6 4 3 4 2" xfId="37148" xr:uid="{AB48AF4D-EFBB-4728-AC17-9A9E95F27628}"/>
    <cellStyle name="Total 2 6 4 3 4 3" xfId="30641" xr:uid="{8AE3E1A5-B069-4FBF-9D59-A8488C93A74A}"/>
    <cellStyle name="Total 2 6 4 3 5" xfId="20392" xr:uid="{F7082094-FD59-49C9-8F0B-8EEF31FF70EE}"/>
    <cellStyle name="Total 2 6 4 3 5 2" xfId="51093" xr:uid="{D9766D3E-0BFD-45EB-A879-E13582ACC620}"/>
    <cellStyle name="Total 2 6 4 3 6" xfId="50983" xr:uid="{53CF8376-4B74-4621-959B-2D1DBB506558}"/>
    <cellStyle name="Total 2 6 4 4" xfId="4816" xr:uid="{00000000-0005-0000-0000-0000A6080000}"/>
    <cellStyle name="Total 2 6 4 4 2" xfId="11713" xr:uid="{E3F5649A-65A8-444B-B764-475D9A9F409D}"/>
    <cellStyle name="Total 2 6 4 4 2 2" xfId="34199" xr:uid="{DBB2AC84-3374-496A-BF07-A588A115F874}"/>
    <cellStyle name="Total 2 6 4 4 2 3" xfId="29195" xr:uid="{CC549B7F-0E8C-4CBC-8978-CCD4EDC0DB59}"/>
    <cellStyle name="Total 2 6 4 4 3" xfId="16753" xr:uid="{6AAB83A3-F17C-4790-AFB1-C4AAF8110910}"/>
    <cellStyle name="Total 2 6 4 4 3 2" xfId="39143" xr:uid="{37EF2BF2-24D4-4C4F-8DD8-457235D10E40}"/>
    <cellStyle name="Total 2 6 4 4 3 3" xfId="28284" xr:uid="{5FEB27FA-EC2A-4673-A34A-2AB743830625}"/>
    <cellStyle name="Total 2 6 4 4 4" xfId="15864" xr:uid="{471BC38B-9369-4A6D-BF6F-26DF020C7F65}"/>
    <cellStyle name="Total 2 6 4 4 4 2" xfId="38270" xr:uid="{611F0958-14A3-4D1C-AAD4-E5BF922B85AD}"/>
    <cellStyle name="Total 2 6 4 4 4 3" xfId="37569" xr:uid="{B110517E-D3BB-4E4D-9067-2DA3C63F0F97}"/>
    <cellStyle name="Total 2 6 4 4 5" xfId="14825" xr:uid="{AFF08238-5C2B-414F-8A27-6A16493BA2D2}"/>
    <cellStyle name="Total 2 6 4 4 5 2" xfId="46571" xr:uid="{0CB6160D-F707-42EB-AC28-15B0EF81314F}"/>
    <cellStyle name="Total 2 6 4 4 6" xfId="26278" xr:uid="{5BA3424D-30F5-4B0E-B29B-0E74B37AE4B1}"/>
    <cellStyle name="Total 2 6 4 5" xfId="5579" xr:uid="{00000000-0005-0000-0000-0000A6080000}"/>
    <cellStyle name="Total 2 6 4 5 2" xfId="12464" xr:uid="{7FEFF5D0-92CB-4E12-873A-5B890D4F5BD5}"/>
    <cellStyle name="Total 2 6 4 5 2 2" xfId="34949" xr:uid="{F588E521-D21C-4B0E-9A51-BAB7A8A56702}"/>
    <cellStyle name="Total 2 6 4 5 2 3" xfId="30756" xr:uid="{17B2C9B1-E582-47A0-85BC-11140A3068A3}"/>
    <cellStyle name="Total 2 6 4 5 3" xfId="17516" xr:uid="{73CDEF8C-761B-49B8-9C6D-4D49184A7D21}"/>
    <cellStyle name="Total 2 6 4 5 3 2" xfId="39906" xr:uid="{0E3C1AA3-097E-44C9-BF81-D9ADE045C414}"/>
    <cellStyle name="Total 2 6 4 5 3 3" xfId="36304" xr:uid="{CC3B7790-CC07-4634-B00F-1AE731F65449}"/>
    <cellStyle name="Total 2 6 4 5 4" xfId="14564" xr:uid="{4F553DC8-AF49-4D0D-BF95-161EFD561849}"/>
    <cellStyle name="Total 2 6 4 5 4 2" xfId="37025" xr:uid="{F695A383-3D0B-4DB1-9D01-B1806163B4B4}"/>
    <cellStyle name="Total 2 6 4 5 4 3" xfId="27949" xr:uid="{67783A62-6121-4966-83CA-31D78A99D0DF}"/>
    <cellStyle name="Total 2 6 4 5 5" xfId="21940" xr:uid="{B7BA2C89-B6FD-426F-94F1-BBC560F9DD64}"/>
    <cellStyle name="Total 2 6 4 5 5 2" xfId="36258" xr:uid="{8C40CF62-563C-47D3-B6A2-AD945554613C}"/>
    <cellStyle name="Total 2 6 4 5 6" xfId="23843" xr:uid="{25D1E88A-1D97-42A2-80DA-93041C3F914A}"/>
    <cellStyle name="Total 2 6 4 6" xfId="5771" xr:uid="{00000000-0005-0000-0000-0000A6080000}"/>
    <cellStyle name="Total 2 6 4 6 2" xfId="12654" xr:uid="{EF6D8A39-E8FF-4493-91F6-AEE9FA12D3CA}"/>
    <cellStyle name="Total 2 6 4 6 2 2" xfId="35139" xr:uid="{B72A3751-8884-4520-8418-A51BF4DB48E0}"/>
    <cellStyle name="Total 2 6 4 6 2 3" xfId="44978" xr:uid="{0A09A846-9D1D-4493-AA2C-9EAD62404945}"/>
    <cellStyle name="Total 2 6 4 6 3" xfId="17708" xr:uid="{24FFF6B6-83B3-4D55-BC59-31F6F24A3A6B}"/>
    <cellStyle name="Total 2 6 4 6 3 2" xfId="40098" xr:uid="{94003C3C-F87B-42A2-9269-4B7B735E53FE}"/>
    <cellStyle name="Total 2 6 4 6 3 3" xfId="29812" xr:uid="{F557DDC5-B258-4F79-826B-B746FDE9256E}"/>
    <cellStyle name="Total 2 6 4 6 4" xfId="15517" xr:uid="{5005AC16-E29C-4C69-9C70-A8B917758DD8}"/>
    <cellStyle name="Total 2 6 4 6 4 2" xfId="37938" xr:uid="{58D8B7FD-1EF7-4899-8B33-8201F8EB4B62}"/>
    <cellStyle name="Total 2 6 4 6 4 3" xfId="46126" xr:uid="{E5B765DC-0FA8-4E2C-8B10-1A0F75CCC47B}"/>
    <cellStyle name="Total 2 6 4 6 5" xfId="22132" xr:uid="{915EC69C-B729-4E6A-B326-66A55D16B029}"/>
    <cellStyle name="Total 2 6 4 6 5 2" xfId="48231" xr:uid="{9FCC49BB-F539-42E4-A90F-C912151AD4AF}"/>
    <cellStyle name="Total 2 6 4 6 6" xfId="48385" xr:uid="{84856C4C-347D-4D86-931C-EBC058B094A5}"/>
    <cellStyle name="Total 2 6 4 7" xfId="6547" xr:uid="{00000000-0005-0000-0000-0000A6080000}"/>
    <cellStyle name="Total 2 6 4 7 2" xfId="13415" xr:uid="{597BE364-330A-4F47-AFDC-C284F3A6A22C}"/>
    <cellStyle name="Total 2 6 4 7 2 2" xfId="35899" xr:uid="{C25938C1-7790-44B7-8410-E78FE8C2F918}"/>
    <cellStyle name="Total 2 6 4 7 2 3" xfId="51506" xr:uid="{B96DB8D9-C08E-4554-9715-2940D996C0A8}"/>
    <cellStyle name="Total 2 6 4 7 3" xfId="18484" xr:uid="{34333967-519C-4D25-B7DF-CBB5CEF29CAA}"/>
    <cellStyle name="Total 2 6 4 7 3 2" xfId="40874" xr:uid="{E869EA0B-8A08-4A47-B77E-B229AFD683B4}"/>
    <cellStyle name="Total 2 6 4 7 3 3" xfId="26097" xr:uid="{856B7F2D-8D19-45A0-BEA0-997D50C2E229}"/>
    <cellStyle name="Total 2 6 4 7 4" xfId="20825" xr:uid="{520FF049-C94E-4FB4-9480-9D9803CF84AB}"/>
    <cellStyle name="Total 2 6 4 7 4 2" xfId="43091" xr:uid="{6094A6E4-D422-45F8-AC88-E16489E92647}"/>
    <cellStyle name="Total 2 6 4 7 4 3" xfId="49975" xr:uid="{04378B90-7434-4C43-AA9D-B539E080D6B7}"/>
    <cellStyle name="Total 2 6 4 7 5" xfId="22908" xr:uid="{A99B0A0F-B93E-4AFE-B9CC-00AE91274063}"/>
    <cellStyle name="Total 2 6 4 7 5 2" xfId="24931" xr:uid="{47504F2A-2416-4C33-B152-304F1E529A41}"/>
    <cellStyle name="Total 2 6 4 7 6" xfId="38111" xr:uid="{A9B683F8-7346-488D-90D3-07B2300F45BA}"/>
    <cellStyle name="Total 2 6 4 8" xfId="8282" xr:uid="{02637067-7674-4845-86AA-46C8BADF3EF4}"/>
    <cellStyle name="Total 2 6 4 8 2" xfId="30882" xr:uid="{436BE81E-83DD-4D1F-B97D-C001DEF297A9}"/>
    <cellStyle name="Total 2 6 4 8 3" xfId="29445" xr:uid="{B5EA1305-9C81-4EF9-83BC-AFC97C6ECF3B}"/>
    <cellStyle name="Total 2 6 4 9" xfId="12787" xr:uid="{1DCA7EFA-DA3A-4CA3-B6CD-A0245E2913CD}"/>
    <cellStyle name="Total 2 6 4 9 2" xfId="35271" xr:uid="{71CA75CF-8215-4578-A366-71242E5118FE}"/>
    <cellStyle name="Total 2 6 4 9 3" xfId="25407" xr:uid="{EB9F3C36-BDD7-43F8-9DAC-9F8F4EB8B798}"/>
    <cellStyle name="Total 2 6 5" xfId="1226" xr:uid="{00000000-0005-0000-0000-0000AB080000}"/>
    <cellStyle name="Total 2 6 5 10" xfId="16224" xr:uid="{79BFCAAE-DB71-457D-AE57-9AAC1DE021C6}"/>
    <cellStyle name="Total 2 6 5 10 2" xfId="24711" xr:uid="{66C2571B-6385-45A9-BB10-EEFA5EFBE984}"/>
    <cellStyle name="Total 2 6 5 11" xfId="48515" xr:uid="{8CB3FC75-5F50-4811-AFE8-CB9342063E2D}"/>
    <cellStyle name="Total 2 6 5 2" xfId="2026" xr:uid="{00000000-0005-0000-0000-0000AC080000}"/>
    <cellStyle name="Total 2 6 5 2 10" xfId="14674" xr:uid="{11EC04F7-335B-4B40-90DB-70DD32D32B5F}"/>
    <cellStyle name="Total 2 6 5 2 10 2" xfId="37134" xr:uid="{64E9DA69-1240-401F-8C17-AD42F4A3BF03}"/>
    <cellStyle name="Total 2 6 5 2 10 3" xfId="52491" xr:uid="{6BC6CBD0-6D50-43A3-B3D1-05BD557AD3DF}"/>
    <cellStyle name="Total 2 6 5 2 11" xfId="15263" xr:uid="{AB26A063-0368-4998-95F2-9E5E7867486D}"/>
    <cellStyle name="Total 2 6 5 2 11 2" xfId="37697" xr:uid="{19B57D49-DD05-40E1-863B-EF746CA8EDCA}"/>
    <cellStyle name="Total 2 6 5 2 11 3" xfId="46864" xr:uid="{3BB002F4-D2D7-4CAF-8C3F-F593DFD92D41}"/>
    <cellStyle name="Total 2 6 5 2 12" xfId="15131" xr:uid="{ECB986F1-C4E8-49C9-85BB-76449731C487}"/>
    <cellStyle name="Total 2 6 5 2 12 2" xfId="27800" xr:uid="{6119A3A3-3672-414E-A16F-8BAB84BF3DF6}"/>
    <cellStyle name="Total 2 6 5 2 13" xfId="52444" xr:uid="{6F5964DC-A207-4090-8389-B1C692384974}"/>
    <cellStyle name="Total 2 6 5 2 2" xfId="4121" xr:uid="{00000000-0005-0000-0000-0000A9080000}"/>
    <cellStyle name="Total 2 6 5 2 2 2" xfId="11025" xr:uid="{A9D80353-3E85-4588-A70D-23AF9F63EC12}"/>
    <cellStyle name="Total 2 6 5 2 2 2 2" xfId="33511" xr:uid="{B20445D2-B367-4283-B1B4-BC4952287F25}"/>
    <cellStyle name="Total 2 6 5 2 2 2 3" xfId="53007" xr:uid="{2DE065C2-742C-406A-9DBD-8B593A41364B}"/>
    <cellStyle name="Total 2 6 5 2 2 3" xfId="16125" xr:uid="{662274DA-0579-4F05-B667-6366A92554CE}"/>
    <cellStyle name="Total 2 6 5 2 2 3 2" xfId="38525" xr:uid="{B7BE7881-336B-4554-8BA1-937D4F9EE4DF}"/>
    <cellStyle name="Total 2 6 5 2 2 3 3" xfId="29160" xr:uid="{C7D5E5CB-2DD8-48BA-8F2A-DE88D03B48B8}"/>
    <cellStyle name="Total 2 6 5 2 2 4" xfId="19849" xr:uid="{0E3C288A-1C55-482E-BBAF-BBDCE1F48248}"/>
    <cellStyle name="Total 2 6 5 2 2 4 2" xfId="42184" xr:uid="{5EC13335-E42A-488C-9029-90BFFC41CD51}"/>
    <cellStyle name="Total 2 6 5 2 2 4 3" xfId="29790" xr:uid="{5DF38AEE-7159-4914-ACFE-47FD8CAF1150}"/>
    <cellStyle name="Total 2 6 5 2 2 5" xfId="14140" xr:uid="{0F553132-E927-4A01-B07C-629A65A69CCA}"/>
    <cellStyle name="Total 2 6 5 2 2 5 2" xfId="48701" xr:uid="{3B5560BB-3D25-4378-AC43-A4AFBC83252B}"/>
    <cellStyle name="Total 2 6 5 2 2 6" xfId="28030" xr:uid="{2303839E-CB1D-4AAB-A6C5-8F904FCE096A}"/>
    <cellStyle name="Total 2 6 5 2 3" xfId="5467" xr:uid="{00000000-0005-0000-0000-0000A9080000}"/>
    <cellStyle name="Total 2 6 5 2 3 2" xfId="12356" xr:uid="{D6B565BD-AC9B-4E6B-9EF4-DE4A963F4426}"/>
    <cellStyle name="Total 2 6 5 2 3 2 2" xfId="34841" xr:uid="{0A3C5BA8-E192-419A-8FA0-C6298EF8D4EB}"/>
    <cellStyle name="Total 2 6 5 2 3 2 3" xfId="43506" xr:uid="{B13B6364-9FB3-47E0-98FB-9007EFDE6AE9}"/>
    <cellStyle name="Total 2 6 5 2 3 3" xfId="17404" xr:uid="{6FC65BF2-2EDE-4375-806E-6303524C3D8B}"/>
    <cellStyle name="Total 2 6 5 2 3 3 2" xfId="39794" xr:uid="{C5F8DE01-DE00-435B-8C4D-CEEFAC721A84}"/>
    <cellStyle name="Total 2 6 5 2 3 3 3" xfId="30128" xr:uid="{770A994D-4C52-43E9-BCC3-11D35AC334C1}"/>
    <cellStyle name="Total 2 6 5 2 3 4" xfId="15932" xr:uid="{F0FB38B6-A254-4608-B199-5A8CDC2B801F}"/>
    <cellStyle name="Total 2 6 5 2 3 4 2" xfId="38337" xr:uid="{CAF1F5F8-23FF-4776-95C6-C6E7DE4B07DE}"/>
    <cellStyle name="Total 2 6 5 2 3 4 3" xfId="48934" xr:uid="{59F9B577-2EB2-4A79-A506-A1DDBC9157A8}"/>
    <cellStyle name="Total 2 6 5 2 3 5" xfId="21828" xr:uid="{788C3E57-6C4D-4AE8-B580-AC87D6870FCB}"/>
    <cellStyle name="Total 2 6 5 2 3 5 2" xfId="50018" xr:uid="{CC499CF6-7AC3-4701-BBA5-C01F69F4BCBE}"/>
    <cellStyle name="Total 2 6 5 2 3 6" xfId="48904" xr:uid="{4EA2F9B5-88B2-4CC0-BBC6-CB3D88C10CE4}"/>
    <cellStyle name="Total 2 6 5 2 4" xfId="5890" xr:uid="{00000000-0005-0000-0000-0000A9080000}"/>
    <cellStyle name="Total 2 6 5 2 4 2" xfId="12772" xr:uid="{50D57A5B-2473-493C-8613-B4A4B2F57EEB}"/>
    <cellStyle name="Total 2 6 5 2 4 2 2" xfId="35256" xr:uid="{BAAD7243-0787-4EA4-B260-8EF2A4AE1625}"/>
    <cellStyle name="Total 2 6 5 2 4 2 3" xfId="26119" xr:uid="{F8F982D2-5FFA-479A-BA59-CB3E25824030}"/>
    <cellStyle name="Total 2 6 5 2 4 3" xfId="17827" xr:uid="{CCEAD1DB-159F-48AB-8259-D61DF9454779}"/>
    <cellStyle name="Total 2 6 5 2 4 3 2" xfId="40217" xr:uid="{DE675C60-50F6-43D8-8C4E-D0E6A1CF4552}"/>
    <cellStyle name="Total 2 6 5 2 4 3 3" xfId="36606" xr:uid="{F63C4105-1452-4388-8276-E1819C18F8A8}"/>
    <cellStyle name="Total 2 6 5 2 4 4" xfId="14259" xr:uid="{AE380389-CB2A-4DCD-9868-7951F4DB0615}"/>
    <cellStyle name="Total 2 6 5 2 4 4 2" xfId="36732" xr:uid="{B60D8450-A554-44BA-957E-54946CEE8DBD}"/>
    <cellStyle name="Total 2 6 5 2 4 4 3" xfId="46807" xr:uid="{63150A6F-59D9-423A-8A34-6CB7C4091E1A}"/>
    <cellStyle name="Total 2 6 5 2 4 5" xfId="22251" xr:uid="{27FECFB8-CB57-426F-BAC4-66BBBFCC01EB}"/>
    <cellStyle name="Total 2 6 5 2 4 5 2" xfId="37392" xr:uid="{8902C563-9C4A-438C-8663-BFE13C6AAC8F}"/>
    <cellStyle name="Total 2 6 5 2 4 6" xfId="47540" xr:uid="{BF7A8A06-D4B5-44F3-8994-8BD823576DF1}"/>
    <cellStyle name="Total 2 6 5 2 5" xfId="6228" xr:uid="{00000000-0005-0000-0000-0000A9080000}"/>
    <cellStyle name="Total 2 6 5 2 5 2" xfId="13103" xr:uid="{A80F40F3-B66A-4682-BCD7-1EB9751A48DF}"/>
    <cellStyle name="Total 2 6 5 2 5 2 2" xfId="35587" xr:uid="{302E661B-1AAE-400A-929E-BC0984076F30}"/>
    <cellStyle name="Total 2 6 5 2 5 2 3" xfId="28135" xr:uid="{5DA89D4F-5447-43BD-8694-BB7386D3831D}"/>
    <cellStyle name="Total 2 6 5 2 5 3" xfId="18165" xr:uid="{1C309672-73CB-4CDC-8D05-7140952FDB07}"/>
    <cellStyle name="Total 2 6 5 2 5 3 2" xfId="40555" xr:uid="{AB9B648B-B704-4AC9-A390-EE4259D4D155}"/>
    <cellStyle name="Total 2 6 5 2 5 3 3" xfId="27756" xr:uid="{D8C64DAE-ACFF-4F52-B608-7D66CD1F60D6}"/>
    <cellStyle name="Total 2 6 5 2 5 4" xfId="15678" xr:uid="{0DFC6D44-2447-41E5-9A0E-3DFD3007DEFA}"/>
    <cellStyle name="Total 2 6 5 2 5 4 2" xfId="38094" xr:uid="{54BDFEC1-E336-46E0-8C24-81FFDBBA65CF}"/>
    <cellStyle name="Total 2 6 5 2 5 4 3" xfId="51693" xr:uid="{95E932C5-FCC3-403A-AF41-860884BA69F7}"/>
    <cellStyle name="Total 2 6 5 2 5 5" xfId="22589" xr:uid="{B7C8043D-9D8A-4C2C-8A06-9D0759892F69}"/>
    <cellStyle name="Total 2 6 5 2 5 5 2" xfId="42558" xr:uid="{0E9A941D-F791-4687-8776-0AC9D8DBBC35}"/>
    <cellStyle name="Total 2 6 5 2 5 6" xfId="49387" xr:uid="{80924AED-3A4B-46F0-B9D1-1A31A95B047E}"/>
    <cellStyle name="Total 2 6 5 2 6" xfId="6594" xr:uid="{00000000-0005-0000-0000-0000A9080000}"/>
    <cellStyle name="Total 2 6 5 2 6 2" xfId="13460" xr:uid="{D4F2E9D6-C70E-47E1-B6E2-93E4FA8043AD}"/>
    <cellStyle name="Total 2 6 5 2 6 2 2" xfId="35944" xr:uid="{BE8179B6-379F-4BD4-94E4-15F047FB2209}"/>
    <cellStyle name="Total 2 6 5 2 6 2 3" xfId="46077" xr:uid="{D208B59E-A4EF-4C0C-8F02-EB26805D2D29}"/>
    <cellStyle name="Total 2 6 5 2 6 3" xfId="18531" xr:uid="{543C8B59-595B-44B2-9360-C8ED43FBBDBC}"/>
    <cellStyle name="Total 2 6 5 2 6 3 2" xfId="40921" xr:uid="{4ABC151A-B720-4723-9A88-03E7CFFAEBE6}"/>
    <cellStyle name="Total 2 6 5 2 6 3 3" xfId="42796" xr:uid="{2E1DFE6C-ED54-42DD-9563-E986D00AF28E}"/>
    <cellStyle name="Total 2 6 5 2 6 4" xfId="15629" xr:uid="{466A5D75-AE42-4F01-84CA-33A2D1BC13A0}"/>
    <cellStyle name="Total 2 6 5 2 6 4 2" xfId="38045" xr:uid="{9565BABC-6003-4A70-92B9-ED7462AC818B}"/>
    <cellStyle name="Total 2 6 5 2 6 4 3" xfId="27293" xr:uid="{67F5F0D5-C3D1-4F8D-A3C1-FBCF5B5AE76F}"/>
    <cellStyle name="Total 2 6 5 2 6 5" xfId="22955" xr:uid="{6E156792-CEBC-4978-9EA5-1C45E0EF4207}"/>
    <cellStyle name="Total 2 6 5 2 6 5 2" xfId="53389" xr:uid="{B6CC828E-0F3C-4F7A-A18E-26A7E4DC5300}"/>
    <cellStyle name="Total 2 6 5 2 6 6" xfId="28143" xr:uid="{6B9FA08C-416E-4BCD-95FF-122FA11C54D1}"/>
    <cellStyle name="Total 2 6 5 2 7" xfId="4006" xr:uid="{00000000-0005-0000-0000-0000A9080000}"/>
    <cellStyle name="Total 2 6 5 2 7 2" xfId="10910" xr:uid="{3C4D2ABB-4F94-4B41-9052-FBCA372277DD}"/>
    <cellStyle name="Total 2 6 5 2 7 2 2" xfId="33396" xr:uid="{EAD74F2E-C039-4156-9EC0-802A7D351D60}"/>
    <cellStyle name="Total 2 6 5 2 7 2 3" xfId="43567" xr:uid="{02D5BD6E-2B61-443B-80AC-0CB51CA20F1E}"/>
    <cellStyle name="Total 2 6 5 2 7 3" xfId="16030" xr:uid="{5D30F1FA-20C1-449D-AE5B-76EAD3F63D56}"/>
    <cellStyle name="Total 2 6 5 2 7 3 2" xfId="38431" xr:uid="{D952A73A-7E85-48CC-902F-4E8CA8250F04}"/>
    <cellStyle name="Total 2 6 5 2 7 3 3" xfId="52441" xr:uid="{86E7DC81-5B2D-4A96-8EC6-B2DFBBFD972E}"/>
    <cellStyle name="Total 2 6 5 2 7 4" xfId="19965" xr:uid="{785F2420-7E91-4BB2-A850-8D50537509AD}"/>
    <cellStyle name="Total 2 6 5 2 7 4 2" xfId="42291" xr:uid="{9A1EE0E2-CD09-4D5C-AEE4-D6FECC426FA6}"/>
    <cellStyle name="Total 2 6 5 2 7 4 3" xfId="24676" xr:uid="{03A57717-7326-4C7B-917D-08C9EDF4E809}"/>
    <cellStyle name="Total 2 6 5 2 7 5" xfId="13950" xr:uid="{574A2466-6AD1-4F30-A9AB-2FA64334C9D4}"/>
    <cellStyle name="Total 2 6 5 2 7 5 2" xfId="47772" xr:uid="{4A9918D6-D6E2-4C30-AA2A-2D91C4C06F58}"/>
    <cellStyle name="Total 2 6 5 2 7 6" xfId="23820" xr:uid="{3AABF355-8280-4D5F-AB13-F381B3B41C97}"/>
    <cellStyle name="Total 2 6 5 2 8" xfId="7064" xr:uid="{00000000-0005-0000-0000-0000A9080000}"/>
    <cellStyle name="Total 2 6 5 2 8 2" xfId="13900" xr:uid="{C18F485C-CA79-4BCD-A3CD-1E40E37BBA0B}"/>
    <cellStyle name="Total 2 6 5 2 8 2 2" xfId="36384" xr:uid="{5F23E0B7-A242-4ACF-8827-25EFCC44650C}"/>
    <cellStyle name="Total 2 6 5 2 8 2 3" xfId="50160" xr:uid="{DD8F0D40-74E0-4FB1-8A41-D1F4A80632CF}"/>
    <cellStyle name="Total 2 6 5 2 8 3" xfId="19001" xr:uid="{6FE662AD-3215-4887-BA66-9CF98FBCA9E7}"/>
    <cellStyle name="Total 2 6 5 2 8 3 2" xfId="41391" xr:uid="{A0BFF07F-2334-45BC-B2BF-F5019CB06FF2}"/>
    <cellStyle name="Total 2 6 5 2 8 3 3" xfId="24498" xr:uid="{34EF7631-C4CC-4A0A-A561-B3A87A8E8914}"/>
    <cellStyle name="Total 2 6 5 2 8 4" xfId="8432" xr:uid="{9AB6C4B6-BE4C-4914-8645-8A984408918A}"/>
    <cellStyle name="Total 2 6 5 2 8 4 2" xfId="31020" xr:uid="{964110F0-B59C-44AE-B1CE-40142DCB155F}"/>
    <cellStyle name="Total 2 6 5 2 8 4 3" xfId="46955" xr:uid="{B0409664-C9E6-4132-9EB0-3ADD5AFA5ADB}"/>
    <cellStyle name="Total 2 6 5 2 8 5" xfId="23425" xr:uid="{0B0B98A4-95A2-4DB1-B642-0C1B895E0EA3}"/>
    <cellStyle name="Total 2 6 5 2 8 5 2" xfId="47324" xr:uid="{6B5F57CB-BED4-48E5-A159-F70C9F89BED6}"/>
    <cellStyle name="Total 2 6 5 2 8 6" xfId="49047" xr:uid="{7FA60AB4-004F-4F2B-BBE3-32FD8B392A92}"/>
    <cellStyle name="Total 2 6 5 2 9" xfId="7179" xr:uid="{00000000-0005-0000-0000-0000A9080000}"/>
    <cellStyle name="Total 2 6 5 2 9 2" xfId="19116" xr:uid="{24F92698-AC00-4837-B60B-1D08622CC0FF}"/>
    <cellStyle name="Total 2 6 5 2 9 2 2" xfId="41506" xr:uid="{14DA46B7-BC3E-4F46-8AC1-68CE7D7C6D36}"/>
    <cellStyle name="Total 2 6 5 2 9 2 3" xfId="43413" xr:uid="{17EA2553-D50F-411A-88C4-CE46A04EBFFA}"/>
    <cellStyle name="Total 2 6 5 2 9 3" xfId="15771" xr:uid="{A0A0C9B9-2D10-4149-A5ED-DB2F7FC8DB36}"/>
    <cellStyle name="Total 2 6 5 2 9 3 2" xfId="38181" xr:uid="{BD63C0E8-4A12-4C71-AA7C-B7B85632DD3D}"/>
    <cellStyle name="Total 2 6 5 2 9 3 3" xfId="50833" xr:uid="{8B500414-5D8C-48D1-A478-02A0D639F250}"/>
    <cellStyle name="Total 2 6 5 2 9 4" xfId="23540" xr:uid="{F4B4E03C-EAAE-4913-8216-16BE394D95E7}"/>
    <cellStyle name="Total 2 6 5 2 9 4 2" xfId="44590" xr:uid="{97D21508-2894-4F7B-94BF-749DCD08F01E}"/>
    <cellStyle name="Total 2 6 5 2 9 5" xfId="49288" xr:uid="{32AE7190-350F-49B0-9AD2-203C0A307B60}"/>
    <cellStyle name="Total 2 6 5 3" xfId="3338" xr:uid="{00000000-0005-0000-0000-0000A8080000}"/>
    <cellStyle name="Total 2 6 5 3 2" xfId="10246" xr:uid="{65D433C9-79C1-485C-9F74-9F8A90CAD83F}"/>
    <cellStyle name="Total 2 6 5 3 2 2" xfId="32740" xr:uid="{1EC5EDFE-64E5-47B2-898A-D209B8145D57}"/>
    <cellStyle name="Total 2 6 5 3 2 3" xfId="46494" xr:uid="{FDD890AB-74BA-4BB2-88D6-E3B809287D46}"/>
    <cellStyle name="Total 2 6 5 3 3" xfId="15564" xr:uid="{E5AF978B-A1C9-4DD9-8694-D26E51AA5F9A}"/>
    <cellStyle name="Total 2 6 5 3 3 2" xfId="37983" xr:uid="{4871303C-5392-4C64-A063-75C8C0AA32ED}"/>
    <cellStyle name="Total 2 6 5 3 3 3" xfId="47533" xr:uid="{A421CA78-5A26-4B45-B3D2-F2516476272F}"/>
    <cellStyle name="Total 2 6 5 3 4" xfId="14788" xr:uid="{A74C2F86-D9CE-4777-BF74-14BA0D0D36AB}"/>
    <cellStyle name="Total 2 6 5 3 4 2" xfId="37244" xr:uid="{59E42D42-71F8-4FFD-BF61-23E9926C6100}"/>
    <cellStyle name="Total 2 6 5 3 4 3" xfId="47907" xr:uid="{0DF61E62-C7E9-4673-B5D5-F642E3ECDFD8}"/>
    <cellStyle name="Total 2 6 5 3 5" xfId="19236" xr:uid="{BEC1EB28-A1E1-4CCD-9A3F-CD8B8750BAC2}"/>
    <cellStyle name="Total 2 6 5 3 5 2" xfId="31528" xr:uid="{EBB7E01D-0691-4752-B8EA-FA22CB279BA3}"/>
    <cellStyle name="Total 2 6 5 3 6" xfId="30400" xr:uid="{537E4D02-92CF-4012-B4BC-61C0C932AE29}"/>
    <cellStyle name="Total 2 6 5 4" xfId="4926" xr:uid="{00000000-0005-0000-0000-0000A8080000}"/>
    <cellStyle name="Total 2 6 5 4 2" xfId="11821" xr:uid="{C55E4A95-746E-4C10-8841-D9E186DE8922}"/>
    <cellStyle name="Total 2 6 5 4 2 2" xfId="34307" xr:uid="{0105DC2B-1E65-4E2D-8734-EB471D768730}"/>
    <cellStyle name="Total 2 6 5 4 2 3" xfId="26493" xr:uid="{46E590A8-1BED-4058-93EB-93A6D2F60A9D}"/>
    <cellStyle name="Total 2 6 5 4 3" xfId="16863" xr:uid="{C83F6947-7532-42DB-A503-29AF67CCA8BC}"/>
    <cellStyle name="Total 2 6 5 4 3 2" xfId="39253" xr:uid="{1176DE0C-0302-43C6-9C61-1247B3904C7B}"/>
    <cellStyle name="Total 2 6 5 4 3 3" xfId="27727" xr:uid="{9DD25C1A-8EC1-477A-96EC-921E4318934D}"/>
    <cellStyle name="Total 2 6 5 4 4" xfId="8727" xr:uid="{CAB2A895-EF7F-475A-B6B0-DC514889BA09}"/>
    <cellStyle name="Total 2 6 5 4 4 2" xfId="31310" xr:uid="{0F8A4780-41AC-4AAF-945A-258B043274B8}"/>
    <cellStyle name="Total 2 6 5 4 4 3" xfId="52757" xr:uid="{5EC9A5F7-6EFE-4204-977A-652548255E1D}"/>
    <cellStyle name="Total 2 6 5 4 5" xfId="21179" xr:uid="{B93D5919-7923-4409-B4E7-32C6E199ECCF}"/>
    <cellStyle name="Total 2 6 5 4 5 2" xfId="49977" xr:uid="{533D26E7-07F4-459A-A039-5500756936C8}"/>
    <cellStyle name="Total 2 6 5 4 6" xfId="47940" xr:uid="{04AE84F0-7AFC-4789-8644-F2662FD98ABC}"/>
    <cellStyle name="Total 2 6 5 5" xfId="4399" xr:uid="{00000000-0005-0000-0000-0000A8080000}"/>
    <cellStyle name="Total 2 6 5 5 2" xfId="11301" xr:uid="{F2BC9301-0750-4CE4-87D4-93A815ED4571}"/>
    <cellStyle name="Total 2 6 5 5 2 2" xfId="33787" xr:uid="{38EE8BEA-8768-4DF6-B2B8-C4A5252D41EB}"/>
    <cellStyle name="Total 2 6 5 5 2 3" xfId="28416" xr:uid="{529C6931-F45A-4D34-AFCF-89A4AF9DE53F}"/>
    <cellStyle name="Total 2 6 5 5 3" xfId="16336" xr:uid="{D738FB4C-FAD2-4BC9-B3D0-377E1B47A8A4}"/>
    <cellStyle name="Total 2 6 5 5 3 2" xfId="38726" xr:uid="{8A81299D-3624-4AEC-9EF0-3C0BF1D97493}"/>
    <cellStyle name="Total 2 6 5 5 3 3" xfId="29891" xr:uid="{C175A672-BF5E-4C64-9663-BF7DF347195F}"/>
    <cellStyle name="Total 2 6 5 5 4" xfId="15145" xr:uid="{C74B8512-36EB-4A4D-AD93-2FAF0FA8A541}"/>
    <cellStyle name="Total 2 6 5 5 4 2" xfId="37587" xr:uid="{D5EFE0BF-C92A-49CA-9000-50C96394E366}"/>
    <cellStyle name="Total 2 6 5 5 4 3" xfId="29239" xr:uid="{9A6C2BCC-C104-4305-8438-CC4F1AD32EE1}"/>
    <cellStyle name="Total 2 6 5 5 5" xfId="15941" xr:uid="{4723180A-326D-4BEF-B1FB-E84DE151C0AD}"/>
    <cellStyle name="Total 2 6 5 5 5 2" xfId="47643" xr:uid="{543E9B78-C4D9-46E0-BA82-7B1056720A68}"/>
    <cellStyle name="Total 2 6 5 5 6" xfId="51912" xr:uid="{6A3419D8-ABD8-4FBE-B508-69296CB77EA1}"/>
    <cellStyle name="Total 2 6 5 6" xfId="6257" xr:uid="{00000000-0005-0000-0000-0000A8080000}"/>
    <cellStyle name="Total 2 6 5 6 2" xfId="13130" xr:uid="{1135B9AC-DCA1-4A6F-8091-ADCE17B29AAE}"/>
    <cellStyle name="Total 2 6 5 6 2 2" xfId="35614" xr:uid="{C97A870B-5DBA-4E1B-AC64-4C2D026382A9}"/>
    <cellStyle name="Total 2 6 5 6 2 3" xfId="49729" xr:uid="{5C7D9F13-0520-4679-8873-5138E07458BC}"/>
    <cellStyle name="Total 2 6 5 6 3" xfId="18194" xr:uid="{9062BF43-07BB-4C3E-8ED9-DBCFF577E65E}"/>
    <cellStyle name="Total 2 6 5 6 3 2" xfId="40584" xr:uid="{42ACF71D-7597-4560-AFE1-79ECE308E2E4}"/>
    <cellStyle name="Total 2 6 5 6 3 3" xfId="44222" xr:uid="{A54903E1-7DCB-4169-A71A-D2627B131BC6}"/>
    <cellStyle name="Total 2 6 5 6 4" xfId="15196" xr:uid="{BF55F267-1421-4341-A3A3-901046FCDFDE}"/>
    <cellStyle name="Total 2 6 5 6 4 2" xfId="37636" xr:uid="{5273EBA5-2199-4403-A88E-9C39D8CF1666}"/>
    <cellStyle name="Total 2 6 5 6 4 3" xfId="37466" xr:uid="{74BA5889-24C7-4274-B3EC-567CEA9562F3}"/>
    <cellStyle name="Total 2 6 5 6 5" xfId="22618" xr:uid="{93C5A79C-FC28-437B-B72E-C555A0003EFB}"/>
    <cellStyle name="Total 2 6 5 6 5 2" xfId="48863" xr:uid="{7E6FF1B0-4013-4376-B3DD-5F06975DA253}"/>
    <cellStyle name="Total 2 6 5 6 6" xfId="49891" xr:uid="{629BACC3-B90F-47AE-BB81-76439956F24E}"/>
    <cellStyle name="Total 2 6 5 7" xfId="5360" xr:uid="{00000000-0005-0000-0000-0000A8080000}"/>
    <cellStyle name="Total 2 6 5 7 2" xfId="12252" xr:uid="{E0F4059F-2E0B-48AE-B663-126CF5F05AB9}"/>
    <cellStyle name="Total 2 6 5 7 2 2" xfId="34737" xr:uid="{7980E35C-53A1-4826-82F5-085008DF8045}"/>
    <cellStyle name="Total 2 6 5 7 2 3" xfId="32480" xr:uid="{700F1933-8201-4784-AD92-10112AE4CAE3}"/>
    <cellStyle name="Total 2 6 5 7 3" xfId="17297" xr:uid="{F582A050-0D83-4DFD-9924-8DE0C07E14BB}"/>
    <cellStyle name="Total 2 6 5 7 3 2" xfId="39687" xr:uid="{72CBCF42-6917-48EC-AD7A-E629913F33A8}"/>
    <cellStyle name="Total 2 6 5 7 3 3" xfId="32110" xr:uid="{1FC55A32-DB5B-4F1F-963B-A029A7C26FE0}"/>
    <cellStyle name="Total 2 6 5 7 4" xfId="15730" xr:uid="{A91E4127-CB7B-41EF-BCA1-9652C31BA138}"/>
    <cellStyle name="Total 2 6 5 7 4 2" xfId="38143" xr:uid="{4667B0EA-B1D0-4D49-A910-DF7C6748B897}"/>
    <cellStyle name="Total 2 6 5 7 4 3" xfId="29839" xr:uid="{DBD89406-7810-4202-AE43-70488C7CBC49}"/>
    <cellStyle name="Total 2 6 5 7 5" xfId="21721" xr:uid="{7060ED0C-5283-47F2-B316-2EAE4B324E89}"/>
    <cellStyle name="Total 2 6 5 7 5 2" xfId="47997" xr:uid="{A7DC7530-7FB7-4467-9339-1B3551F23029}"/>
    <cellStyle name="Total 2 6 5 7 6" xfId="46339" xr:uid="{0DA7D6E6-E162-4AD7-8B47-70B013A8094E}"/>
    <cellStyle name="Total 2 6 5 8" xfId="14101" xr:uid="{348528A3-F2E1-44DD-B5B2-91B8E5878BF8}"/>
    <cellStyle name="Total 2 6 5 8 2" xfId="36579" xr:uid="{7154B160-EB36-4668-9D74-6FA5A8A13B5F}"/>
    <cellStyle name="Total 2 6 5 8 3" xfId="46051" xr:uid="{8A7B04EF-6991-4806-9D0D-928B4E9BB984}"/>
    <cellStyle name="Total 2 6 5 9" xfId="20086" xr:uid="{726FF68F-319D-455B-B010-E520E03D9BF5}"/>
    <cellStyle name="Total 2 6 5 9 2" xfId="42404" xr:uid="{6AEC536E-9405-4282-B536-7ABEDFB23D92}"/>
    <cellStyle name="Total 2 6 5 9 3" xfId="45410" xr:uid="{362486AB-3882-4A33-9DB7-3C1CB480993F}"/>
    <cellStyle name="Total 2 6 6" xfId="1388" xr:uid="{00000000-0005-0000-0000-0000AD080000}"/>
    <cellStyle name="Total 2 6 6 10" xfId="15012" xr:uid="{4E7D3DCE-742B-4955-8713-6ACFA4637E59}"/>
    <cellStyle name="Total 2 6 6 10 2" xfId="48880" xr:uid="{99A811D3-C9D3-4D3D-856E-CAF31E812E9C}"/>
    <cellStyle name="Total 2 6 6 11" xfId="51800" xr:uid="{7CF943E0-691D-450A-9099-9876C1E14573}"/>
    <cellStyle name="Total 2 6 6 2" xfId="2117" xr:uid="{00000000-0005-0000-0000-0000AE080000}"/>
    <cellStyle name="Total 2 6 6 2 10" xfId="14746" xr:uid="{67A8D1D7-80BC-47C1-B892-ED82FD0B6701}"/>
    <cellStyle name="Total 2 6 6 2 10 2" xfId="37204" xr:uid="{2644F341-CBC8-4194-BE39-AC4CBA51FFA1}"/>
    <cellStyle name="Total 2 6 6 2 10 3" xfId="47660" xr:uid="{816A190C-F94C-4EB2-B7E0-69FD9F3B239E}"/>
    <cellStyle name="Total 2 6 6 2 11" xfId="21177" xr:uid="{302FDE95-71FB-47B3-8CBE-F82F9E9C4BE4}"/>
    <cellStyle name="Total 2 6 6 2 11 2" xfId="43418" xr:uid="{3532BC07-8668-4EA2-AD40-ED06EEE3F68B}"/>
    <cellStyle name="Total 2 6 6 2 11 3" xfId="43978" xr:uid="{C80A8032-B2BB-4440-8FDB-57FE2BE68E4D}"/>
    <cellStyle name="Total 2 6 6 2 12" xfId="19850" xr:uid="{A9E7539D-94E8-4DAF-847F-19B14C19BD34}"/>
    <cellStyle name="Total 2 6 6 2 12 2" xfId="29658" xr:uid="{DEDC48BB-5AE1-4CA3-94A5-FE691333640C}"/>
    <cellStyle name="Total 2 6 6 2 13" xfId="53075" xr:uid="{C57BEF81-1C0A-4FB8-9E18-30E9F8FB0E30}"/>
    <cellStyle name="Total 2 6 6 2 2" xfId="4210" xr:uid="{00000000-0005-0000-0000-0000AB080000}"/>
    <cellStyle name="Total 2 6 6 2 2 2" xfId="11114" xr:uid="{FFE70E41-022A-4727-8BCC-AD32C8B4D645}"/>
    <cellStyle name="Total 2 6 6 2 2 2 2" xfId="33600" xr:uid="{FADB58F0-63DF-40DB-8713-F75D754CA7AD}"/>
    <cellStyle name="Total 2 6 6 2 2 2 3" xfId="45327" xr:uid="{A2C16692-0521-49C8-9AA4-29432BD1477A}"/>
    <cellStyle name="Total 2 6 6 2 2 3" xfId="16203" xr:uid="{A46544A1-92FD-4B85-BDDE-00BDFD026821}"/>
    <cellStyle name="Total 2 6 6 2 2 3 2" xfId="38602" xr:uid="{8475AB04-B379-4E85-9784-5F28F3ED519E}"/>
    <cellStyle name="Total 2 6 6 2 2 3 3" xfId="26252" xr:uid="{DF0B1B7D-B6C3-4483-A7B6-B63EA5E3C24B}"/>
    <cellStyle name="Total 2 6 6 2 2 4" xfId="20271" xr:uid="{FEF00CD9-38CB-41D0-A098-EB57D7C8BA09}"/>
    <cellStyle name="Total 2 6 6 2 2 4 2" xfId="42573" xr:uid="{69FDB946-0423-4BEF-B546-CE63C385B248}"/>
    <cellStyle name="Total 2 6 6 2 2 4 3" xfId="29657" xr:uid="{0172AB41-49F5-413B-80E6-18A8DBA2FB8F}"/>
    <cellStyle name="Total 2 6 6 2 2 5" xfId="14012" xr:uid="{0CB01D7D-4591-4AE4-BD5E-2B1701622B35}"/>
    <cellStyle name="Total 2 6 6 2 2 5 2" xfId="23677" xr:uid="{2886E95C-0CE9-40F8-8E08-A414D16BAD06}"/>
    <cellStyle name="Total 2 6 6 2 2 6" xfId="52634" xr:uid="{9F3BD0A7-A9AB-4A1A-840B-AA4889DC9D2C}"/>
    <cellStyle name="Total 2 6 6 2 3" xfId="5536" xr:uid="{00000000-0005-0000-0000-0000AB080000}"/>
    <cellStyle name="Total 2 6 6 2 3 2" xfId="12425" xr:uid="{4F8625B6-4FFB-450F-B206-74DB0CE692EB}"/>
    <cellStyle name="Total 2 6 6 2 3 2 2" xfId="34910" xr:uid="{9F71E809-79C1-4CF7-A390-F72F5F96C807}"/>
    <cellStyle name="Total 2 6 6 2 3 2 3" xfId="25379" xr:uid="{25E79603-3199-42D7-A4C9-48656E520842}"/>
    <cellStyle name="Total 2 6 6 2 3 3" xfId="17473" xr:uid="{B33D361B-FCB9-4E50-9D19-F2D7DF737A80}"/>
    <cellStyle name="Total 2 6 6 2 3 3 2" xfId="39863" xr:uid="{3FA4780A-70AB-4754-94FF-61D801224DBC}"/>
    <cellStyle name="Total 2 6 6 2 3 3 3" xfId="29863" xr:uid="{48949BBB-C372-4BA0-8528-428965270772}"/>
    <cellStyle name="Total 2 6 6 2 3 4" xfId="19548" xr:uid="{BC8E12A9-9D2D-4F46-8BC4-EB030E422675}"/>
    <cellStyle name="Total 2 6 6 2 3 4 2" xfId="41907" xr:uid="{10EDA55D-3A2B-4B1A-9312-2DAFF43795B4}"/>
    <cellStyle name="Total 2 6 6 2 3 4 3" xfId="28568" xr:uid="{D229C9CC-7A19-4258-A96F-1D36F1DE6F95}"/>
    <cellStyle name="Total 2 6 6 2 3 5" xfId="21897" xr:uid="{C96AAAE3-A6C7-4CF8-A037-122E45F51C3E}"/>
    <cellStyle name="Total 2 6 6 2 3 5 2" xfId="38114" xr:uid="{03B43A12-4D71-4C17-8354-60005418B5EA}"/>
    <cellStyle name="Total 2 6 6 2 3 6" xfId="24301" xr:uid="{233CB915-F3E9-4BB7-9C10-026D87B1AAC1}"/>
    <cellStyle name="Total 2 6 6 2 4" xfId="5958" xr:uid="{00000000-0005-0000-0000-0000AB080000}"/>
    <cellStyle name="Total 2 6 6 2 4 2" xfId="12839" xr:uid="{6BC39118-4721-4600-8B7F-4F99FEBAE598}"/>
    <cellStyle name="Total 2 6 6 2 4 2 2" xfId="35323" xr:uid="{F9D598AA-516A-42C6-87DC-498052FD6E31}"/>
    <cellStyle name="Total 2 6 6 2 4 2 3" xfId="46253" xr:uid="{D44B109F-7E60-4A7D-BBA1-BFF1AE02A502}"/>
    <cellStyle name="Total 2 6 6 2 4 3" xfId="17895" xr:uid="{0FCCBB06-B963-4CE5-8A49-8AE62727F5C7}"/>
    <cellStyle name="Total 2 6 6 2 4 3 2" xfId="40285" xr:uid="{3B556B90-F10D-42C8-BDF1-31E7527528BB}"/>
    <cellStyle name="Total 2 6 6 2 4 3 3" xfId="28274" xr:uid="{7FE57E24-B98E-4BFD-98DA-4B93793B8207}"/>
    <cellStyle name="Total 2 6 6 2 4 4" xfId="13590" xr:uid="{E0CB6A0C-1F6E-45D5-AF2D-A9ABA8C67694}"/>
    <cellStyle name="Total 2 6 6 2 4 4 2" xfId="36074" xr:uid="{127B0142-5816-4A1E-A886-09AE19429CD5}"/>
    <cellStyle name="Total 2 6 6 2 4 4 3" xfId="45769" xr:uid="{D436AF7C-0928-4A9A-8923-AAC3AE88F6F5}"/>
    <cellStyle name="Total 2 6 6 2 4 5" xfId="22319" xr:uid="{AFEF6366-5B40-4152-AF87-C9706B3AEEF1}"/>
    <cellStyle name="Total 2 6 6 2 4 5 2" xfId="52248" xr:uid="{39B9C358-5DF0-49AB-A529-242A9C1A91D5}"/>
    <cellStyle name="Total 2 6 6 2 4 6" xfId="52405" xr:uid="{A7512D8B-E89A-4DE9-87AD-9EAE0E66B81E}"/>
    <cellStyle name="Total 2 6 6 2 5" xfId="6298" xr:uid="{00000000-0005-0000-0000-0000AB080000}"/>
    <cellStyle name="Total 2 6 6 2 5 2" xfId="13170" xr:uid="{FD68088A-19B0-4368-AE6E-CE2D2A8E31CB}"/>
    <cellStyle name="Total 2 6 6 2 5 2 2" xfId="35654" xr:uid="{AD4D0ABA-C180-4C6A-B20B-443213680D22}"/>
    <cellStyle name="Total 2 6 6 2 5 2 3" xfId="49325" xr:uid="{F935FE00-2773-44A3-9A3E-75272039C071}"/>
    <cellStyle name="Total 2 6 6 2 5 3" xfId="18235" xr:uid="{68720366-4EA1-4F6E-8F35-4429E7C28B94}"/>
    <cellStyle name="Total 2 6 6 2 5 3 2" xfId="40625" xr:uid="{F9273316-AC74-4AC8-B992-1E9E715720DD}"/>
    <cellStyle name="Total 2 6 6 2 5 3 3" xfId="36853" xr:uid="{A4F98684-7005-429C-BD5F-34363ED5271B}"/>
    <cellStyle name="Total 2 6 6 2 5 4" xfId="15792" xr:uid="{7A56F923-7669-4C1C-B130-467F11395E51}"/>
    <cellStyle name="Total 2 6 6 2 5 4 2" xfId="38201" xr:uid="{4749BF93-0F3B-4F09-B09F-422FBEA89B26}"/>
    <cellStyle name="Total 2 6 6 2 5 4 3" xfId="48250" xr:uid="{BF98A21A-7682-4530-9438-91326622C7AD}"/>
    <cellStyle name="Total 2 6 6 2 5 5" xfId="22659" xr:uid="{28183789-DE61-4209-BAFA-1681D0D797AA}"/>
    <cellStyle name="Total 2 6 6 2 5 5 2" xfId="45552" xr:uid="{4756A4A9-47B5-4C1E-9CB0-DEA1F0B2DC7E}"/>
    <cellStyle name="Total 2 6 6 2 5 6" xfId="43665" xr:uid="{7EFB57C2-ED96-4B81-AC1D-8D0A909A4CC2}"/>
    <cellStyle name="Total 2 6 6 2 6" xfId="6653" xr:uid="{00000000-0005-0000-0000-0000AB080000}"/>
    <cellStyle name="Total 2 6 6 2 6 2" xfId="13519" xr:uid="{3AD2089D-D434-4DC7-B6EA-756E72E1F8C9}"/>
    <cellStyle name="Total 2 6 6 2 6 2 2" xfId="36003" xr:uid="{F3037CCA-9CC6-4B32-922F-6D48AEDB0ADD}"/>
    <cellStyle name="Total 2 6 6 2 6 2 3" xfId="53022" xr:uid="{73A16050-CB16-48DF-8BC1-7D1926ED0308}"/>
    <cellStyle name="Total 2 6 6 2 6 3" xfId="18590" xr:uid="{FAC78A51-B557-4627-ADBB-32970F8634E6}"/>
    <cellStyle name="Total 2 6 6 2 6 3 2" xfId="40980" xr:uid="{8D2FDC6E-1DE6-4ABC-BBD1-0413F66FD6E4}"/>
    <cellStyle name="Total 2 6 6 2 6 3 3" xfId="28186" xr:uid="{FC10821C-BC3A-4ECB-8B52-5AAAD16ABD5F}"/>
    <cellStyle name="Total 2 6 6 2 6 4" xfId="20125" xr:uid="{E871E300-479C-487D-9632-9FF25EC8DCF3}"/>
    <cellStyle name="Total 2 6 6 2 6 4 2" xfId="42439" xr:uid="{A5745F99-D63D-414C-87A5-A8D5ED642699}"/>
    <cellStyle name="Total 2 6 6 2 6 4 3" xfId="41701" xr:uid="{01017C08-53AE-41C2-B83B-B64CAB835D98}"/>
    <cellStyle name="Total 2 6 6 2 6 5" xfId="23014" xr:uid="{262F04BA-9139-4D7D-AAD4-83C0CB9FA908}"/>
    <cellStyle name="Total 2 6 6 2 6 5 2" xfId="53349" xr:uid="{E59A0036-96BE-465A-ADB0-434BB502F6FF}"/>
    <cellStyle name="Total 2 6 6 2 6 6" xfId="53154" xr:uid="{6F494355-B179-4481-BD5D-EB9702E82F2E}"/>
    <cellStyle name="Total 2 6 6 2 7" xfId="4384" xr:uid="{00000000-0005-0000-0000-0000AB080000}"/>
    <cellStyle name="Total 2 6 6 2 7 2" xfId="11286" xr:uid="{CE49E284-0827-4BED-B5CA-F0257B61034E}"/>
    <cellStyle name="Total 2 6 6 2 7 2 2" xfId="33772" xr:uid="{AA8430C3-02BD-4766-ABF6-5FF3F7A3E6CC}"/>
    <cellStyle name="Total 2 6 6 2 7 2 3" xfId="44008" xr:uid="{1680B181-F5A8-48CF-83BC-3A58D94DAEA5}"/>
    <cellStyle name="Total 2 6 6 2 7 3" xfId="16321" xr:uid="{E4BC8C88-EB9A-4916-98F6-AEDB05223425}"/>
    <cellStyle name="Total 2 6 6 2 7 3 2" xfId="38711" xr:uid="{1A53ACD5-A2C9-4B46-8636-370AF3DB2676}"/>
    <cellStyle name="Total 2 6 6 2 7 3 3" xfId="37638" xr:uid="{CB65EEDC-EB73-4E49-93E0-979F59CC0092}"/>
    <cellStyle name="Total 2 6 6 2 7 4" xfId="14776" xr:uid="{13E4B679-5169-43EF-89F6-46B5F04B0767}"/>
    <cellStyle name="Total 2 6 6 2 7 4 2" xfId="37233" xr:uid="{139D9226-A8C1-4F67-95C7-E3851DFFD15F}"/>
    <cellStyle name="Total 2 6 6 2 7 4 3" xfId="47961" xr:uid="{70EB365C-0A67-411D-98FA-59D437FA523A}"/>
    <cellStyle name="Total 2 6 6 2 7 5" xfId="20192" xr:uid="{1A8032F2-1139-4382-902B-7C892A09166D}"/>
    <cellStyle name="Total 2 6 6 2 7 5 2" xfId="42422" xr:uid="{FB932B56-81A3-4F27-96D4-65C80631CF7B}"/>
    <cellStyle name="Total 2 6 6 2 7 6" xfId="49236" xr:uid="{8B25318B-7A7E-4FB7-A38F-37355467B8E4}"/>
    <cellStyle name="Total 2 6 6 2 8" xfId="7108" xr:uid="{00000000-0005-0000-0000-0000AB080000}"/>
    <cellStyle name="Total 2 6 6 2 8 2" xfId="13944" xr:uid="{796855D5-22B7-48BD-ADBE-8E2364D47D07}"/>
    <cellStyle name="Total 2 6 6 2 8 2 2" xfId="36428" xr:uid="{152E455D-2886-4172-9AAF-BBED419135C1}"/>
    <cellStyle name="Total 2 6 6 2 8 2 3" xfId="45784" xr:uid="{DA753527-1950-4A2E-BE89-DEDCA8D4642F}"/>
    <cellStyle name="Total 2 6 6 2 8 3" xfId="19045" xr:uid="{D02BD058-6FF4-4A97-990C-1D8B0650298F}"/>
    <cellStyle name="Total 2 6 6 2 8 3 2" xfId="41435" xr:uid="{F6D5C93D-E6B6-4FBE-B445-82BD0EDC3E75}"/>
    <cellStyle name="Total 2 6 6 2 8 3 3" xfId="41870" xr:uid="{0487635A-CAD8-4756-9997-F7743FD3C425}"/>
    <cellStyle name="Total 2 6 6 2 8 4" xfId="20237" xr:uid="{71F952DC-64DA-41B0-9836-8E3569A355FF}"/>
    <cellStyle name="Total 2 6 6 2 8 4 2" xfId="42540" xr:uid="{8C882BCD-AE52-45BB-92E5-01EF45A1ADAF}"/>
    <cellStyle name="Total 2 6 6 2 8 4 3" xfId="25050" xr:uid="{960A8998-D8DB-445F-A4A0-BB322BDF5CF8}"/>
    <cellStyle name="Total 2 6 6 2 8 5" xfId="23469" xr:uid="{F4BF6973-0104-47F1-BBEC-87D57FFE723B}"/>
    <cellStyle name="Total 2 6 6 2 8 5 2" xfId="29640" xr:uid="{E3F4FF46-649B-4CBF-8222-90B83030D50E}"/>
    <cellStyle name="Total 2 6 6 2 8 6" xfId="32289" xr:uid="{8E7BDEB5-3413-4CFE-B2E8-D276C575C979}"/>
    <cellStyle name="Total 2 6 6 2 9" xfId="7223" xr:uid="{00000000-0005-0000-0000-0000AB080000}"/>
    <cellStyle name="Total 2 6 6 2 9 2" xfId="19160" xr:uid="{79A4161A-306A-4C49-946A-340BE9FD992F}"/>
    <cellStyle name="Total 2 6 6 2 9 2 2" xfId="41550" xr:uid="{83E5608C-11A4-4049-A91D-DDADF52DEF18}"/>
    <cellStyle name="Total 2 6 6 2 9 2 3" xfId="45467" xr:uid="{1B483D56-0A10-4BDB-8658-A23CD99BC430}"/>
    <cellStyle name="Total 2 6 6 2 9 3" xfId="16141" xr:uid="{9B079D67-C30F-4320-8E6A-E8432307CA91}"/>
    <cellStyle name="Total 2 6 6 2 9 3 2" xfId="38541" xr:uid="{03486B31-30CF-4150-ABFB-652FB26C0AA6}"/>
    <cellStyle name="Total 2 6 6 2 9 3 3" xfId="25657" xr:uid="{8F007D1F-8C41-4ADA-AF2C-E93324289480}"/>
    <cellStyle name="Total 2 6 6 2 9 4" xfId="23584" xr:uid="{E2BF33D6-0A0D-41DC-B06D-10D753BDD32E}"/>
    <cellStyle name="Total 2 6 6 2 9 4 2" xfId="27527" xr:uid="{AC23FE38-65EF-49F7-9B25-D2087D6BE995}"/>
    <cellStyle name="Total 2 6 6 2 9 5" xfId="48946" xr:uid="{5BD23D05-2D56-4DC3-9334-C928EDA461A6}"/>
    <cellStyle name="Total 2 6 6 3" xfId="3490" xr:uid="{00000000-0005-0000-0000-0000AA080000}"/>
    <cellStyle name="Total 2 6 6 3 2" xfId="10397" xr:uid="{ECECB46B-6246-461F-95A5-99A867024400}"/>
    <cellStyle name="Total 2 6 6 3 2 2" xfId="32884" xr:uid="{267284AB-396C-4234-B321-6674AC496377}"/>
    <cellStyle name="Total 2 6 6 3 2 3" xfId="27382" xr:uid="{FB5C49D4-9F50-433D-96F2-A4E7E7150CEA}"/>
    <cellStyle name="Total 2 6 6 3 3" xfId="15668" xr:uid="{376414CE-C74F-495B-8ED5-120B314C3296}"/>
    <cellStyle name="Total 2 6 6 3 3 2" xfId="38084" xr:uid="{2AC69D38-478E-46C4-A4EB-595637370225}"/>
    <cellStyle name="Total 2 6 6 3 3 3" xfId="46424" xr:uid="{23B4CEC8-F155-4225-AE64-2109F7EDD526}"/>
    <cellStyle name="Total 2 6 6 3 4" xfId="14139" xr:uid="{5E16CEE7-68D5-4C10-BF5C-1A6366B35245}"/>
    <cellStyle name="Total 2 6 6 3 4 2" xfId="36616" xr:uid="{D47C2308-30DC-4F4D-B725-55CD8C2FC8F7}"/>
    <cellStyle name="Total 2 6 6 3 4 3" xfId="48551" xr:uid="{5D51DEA1-7636-43CD-B404-2330798DE293}"/>
    <cellStyle name="Total 2 6 6 3 5" xfId="14009" xr:uid="{1618000F-469A-4D1A-8008-A000237860E8}"/>
    <cellStyle name="Total 2 6 6 3 5 2" xfId="26310" xr:uid="{67684124-5634-4F86-A58C-325E2933344F}"/>
    <cellStyle name="Total 2 6 6 3 6" xfId="52767" xr:uid="{998CCA77-99F1-4EBA-ADE1-04358AD4AA30}"/>
    <cellStyle name="Total 2 6 6 4" xfId="5025" xr:uid="{00000000-0005-0000-0000-0000AA080000}"/>
    <cellStyle name="Total 2 6 6 4 2" xfId="11919" xr:uid="{ADCCA825-1311-410B-9D23-1F9E8D62F6F2}"/>
    <cellStyle name="Total 2 6 6 4 2 2" xfId="34405" xr:uid="{3FE51753-4715-4F11-88D4-24DC34377557}"/>
    <cellStyle name="Total 2 6 6 4 2 3" xfId="44374" xr:uid="{D48467F8-2BDA-4A01-B030-188526813161}"/>
    <cellStyle name="Total 2 6 6 4 3" xfId="16962" xr:uid="{0C601733-DAC5-424B-AE67-985C046A1CD0}"/>
    <cellStyle name="Total 2 6 6 4 3 2" xfId="39352" xr:uid="{FEACFCDF-F465-4A46-8E8A-9DC07F19F95F}"/>
    <cellStyle name="Total 2 6 6 4 3 3" xfId="29322" xr:uid="{115BEF30-2B9F-478E-BEC2-2416D3CB1196}"/>
    <cellStyle name="Total 2 6 6 4 4" xfId="16073" xr:uid="{00194362-31B9-4140-BA71-B69142DEE3B8}"/>
    <cellStyle name="Total 2 6 6 4 4 2" xfId="38473" xr:uid="{BB78D210-88D4-4E0B-A005-EF30A770B493}"/>
    <cellStyle name="Total 2 6 6 4 4 3" xfId="48595" xr:uid="{ECD495E4-DA63-4FA8-B235-C17F81F0F24F}"/>
    <cellStyle name="Total 2 6 6 4 5" xfId="21386" xr:uid="{A57E00CA-31EA-4280-B24C-0935F35D0C79}"/>
    <cellStyle name="Total 2 6 6 4 5 2" xfId="27501" xr:uid="{6943EB47-4CFC-491F-8878-CB03634E43FF}"/>
    <cellStyle name="Total 2 6 6 4 6" xfId="50601" xr:uid="{247AB3B3-5414-42FB-B4C1-630377054830}"/>
    <cellStyle name="Total 2 6 6 5" xfId="4986" xr:uid="{00000000-0005-0000-0000-0000AA080000}"/>
    <cellStyle name="Total 2 6 6 5 2" xfId="11880" xr:uid="{1A8ABB19-8512-4646-A812-B87013381C26}"/>
    <cellStyle name="Total 2 6 6 5 2 2" xfId="34366" xr:uid="{11A42950-E64E-41DE-BE9C-28640623C857}"/>
    <cellStyle name="Total 2 6 6 5 2 3" xfId="24643" xr:uid="{1FC619F8-D8C1-42E1-8ABD-8BE9DEDA057E}"/>
    <cellStyle name="Total 2 6 6 5 3" xfId="16923" xr:uid="{71F4B8E5-641C-47DA-8882-0883FE51E3F6}"/>
    <cellStyle name="Total 2 6 6 5 3 2" xfId="39313" xr:uid="{F4CC4AD1-70D1-4E00-B880-CAF1165BB1A8}"/>
    <cellStyle name="Total 2 6 6 5 3 3" xfId="28379" xr:uid="{E3F6B731-8C1F-4BF5-9B2A-25E1ABD2C8DE}"/>
    <cellStyle name="Total 2 6 6 5 4" xfId="15753" xr:uid="{186EDC55-78F6-47B5-98DA-E1F589B05887}"/>
    <cellStyle name="Total 2 6 6 5 4 2" xfId="38165" xr:uid="{9DA515D1-278B-400D-B82B-A73C91BB14DD}"/>
    <cellStyle name="Total 2 6 6 5 4 3" xfId="46376" xr:uid="{6FCB658E-60C1-436A-88D2-E27C7F16A152}"/>
    <cellStyle name="Total 2 6 6 5 5" xfId="21347" xr:uid="{F84159AE-1C3B-4E10-9B07-4DBD4EC224E3}"/>
    <cellStyle name="Total 2 6 6 5 5 2" xfId="46177" xr:uid="{C7A4C5E8-C707-4C7B-A801-F0BC6AFFA661}"/>
    <cellStyle name="Total 2 6 6 5 6" xfId="52320" xr:uid="{13352DC0-CC25-4B78-ACA5-25A328453C29}"/>
    <cellStyle name="Total 2 6 6 6" xfId="6112" xr:uid="{00000000-0005-0000-0000-0000AA080000}"/>
    <cellStyle name="Total 2 6 6 6 2" xfId="12990" xr:uid="{58D5C199-7871-4DA2-8AA2-C72FB5A73A1C}"/>
    <cellStyle name="Total 2 6 6 6 2 2" xfId="35474" xr:uid="{DF1BBC5D-64FD-43D5-92C8-659CE1B5B25C}"/>
    <cellStyle name="Total 2 6 6 6 2 3" xfId="53162" xr:uid="{06AD3AE5-411B-4857-9AF2-E567BF7B3370}"/>
    <cellStyle name="Total 2 6 6 6 3" xfId="18049" xr:uid="{35940B00-B7D0-4EA6-B56D-725988B7FA1A}"/>
    <cellStyle name="Total 2 6 6 6 3 2" xfId="40439" xr:uid="{48F2855F-65DE-4597-AF72-0C297A5FC138}"/>
    <cellStyle name="Total 2 6 6 6 3 3" xfId="30149" xr:uid="{C54065A7-5428-4D5D-BFF1-7FC4EFC74C48}"/>
    <cellStyle name="Total 2 6 6 6 4" xfId="12903" xr:uid="{32746324-00FE-4574-B8E4-B6B73776422B}"/>
    <cellStyle name="Total 2 6 6 6 4 2" xfId="35387" xr:uid="{33F35337-5152-4BEB-A98D-C025CAB2AEA0}"/>
    <cellStyle name="Total 2 6 6 6 4 3" xfId="26943" xr:uid="{E8C7AC94-E7B7-459B-8108-8B6EB56C3D42}"/>
    <cellStyle name="Total 2 6 6 6 5" xfId="22473" xr:uid="{0E9A736B-A774-46D1-9FD1-B83C90937FD4}"/>
    <cellStyle name="Total 2 6 6 6 5 2" xfId="50344" xr:uid="{71CAB4DA-9662-4B73-AC0A-262D55BA013E}"/>
    <cellStyle name="Total 2 6 6 6 6" xfId="47793" xr:uid="{8B20EA28-86C4-4903-A0E0-65A4452312F2}"/>
    <cellStyle name="Total 2 6 6 7" xfId="4882" xr:uid="{00000000-0005-0000-0000-0000AA080000}"/>
    <cellStyle name="Total 2 6 6 7 2" xfId="11777" xr:uid="{96E06708-B852-4B0D-938A-474E6F54D42F}"/>
    <cellStyle name="Total 2 6 6 7 2 2" xfId="34263" xr:uid="{CF2549CD-107C-4932-AB42-841FDF4CDE5F}"/>
    <cellStyle name="Total 2 6 6 7 2 3" xfId="45522" xr:uid="{02D843C2-D835-4F29-8D12-5CCD0B96E316}"/>
    <cellStyle name="Total 2 6 6 7 3" xfId="16819" xr:uid="{7EB28E8A-F9C3-4934-94A5-2F309603B310}"/>
    <cellStyle name="Total 2 6 6 7 3 2" xfId="39209" xr:uid="{70E88A09-C16E-4F15-9F75-0E019AC0B0C8}"/>
    <cellStyle name="Total 2 6 6 7 3 3" xfId="23734" xr:uid="{B04E9B32-3488-4DF7-B5A8-8694E67DFB63}"/>
    <cellStyle name="Total 2 6 6 7 4" xfId="15698" xr:uid="{A21E5F2B-553F-402B-AD23-DEB78E525893}"/>
    <cellStyle name="Total 2 6 6 7 4 2" xfId="38112" xr:uid="{65766683-9902-46CE-96AB-CC6DB4C5F08B}"/>
    <cellStyle name="Total 2 6 6 7 4 3" xfId="44176" xr:uid="{82A1E2EB-EC9B-4E6D-8644-AFCCE2586B54}"/>
    <cellStyle name="Total 2 6 6 7 5" xfId="20834" xr:uid="{638C963B-C18E-4317-B5A9-E35BCB1C2948}"/>
    <cellStyle name="Total 2 6 6 7 5 2" xfId="48144" xr:uid="{53CFA63A-69E8-411D-A1EE-7B8EF185E9D3}"/>
    <cellStyle name="Total 2 6 6 7 6" xfId="53611" xr:uid="{26312613-3231-45E3-92B1-1720E122D308}"/>
    <cellStyle name="Total 2 6 6 8" xfId="14207" xr:uid="{F9199672-2C69-46E9-94A5-F5E32CF21858}"/>
    <cellStyle name="Total 2 6 6 8 2" xfId="36682" xr:uid="{4FAE355B-2DD8-4EF8-BF35-FC9D7526E4E2}"/>
    <cellStyle name="Total 2 6 6 8 3" xfId="43962" xr:uid="{7AD03673-0E8D-40FF-B661-9140545041CE}"/>
    <cellStyle name="Total 2 6 6 9" xfId="20261" xr:uid="{1D5FA8E8-B2C8-48C6-9D60-AB019904F7A1}"/>
    <cellStyle name="Total 2 6 6 9 2" xfId="42563" xr:uid="{BCA89EE4-4B7E-496E-96AD-BDEB76440DB0}"/>
    <cellStyle name="Total 2 6 6 9 3" xfId="43995" xr:uid="{2FEAA636-6BB7-40F5-9250-D322D039E22D}"/>
    <cellStyle name="Total 2 6 7" xfId="1660" xr:uid="{00000000-0005-0000-0000-0000AF080000}"/>
    <cellStyle name="Total 2 6 7 10" xfId="14374" xr:uid="{98CB854D-45F5-47B7-AABD-C96BAD6A670B}"/>
    <cellStyle name="Total 2 6 7 10 2" xfId="36842" xr:uid="{F84766CD-4A8C-4AE4-B6D9-269BE2CF8D9E}"/>
    <cellStyle name="Total 2 6 7 10 3" xfId="43883" xr:uid="{C1092982-CDEE-493A-9CC1-0373729D614A}"/>
    <cellStyle name="Total 2 6 7 11" xfId="15725" xr:uid="{32682774-FC2D-4BE1-B4DF-4D799DBFEDC0}"/>
    <cellStyle name="Total 2 6 7 11 2" xfId="38138" xr:uid="{5D22D405-9997-4DC7-BB46-A35EA61B38E5}"/>
    <cellStyle name="Total 2 6 7 11 3" xfId="46734" xr:uid="{12A6B4E9-53D3-4C3D-A6E1-9D302E133C35}"/>
    <cellStyle name="Total 2 6 7 12" xfId="20306" xr:uid="{669C9074-9F05-4FAD-BCC5-1ED06BFC79BB}"/>
    <cellStyle name="Total 2 6 7 12 2" xfId="44042" xr:uid="{430032EE-05A5-4EE1-A7E4-F2883626F802}"/>
    <cellStyle name="Total 2 6 7 13" xfId="28702" xr:uid="{0123674A-3797-47F7-9146-36B819EAE92A}"/>
    <cellStyle name="Total 2 6 7 2" xfId="3758" xr:uid="{00000000-0005-0000-0000-0000AC080000}"/>
    <cellStyle name="Total 2 6 7 2 2" xfId="10662" xr:uid="{18B11852-7B4C-412F-A501-AC3B0911F244}"/>
    <cellStyle name="Total 2 6 7 2 2 2" xfId="33148" xr:uid="{EEEFBBD8-D17E-46D4-8F62-F40079515734}"/>
    <cellStyle name="Total 2 6 7 2 2 3" xfId="44218" xr:uid="{2299AF78-D95D-4A73-B39B-1921A6B88D7E}"/>
    <cellStyle name="Total 2 6 7 2 3" xfId="15839" xr:uid="{06326AD5-4070-4C11-8A31-3B04EEE6F2FB}"/>
    <cellStyle name="Total 2 6 7 2 3 2" xfId="38247" xr:uid="{9C57B045-559B-47D4-A8BE-A92EE4023A8E}"/>
    <cellStyle name="Total 2 6 7 2 3 3" xfId="46949" xr:uid="{048D3949-D9C7-468B-A831-902B523F2F6D}"/>
    <cellStyle name="Total 2 6 7 2 4" xfId="19809" xr:uid="{867A92A8-1218-4D72-BE57-F0EE0D0C6AB2}"/>
    <cellStyle name="Total 2 6 7 2 4 2" xfId="42147" xr:uid="{1E7D98E0-857F-45A8-B2C2-251214656210}"/>
    <cellStyle name="Total 2 6 7 2 4 3" xfId="45455" xr:uid="{7B6B1363-556C-454E-A435-DAB0206CBCFD}"/>
    <cellStyle name="Total 2 6 7 2 5" xfId="19658" xr:uid="{B0D81DBE-80AB-48D2-B5CF-7253491BC8FA}"/>
    <cellStyle name="Total 2 6 7 2 5 2" xfId="25484" xr:uid="{9EFDD254-7614-4ED3-835E-5C105FF5296C}"/>
    <cellStyle name="Total 2 6 7 2 6" xfId="49159" xr:uid="{EE439427-5974-4279-B448-B7EFFE008FF7}"/>
    <cellStyle name="Total 2 6 7 3" xfId="5193" xr:uid="{00000000-0005-0000-0000-0000AC080000}"/>
    <cellStyle name="Total 2 6 7 3 2" xfId="12086" xr:uid="{2790F869-0DA2-4D08-8641-8868EE603071}"/>
    <cellStyle name="Total 2 6 7 3 2 2" xfId="34572" xr:uid="{50A5F437-E31F-471B-B05F-3641D122E472}"/>
    <cellStyle name="Total 2 6 7 3 2 3" xfId="28403" xr:uid="{339D35E8-C3FC-42D7-9769-EDC001E0C5C9}"/>
    <cellStyle name="Total 2 6 7 3 3" xfId="17130" xr:uid="{F4F59C64-7F1B-479E-89FD-15306409DA18}"/>
    <cellStyle name="Total 2 6 7 3 3 2" xfId="39520" xr:uid="{B6DDA60E-D63C-4A7F-9755-F20BC6A26BBD}"/>
    <cellStyle name="Total 2 6 7 3 3 3" xfId="29327" xr:uid="{43D1917C-D433-4EB3-8A7F-9AB48C89384E}"/>
    <cellStyle name="Total 2 6 7 3 4" xfId="14609" xr:uid="{282387D3-EEF7-43F4-B32E-7BEAA548815F}"/>
    <cellStyle name="Total 2 6 7 3 4 2" xfId="37070" xr:uid="{08D9470D-4D34-4282-A191-FCDB02A42389}"/>
    <cellStyle name="Total 2 6 7 3 4 3" xfId="46193" xr:uid="{4192DA84-A66C-4087-850E-DC83C54B3CE1}"/>
    <cellStyle name="Total 2 6 7 3 5" xfId="21554" xr:uid="{79B2199A-C46A-4865-91D3-399AA9455EB8}"/>
    <cellStyle name="Total 2 6 7 3 5 2" xfId="46908" xr:uid="{5DFF9813-F8AE-47EC-A645-AECBD1597F80}"/>
    <cellStyle name="Total 2 6 7 3 6" xfId="45703" xr:uid="{193D8BCF-F34B-4C6C-80F7-BF9A7B895106}"/>
    <cellStyle name="Total 2 6 7 4" xfId="3478" xr:uid="{00000000-0005-0000-0000-0000AC080000}"/>
    <cellStyle name="Total 2 6 7 4 2" xfId="10385" xr:uid="{F49AAF76-5DD7-4DB0-9B21-9211E9674D84}"/>
    <cellStyle name="Total 2 6 7 4 2 2" xfId="32872" xr:uid="{09A5AF6E-43FC-4D90-9BC8-5DD05FD6C9BD}"/>
    <cellStyle name="Total 2 6 7 4 2 3" xfId="52785" xr:uid="{E9C318A3-D239-4108-BC5D-C6A1AAD98DFA}"/>
    <cellStyle name="Total 2 6 7 4 3" xfId="15656" xr:uid="{FFE3FFFC-B16C-4C09-89D0-071FBF3A186E}"/>
    <cellStyle name="Total 2 6 7 4 3 2" xfId="38072" xr:uid="{B77A0C6A-A638-467B-AEBB-B04EEB7BD4AF}"/>
    <cellStyle name="Total 2 6 7 4 3 3" xfId="46765" xr:uid="{0B66DBC0-505F-4178-BC55-7FF3855526DF}"/>
    <cellStyle name="Total 2 6 7 4 4" xfId="20615" xr:uid="{DDC62768-180A-41B2-A7D2-2A3FDFDA813D}"/>
    <cellStyle name="Total 2 6 7 4 4 2" xfId="42896" xr:uid="{B1F07F1D-25A8-4C04-8B8E-12F43F7DDAC5}"/>
    <cellStyle name="Total 2 6 7 4 4 3" xfId="45922" xr:uid="{B40E26CD-AD48-407B-B9FD-1C24646308D4}"/>
    <cellStyle name="Total 2 6 7 4 5" xfId="15269" xr:uid="{235B8387-AEBC-4F55-B058-5C9AE096CD82}"/>
    <cellStyle name="Total 2 6 7 4 5 2" xfId="53029" xr:uid="{51BE6D53-7D5A-4F1E-94B5-EE9EB9012B9B}"/>
    <cellStyle name="Total 2 6 7 4 6" xfId="51029" xr:uid="{C31414BE-3F11-460D-A6B8-9F709EC09103}"/>
    <cellStyle name="Total 2 6 7 5" xfId="5969" xr:uid="{00000000-0005-0000-0000-0000AC080000}"/>
    <cellStyle name="Total 2 6 7 5 2" xfId="12850" xr:uid="{D7E43626-8DB9-45EA-8E45-A612B9E530E0}"/>
    <cellStyle name="Total 2 6 7 5 2 2" xfId="35334" xr:uid="{8688962B-6F1C-4DD1-841A-D5B1CC256103}"/>
    <cellStyle name="Total 2 6 7 5 2 3" xfId="48842" xr:uid="{C78CA42F-D722-4F37-9420-B86F0CB3FBB5}"/>
    <cellStyle name="Total 2 6 7 5 3" xfId="17906" xr:uid="{9CAE5E43-1A77-4CBA-B7FE-D2C3F836AD59}"/>
    <cellStyle name="Total 2 6 7 5 3 2" xfId="40296" xr:uid="{B0264205-3317-4B34-87D8-6E1EF193A3F6}"/>
    <cellStyle name="Total 2 6 7 5 3 3" xfId="36794" xr:uid="{60939F40-F85E-4E26-BA93-5B5BF3E06A18}"/>
    <cellStyle name="Total 2 6 7 5 4" xfId="15733" xr:uid="{97A17234-3E0A-4CAE-9893-F633E6F116B4}"/>
    <cellStyle name="Total 2 6 7 5 4 2" xfId="38146" xr:uid="{E1D679B4-F18C-451B-B980-60328F4E8AC7}"/>
    <cellStyle name="Total 2 6 7 5 4 3" xfId="48273" xr:uid="{EF83B5C5-65E1-4877-A00E-60F8F803EE14}"/>
    <cellStyle name="Total 2 6 7 5 5" xfId="22330" xr:uid="{188741CF-59D3-44F8-ABCC-5BD055C574C7}"/>
    <cellStyle name="Total 2 6 7 5 5 2" xfId="43244" xr:uid="{9CBEEEE0-CFF9-424B-BE38-5B17EB4B984D}"/>
    <cellStyle name="Total 2 6 7 5 6" xfId="50582" xr:uid="{67CE3C5C-8233-42B8-856E-9C496B322858}"/>
    <cellStyle name="Total 2 6 7 6" xfId="4483" xr:uid="{00000000-0005-0000-0000-0000AC080000}"/>
    <cellStyle name="Total 2 6 7 6 2" xfId="11385" xr:uid="{AA3A1A82-D326-4892-9A1A-6571086C743C}"/>
    <cellStyle name="Total 2 6 7 6 2 2" xfId="33871" xr:uid="{21417A3F-2F7F-41A2-8A53-7DD617CA8462}"/>
    <cellStyle name="Total 2 6 7 6 2 3" xfId="24120" xr:uid="{DD18351B-1D09-435F-A2F3-BB66D92E674C}"/>
    <cellStyle name="Total 2 6 7 6 3" xfId="16420" xr:uid="{0BF6471C-8AB9-4299-857E-94753ACC15A7}"/>
    <cellStyle name="Total 2 6 7 6 3 2" xfId="38810" xr:uid="{E156AE90-4D45-4EE0-9FBA-3A20E8A33EFA}"/>
    <cellStyle name="Total 2 6 7 6 3 3" xfId="44948" xr:uid="{E18DAFD1-C179-40D8-8735-5F6A4986961D}"/>
    <cellStyle name="Total 2 6 7 6 4" xfId="8111" xr:uid="{A94FE02D-ADCF-46C1-A7D4-804910A57AA0}"/>
    <cellStyle name="Total 2 6 7 6 4 2" xfId="30724" xr:uid="{40D6F97E-E196-4C59-812C-365F84878F11}"/>
    <cellStyle name="Total 2 6 7 6 4 3" xfId="53241" xr:uid="{9166EB44-95DC-477F-92A2-8333A20B8A33}"/>
    <cellStyle name="Total 2 6 7 6 5" xfId="21261" xr:uid="{F60F0A6A-FC8B-46BF-8BE8-CE5B3A12544C}"/>
    <cellStyle name="Total 2 6 7 6 5 2" xfId="51736" xr:uid="{4F68688E-ECD2-4AAE-827C-E295F26966E3}"/>
    <cellStyle name="Total 2 6 7 6 6" xfId="53824" xr:uid="{3B8CBCE2-5B7E-470C-B8CD-96C51481F7F6}"/>
    <cellStyle name="Total 2 6 7 7" xfId="6752" xr:uid="{00000000-0005-0000-0000-0000AC080000}"/>
    <cellStyle name="Total 2 6 7 7 2" xfId="13608" xr:uid="{257CC2CB-D330-4D60-84EF-7C1283AFDA26}"/>
    <cellStyle name="Total 2 6 7 7 2 2" xfId="36092" xr:uid="{2CCCCD89-4CBD-4E7F-B037-6B8847366CF9}"/>
    <cellStyle name="Total 2 6 7 7 2 3" xfId="53292" xr:uid="{236E69D3-A37B-4591-BF8F-8E907987E0B2}"/>
    <cellStyle name="Total 2 6 7 7 3" xfId="18689" xr:uid="{67AE426E-1718-4037-93D2-D0F1EFB6332E}"/>
    <cellStyle name="Total 2 6 7 7 3 2" xfId="41079" xr:uid="{4496777D-8113-4DDA-A1FC-7A6763DDF628}"/>
    <cellStyle name="Total 2 6 7 7 3 3" xfId="30481" xr:uid="{F9009B83-EE0E-4A23-ABAF-A08AB41DEAFF}"/>
    <cellStyle name="Total 2 6 7 7 4" xfId="20684" xr:uid="{465274F2-9191-47D7-9E3E-0195737AFF67}"/>
    <cellStyle name="Total 2 6 7 7 4 2" xfId="42958" xr:uid="{A3D81BC4-B465-4303-9265-E26C0D3BE4A5}"/>
    <cellStyle name="Total 2 6 7 7 4 3" xfId="51224" xr:uid="{5B611061-62AD-42D0-976A-DCE341FE3C99}"/>
    <cellStyle name="Total 2 6 7 7 5" xfId="23113" xr:uid="{9BEDD6D0-8E1F-40F8-B0C8-16E3900E4940}"/>
    <cellStyle name="Total 2 6 7 7 5 2" xfId="37471" xr:uid="{F4199BA0-4F57-4B72-967E-578D1F69A930}"/>
    <cellStyle name="Total 2 6 7 7 6" xfId="51886" xr:uid="{BD34E5D9-8F1F-403F-8655-51DD01CE026D}"/>
    <cellStyle name="Total 2 6 7 8" xfId="6368" xr:uid="{00000000-0005-0000-0000-0000AC080000}"/>
    <cellStyle name="Total 2 6 7 8 2" xfId="13240" xr:uid="{468A973D-3CF9-4659-8DD5-5AD6C1C2F247}"/>
    <cellStyle name="Total 2 6 7 8 2 2" xfId="35724" xr:uid="{46AA795A-DBAF-4DD6-BB68-37A8E9631984}"/>
    <cellStyle name="Total 2 6 7 8 2 3" xfId="48237" xr:uid="{9F52BBA2-43CD-44C6-B209-800F6B65839B}"/>
    <cellStyle name="Total 2 6 7 8 3" xfId="18305" xr:uid="{F010A06F-481F-4A66-85F3-A0426FC39E85}"/>
    <cellStyle name="Total 2 6 7 8 3 2" xfId="40695" xr:uid="{29B19D03-106E-4B78-9268-C55EB03F3467}"/>
    <cellStyle name="Total 2 6 7 8 3 3" xfId="37402" xr:uid="{D1E6DE4A-8FC5-4C8A-9A9E-27CC10757BCA}"/>
    <cellStyle name="Total 2 6 7 8 4" xfId="7950" xr:uid="{8C2DE978-FFA7-4D14-B548-FE7CA83034CF}"/>
    <cellStyle name="Total 2 6 7 8 4 2" xfId="30574" xr:uid="{EDBE92E8-9456-47F7-9836-6F57F3B40B59}"/>
    <cellStyle name="Total 2 6 7 8 4 3" xfId="52551" xr:uid="{2FD9DA27-AEB9-41B2-90F0-FB4C21AEE6BF}"/>
    <cellStyle name="Total 2 6 7 8 5" xfId="22729" xr:uid="{76DCA6A6-6219-4984-88E5-3EB9FD10A9C8}"/>
    <cellStyle name="Total 2 6 7 8 5 2" xfId="47903" xr:uid="{6E20A767-9CEB-4A5E-BFE7-523EEA717132}"/>
    <cellStyle name="Total 2 6 7 8 6" xfId="44245" xr:uid="{BF4A5B60-66CA-46B6-AA3B-3FA78372667F}"/>
    <cellStyle name="Total 2 6 7 9" xfId="4656" xr:uid="{00000000-0005-0000-0000-0000AC080000}"/>
    <cellStyle name="Total 2 6 7 9 2" xfId="16593" xr:uid="{95681EDA-C24D-4F79-B0DB-F9210C55FBDF}"/>
    <cellStyle name="Total 2 6 7 9 2 2" xfId="38983" xr:uid="{27D8CC4F-57C3-4717-BE70-39F48568B36D}"/>
    <cellStyle name="Total 2 6 7 9 2 3" xfId="37457" xr:uid="{F6CD04E1-3A12-43E3-A659-AB93592363B1}"/>
    <cellStyle name="Total 2 6 7 9 3" xfId="15706" xr:uid="{FBDE2372-8DFA-4E8A-A4CC-50DAF5E9DB40}"/>
    <cellStyle name="Total 2 6 7 9 3 2" xfId="38119" xr:uid="{727EBB95-B48C-46B3-9818-94E657AAE30E}"/>
    <cellStyle name="Total 2 6 7 9 3 3" xfId="30095" xr:uid="{44917205-EFF5-4A37-939B-72ABCF9CF209}"/>
    <cellStyle name="Total 2 6 7 9 4" xfId="20319" xr:uid="{C2F44EF3-5A93-4D88-93EA-81E5731AE7B6}"/>
    <cellStyle name="Total 2 6 7 9 4 2" xfId="47026" xr:uid="{4DD54F75-6C6C-42AE-AE82-00DE05F3AF05}"/>
    <cellStyle name="Total 2 6 7 9 5" xfId="54043" xr:uid="{A8E5E743-CF72-4440-9CE7-30F60B9E010A}"/>
    <cellStyle name="Total 2 6 8" xfId="2607" xr:uid="{00000000-0005-0000-0000-0000A1080000}"/>
    <cellStyle name="Total 2 6 8 2" xfId="9516" xr:uid="{954D934E-1920-4AF6-ACE0-994F346FB1AD}"/>
    <cellStyle name="Total 2 6 8 2 2" xfId="32068" xr:uid="{AE781E95-67E4-4220-B4EF-3BA4504240BD}"/>
    <cellStyle name="Total 2 6 8 2 3" xfId="44022" xr:uid="{11F66D12-1C8D-49B2-9D34-535867C95384}"/>
    <cellStyle name="Total 2 6 8 3" xfId="15085" xr:uid="{0DD8FFC1-9437-4BC7-8598-7736EB6A1E3A}"/>
    <cellStyle name="Total 2 6 8 3 2" xfId="37530" xr:uid="{568EE295-C6CC-4716-A4BD-42E880D67FC6}"/>
    <cellStyle name="Total 2 6 8 3 3" xfId="37707" xr:uid="{7821C173-7EE3-4859-878A-35DA7F7B5EC7}"/>
    <cellStyle name="Total 2 6 8 4" xfId="14481" xr:uid="{15056456-6675-4723-BAC2-73E28B9C1E8A}"/>
    <cellStyle name="Total 2 6 8 4 2" xfId="36943" xr:uid="{40BC8831-7282-4A68-9A3D-98005455E911}"/>
    <cellStyle name="Total 2 6 8 4 3" xfId="48658" xr:uid="{EB8A2E05-3A23-41A1-8F6E-C7F3DF16CCF2}"/>
    <cellStyle name="Total 2 6 8 5" xfId="15403" xr:uid="{322CA8D5-F22C-4DD1-AD99-C6C7626A0F88}"/>
    <cellStyle name="Total 2 6 8 5 2" xfId="38333" xr:uid="{D368F517-DC5A-414E-AE4A-EF1350C53FB2}"/>
    <cellStyle name="Total 2 6 8 6" xfId="42722" xr:uid="{C7272222-2F56-48B1-9B0D-0A9B5C6A0DEB}"/>
    <cellStyle name="Total 2 6 9" xfId="4438" xr:uid="{00000000-0005-0000-0000-0000A1080000}"/>
    <cellStyle name="Total 2 6 9 2" xfId="11340" xr:uid="{9027A039-39ED-40DA-9D24-69DD607E838A}"/>
    <cellStyle name="Total 2 6 9 2 2" xfId="33826" xr:uid="{221297CE-1CE2-41A5-B0B8-3F48727783BA}"/>
    <cellStyle name="Total 2 6 9 2 3" xfId="26510" xr:uid="{3D66402B-8169-4C6F-B029-5A30FBEBFDB4}"/>
    <cellStyle name="Total 2 6 9 3" xfId="16375" xr:uid="{54252BC3-803D-4228-8F4D-7E05B3414FB9}"/>
    <cellStyle name="Total 2 6 9 3 2" xfId="38765" xr:uid="{0A55649F-30E1-495C-A86B-AB29DBD885C5}"/>
    <cellStyle name="Total 2 6 9 3 3" xfId="30902" xr:uid="{FCED6298-F935-4399-B5E0-DC282A87D1FB}"/>
    <cellStyle name="Total 2 6 9 4" xfId="19727" xr:uid="{E3380941-5118-42E8-9243-2B387FAFDF44}"/>
    <cellStyle name="Total 2 6 9 4 2" xfId="42073" xr:uid="{F1281298-6D32-4DF2-A42A-B2DDBE204E6E}"/>
    <cellStyle name="Total 2 6 9 4 3" xfId="43550" xr:uid="{03152E92-B0EF-47F7-A3ED-F544CD8936CC}"/>
    <cellStyle name="Total 2 6 9 5" xfId="15944" xr:uid="{F9B51F54-8744-40D6-9293-A2239B276877}"/>
    <cellStyle name="Total 2 6 9 5 2" xfId="50373" xr:uid="{B155B41D-61D6-414A-93C3-979AA77C74B1}"/>
    <cellStyle name="Total 2 6 9 6" xfId="50228" xr:uid="{B3BC8B7A-5B82-4BED-8DFF-707B2C69CC7F}"/>
    <cellStyle name="Total 2 7" xfId="444" xr:uid="{00000000-0005-0000-0000-0000B0080000}"/>
    <cellStyle name="Total 2 7 10" xfId="4960" xr:uid="{00000000-0005-0000-0000-0000AD080000}"/>
    <cellStyle name="Total 2 7 10 2" xfId="11855" xr:uid="{2074B955-F5A1-4C87-8724-BFB0A6E8F729}"/>
    <cellStyle name="Total 2 7 10 2 2" xfId="34341" xr:uid="{2F588D03-4F89-4818-A6B7-325AFEC8429F}"/>
    <cellStyle name="Total 2 7 10 2 3" xfId="44976" xr:uid="{0A13CE33-6B8B-45DA-9BF2-4CC4D3E3C21F}"/>
    <cellStyle name="Total 2 7 10 3" xfId="16897" xr:uid="{21EAF4CE-B71A-41A9-8107-05B59E7F1788}"/>
    <cellStyle name="Total 2 7 10 3 2" xfId="39287" xr:uid="{5CD7FABC-12A5-4815-BC9B-83D26C2A709D}"/>
    <cellStyle name="Total 2 7 10 3 3" xfId="25325" xr:uid="{0839539D-FCBF-4383-A965-891FE597EE87}"/>
    <cellStyle name="Total 2 7 10 4" xfId="14307" xr:uid="{A6243CD6-0235-47C2-87FA-BDB39DDE151E}"/>
    <cellStyle name="Total 2 7 10 4 2" xfId="36776" xr:uid="{0C30E42A-E8EF-4AFA-972B-C4804A67FA15}"/>
    <cellStyle name="Total 2 7 10 4 3" xfId="47827" xr:uid="{33B835F9-AD53-450A-A79C-D82F08DE0791}"/>
    <cellStyle name="Total 2 7 10 5" xfId="21321" xr:uid="{568E767D-777F-4C36-B07F-6E9F82C9BDAA}"/>
    <cellStyle name="Total 2 7 10 5 2" xfId="51750" xr:uid="{B0B47B38-172B-4E56-91D2-17BD293467E2}"/>
    <cellStyle name="Total 2 7 10 6" xfId="48802" xr:uid="{E32F0C00-A7D1-465A-84CA-A05EA757D1A1}"/>
    <cellStyle name="Total 2 7 11" xfId="5274" xr:uid="{00000000-0005-0000-0000-0000AD080000}"/>
    <cellStyle name="Total 2 7 11 2" xfId="12166" xr:uid="{04D162FE-6846-4230-9688-3F8E227687BC}"/>
    <cellStyle name="Total 2 7 11 2 2" xfId="34651" xr:uid="{ED10F909-122B-42CC-9337-12EA642B3721}"/>
    <cellStyle name="Total 2 7 11 2 3" xfId="36475" xr:uid="{E1DD68E1-A76E-48B7-AE6B-F28CBD3C5165}"/>
    <cellStyle name="Total 2 7 11 3" xfId="17211" xr:uid="{8CA626E3-F2B0-4DB6-A092-50CC8166D916}"/>
    <cellStyle name="Total 2 7 11 3 2" xfId="39601" xr:uid="{DD2D3280-4B9C-4B9F-9E00-6FEC97278041}"/>
    <cellStyle name="Total 2 7 11 3 3" xfId="38474" xr:uid="{89997F89-140B-4E79-800E-8491F3E7EF45}"/>
    <cellStyle name="Total 2 7 11 4" xfId="19376" xr:uid="{A4140885-2CE6-4D1E-BD90-E674E993F66E}"/>
    <cellStyle name="Total 2 7 11 4 2" xfId="41750" xr:uid="{C72B81F9-578C-4B08-B3DA-4372A41331C6}"/>
    <cellStyle name="Total 2 7 11 4 3" xfId="30468" xr:uid="{B71D05CD-13BD-4038-A5B9-8DA3187267A5}"/>
    <cellStyle name="Total 2 7 11 5" xfId="21635" xr:uid="{59BB1D14-0EFD-4469-A524-10F22481B5CA}"/>
    <cellStyle name="Total 2 7 11 5 2" xfId="50872" xr:uid="{690F5ABE-D4C8-4045-A034-E0140E487EF0}"/>
    <cellStyle name="Total 2 7 11 6" xfId="24364" xr:uid="{26F7E5D2-D3C5-4F2B-A7EB-5274AA8F7DF5}"/>
    <cellStyle name="Total 2 7 12" xfId="5866" xr:uid="{00000000-0005-0000-0000-0000AD080000}"/>
    <cellStyle name="Total 2 7 12 2" xfId="12748" xr:uid="{1544B719-9651-455C-AEFA-B9C70B76660F}"/>
    <cellStyle name="Total 2 7 12 2 2" xfId="35232" xr:uid="{6A431E46-DD8B-41B9-870F-3075703BF5F9}"/>
    <cellStyle name="Total 2 7 12 2 3" xfId="32375" xr:uid="{8B99D306-3580-415C-B9DA-A707E48F9CC0}"/>
    <cellStyle name="Total 2 7 12 3" xfId="17803" xr:uid="{6D4D1D85-69A5-4842-8369-BC980A462F9A}"/>
    <cellStyle name="Total 2 7 12 3 2" xfId="40193" xr:uid="{B87821D8-2957-4776-A91E-2E93076DF2A4}"/>
    <cellStyle name="Total 2 7 12 3 3" xfId="45460" xr:uid="{61FE5FFF-BAF2-4698-9C47-C6FFC3F8FBD0}"/>
    <cellStyle name="Total 2 7 12 4" xfId="14817" xr:uid="{98AD941E-954B-4945-BCBE-418A2D131766}"/>
    <cellStyle name="Total 2 7 12 4 2" xfId="37272" xr:uid="{EBBE02F1-D8FD-46C5-957C-FAAFF75E41A0}"/>
    <cellStyle name="Total 2 7 12 4 3" xfId="47072" xr:uid="{28025BF1-A03C-415D-8950-69BBA5D86D60}"/>
    <cellStyle name="Total 2 7 12 5" xfId="22227" xr:uid="{63C1F498-F3D7-46D4-90DB-94B593774647}"/>
    <cellStyle name="Total 2 7 12 5 2" xfId="26679" xr:uid="{2409309E-91E1-4D6B-AE43-B5C44AFD706C}"/>
    <cellStyle name="Total 2 7 12 6" xfId="42008" xr:uid="{6B8DF60B-917C-4ADA-884A-A2A5B1589966}"/>
    <cellStyle name="Total 2 7 13" xfId="8128" xr:uid="{EFB7F6FA-9129-4DE4-878A-EE9D4D608D51}"/>
    <cellStyle name="Total 2 7 13 2" xfId="30740" xr:uid="{CA6B40A2-092B-4995-BBC0-23F755857C2E}"/>
    <cellStyle name="Total 2 7 13 3" xfId="49602" xr:uid="{4403BCE9-FB34-445F-843F-7B1D2794AF83}"/>
    <cellStyle name="Total 2 7 14" xfId="14542" xr:uid="{034A48C9-D5FF-4691-A0D6-CFF1F20CFBF3}"/>
    <cellStyle name="Total 2 7 14 2" xfId="37003" xr:uid="{05E8FA2F-DC17-4A51-86D3-14F3234334C8}"/>
    <cellStyle name="Total 2 7 14 3" xfId="48384" xr:uid="{D0206A5C-A445-47CA-8302-434D8181D974}"/>
    <cellStyle name="Total 2 7 15" xfId="15023" xr:uid="{E1CDA31C-6C10-4453-AEE5-5691223435A2}"/>
    <cellStyle name="Total 2 7 15 2" xfId="45306" xr:uid="{E7ADAA2E-B7A3-43C8-A1A2-D90CB509BE16}"/>
    <cellStyle name="Total 2 7 16" xfId="52083" xr:uid="{E7836EC6-7194-45C1-B6B5-D364126DCBFB}"/>
    <cellStyle name="Total 2 7 2" xfId="597" xr:uid="{00000000-0005-0000-0000-0000B1080000}"/>
    <cellStyle name="Total 2 7 2 10" xfId="14132" xr:uid="{6A1FDB37-20A3-4027-9923-ED8376B2BA4E}"/>
    <cellStyle name="Total 2 7 2 10 2" xfId="49535" xr:uid="{485F477D-6219-40CD-A67B-741077170B4A}"/>
    <cellStyle name="Total 2 7 2 11" xfId="50779" xr:uid="{FB5CC2B8-A0BE-4271-A138-B9234CFD3C32}"/>
    <cellStyle name="Total 2 7 2 2" xfId="1731" xr:uid="{00000000-0005-0000-0000-0000B2080000}"/>
    <cellStyle name="Total 2 7 2 2 10" xfId="14432" xr:uid="{F99FE297-3B87-4F12-BC1B-D61892ACEEE3}"/>
    <cellStyle name="Total 2 7 2 2 10 2" xfId="36898" xr:uid="{854A6621-C32C-4193-BEC3-7A6FF9CB7B70}"/>
    <cellStyle name="Total 2 7 2 2 10 3" xfId="46018" xr:uid="{91408034-17CF-4671-B946-405D24E56220}"/>
    <cellStyle name="Total 2 7 2 2 11" xfId="19205" xr:uid="{A0FF1750-A223-4D2D-9D17-6E52CF34DCF6}"/>
    <cellStyle name="Total 2 7 2 2 11 2" xfId="41594" xr:uid="{EFFC18F4-A401-419A-B4F1-B96D59F56513}"/>
    <cellStyle name="Total 2 7 2 2 11 3" xfId="38334" xr:uid="{4404390C-7848-4C94-845E-7B44D6DB019B}"/>
    <cellStyle name="Total 2 7 2 2 12" xfId="14305" xr:uid="{D4CCBC5C-491C-41B4-BD1B-E2E766533081}"/>
    <cellStyle name="Total 2 7 2 2 12 2" xfId="28623" xr:uid="{DEB9A251-7A09-4233-9621-E72BBE2E5501}"/>
    <cellStyle name="Total 2 7 2 2 13" xfId="49014" xr:uid="{544B382B-85B9-4936-B9CE-A91862838EC6}"/>
    <cellStyle name="Total 2 7 2 2 2" xfId="3829" xr:uid="{00000000-0005-0000-0000-0000AF080000}"/>
    <cellStyle name="Total 2 7 2 2 2 2" xfId="10733" xr:uid="{411E905C-BF2C-4AF1-9F24-A32E2B9527E1}"/>
    <cellStyle name="Total 2 7 2 2 2 2 2" xfId="33219" xr:uid="{86230E7E-F138-49AC-9FE2-69A3E5C87267}"/>
    <cellStyle name="Total 2 7 2 2 2 2 3" xfId="28409" xr:uid="{CDB2D7B8-CB0D-4616-88EC-1D68AF3045F6}"/>
    <cellStyle name="Total 2 7 2 2 2 3" xfId="15889" xr:uid="{2F17A7F2-A0CD-4F81-BD37-B8C8ACE9EA70}"/>
    <cellStyle name="Total 2 7 2 2 2 3 2" xfId="38295" xr:uid="{79051B59-0B3C-4C92-B8C5-F370A05E7D85}"/>
    <cellStyle name="Total 2 7 2 2 2 3 3" xfId="50748" xr:uid="{457257B0-7641-4C7B-A8F0-3D607068D99D}"/>
    <cellStyle name="Total 2 7 2 2 2 4" xfId="20713" xr:uid="{F3D558A6-FF2B-45C1-B5E0-D65D0B60B49E}"/>
    <cellStyle name="Total 2 7 2 2 2 4 2" xfId="42984" xr:uid="{92CD72DE-5AFF-4753-967D-264257E771B3}"/>
    <cellStyle name="Total 2 7 2 2 2 4 3" xfId="43753" xr:uid="{B032BB0C-8208-4BA7-B7A3-8A2F87A82493}"/>
    <cellStyle name="Total 2 7 2 2 2 5" xfId="20006" xr:uid="{33ACBFFF-1AA8-4C7D-929F-CF7243414F7F}"/>
    <cellStyle name="Total 2 7 2 2 2 5 2" xfId="28305" xr:uid="{7A68D2BA-6629-49B7-9436-FB7E436A19F5}"/>
    <cellStyle name="Total 2 7 2 2 2 6" xfId="33002" xr:uid="{F36380E3-EEC7-4CEB-87C8-D81FCBBA2ADC}"/>
    <cellStyle name="Total 2 7 2 2 3" xfId="5245" xr:uid="{00000000-0005-0000-0000-0000AF080000}"/>
    <cellStyle name="Total 2 7 2 2 3 2" xfId="12137" xr:uid="{F03FC471-66C7-470E-9AF7-64944B3FF345}"/>
    <cellStyle name="Total 2 7 2 2 3 2 2" xfId="34622" xr:uid="{5628DD0B-D971-4163-B0C9-FA4DAE9FFA6B}"/>
    <cellStyle name="Total 2 7 2 2 3 2 3" xfId="43774" xr:uid="{3AC3A4EB-C12A-49F3-8461-27336E492B02}"/>
    <cellStyle name="Total 2 7 2 2 3 3" xfId="17182" xr:uid="{D4EFD2F3-D354-414C-BA12-63464ED47365}"/>
    <cellStyle name="Total 2 7 2 2 3 3 2" xfId="39572" xr:uid="{5D1DDCD2-EDB4-4AD9-B9AD-FE5397E962F5}"/>
    <cellStyle name="Total 2 7 2 2 3 3 3" xfId="27809" xr:uid="{C1398D72-8EB1-4D3C-B5BC-DE84E7D9219C}"/>
    <cellStyle name="Total 2 7 2 2 3 4" xfId="14138" xr:uid="{74347AC2-07A0-46F7-B0A6-3B2EA742109B}"/>
    <cellStyle name="Total 2 7 2 2 3 4 2" xfId="36615" xr:uid="{FC15D0A9-14AF-4C6D-BC1A-911C546F3B2F}"/>
    <cellStyle name="Total 2 7 2 2 3 4 3" xfId="28666" xr:uid="{A13751DB-C8DF-4273-9B50-BA08D41EE087}"/>
    <cellStyle name="Total 2 7 2 2 3 5" xfId="21606" xr:uid="{E75AF3D9-05C0-4B8C-B8F8-97F9ACEC4C6B}"/>
    <cellStyle name="Total 2 7 2 2 3 5 2" xfId="26361" xr:uid="{B1025C23-5E3F-4814-A602-795C16BBEE80}"/>
    <cellStyle name="Total 2 7 2 2 3 6" xfId="47347" xr:uid="{DF510C81-EE35-4F86-936B-3C172C1119B9}"/>
    <cellStyle name="Total 2 7 2 2 4" xfId="5657" xr:uid="{00000000-0005-0000-0000-0000AF080000}"/>
    <cellStyle name="Total 2 7 2 2 4 2" xfId="12541" xr:uid="{0B378B76-6BB5-470D-8D66-23B640F1E9D6}"/>
    <cellStyle name="Total 2 7 2 2 4 2 2" xfId="35026" xr:uid="{DF28D9FA-BE75-4BF5-BA9A-1FBB83352494}"/>
    <cellStyle name="Total 2 7 2 2 4 2 3" xfId="37275" xr:uid="{2DFB0FE4-2C95-4C53-8C0C-B8617DF5839C}"/>
    <cellStyle name="Total 2 7 2 2 4 3" xfId="17594" xr:uid="{C7E3F74B-A0C5-44CA-81E8-8666B03FEC9A}"/>
    <cellStyle name="Total 2 7 2 2 4 3 2" xfId="39984" xr:uid="{E57F1584-18A6-4D52-86B7-2C5E4827BE92}"/>
    <cellStyle name="Total 2 7 2 2 4 3 3" xfId="44029" xr:uid="{2219A88F-26E0-4336-B3E7-A3A0B39CBFB6}"/>
    <cellStyle name="Total 2 7 2 2 4 4" xfId="7725" xr:uid="{15C359D0-F825-4216-89C7-39C9B9243F32}"/>
    <cellStyle name="Total 2 7 2 2 4 4 2" xfId="30374" xr:uid="{C7881244-FC62-48F7-9A9C-CDDE9D4E9039}"/>
    <cellStyle name="Total 2 7 2 2 4 4 3" xfId="50068" xr:uid="{D890397F-0F05-40F8-B2E8-C0ED124DDCE4}"/>
    <cellStyle name="Total 2 7 2 2 4 5" xfId="22018" xr:uid="{5AF46742-162C-48B4-94F6-87392747ADDB}"/>
    <cellStyle name="Total 2 7 2 2 4 5 2" xfId="24398" xr:uid="{1E121C74-A198-44B5-8C9C-FF8ED845EF1E}"/>
    <cellStyle name="Total 2 7 2 2 4 6" xfId="48694" xr:uid="{87C41118-D263-49FE-BBCC-1A566C9DF1A1}"/>
    <cellStyle name="Total 2 7 2 2 5" xfId="2285" xr:uid="{00000000-0005-0000-0000-0000AF080000}"/>
    <cellStyle name="Total 2 7 2 2 5 2" xfId="9196" xr:uid="{12DBA79C-5AD6-4DB2-B71F-DC61FD023468}"/>
    <cellStyle name="Total 2 7 2 2 5 2 2" xfId="31771" xr:uid="{655323D6-02C8-45F4-91CD-779480B957DB}"/>
    <cellStyle name="Total 2 7 2 2 5 2 3" xfId="50635" xr:uid="{FB162577-0C9C-432F-9A72-4A96B85D48D2}"/>
    <cellStyle name="Total 2 7 2 2 5 3" xfId="14852" xr:uid="{C721E821-0EB1-43D0-916B-0D2BFFACD5ED}"/>
    <cellStyle name="Total 2 7 2 2 5 3 2" xfId="37306" xr:uid="{1738443B-BEB7-4142-B52F-BE34960A8774}"/>
    <cellStyle name="Total 2 7 2 2 5 3 3" xfId="49382" xr:uid="{5E9CFCB1-BF70-456F-9AF9-0D3C3FDCCA54}"/>
    <cellStyle name="Total 2 7 2 2 5 4" xfId="20588" xr:uid="{FD69252E-E9EC-46B7-951E-FC8F3506DDE9}"/>
    <cellStyle name="Total 2 7 2 2 5 4 2" xfId="42870" xr:uid="{8258CE1F-1320-4E2D-8F26-630E2A9E7495}"/>
    <cellStyle name="Total 2 7 2 2 5 4 3" xfId="52777" xr:uid="{3C5E13DB-92D1-43F4-B063-7B09BB81BC1A}"/>
    <cellStyle name="Total 2 7 2 2 5 5" xfId="20774" xr:uid="{F962218F-7F09-43B8-B1AE-31B7B380A2F7}"/>
    <cellStyle name="Total 2 7 2 2 5 5 2" xfId="51974" xr:uid="{5D32B5DF-212C-47E6-97DA-994BF1FDF7BC}"/>
    <cellStyle name="Total 2 7 2 2 5 6" xfId="48305" xr:uid="{0CC8F9AA-5D43-463E-9C5E-E380A0BD6208}"/>
    <cellStyle name="Total 2 7 2 2 6" xfId="6396" xr:uid="{00000000-0005-0000-0000-0000AF080000}"/>
    <cellStyle name="Total 2 7 2 2 6 2" xfId="13268" xr:uid="{7F8D8A1A-2C6F-46FB-98EA-EC89ACBE78B5}"/>
    <cellStyle name="Total 2 7 2 2 6 2 2" xfId="35752" xr:uid="{661DDE0E-30B2-4090-A7BD-08EED2A519F9}"/>
    <cellStyle name="Total 2 7 2 2 6 2 3" xfId="24603" xr:uid="{C57D37EA-9EEF-4BE1-9990-97311536A207}"/>
    <cellStyle name="Total 2 7 2 2 6 3" xfId="18333" xr:uid="{CBB38E21-8ABE-4E43-919B-07318390528B}"/>
    <cellStyle name="Total 2 7 2 2 6 3 2" xfId="40723" xr:uid="{3FA3CA9C-5D9E-4B82-ACB5-15C9747494CD}"/>
    <cellStyle name="Total 2 7 2 2 6 3 3" xfId="45312" xr:uid="{849DBFD0-17F1-4C63-8E31-B2E1CE4201E4}"/>
    <cellStyle name="Total 2 7 2 2 6 4" xfId="13541" xr:uid="{DD04C558-E436-4778-8834-E7B80F0319DE}"/>
    <cellStyle name="Total 2 7 2 2 6 4 2" xfId="36025" xr:uid="{222540F1-9BD7-49AF-893B-033CDA1D7DD9}"/>
    <cellStyle name="Total 2 7 2 2 6 4 3" xfId="52087" xr:uid="{2D16F87B-E565-4B1E-9529-9B5628D8A94C}"/>
    <cellStyle name="Total 2 7 2 2 6 5" xfId="22757" xr:uid="{AD1155AD-6CBF-4B9C-8958-0BF7580E8A08}"/>
    <cellStyle name="Total 2 7 2 2 6 5 2" xfId="51310" xr:uid="{88592635-D568-425B-8EC9-AD60A7C5A87D}"/>
    <cellStyle name="Total 2 7 2 2 6 6" xfId="50823" xr:uid="{DD5DD4EF-C380-4FDC-9000-E4C8ECB93685}"/>
    <cellStyle name="Total 2 7 2 2 7" xfId="6764" xr:uid="{00000000-0005-0000-0000-0000AF080000}"/>
    <cellStyle name="Total 2 7 2 2 7 2" xfId="13616" xr:uid="{D5F383D5-2AC1-4DD3-8ACF-8EF6ADDB7AFA}"/>
    <cellStyle name="Total 2 7 2 2 7 2 2" xfId="36100" xr:uid="{DE28C4D1-872B-4D96-A5F2-7F5AB58CA61B}"/>
    <cellStyle name="Total 2 7 2 2 7 2 3" xfId="52515" xr:uid="{868B56B4-65A1-4031-8A7A-971C087ADED9}"/>
    <cellStyle name="Total 2 7 2 2 7 3" xfId="18701" xr:uid="{0CEA3946-FC07-4B77-AB13-0781F187B49C}"/>
    <cellStyle name="Total 2 7 2 2 7 3 2" xfId="41091" xr:uid="{989286ED-1834-4786-9AE1-F366E3CAD55E}"/>
    <cellStyle name="Total 2 7 2 2 7 3 3" xfId="29583" xr:uid="{96CB288F-9A56-4B07-8E7C-28B9807346D4}"/>
    <cellStyle name="Total 2 7 2 2 7 4" xfId="20573" xr:uid="{86D10AAA-6B98-47CA-BE29-406488E6B07D}"/>
    <cellStyle name="Total 2 7 2 2 7 4 2" xfId="42856" xr:uid="{D3470A97-9C62-48D6-A04E-E39DF434043E}"/>
    <cellStyle name="Total 2 7 2 2 7 4 3" xfId="50616" xr:uid="{DFF0A56E-ECC9-4CDC-AD19-9D74FDBD28F5}"/>
    <cellStyle name="Total 2 7 2 2 7 5" xfId="23125" xr:uid="{A53AA29D-4CD7-4113-8375-C1FF72F7BE9D}"/>
    <cellStyle name="Total 2 7 2 2 7 5 2" xfId="28247" xr:uid="{C74A6998-2464-40FE-8FFE-E548395A1562}"/>
    <cellStyle name="Total 2 7 2 2 7 6" xfId="42061" xr:uid="{2DD8EBBE-0B56-4E52-AEF3-8CB502227FC4}"/>
    <cellStyle name="Total 2 7 2 2 8" xfId="6913" xr:uid="{00000000-0005-0000-0000-0000AF080000}"/>
    <cellStyle name="Total 2 7 2 2 8 2" xfId="13751" xr:uid="{E9F14E2A-8EBF-4D9E-9DEC-136837F3BB28}"/>
    <cellStyle name="Total 2 7 2 2 8 2 2" xfId="36235" xr:uid="{1402212F-D0F6-42BD-8FA0-E9C3B22C7D9F}"/>
    <cellStyle name="Total 2 7 2 2 8 2 3" xfId="47306" xr:uid="{AEF4625B-5B24-4284-8345-55F7A3ADDEBC}"/>
    <cellStyle name="Total 2 7 2 2 8 3" xfId="18850" xr:uid="{C7A5AE09-0759-440B-9140-A42F5012346A}"/>
    <cellStyle name="Total 2 7 2 2 8 3 2" xfId="41240" xr:uid="{40346A56-43C9-4002-AAD4-6CBFF896D846}"/>
    <cellStyle name="Total 2 7 2 2 8 3 3" xfId="24560" xr:uid="{A6074508-ED05-452F-B0FD-8DF781E1DE32}"/>
    <cellStyle name="Total 2 7 2 2 8 4" xfId="21069" xr:uid="{0A2DD295-0447-4891-87AF-A3A52CFE079D}"/>
    <cellStyle name="Total 2 7 2 2 8 4 2" xfId="43317" xr:uid="{16C05FB9-BCBC-4602-9816-49ECC95030E1}"/>
    <cellStyle name="Total 2 7 2 2 8 4 3" xfId="52122" xr:uid="{E0E1E0A8-303A-40CD-BA07-AA1D902E7254}"/>
    <cellStyle name="Total 2 7 2 2 8 5" xfId="23274" xr:uid="{3A493819-165D-421A-9C70-F51092B092AB}"/>
    <cellStyle name="Total 2 7 2 2 8 5 2" xfId="53800" xr:uid="{87C6E0A8-EFCB-45B7-BACE-529575ED8D90}"/>
    <cellStyle name="Total 2 7 2 2 8 6" xfId="52924" xr:uid="{ECBC5727-0FC8-40C8-9FCE-4998EC11FDF0}"/>
    <cellStyle name="Total 2 7 2 2 9" xfId="6109" xr:uid="{00000000-0005-0000-0000-0000AF080000}"/>
    <cellStyle name="Total 2 7 2 2 9 2" xfId="18046" xr:uid="{8A6F09CA-42F1-4BF1-9169-4A435252700C}"/>
    <cellStyle name="Total 2 7 2 2 9 2 2" xfId="40436" xr:uid="{E6C47CAE-2FFE-4929-B42B-A57DDA26A08C}"/>
    <cellStyle name="Total 2 7 2 2 9 2 3" xfId="27741" xr:uid="{C769BB2D-860F-4E54-B8AD-0F8051CD6F32}"/>
    <cellStyle name="Total 2 7 2 2 9 3" xfId="15025" xr:uid="{31BD1D7F-E1D0-47A6-82FC-9AE5D3FACD2C}"/>
    <cellStyle name="Total 2 7 2 2 9 3 2" xfId="37474" xr:uid="{6A35006E-9D2C-46B3-8F85-F14BB143F20C}"/>
    <cellStyle name="Total 2 7 2 2 9 3 3" xfId="50100" xr:uid="{30A8D22F-CAC4-4490-A0C9-D43A3091541C}"/>
    <cellStyle name="Total 2 7 2 2 9 4" xfId="22470" xr:uid="{468FA60F-153E-4BE3-9888-7823729332D1}"/>
    <cellStyle name="Total 2 7 2 2 9 4 2" xfId="47192" xr:uid="{5D292664-7D70-49DF-B3A5-CE8FC6DBF76E}"/>
    <cellStyle name="Total 2 7 2 2 9 5" xfId="47355" xr:uid="{000873BF-89AE-4019-A120-2EE6B8D828D3}"/>
    <cellStyle name="Total 2 7 2 3" xfId="2744" xr:uid="{00000000-0005-0000-0000-0000AE080000}"/>
    <cellStyle name="Total 2 7 2 3 2" xfId="9653" xr:uid="{0490B02E-553B-46EF-AA3E-53BDF8A2141C}"/>
    <cellStyle name="Total 2 7 2 3 2 2" xfId="32201" xr:uid="{164DE391-0DFE-4CC2-84F1-2CF69220E8C8}"/>
    <cellStyle name="Total 2 7 2 3 2 3" xfId="30847" xr:uid="{1062AB76-6126-4D0E-B2D6-1C3E5906B6B9}"/>
    <cellStyle name="Total 2 7 2 3 3" xfId="15171" xr:uid="{3071FE3B-6B5A-4E25-A67D-DD8D61B37DA8}"/>
    <cellStyle name="Total 2 7 2 3 3 2" xfId="37611" xr:uid="{FB57D881-CF51-46EF-B116-B75A63C3AC6D}"/>
    <cellStyle name="Total 2 7 2 3 3 3" xfId="47067" xr:uid="{A40EEA57-3A5C-47E6-A904-097C3A716C1E}"/>
    <cellStyle name="Total 2 7 2 3 4" xfId="14112" xr:uid="{5DB644AD-8B7C-40D2-84D0-399333CA3507}"/>
    <cellStyle name="Total 2 7 2 3 4 2" xfId="36590" xr:uid="{AC73E43D-F3E5-41FD-8C48-B50FE9EC9958}"/>
    <cellStyle name="Total 2 7 2 3 4 3" xfId="50207" xr:uid="{006FF4A6-3D0A-4D4E-B03F-FD1A13B6A360}"/>
    <cellStyle name="Total 2 7 2 3 5" xfId="15796" xr:uid="{63643265-B991-44CC-B910-EC19F55C0285}"/>
    <cellStyle name="Total 2 7 2 3 5 2" xfId="52115" xr:uid="{D78188CB-45D7-4189-9B0C-BCB2A28B7516}"/>
    <cellStyle name="Total 2 7 2 3 6" xfId="32631" xr:uid="{8C924641-2C5F-4443-8DD7-9DF51E8A261D}"/>
    <cellStyle name="Total 2 7 2 4" xfId="4536" xr:uid="{00000000-0005-0000-0000-0000AE080000}"/>
    <cellStyle name="Total 2 7 2 4 2" xfId="11438" xr:uid="{67EEEDD2-65FC-4800-A632-5EE69906C73A}"/>
    <cellStyle name="Total 2 7 2 4 2 2" xfId="33924" xr:uid="{42494D0F-3558-4410-A741-8A8D7CEA71EA}"/>
    <cellStyle name="Total 2 7 2 4 2 3" xfId="41916" xr:uid="{16ED3E62-BC62-4196-A990-ABB0F9DB53F5}"/>
    <cellStyle name="Total 2 7 2 4 3" xfId="16473" xr:uid="{03209CF7-91A1-456C-AC10-5688BD962E79}"/>
    <cellStyle name="Total 2 7 2 4 3 2" xfId="38863" xr:uid="{72233D68-691A-477F-B7F4-CAAABC279174}"/>
    <cellStyle name="Total 2 7 2 4 3 3" xfId="45872" xr:uid="{52578936-B9D0-46E4-8677-89E3ACE4516E}"/>
    <cellStyle name="Total 2 7 2 4 4" xfId="19446" xr:uid="{264C6137-1FF2-49EA-B099-BC1B6A7528E6}"/>
    <cellStyle name="Total 2 7 2 4 4 2" xfId="41814" xr:uid="{6A23FA47-6D8B-415E-9A59-2B8BC8120988}"/>
    <cellStyle name="Total 2 7 2 4 4 3" xfId="44641" xr:uid="{9D650AE9-124A-4F4E-A23D-CEFE00B2DD80}"/>
    <cellStyle name="Total 2 7 2 4 5" xfId="14651" xr:uid="{ACBE4C7D-9F72-445D-A41E-826AF3503876}"/>
    <cellStyle name="Total 2 7 2 4 5 2" xfId="49189" xr:uid="{47F356A8-F278-4F0F-8ED3-43C417238215}"/>
    <cellStyle name="Total 2 7 2 4 6" xfId="38465" xr:uid="{DEF1A40C-A48D-4600-8F34-C73BE681CFEA}"/>
    <cellStyle name="Total 2 7 2 5" xfId="4751" xr:uid="{00000000-0005-0000-0000-0000AE080000}"/>
    <cellStyle name="Total 2 7 2 5 2" xfId="11649" xr:uid="{7DB3C027-BEC4-4FCA-9E5F-15D9EF549C50}"/>
    <cellStyle name="Total 2 7 2 5 2 2" xfId="34135" xr:uid="{13EF655E-3819-4043-A845-273A8487DD16}"/>
    <cellStyle name="Total 2 7 2 5 2 3" xfId="42026" xr:uid="{9AF623BB-AE49-4635-AEA4-3356F86643A6}"/>
    <cellStyle name="Total 2 7 2 5 3" xfId="16688" xr:uid="{C0F9CD6B-93BC-4F86-B54E-40148A93F117}"/>
    <cellStyle name="Total 2 7 2 5 3 2" xfId="39078" xr:uid="{33B93BF8-FE1A-4F41-962D-91A78D89058E}"/>
    <cellStyle name="Total 2 7 2 5 3 3" xfId="26466" xr:uid="{DDC8B152-1C36-4BA9-82FC-10D3CC7DD3D8}"/>
    <cellStyle name="Total 2 7 2 5 4" xfId="15340" xr:uid="{FB5E5A93-6A7C-41D2-B947-6E6683A49500}"/>
    <cellStyle name="Total 2 7 2 5 4 2" xfId="37772" xr:uid="{FFE8D43B-9A72-4490-B9B0-344F748C702D}"/>
    <cellStyle name="Total 2 7 2 5 4 3" xfId="46346" xr:uid="{5625C50F-92E7-4DDB-B262-0546F8734E33}"/>
    <cellStyle name="Total 2 7 2 5 5" xfId="20536" xr:uid="{FF216956-A47B-4B95-99A2-4874DBB6A674}"/>
    <cellStyle name="Total 2 7 2 5 5 2" xfId="24784" xr:uid="{400C381A-F57D-474E-A360-13F722BD6DC5}"/>
    <cellStyle name="Total 2 7 2 5 6" xfId="46931" xr:uid="{063401A1-48E3-470B-B039-CA6319750FF3}"/>
    <cellStyle name="Total 2 7 2 6" xfId="4556" xr:uid="{00000000-0005-0000-0000-0000AE080000}"/>
    <cellStyle name="Total 2 7 2 6 2" xfId="11458" xr:uid="{05804EEE-0B12-45DA-9120-8A4277B6C12A}"/>
    <cellStyle name="Total 2 7 2 6 2 2" xfId="33944" xr:uid="{8A0E691D-E1E9-42DD-9F31-2888C9655672}"/>
    <cellStyle name="Total 2 7 2 6 2 3" xfId="37241" xr:uid="{E03627E3-2B82-4A37-A958-475DE43CB604}"/>
    <cellStyle name="Total 2 7 2 6 3" xfId="16493" xr:uid="{F2133EA9-3958-4C43-A0B9-44FBD51194E9}"/>
    <cellStyle name="Total 2 7 2 6 3 2" xfId="38883" xr:uid="{B747CF52-7AE6-4171-AC29-C4282E899924}"/>
    <cellStyle name="Total 2 7 2 6 3 3" xfId="30311" xr:uid="{2C235E68-C98C-4B53-9D5A-94673C821812}"/>
    <cellStyle name="Total 2 7 2 6 4" xfId="15113" xr:uid="{64492F37-7D17-45D0-83F6-F3014689EF83}"/>
    <cellStyle name="Total 2 7 2 6 4 2" xfId="37555" xr:uid="{4D85D38B-1E05-41E1-9D24-2481E74EDF1C}"/>
    <cellStyle name="Total 2 7 2 6 4 3" xfId="45454" xr:uid="{4E3317FB-FEA2-407F-97D2-E49C56EB73C0}"/>
    <cellStyle name="Total 2 7 2 6 5" xfId="20356" xr:uid="{A872688C-2AEA-4BE5-9A9A-946F0FB8F925}"/>
    <cellStyle name="Total 2 7 2 6 5 2" xfId="48572" xr:uid="{54F8A290-DADD-4A6B-9AD8-01E18325CA32}"/>
    <cellStyle name="Total 2 7 2 6 6" xfId="48661" xr:uid="{A12F0664-92B5-409B-A1EE-CA7EA8BDC7FA}"/>
    <cellStyle name="Total 2 7 2 7" xfId="6761" xr:uid="{00000000-0005-0000-0000-0000AE080000}"/>
    <cellStyle name="Total 2 7 2 7 2" xfId="13613" xr:uid="{320E8DFB-1D42-4ED6-9D86-BE54BC47B276}"/>
    <cellStyle name="Total 2 7 2 7 2 2" xfId="36097" xr:uid="{A7A6FC12-2947-454D-BD1D-97134BDFDCD6}"/>
    <cellStyle name="Total 2 7 2 7 2 3" xfId="49639" xr:uid="{3D36978B-A58B-4938-92AA-40AF72A94540}"/>
    <cellStyle name="Total 2 7 2 7 3" xfId="18698" xr:uid="{5D854628-1461-4653-B10D-164023DB6672}"/>
    <cellStyle name="Total 2 7 2 7 3 2" xfId="41088" xr:uid="{B6DE5AF7-C000-4814-A16A-99B96A46BC28}"/>
    <cellStyle name="Total 2 7 2 7 3 3" xfId="27683" xr:uid="{323BAA65-126D-4AEB-8082-840A744571B2}"/>
    <cellStyle name="Total 2 7 2 7 4" xfId="19329" xr:uid="{DD375085-A255-4C36-838D-6493BE036C27}"/>
    <cellStyle name="Total 2 7 2 7 4 2" xfId="41706" xr:uid="{FDD23C24-EAF0-40EC-9B51-39CA04746564}"/>
    <cellStyle name="Total 2 7 2 7 4 3" xfId="25070" xr:uid="{B32734D8-85EE-4957-B4B4-2260442F84ED}"/>
    <cellStyle name="Total 2 7 2 7 5" xfId="23122" xr:uid="{AC92C379-6CEE-4335-A869-C4E0D80D1CC9}"/>
    <cellStyle name="Total 2 7 2 7 5 2" xfId="52766" xr:uid="{D5A39F99-95DF-42E9-8686-0B6238A8F1F2}"/>
    <cellStyle name="Total 2 7 2 7 6" xfId="52502" xr:uid="{165C9ECD-A693-467D-8F52-6653A7BCAB5E}"/>
    <cellStyle name="Total 2 7 2 8" xfId="7315" xr:uid="{87547B6B-E948-4CEB-9425-60F5555B8EE7}"/>
    <cellStyle name="Total 2 7 2 8 2" xfId="30003" xr:uid="{A44B493B-BA80-4816-A47D-E54BA134439C}"/>
    <cellStyle name="Total 2 7 2 8 3" xfId="51650" xr:uid="{98D03F1F-724F-4E27-B9FD-D6F5C842EB3B}"/>
    <cellStyle name="Total 2 7 2 9" xfId="20137" xr:uid="{51AA34D3-3893-4A9D-ADA6-E39B93148411}"/>
    <cellStyle name="Total 2 7 2 9 2" xfId="42451" xr:uid="{BFFBD091-8AE6-4BAB-90E9-7BFC6FA5AADA}"/>
    <cellStyle name="Total 2 7 2 9 3" xfId="26606" xr:uid="{1A675A8F-E691-46B4-AA37-FC254450C37F}"/>
    <cellStyle name="Total 2 7 3" xfId="844" xr:uid="{00000000-0005-0000-0000-0000B3080000}"/>
    <cellStyle name="Total 2 7 3 10" xfId="19922" xr:uid="{006E585B-0AA1-4BFF-B570-F6164FF2CCEB}"/>
    <cellStyle name="Total 2 7 3 10 2" xfId="43662" xr:uid="{FB81C9FF-9247-4EA7-8B97-14596A89D21C}"/>
    <cellStyle name="Total 2 7 3 11" xfId="32162" xr:uid="{87415629-3C60-459B-9D48-99CC990935FD}"/>
    <cellStyle name="Total 2 7 3 2" xfId="1829" xr:uid="{00000000-0005-0000-0000-0000B4080000}"/>
    <cellStyle name="Total 2 7 3 2 10" xfId="14513" xr:uid="{98819164-39D7-4EA1-B31C-EF9E25630BC7}"/>
    <cellStyle name="Total 2 7 3 2 10 2" xfId="36974" xr:uid="{F5A509FF-33F5-4635-945B-1383DA620572}"/>
    <cellStyle name="Total 2 7 3 2 10 3" xfId="49944" xr:uid="{3588D0EA-2B36-47F8-9DFC-7BA7446C3F8C}"/>
    <cellStyle name="Total 2 7 3 2 11" xfId="20301" xr:uid="{01C45635-7219-4223-8CCD-86DFFB7083BA}"/>
    <cellStyle name="Total 2 7 3 2 11 2" xfId="42600" xr:uid="{3661172F-2922-47EC-93A0-5F8B3ED7CD24}"/>
    <cellStyle name="Total 2 7 3 2 11 3" xfId="44515" xr:uid="{C02F1762-4F72-484D-A19F-55A017D5EADB}"/>
    <cellStyle name="Total 2 7 3 2 12" xfId="20199" xr:uid="{C909289A-8E99-4E97-B8CE-C17909F7B4B0}"/>
    <cellStyle name="Total 2 7 3 2 12 2" xfId="24053" xr:uid="{9EB94C92-0C25-4DBD-B41E-A93B1DC7A335}"/>
    <cellStyle name="Total 2 7 3 2 13" xfId="53275" xr:uid="{73725905-7D0F-4516-95C4-AB49307194A4}"/>
    <cellStyle name="Total 2 7 3 2 2" xfId="3927" xr:uid="{00000000-0005-0000-0000-0000B1080000}"/>
    <cellStyle name="Total 2 7 3 2 2 2" xfId="10831" xr:uid="{D647DDE1-861F-476D-AA04-B80F12DB8883}"/>
    <cellStyle name="Total 2 7 3 2 2 2 2" xfId="33317" xr:uid="{0E77EAA4-D4E8-4F8A-BF26-1DA3E26E39DD}"/>
    <cellStyle name="Total 2 7 3 2 2 2 3" xfId="43358" xr:uid="{99B67956-B790-4976-8AAD-CD74661952BC}"/>
    <cellStyle name="Total 2 7 3 2 2 3" xfId="15969" xr:uid="{E4ADB950-F887-463A-95EA-35FD13FF63F5}"/>
    <cellStyle name="Total 2 7 3 2 2 3 2" xfId="38372" xr:uid="{5747A9A7-BBEB-4948-ACCE-0A6A99F7BCBD}"/>
    <cellStyle name="Total 2 7 3 2 2 3 3" xfId="48103" xr:uid="{D9DF8592-D96A-4DAA-B460-D4F29720C51C}"/>
    <cellStyle name="Total 2 7 3 2 2 4" xfId="20819" xr:uid="{3E358947-2C12-4C32-A66C-ED88933E6AD9}"/>
    <cellStyle name="Total 2 7 3 2 2 4 2" xfId="43085" xr:uid="{67959CD1-320C-4B64-8EFD-EAE313F447D8}"/>
    <cellStyle name="Total 2 7 3 2 2 4 3" xfId="44090" xr:uid="{EEB7982B-1B4F-479B-A9B8-D228F418A022}"/>
    <cellStyle name="Total 2 7 3 2 2 5" xfId="8424" xr:uid="{C69BFCB8-706F-4C4A-9680-35D76E8975C0}"/>
    <cellStyle name="Total 2 7 3 2 2 5 2" xfId="43945" xr:uid="{8D157997-9290-4689-AA5A-0E5B8F5A763B}"/>
    <cellStyle name="Total 2 7 3 2 2 6" xfId="50417" xr:uid="{6E26EBA3-CCE3-4847-980B-65F4CDA7B982}"/>
    <cellStyle name="Total 2 7 3 2 3" xfId="5322" xr:uid="{00000000-0005-0000-0000-0000B1080000}"/>
    <cellStyle name="Total 2 7 3 2 3 2" xfId="12214" xr:uid="{D69CBBE0-1277-492D-ACC7-E7A771E0F37E}"/>
    <cellStyle name="Total 2 7 3 2 3 2 2" xfId="34699" xr:uid="{909893C1-8D31-4215-B131-EE013AE2FAA7}"/>
    <cellStyle name="Total 2 7 3 2 3 2 3" xfId="29350" xr:uid="{491BEFCE-2FB7-4747-BB87-8101BAD54975}"/>
    <cellStyle name="Total 2 7 3 2 3 3" xfId="17259" xr:uid="{9EE4735F-8BCA-4572-B280-58D06086CEEC}"/>
    <cellStyle name="Total 2 7 3 2 3 3 2" xfId="39649" xr:uid="{07B71DAB-A676-4C41-BB5D-519ED9EFF3B2}"/>
    <cellStyle name="Total 2 7 3 2 3 3 3" xfId="38629" xr:uid="{04E00BE0-C0DB-4667-8C37-0554B727E576}"/>
    <cellStyle name="Total 2 7 3 2 3 4" xfId="13975" xr:uid="{C1A4236B-26E2-4283-9FF0-104E8280E95C}"/>
    <cellStyle name="Total 2 7 3 2 3 4 2" xfId="36459" xr:uid="{2EEE11B3-47C3-434F-8A88-5642F0BEF303}"/>
    <cellStyle name="Total 2 7 3 2 3 4 3" xfId="51194" xr:uid="{6328EC2E-3F4D-441C-A2DF-8B2E0F586355}"/>
    <cellStyle name="Total 2 7 3 2 3 5" xfId="21683" xr:uid="{7C754902-C625-4249-BC0B-0ECCCFA181A7}"/>
    <cellStyle name="Total 2 7 3 2 3 5 2" xfId="45116" xr:uid="{5EA04CEE-21FA-45C3-8F0C-99DE422C9782}"/>
    <cellStyle name="Total 2 7 3 2 3 6" xfId="47071" xr:uid="{945A2966-E5AF-47E8-968C-C004C38BFC06}"/>
    <cellStyle name="Total 2 7 3 2 4" xfId="5732" xr:uid="{00000000-0005-0000-0000-0000B1080000}"/>
    <cellStyle name="Total 2 7 3 2 4 2" xfId="12616" xr:uid="{4A22991B-B7D9-4F3A-90A0-772E27B8EB1C}"/>
    <cellStyle name="Total 2 7 3 2 4 2 2" xfId="35101" xr:uid="{36E609B2-491F-4F59-A504-128F99281F3B}"/>
    <cellStyle name="Total 2 7 3 2 4 2 3" xfId="43636" xr:uid="{36F01DC7-D55A-461C-B8A9-F2CFE8630531}"/>
    <cellStyle name="Total 2 7 3 2 4 3" xfId="17669" xr:uid="{10238963-F8B6-4873-8A35-964077B61AF1}"/>
    <cellStyle name="Total 2 7 3 2 4 3 2" xfId="40059" xr:uid="{FD39E2FD-D3C1-42AD-8B21-D9C4F9B8F826}"/>
    <cellStyle name="Total 2 7 3 2 4 3 3" xfId="28677" xr:uid="{FD0A67FB-3A6A-4801-8072-8582A4A88F65}"/>
    <cellStyle name="Total 2 7 3 2 4 4" xfId="15995" xr:uid="{EEEC870F-E2B0-4D22-BB30-BDFE9B8FFF41}"/>
    <cellStyle name="Total 2 7 3 2 4 4 2" xfId="38398" xr:uid="{A458817A-5D2C-4548-A160-C750FFD4174E}"/>
    <cellStyle name="Total 2 7 3 2 4 4 3" xfId="53030" xr:uid="{16824F4D-879B-4161-BEB5-46DA4AD92AB3}"/>
    <cellStyle name="Total 2 7 3 2 4 5" xfId="22093" xr:uid="{41EE8772-0794-4A19-90DF-A7377B94652B}"/>
    <cellStyle name="Total 2 7 3 2 4 5 2" xfId="46357" xr:uid="{D40FDB1E-E9F0-4DDE-B9EB-E7EA7B0F6E77}"/>
    <cellStyle name="Total 2 7 3 2 4 6" xfId="52919" xr:uid="{3CCFCEF0-E06E-4311-BC39-8E8B827FCF2B}"/>
    <cellStyle name="Total 2 7 3 2 5" xfId="6086" xr:uid="{00000000-0005-0000-0000-0000B1080000}"/>
    <cellStyle name="Total 2 7 3 2 5 2" xfId="12964" xr:uid="{59D2A9AD-169C-4657-BAE8-F4F2221EF672}"/>
    <cellStyle name="Total 2 7 3 2 5 2 2" xfId="35448" xr:uid="{E88042E4-9836-44F1-A311-B3F6F913DEC3}"/>
    <cellStyle name="Total 2 7 3 2 5 2 3" xfId="49568" xr:uid="{A00E155E-992D-4A58-9E21-931307DFCF9C}"/>
    <cellStyle name="Total 2 7 3 2 5 3" xfId="18023" xr:uid="{DDADB15F-EA90-4505-8670-A0EF8B717999}"/>
    <cellStyle name="Total 2 7 3 2 5 3 2" xfId="40413" xr:uid="{3A5A047A-2B12-4F5E-812C-B523464A4BD9}"/>
    <cellStyle name="Total 2 7 3 2 5 3 3" xfId="25651" xr:uid="{B6924D74-4475-4FBE-B822-A168CF34B94F}"/>
    <cellStyle name="Total 2 7 3 2 5 4" xfId="9105" xr:uid="{EF769C10-4DCE-413B-BF32-DE26B1B75680}"/>
    <cellStyle name="Total 2 7 3 2 5 4 2" xfId="31681" xr:uid="{F760EF6B-6CD2-4C96-A815-F604EA7FE8F4}"/>
    <cellStyle name="Total 2 7 3 2 5 4 3" xfId="53748" xr:uid="{8E9995D4-7EDE-4059-B818-58995BF7F31E}"/>
    <cellStyle name="Total 2 7 3 2 5 5" xfId="22447" xr:uid="{B80B9832-4766-46F9-B8A7-D369BAE5A9EE}"/>
    <cellStyle name="Total 2 7 3 2 5 5 2" xfId="46353" xr:uid="{43ABFB0A-0FAE-4041-BFCC-64FC2C0E7F31}"/>
    <cellStyle name="Total 2 7 3 2 5 6" xfId="24675" xr:uid="{3B1A671E-150D-4D31-B158-0E815FEC6B0C}"/>
    <cellStyle name="Total 2 7 3 2 6" xfId="6461" xr:uid="{00000000-0005-0000-0000-0000B1080000}"/>
    <cellStyle name="Total 2 7 3 2 6 2" xfId="13331" xr:uid="{2DA3EE53-AE7D-462A-92FC-E0D007791715}"/>
    <cellStyle name="Total 2 7 3 2 6 2 2" xfId="35815" xr:uid="{E9F2DFF4-B0AF-45AE-93E7-ADEC7B706EF9}"/>
    <cellStyle name="Total 2 7 3 2 6 2 3" xfId="30204" xr:uid="{BB643034-B273-4B5E-8DDA-B89612EC0B7B}"/>
    <cellStyle name="Total 2 7 3 2 6 3" xfId="18398" xr:uid="{569F9B6F-8224-4D86-92FA-62ECB0AA3CA0}"/>
    <cellStyle name="Total 2 7 3 2 6 3 2" xfId="40788" xr:uid="{2AE33D76-8E78-4621-BDA4-D1A3B1B5A941}"/>
    <cellStyle name="Total 2 7 3 2 6 3 3" xfId="31948" xr:uid="{818CF079-597D-4F59-BFD7-3E86692CD8CF}"/>
    <cellStyle name="Total 2 7 3 2 6 4" xfId="19937" xr:uid="{3E7CF0C4-577C-4DD8-B0E2-DBFBB260C4C4}"/>
    <cellStyle name="Total 2 7 3 2 6 4 2" xfId="42267" xr:uid="{80945532-A9CE-4ACF-92F0-2B706456B926}"/>
    <cellStyle name="Total 2 7 3 2 6 4 3" xfId="44956" xr:uid="{F8AF2249-CD23-485E-BE17-EB0110B9414D}"/>
    <cellStyle name="Total 2 7 3 2 6 5" xfId="22822" xr:uid="{5ABFAE98-3A53-4FEC-A413-93C43B1E06D5}"/>
    <cellStyle name="Total 2 7 3 2 6 5 2" xfId="54110" xr:uid="{3D74ADAA-1AAA-46E0-B4AA-B583688B67EA}"/>
    <cellStyle name="Total 2 7 3 2 6 6" xfId="53764" xr:uid="{3ADE99F8-4F21-44D2-BF84-F2834BED42FF}"/>
    <cellStyle name="Total 2 7 3 2 7" xfId="2382" xr:uid="{00000000-0005-0000-0000-0000B1080000}"/>
    <cellStyle name="Total 2 7 3 2 7 2" xfId="9291" xr:uid="{F7A126FC-5C27-4351-BCF2-7371721D589F}"/>
    <cellStyle name="Total 2 7 3 2 7 2 2" xfId="31866" xr:uid="{4FD72372-21E2-4916-ACD9-C46ABEA4E5CC}"/>
    <cellStyle name="Total 2 7 3 2 7 2 3" xfId="45617" xr:uid="{C82682F9-4618-4526-A42F-343F1D2362D4}"/>
    <cellStyle name="Total 2 7 3 2 7 3" xfId="14931" xr:uid="{E0A443BA-B233-4A75-AD51-676D291CF0F5}"/>
    <cellStyle name="Total 2 7 3 2 7 3 2" xfId="37385" xr:uid="{DF490C4A-FC01-4185-A66E-D3CFEBB05056}"/>
    <cellStyle name="Total 2 7 3 2 7 3 3" xfId="52074" xr:uid="{F940EEDD-E405-4DD0-B3C2-62B5F6BE5D58}"/>
    <cellStyle name="Total 2 7 3 2 7 4" xfId="20036" xr:uid="{E0817881-1250-44DB-A612-4A2DB497ECA5}"/>
    <cellStyle name="Total 2 7 3 2 7 4 2" xfId="42357" xr:uid="{EE223F84-4C8D-4C0C-BA4A-13FA024A6A21}"/>
    <cellStyle name="Total 2 7 3 2 7 4 3" xfId="44937" xr:uid="{03C2C95D-10A7-49F9-B276-564D7F9ADC91}"/>
    <cellStyle name="Total 2 7 3 2 7 5" xfId="21279" xr:uid="{1AFA29BA-E43E-458B-93DD-0AFF215B7519}"/>
    <cellStyle name="Total 2 7 3 2 7 5 2" xfId="24154" xr:uid="{A5EDCA8E-CA4B-4488-8F5E-8E81A200F704}"/>
    <cellStyle name="Total 2 7 3 2 7 6" xfId="51078" xr:uid="{0BEE135E-AE00-4AE0-A00B-29CD861BD5EE}"/>
    <cellStyle name="Total 2 7 3 2 8" xfId="6961" xr:uid="{00000000-0005-0000-0000-0000B1080000}"/>
    <cellStyle name="Total 2 7 3 2 8 2" xfId="13798" xr:uid="{19C4479D-7BFB-4DBF-9379-96ADD5B0FFA1}"/>
    <cellStyle name="Total 2 7 3 2 8 2 2" xfId="36282" xr:uid="{CDF107AE-67DA-445A-973C-1E861B0DFF59}"/>
    <cellStyle name="Total 2 7 3 2 8 2 3" xfId="50932" xr:uid="{2EFB69B9-0B93-4E82-B4E8-FCE27E1FA74F}"/>
    <cellStyle name="Total 2 7 3 2 8 3" xfId="18898" xr:uid="{9F95C331-C7CA-4C5F-A91A-898998458947}"/>
    <cellStyle name="Total 2 7 3 2 8 3 2" xfId="41288" xr:uid="{B25C2766-F790-43E5-816F-0963E440DD94}"/>
    <cellStyle name="Total 2 7 3 2 8 3 3" xfId="28883" xr:uid="{79DA76D3-7AC9-4A20-AC1A-A09ECB2E8C63}"/>
    <cellStyle name="Total 2 7 3 2 8 4" xfId="20768" xr:uid="{67656E46-3FCC-4527-A747-7A5D3CBC827D}"/>
    <cellStyle name="Total 2 7 3 2 8 4 2" xfId="43036" xr:uid="{69DC6F6E-BE4E-4DD2-A0F8-836A76CF4983}"/>
    <cellStyle name="Total 2 7 3 2 8 4 3" xfId="41695" xr:uid="{0822B001-F90B-4462-9A93-0547F98CA2AF}"/>
    <cellStyle name="Total 2 7 3 2 8 5" xfId="23322" xr:uid="{5DCA3CB1-F82D-42F3-BA8D-350E8445FAB0}"/>
    <cellStyle name="Total 2 7 3 2 8 5 2" xfId="49013" xr:uid="{E2C69DE6-3073-4CB9-A2A9-311CC219909B}"/>
    <cellStyle name="Total 2 7 3 2 8 6" xfId="52163" xr:uid="{B575EE41-50DB-492F-A4CD-44426B6E51A8}"/>
    <cellStyle name="Total 2 7 3 2 9" xfId="6755" xr:uid="{00000000-0005-0000-0000-0000B1080000}"/>
    <cellStyle name="Total 2 7 3 2 9 2" xfId="18692" xr:uid="{FCD5651B-6F92-4128-98E0-8332CADB5737}"/>
    <cellStyle name="Total 2 7 3 2 9 2 2" xfId="41082" xr:uid="{7B091FAB-6B57-4165-8682-7ADC94036AF1}"/>
    <cellStyle name="Total 2 7 3 2 9 2 3" xfId="25979" xr:uid="{75F6B472-479E-4EAA-84BF-B80CA4FBF574}"/>
    <cellStyle name="Total 2 7 3 2 9 3" xfId="15219" xr:uid="{95607C09-AC42-480B-8C38-AA0D20F5E69A}"/>
    <cellStyle name="Total 2 7 3 2 9 3 2" xfId="37656" xr:uid="{23CDEF32-E301-4FBD-8F76-6C5E2CBB9936}"/>
    <cellStyle name="Total 2 7 3 2 9 3 3" xfId="26291" xr:uid="{1F94BF00-4ED4-4FE9-BCA4-B36647BDE8F7}"/>
    <cellStyle name="Total 2 7 3 2 9 4" xfId="23116" xr:uid="{E8F110C2-320F-4D7E-9574-B84CF50B6C68}"/>
    <cellStyle name="Total 2 7 3 2 9 4 2" xfId="48312" xr:uid="{7111EEA8-418E-468C-9EBE-F9C4FBE8C51C}"/>
    <cellStyle name="Total 2 7 3 2 9 5" xfId="32108" xr:uid="{2EAC00B2-8BAE-4529-B882-E2B123A7B786}"/>
    <cellStyle name="Total 2 7 3 3" xfId="2977" xr:uid="{00000000-0005-0000-0000-0000B0080000}"/>
    <cellStyle name="Total 2 7 3 3 2" xfId="9886" xr:uid="{3CBE4E2E-B8F0-4348-916A-250E094BBD26}"/>
    <cellStyle name="Total 2 7 3 3 2 2" xfId="32409" xr:uid="{25A50B8D-5620-4888-9ACA-F749E814630B}"/>
    <cellStyle name="Total 2 7 3 3 2 3" xfId="53234" xr:uid="{E11A1801-4A15-48DD-9AF8-DC7F2C5C42A8}"/>
    <cellStyle name="Total 2 7 3 3 3" xfId="15324" xr:uid="{19814A3F-1D05-41A4-B2CE-DBBF9944461E}"/>
    <cellStyle name="Total 2 7 3 3 3 2" xfId="37756" xr:uid="{78B18B52-DF24-4D48-9907-DB7ED03C9927}"/>
    <cellStyle name="Total 2 7 3 3 3 3" xfId="51950" xr:uid="{CACD2BE4-EC22-4F58-ADA5-D4E0DB727548}"/>
    <cellStyle name="Total 2 7 3 3 4" xfId="19541" xr:uid="{F4AE688E-0997-4D42-A779-EE2DDF1A95C1}"/>
    <cellStyle name="Total 2 7 3 3 4 2" xfId="41900" xr:uid="{52FB4A19-A817-4208-B23F-BBB1C840A1BB}"/>
    <cellStyle name="Total 2 7 3 3 4 3" xfId="29108" xr:uid="{5490E746-641D-4A74-9F87-B6ADD1951C66}"/>
    <cellStyle name="Total 2 7 3 3 5" xfId="20848" xr:uid="{26E991BA-2743-4FC9-AE99-CC97B9574129}"/>
    <cellStyle name="Total 2 7 3 3 5 2" xfId="51744" xr:uid="{5F3A23A1-8A24-4574-B7C6-0686035F3ABF}"/>
    <cellStyle name="Total 2 7 3 3 6" xfId="48560" xr:uid="{61603F83-2417-4AFB-A4F0-D6545B462A85}"/>
    <cellStyle name="Total 2 7 3 4" xfId="4688" xr:uid="{00000000-0005-0000-0000-0000B0080000}"/>
    <cellStyle name="Total 2 7 3 4 2" xfId="11586" xr:uid="{8497DFCD-B7FE-4F4D-A860-B2EC7741445B}"/>
    <cellStyle name="Total 2 7 3 4 2 2" xfId="34072" xr:uid="{5019E8C4-3AAB-4EDE-A091-173A422787BD}"/>
    <cellStyle name="Total 2 7 3 4 2 3" xfId="44530" xr:uid="{3AD589E5-7C9B-4E83-8114-45716AA259C8}"/>
    <cellStyle name="Total 2 7 3 4 3" xfId="16625" xr:uid="{31B7ED92-4E8C-49B1-B0A7-D47D16B48408}"/>
    <cellStyle name="Total 2 7 3 4 3 2" xfId="39015" xr:uid="{335AAB1F-91B3-442D-A228-3F5D5D103BC6}"/>
    <cellStyle name="Total 2 7 3 4 3 3" xfId="45797" xr:uid="{D3BA67C5-EF14-4A38-AD99-CCB028A9E33D}"/>
    <cellStyle name="Total 2 7 3 4 4" xfId="14128" xr:uid="{8E831C4F-2515-41A3-B0DE-06C4D6D78A97}"/>
    <cellStyle name="Total 2 7 3 4 4 2" xfId="36605" xr:uid="{532BD338-BE29-46C1-936B-2C296E357FDD}"/>
    <cellStyle name="Total 2 7 3 4 4 3" xfId="27127" xr:uid="{908A6C33-7121-49E2-B90D-A151F619A6E3}"/>
    <cellStyle name="Total 2 7 3 4 5" xfId="15925" xr:uid="{518AF33D-BB81-4BAD-BB45-2061E5DBFBBC}"/>
    <cellStyle name="Total 2 7 3 4 5 2" xfId="49753" xr:uid="{E2989627-2F89-4736-BC01-E20D5EC63771}"/>
    <cellStyle name="Total 2 7 3 4 6" xfId="49187" xr:uid="{660C5E3A-0787-434E-A179-0DF83D738CCA}"/>
    <cellStyle name="Total 2 7 3 5" xfId="4346" xr:uid="{00000000-0005-0000-0000-0000B0080000}"/>
    <cellStyle name="Total 2 7 3 5 2" xfId="11249" xr:uid="{83084960-85F5-4479-9004-30C1312EA33F}"/>
    <cellStyle name="Total 2 7 3 5 2 2" xfId="33735" xr:uid="{1F2A349D-D46F-4390-954B-BE789EF4088A}"/>
    <cellStyle name="Total 2 7 3 5 2 3" xfId="37279" xr:uid="{36AC3734-809A-41E4-9C09-7ECFB4FC8100}"/>
    <cellStyle name="Total 2 7 3 5 3" xfId="16283" xr:uid="{170D41FF-B692-43AF-B077-7254AA655838}"/>
    <cellStyle name="Total 2 7 3 5 3 2" xfId="38673" xr:uid="{C11CEFF3-DDB0-46BB-8E89-FD2DC25B76B3}"/>
    <cellStyle name="Total 2 7 3 5 3 3" xfId="41960" xr:uid="{440B0588-35DF-478B-90CD-0C63A5720CC9}"/>
    <cellStyle name="Total 2 7 3 5 4" xfId="19544" xr:uid="{36B3F6B3-7943-452E-9BE8-A2432698BAB3}"/>
    <cellStyle name="Total 2 7 3 5 4 2" xfId="41903" xr:uid="{2A7C29F1-2E7F-401C-A3AC-779122B7D74E}"/>
    <cellStyle name="Total 2 7 3 5 4 3" xfId="24483" xr:uid="{E6D366D4-D88E-43EF-ABE3-07EE101D2FF1}"/>
    <cellStyle name="Total 2 7 3 5 5" xfId="20227" xr:uid="{CC100527-ADFB-451A-9F53-A424BB5776E7}"/>
    <cellStyle name="Total 2 7 3 5 5 2" xfId="27538" xr:uid="{484C72A8-5CD6-4301-BD58-CAED36BEE579}"/>
    <cellStyle name="Total 2 7 3 5 6" xfId="50334" xr:uid="{7E54C6AD-8030-4886-AF5C-E302C6C62623}"/>
    <cellStyle name="Total 2 7 3 6" xfId="5263" xr:uid="{00000000-0005-0000-0000-0000B0080000}"/>
    <cellStyle name="Total 2 7 3 6 2" xfId="12155" xr:uid="{B0393C6D-B8A4-4DB3-A965-3D13FB9A8652}"/>
    <cellStyle name="Total 2 7 3 6 2 2" xfId="34640" xr:uid="{DA3CFE81-C24E-4E0F-8C7E-D3DD55E7465D}"/>
    <cellStyle name="Total 2 7 3 6 2 3" xfId="42183" xr:uid="{BE90C15D-185C-4BBA-839F-DB09D26D2C98}"/>
    <cellStyle name="Total 2 7 3 6 3" xfId="17200" xr:uid="{608C8A5C-F16B-4E86-A1B5-B148EAE8B9DD}"/>
    <cellStyle name="Total 2 7 3 6 3 2" xfId="39590" xr:uid="{7A76F782-910B-4ADF-AC65-961488A5400D}"/>
    <cellStyle name="Total 2 7 3 6 3 3" xfId="45329" xr:uid="{17F07E5F-0A77-4955-9949-DFE7FAD347C9}"/>
    <cellStyle name="Total 2 7 3 6 4" xfId="14257" xr:uid="{94A74886-83BF-4F56-83BF-490BF7BB4223}"/>
    <cellStyle name="Total 2 7 3 6 4 2" xfId="36730" xr:uid="{8EF2100B-7C00-4A81-BD0D-606CF4FC5669}"/>
    <cellStyle name="Total 2 7 3 6 4 3" xfId="53093" xr:uid="{AE9092FA-2166-4788-9BEE-977C580B70F8}"/>
    <cellStyle name="Total 2 7 3 6 5" xfId="21624" xr:uid="{29DB39E7-A1B4-4E64-8D90-455961273413}"/>
    <cellStyle name="Total 2 7 3 6 5 2" xfId="48505" xr:uid="{112B0EF7-6D83-4CE1-A5C4-C1DF91E2D68D}"/>
    <cellStyle name="Total 2 7 3 6 6" xfId="51802" xr:uid="{6E7E3D56-7B11-4217-87BC-54C78DCFB81D}"/>
    <cellStyle name="Total 2 7 3 7" xfId="6791" xr:uid="{00000000-0005-0000-0000-0000B0080000}"/>
    <cellStyle name="Total 2 7 3 7 2" xfId="13641" xr:uid="{055FB121-6B19-41E8-BD1E-B1CD7A6E41E6}"/>
    <cellStyle name="Total 2 7 3 7 2 2" xfId="36125" xr:uid="{EBE10308-9F11-44B2-8992-988DBE2B56C2}"/>
    <cellStyle name="Total 2 7 3 7 2 3" xfId="46925" xr:uid="{8843DE3C-DBFC-4C7C-8816-965C285C8020}"/>
    <cellStyle name="Total 2 7 3 7 3" xfId="18728" xr:uid="{255CE3E6-2FA5-4BD8-A153-B8258969D133}"/>
    <cellStyle name="Total 2 7 3 7 3 2" xfId="41118" xr:uid="{664D10FB-641F-4134-87D4-EC99EAB4A055}"/>
    <cellStyle name="Total 2 7 3 7 3 3" xfId="44056" xr:uid="{02C47F9C-2AAA-452D-9B57-6F611DD92B5B}"/>
    <cellStyle name="Total 2 7 3 7 4" xfId="15499" xr:uid="{3E620E43-D3C0-4C6D-BE5A-E98D0A2FADB7}"/>
    <cellStyle name="Total 2 7 3 7 4 2" xfId="37921" xr:uid="{2BB65F2B-5908-4D27-B6A1-E1946B018563}"/>
    <cellStyle name="Total 2 7 3 7 4 3" xfId="51834" xr:uid="{31B21BC7-71FC-4C00-8D41-5CF53391F71C}"/>
    <cellStyle name="Total 2 7 3 7 5" xfId="23152" xr:uid="{95CC671B-6236-4149-801C-05F86D56C1C9}"/>
    <cellStyle name="Total 2 7 3 7 5 2" xfId="47946" xr:uid="{D2AA16B6-8BDE-43EC-91E1-75723C647FC1}"/>
    <cellStyle name="Total 2 7 3 7 6" xfId="44644" xr:uid="{AEEF2700-BB08-4650-9122-F8679320B7F4}"/>
    <cellStyle name="Total 2 7 3 8" xfId="7284" xr:uid="{923B7B61-65A8-4E23-9C0C-0B354EBFD3AB}"/>
    <cellStyle name="Total 2 7 3 8 2" xfId="29972" xr:uid="{789BF5EF-6C2D-40D8-8124-7D32A16DD3FC}"/>
    <cellStyle name="Total 2 7 3 8 3" xfId="46967" xr:uid="{45DD9D67-58C3-48CD-82D8-B85F93F1E895}"/>
    <cellStyle name="Total 2 7 3 9" xfId="15922" xr:uid="{1CF317C3-4EC5-4386-A092-0A24AF1E1EB9}"/>
    <cellStyle name="Total 2 7 3 9 2" xfId="38328" xr:uid="{85DF5D31-4D35-4132-8E55-5F5594991D14}"/>
    <cellStyle name="Total 2 7 3 9 3" xfId="46410" xr:uid="{A3C32193-0403-4248-BA22-9D2FAF7CB175}"/>
    <cellStyle name="Total 2 7 4" xfId="1031" xr:uid="{00000000-0005-0000-0000-0000B5080000}"/>
    <cellStyle name="Total 2 7 4 10" xfId="21127" xr:uid="{0A15BA04-9432-489F-A9BD-6157D3F8488B}"/>
    <cellStyle name="Total 2 7 4 10 2" xfId="51875" xr:uid="{23F6B91C-C788-4A3D-BF2E-8357CA7CF37D}"/>
    <cellStyle name="Total 2 7 4 11" xfId="25413" xr:uid="{CA3E497E-BD06-40ED-8278-ADD570020930}"/>
    <cellStyle name="Total 2 7 4 2" xfId="1921" xr:uid="{00000000-0005-0000-0000-0000B6080000}"/>
    <cellStyle name="Total 2 7 4 2 10" xfId="14591" xr:uid="{1C7CF568-798B-4CE8-BF97-FA7F24055B9F}"/>
    <cellStyle name="Total 2 7 4 2 10 2" xfId="37052" xr:uid="{4A92ECE7-DCBC-44C7-83F0-11B522C68A95}"/>
    <cellStyle name="Total 2 7 4 2 10 3" xfId="46472" xr:uid="{CCE4F72A-07FF-41DD-98B6-9F45EC85175E}"/>
    <cellStyle name="Total 2 7 4 2 11" xfId="21212" xr:uid="{D2EE4B61-3DAE-4086-9445-468347CB5459}"/>
    <cellStyle name="Total 2 7 4 2 11 2" xfId="43451" xr:uid="{EE089F6A-6598-402E-B8AE-7CE7613293C3}"/>
    <cellStyle name="Total 2 7 4 2 11 3" xfId="44281" xr:uid="{4DCB486F-DA80-4F03-B31A-E89DA1741FA2}"/>
    <cellStyle name="Total 2 7 4 2 12" xfId="14123" xr:uid="{F860477E-3CC5-4158-83A8-D29DBC355A47}"/>
    <cellStyle name="Total 2 7 4 2 12 2" xfId="24702" xr:uid="{0A0611B4-D54B-4C22-BC75-27C59F9982FD}"/>
    <cellStyle name="Total 2 7 4 2 13" xfId="42845" xr:uid="{50177749-C9E3-44D7-809C-DB04777558AE}"/>
    <cellStyle name="Total 2 7 4 2 2" xfId="4018" xr:uid="{00000000-0005-0000-0000-0000B3080000}"/>
    <cellStyle name="Total 2 7 4 2 2 2" xfId="10922" xr:uid="{A4CB551E-AA32-4E8F-9A12-40E731E4ACC5}"/>
    <cellStyle name="Total 2 7 4 2 2 2 2" xfId="33408" xr:uid="{2A210BD3-F130-4B64-82E0-EC06FAAA9874}"/>
    <cellStyle name="Total 2 7 4 2 2 2 3" xfId="24690" xr:uid="{AB6248AF-65E4-4A14-9BA7-F524CBCEA19A}"/>
    <cellStyle name="Total 2 7 4 2 2 3" xfId="16042" xr:uid="{F51272BA-F8CD-411A-95F3-68479BAC751B}"/>
    <cellStyle name="Total 2 7 4 2 2 3 2" xfId="38443" xr:uid="{A932A9EA-10E9-4DEE-BEF2-010C9DB1AD97}"/>
    <cellStyle name="Total 2 7 4 2 2 3 3" xfId="51487" xr:uid="{34D22FE9-8250-455C-B592-C198F7B78BA4}"/>
    <cellStyle name="Total 2 7 4 2 2 4" xfId="8734" xr:uid="{FC0D750D-F991-43A4-A7E6-5BF62D432771}"/>
    <cellStyle name="Total 2 7 4 2 2 4 2" xfId="31317" xr:uid="{10B8C54E-4978-4355-B45F-DD41CA0299A7}"/>
    <cellStyle name="Total 2 7 4 2 2 4 3" xfId="29842" xr:uid="{89059329-6A16-4B78-96F1-43E175045249}"/>
    <cellStyle name="Total 2 7 4 2 2 5" xfId="14169" xr:uid="{B51A55E1-97FE-41BD-A8E7-4BC67202E92A}"/>
    <cellStyle name="Total 2 7 4 2 2 5 2" xfId="27360" xr:uid="{675FEA7C-780C-42F5-B73B-578DB8D60217}"/>
    <cellStyle name="Total 2 7 4 2 2 6" xfId="52144" xr:uid="{52B25B2E-B944-4BDE-8418-497400FC065C}"/>
    <cellStyle name="Total 2 7 4 2 3" xfId="5393" xr:uid="{00000000-0005-0000-0000-0000B3080000}"/>
    <cellStyle name="Total 2 7 4 2 3 2" xfId="12284" xr:uid="{9574E92B-44B4-45C2-9331-89D472FEDC3C}"/>
    <cellStyle name="Total 2 7 4 2 3 2 2" xfId="34769" xr:uid="{6E17293D-AAF5-4A51-AC50-FD1053342BD7}"/>
    <cellStyle name="Total 2 7 4 2 3 2 3" xfId="30105" xr:uid="{526E14EC-0ACE-4F50-B25D-FCE1E3904449}"/>
    <cellStyle name="Total 2 7 4 2 3 3" xfId="17330" xr:uid="{021BC635-E5B9-4251-9390-A0ED38527024}"/>
    <cellStyle name="Total 2 7 4 2 3 3 2" xfId="39720" xr:uid="{5476AFCF-185B-4754-B520-8B0C36207960}"/>
    <cellStyle name="Total 2 7 4 2 3 3 3" xfId="29423" xr:uid="{FF3BCD55-589D-4D77-B7C3-CF1CD2568005}"/>
    <cellStyle name="Total 2 7 4 2 3 4" xfId="14628" xr:uid="{37A9367D-73C2-442B-8305-C9D9BF4656C9}"/>
    <cellStyle name="Total 2 7 4 2 3 4 2" xfId="37089" xr:uid="{38568F14-EB56-4C04-8BE9-4A25A353D716}"/>
    <cellStyle name="Total 2 7 4 2 3 4 3" xfId="47723" xr:uid="{0F690C98-E909-4A2F-8EA8-C8F2286CC25D}"/>
    <cellStyle name="Total 2 7 4 2 3 5" xfId="21754" xr:uid="{DFB40634-4EA4-4678-B2A6-9E898DAA7502}"/>
    <cellStyle name="Total 2 7 4 2 3 5 2" xfId="47256" xr:uid="{750D775B-2F84-48DE-ACFE-DC0E5912B1C6}"/>
    <cellStyle name="Total 2 7 4 2 3 6" xfId="50074" xr:uid="{CD3A1CD8-8EBC-4306-B68B-5339E4B9275F}"/>
    <cellStyle name="Total 2 7 4 2 4" xfId="5806" xr:uid="{00000000-0005-0000-0000-0000B3080000}"/>
    <cellStyle name="Total 2 7 4 2 4 2" xfId="12689" xr:uid="{B9C7AC52-1EFE-4074-B0B8-65F6A024E206}"/>
    <cellStyle name="Total 2 7 4 2 4 2 2" xfId="35174" xr:uid="{E32526B0-451E-43A7-B7FE-77E6942340B3}"/>
    <cellStyle name="Total 2 7 4 2 4 2 3" xfId="24456" xr:uid="{C489FED6-225F-435B-88E8-04685B151EC9}"/>
    <cellStyle name="Total 2 7 4 2 4 3" xfId="17743" xr:uid="{B95946C8-54AB-4624-A6A8-1792C9E6552F}"/>
    <cellStyle name="Total 2 7 4 2 4 3 2" xfId="40133" xr:uid="{7E187974-2B88-4200-955F-77CC2B00B604}"/>
    <cellStyle name="Total 2 7 4 2 4 3 3" xfId="44589" xr:uid="{93DC3EC7-3D62-4D8D-A8AC-48C7935A0DCD}"/>
    <cellStyle name="Total 2 7 4 2 4 4" xfId="19641" xr:uid="{26876A15-F163-4F51-B9DA-91729BAA623E}"/>
    <cellStyle name="Total 2 7 4 2 4 4 2" xfId="41990" xr:uid="{367C0226-0016-4858-9F14-3EE953DC75D5}"/>
    <cellStyle name="Total 2 7 4 2 4 4 3" xfId="42326" xr:uid="{7BCAC73E-95B5-4D3F-AC26-013359EAC501}"/>
    <cellStyle name="Total 2 7 4 2 4 5" xfId="22167" xr:uid="{2FFF6F04-8BAD-4241-A304-DB9BB599F574}"/>
    <cellStyle name="Total 2 7 4 2 4 5 2" xfId="47133" xr:uid="{04DD2DE8-37F5-424B-BB41-4EBC3A999D49}"/>
    <cellStyle name="Total 2 7 4 2 4 6" xfId="49451" xr:uid="{CCAEFC0D-3D7E-425B-9216-AF010D65B091}"/>
    <cellStyle name="Total 2 7 4 2 5" xfId="6150" xr:uid="{00000000-0005-0000-0000-0000B3080000}"/>
    <cellStyle name="Total 2 7 4 2 5 2" xfId="13027" xr:uid="{12BE245C-B3C8-45D2-9C0F-01AC15655F1D}"/>
    <cellStyle name="Total 2 7 4 2 5 2 2" xfId="35511" xr:uid="{2935A99D-515D-4A6A-BC61-BE160AE1E753}"/>
    <cellStyle name="Total 2 7 4 2 5 2 3" xfId="48612" xr:uid="{DB01E0EE-4E2F-4AA2-B74D-79A87641721F}"/>
    <cellStyle name="Total 2 7 4 2 5 3" xfId="18087" xr:uid="{7B807ED8-08A7-484C-8D61-3D82C50EAC85}"/>
    <cellStyle name="Total 2 7 4 2 5 3 2" xfId="40477" xr:uid="{3742EC54-AF73-439B-B0A5-3D0FE0E89EF9}"/>
    <cellStyle name="Total 2 7 4 2 5 3 3" xfId="30314" xr:uid="{FDB82CE5-3E91-44E4-8B6B-0CE24CA5696F}"/>
    <cellStyle name="Total 2 7 4 2 5 4" xfId="7336" xr:uid="{8E384FA7-8E02-41B6-B492-413502AC73D9}"/>
    <cellStyle name="Total 2 7 4 2 5 4 2" xfId="30024" xr:uid="{818350F3-160E-4850-97FF-BE6420F4D2E9}"/>
    <cellStyle name="Total 2 7 4 2 5 4 3" xfId="47678" xr:uid="{E6FA0BB5-D941-4A60-B55D-6A82E1E1EEE4}"/>
    <cellStyle name="Total 2 7 4 2 5 5" xfId="22511" xr:uid="{48D1E143-2231-456A-A37E-1570147783BD}"/>
    <cellStyle name="Total 2 7 4 2 5 5 2" xfId="44156" xr:uid="{BA0E82AF-A2A4-419E-8147-EA6665269B58}"/>
    <cellStyle name="Total 2 7 4 2 5 6" xfId="48938" xr:uid="{23250C61-A2BD-4DF8-9E38-56A1D79EF71B}"/>
    <cellStyle name="Total 2 7 4 2 6" xfId="6523" xr:uid="{00000000-0005-0000-0000-0000B3080000}"/>
    <cellStyle name="Total 2 7 4 2 6 2" xfId="13392" xr:uid="{86983BE3-03C6-463A-9ED1-DE0242936503}"/>
    <cellStyle name="Total 2 7 4 2 6 2 2" xfId="35876" xr:uid="{1A06514A-3CA3-46B5-9331-BA09F55EE7BE}"/>
    <cellStyle name="Total 2 7 4 2 6 2 3" xfId="50606" xr:uid="{76A2D32A-F3A2-4153-B876-C77E51C99665}"/>
    <cellStyle name="Total 2 7 4 2 6 3" xfId="18460" xr:uid="{DFFDF178-7C48-42C8-A7FF-E0DA0E6BD6DD}"/>
    <cellStyle name="Total 2 7 4 2 6 3 2" xfId="40850" xr:uid="{866631FE-16B9-4593-BC5E-8D0447EF06B2}"/>
    <cellStyle name="Total 2 7 4 2 6 3 3" xfId="42964" xr:uid="{9F8D6A59-0853-4F3D-923A-9D0D1984ABA1}"/>
    <cellStyle name="Total 2 7 4 2 6 4" xfId="21161" xr:uid="{73A3D57C-C6F2-49CC-803E-FA2CAE9D3809}"/>
    <cellStyle name="Total 2 7 4 2 6 4 2" xfId="43403" xr:uid="{86A1A379-D90B-4043-BF41-71CC218FBC36}"/>
    <cellStyle name="Total 2 7 4 2 6 4 3" xfId="26481" xr:uid="{23B2D95F-CB36-422D-A700-8670B4A4ACA3}"/>
    <cellStyle name="Total 2 7 4 2 6 5" xfId="22884" xr:uid="{08C66384-2E51-4881-B9B1-F8E7A1B9DE45}"/>
    <cellStyle name="Total 2 7 4 2 6 5 2" xfId="53999" xr:uid="{51DF024E-1839-4455-B52D-5E5560C56DA4}"/>
    <cellStyle name="Total 2 7 4 2 6 6" xfId="44089" xr:uid="{A41212E7-3F53-4ED6-A414-BBC0D8B20BC3}"/>
    <cellStyle name="Total 2 7 4 2 7" xfId="6355" xr:uid="{00000000-0005-0000-0000-0000B3080000}"/>
    <cellStyle name="Total 2 7 4 2 7 2" xfId="13227" xr:uid="{3942D4FA-BEFD-4DED-9707-A13F4EAB49DA}"/>
    <cellStyle name="Total 2 7 4 2 7 2 2" xfId="35711" xr:uid="{3326AD93-959D-4A06-8490-1B2F27EF5AD1}"/>
    <cellStyle name="Total 2 7 4 2 7 2 3" xfId="50355" xr:uid="{91E6E7E8-D8A1-4884-97F5-54E3CCF2C11C}"/>
    <cellStyle name="Total 2 7 4 2 7 3" xfId="18292" xr:uid="{3E0BC5D5-9247-4DE3-9FA0-A615C9CCE84D}"/>
    <cellStyle name="Total 2 7 4 2 7 3 2" xfId="40682" xr:uid="{CC3024C1-AC23-456C-A3CD-E2E508F3A486}"/>
    <cellStyle name="Total 2 7 4 2 7 3 3" xfId="27111" xr:uid="{006A5CD6-46A9-4BA9-B04A-5507C8F8B0D1}"/>
    <cellStyle name="Total 2 7 4 2 7 4" xfId="19414" xr:uid="{489E68E9-E067-4028-90B9-E420C6DE29F9}"/>
    <cellStyle name="Total 2 7 4 2 7 4 2" xfId="41786" xr:uid="{7F2CDC40-D104-4590-9E76-6BA6F86E2CD8}"/>
    <cellStyle name="Total 2 7 4 2 7 4 3" xfId="25859" xr:uid="{137CB6DD-477E-4A62-862E-58237D8C3E98}"/>
    <cellStyle name="Total 2 7 4 2 7 5" xfId="22716" xr:uid="{4CE00C43-23EC-44A4-B9EC-CFA8065A0DD2}"/>
    <cellStyle name="Total 2 7 4 2 7 5 2" xfId="51897" xr:uid="{6B2AE819-369B-4D5A-B168-C9F2B7A5D223}"/>
    <cellStyle name="Total 2 7 4 2 7 6" xfId="29935" xr:uid="{3D03967D-592D-4B0C-BB7E-2AAA6E8483BA}"/>
    <cellStyle name="Total 2 7 4 2 8" xfId="7007" xr:uid="{00000000-0005-0000-0000-0000B3080000}"/>
    <cellStyle name="Total 2 7 4 2 8 2" xfId="13844" xr:uid="{E67C5F57-FD0D-4249-90C5-67ABAE3FB79C}"/>
    <cellStyle name="Total 2 7 4 2 8 2 2" xfId="36328" xr:uid="{5C163DC1-BBAA-43D4-96B1-14E98291DCCB}"/>
    <cellStyle name="Total 2 7 4 2 8 2 3" xfId="28055" xr:uid="{5573129C-53DF-4FAE-B722-FD14D4961EC1}"/>
    <cellStyle name="Total 2 7 4 2 8 3" xfId="18944" xr:uid="{28F3BF3F-E3AB-4FD9-AED9-7EEFF2F5438E}"/>
    <cellStyle name="Total 2 7 4 2 8 3 2" xfId="41334" xr:uid="{62F9309C-1BC0-42DA-A8F2-76B95205778A}"/>
    <cellStyle name="Total 2 7 4 2 8 3 3" xfId="27380" xr:uid="{41FEE1D5-06D3-4A38-B771-940DC0F4DF31}"/>
    <cellStyle name="Total 2 7 4 2 8 4" xfId="20578" xr:uid="{879CE104-EB10-434F-929F-875609702898}"/>
    <cellStyle name="Total 2 7 4 2 8 4 2" xfId="42861" xr:uid="{8DAFA9FD-5804-4346-85D8-68DAC2E9F5E7}"/>
    <cellStyle name="Total 2 7 4 2 8 4 3" xfId="47260" xr:uid="{D4B9996E-2B05-4044-BBA2-085DDFD9D57F}"/>
    <cellStyle name="Total 2 7 4 2 8 5" xfId="23368" xr:uid="{7439CA82-73D6-4B07-87D8-F24EA2E6EBB0}"/>
    <cellStyle name="Total 2 7 4 2 8 5 2" xfId="53416" xr:uid="{E4E33366-B786-4A92-BC53-28A90BFB9519}"/>
    <cellStyle name="Total 2 7 4 2 8 6" xfId="27865" xr:uid="{2E2AD44C-E7D7-49C0-ACA5-2E0EF76498B3}"/>
    <cellStyle name="Total 2 7 4 2 9" xfId="2626" xr:uid="{00000000-0005-0000-0000-0000B3080000}"/>
    <cellStyle name="Total 2 7 4 2 9 2" xfId="15097" xr:uid="{75AF386F-EF6C-4613-BBC1-12DCCE46F5CA}"/>
    <cellStyle name="Total 2 7 4 2 9 2 2" xfId="37541" xr:uid="{54B267E5-0DD5-48F3-B69A-DFDCB6475445}"/>
    <cellStyle name="Total 2 7 4 2 9 2 3" xfId="28920" xr:uid="{EF164389-8222-4E4F-93AA-A08DE64B1466}"/>
    <cellStyle name="Total 2 7 4 2 9 3" xfId="15364" xr:uid="{62A2DE30-CD57-4AF0-BB86-6ADFA597115C}"/>
    <cellStyle name="Total 2 7 4 2 9 3 2" xfId="37795" xr:uid="{F81E0969-A9A0-4681-A050-F5B91726BAEA}"/>
    <cellStyle name="Total 2 7 4 2 9 3 3" xfId="37039" xr:uid="{8A1DF897-8463-43B9-B1AF-089B7E9A48C3}"/>
    <cellStyle name="Total 2 7 4 2 9 4" xfId="20129" xr:uid="{CD447161-D355-42A2-9F76-7AF3B3539EE7}"/>
    <cellStyle name="Total 2 7 4 2 9 4 2" xfId="43008" xr:uid="{5B9AC8CA-B21A-4E3C-8026-6C04AAFFC917}"/>
    <cellStyle name="Total 2 7 4 2 9 5" xfId="46469" xr:uid="{48E7F758-DA24-491C-BA79-6656C2904C1B}"/>
    <cellStyle name="Total 2 7 4 3" xfId="3155" xr:uid="{00000000-0005-0000-0000-0000B2080000}"/>
    <cellStyle name="Total 2 7 4 3 2" xfId="10064" xr:uid="{5E468C4B-3B0C-47A6-AD2F-B4426054393B}"/>
    <cellStyle name="Total 2 7 4 3 2 2" xfId="32571" xr:uid="{79EFA88A-5983-468F-B7B5-08D8DA7F90B9}"/>
    <cellStyle name="Total 2 7 4 3 2 3" xfId="52470" xr:uid="{B8FB2FD1-30BC-4725-9314-C19E6A302CB6}"/>
    <cellStyle name="Total 2 7 4 3 3" xfId="15442" xr:uid="{C6252A03-7100-4E1D-905F-7044FA44941F}"/>
    <cellStyle name="Total 2 7 4 3 3 2" xfId="37868" xr:uid="{2ABE3FA7-75B4-4DCD-B018-1BDDDC811B81}"/>
    <cellStyle name="Total 2 7 4 3 3 3" xfId="52425" xr:uid="{A168852C-AA67-4A4C-A43E-2CF48FC2E4F8}"/>
    <cellStyle name="Total 2 7 4 3 4" xfId="14016" xr:uid="{29427279-07F1-47A4-BEBD-3EA70637A370}"/>
    <cellStyle name="Total 2 7 4 3 4 2" xfId="36499" xr:uid="{B98642CE-F6DB-40F5-B1F7-E01F7E2FDFBA}"/>
    <cellStyle name="Total 2 7 4 3 4 3" xfId="44078" xr:uid="{A1BAD9F7-0692-4554-9317-8261C51B5971}"/>
    <cellStyle name="Total 2 7 4 3 5" xfId="15111" xr:uid="{2371AE6B-C363-41F9-BFAB-7D794A4205F8}"/>
    <cellStyle name="Total 2 7 4 3 5 2" xfId="50478" xr:uid="{DBA340EB-47E2-4DFB-ADDB-495E8B0DC597}"/>
    <cellStyle name="Total 2 7 4 3 6" xfId="48222" xr:uid="{4175BCAB-31DD-46A7-8B2F-3D58875883CC}"/>
    <cellStyle name="Total 2 7 4 4" xfId="4805" xr:uid="{00000000-0005-0000-0000-0000B2080000}"/>
    <cellStyle name="Total 2 7 4 4 2" xfId="11702" xr:uid="{ED1545AE-B7BF-47B0-9338-95584391D3A8}"/>
    <cellStyle name="Total 2 7 4 4 2 2" xfId="34188" xr:uid="{A83D1B9C-1969-45EF-964F-9AB654F2CD16}"/>
    <cellStyle name="Total 2 7 4 4 2 3" xfId="26573" xr:uid="{1178B50E-8E3E-4C40-BB18-20E9FA4D289B}"/>
    <cellStyle name="Total 2 7 4 4 3" xfId="16742" xr:uid="{26FF8B29-9B0F-4E44-AA6E-5F36FB3F1CED}"/>
    <cellStyle name="Total 2 7 4 4 3 2" xfId="39132" xr:uid="{27E2B45E-9D0A-40B5-BF11-757438EB3F32}"/>
    <cellStyle name="Total 2 7 4 4 3 3" xfId="44004" xr:uid="{33C732BE-0438-4A04-93BC-62666500B43A}"/>
    <cellStyle name="Total 2 7 4 4 4" xfId="8809" xr:uid="{BCBA6C9E-86D3-4CE4-9989-11FB46C7CB8B}"/>
    <cellStyle name="Total 2 7 4 4 4 2" xfId="31390" xr:uid="{A04A7440-5A16-4F2F-967E-E80BE3498478}"/>
    <cellStyle name="Total 2 7 4 4 4 3" xfId="43901" xr:uid="{C96DF29F-2280-4529-A9E5-69071C58ECB5}"/>
    <cellStyle name="Total 2 7 4 4 5" xfId="15130" xr:uid="{95C4CFA7-B997-470D-8CF7-BD067520D465}"/>
    <cellStyle name="Total 2 7 4 4 5 2" xfId="51602" xr:uid="{1A9F1EE6-0BCC-4FEC-A9BF-641349A3C89D}"/>
    <cellStyle name="Total 2 7 4 4 6" xfId="52686" xr:uid="{E82C19E8-AF67-4594-80A2-A4BDE4AB2C68}"/>
    <cellStyle name="Total 2 7 4 5" xfId="4956" xr:uid="{00000000-0005-0000-0000-0000B2080000}"/>
    <cellStyle name="Total 2 7 4 5 2" xfId="11851" xr:uid="{C7EEA293-BBDF-42DC-8C30-5249ADD9042C}"/>
    <cellStyle name="Total 2 7 4 5 2 2" xfId="34337" xr:uid="{B1C75532-1DEC-4DF0-9478-C29F03F67DE9}"/>
    <cellStyle name="Total 2 7 4 5 2 3" xfId="29768" xr:uid="{579647BF-2551-4F8E-80B9-3084E0B73295}"/>
    <cellStyle name="Total 2 7 4 5 3" xfId="16893" xr:uid="{B277C2FA-F33D-4993-B20A-5475E587DF74}"/>
    <cellStyle name="Total 2 7 4 5 3 2" xfId="39283" xr:uid="{14CB25B3-30B5-44F3-8B1A-C28FEAF92175}"/>
    <cellStyle name="Total 2 7 4 5 3 3" xfId="32247" xr:uid="{82221CD5-30F8-4797-9090-01BB5A7B92D2}"/>
    <cellStyle name="Total 2 7 4 5 4" xfId="15630" xr:uid="{32A28828-F061-426A-BB91-C78295DF119D}"/>
    <cellStyle name="Total 2 7 4 5 4 2" xfId="38046" xr:uid="{44E0876B-5E4C-47F1-A6D7-8ADFCAA42F2F}"/>
    <cellStyle name="Total 2 7 4 5 4 3" xfId="53049" xr:uid="{5FD8D9C6-CFF5-4A95-ABEE-B73EDF00F87F}"/>
    <cellStyle name="Total 2 7 4 5 5" xfId="21317" xr:uid="{BE0E2199-8B45-4A91-8A32-B992B010D155}"/>
    <cellStyle name="Total 2 7 4 5 5 2" xfId="53509" xr:uid="{F8AA74EC-162A-4FAB-94BC-3E4C073135B1}"/>
    <cellStyle name="Total 2 7 4 5 6" xfId="50651" xr:uid="{929B8693-FBF5-4583-938D-872F0D363BCC}"/>
    <cellStyle name="Total 2 7 4 6" xfId="5072" xr:uid="{00000000-0005-0000-0000-0000B2080000}"/>
    <cellStyle name="Total 2 7 4 6 2" xfId="11965" xr:uid="{892E4744-F63C-4AD2-816F-2362E45C4B5A}"/>
    <cellStyle name="Total 2 7 4 6 2 2" xfId="34451" xr:uid="{43AF237E-68B0-476D-90F5-8BD9AD218EE9}"/>
    <cellStyle name="Total 2 7 4 6 2 3" xfId="29596" xr:uid="{18603827-B271-4269-97FE-BFDBC1029E8C}"/>
    <cellStyle name="Total 2 7 4 6 3" xfId="17009" xr:uid="{22B06CA3-FD27-4936-ACE5-A256B366C542}"/>
    <cellStyle name="Total 2 7 4 6 3 2" xfId="39399" xr:uid="{DCA2AFD1-5194-4238-96E1-14A6DFAB7432}"/>
    <cellStyle name="Total 2 7 4 6 3 3" xfId="45664" xr:uid="{96A11E8F-0A35-4D38-B938-9717A352F304}"/>
    <cellStyle name="Total 2 7 4 6 4" xfId="15457" xr:uid="{18F17E19-35CB-490C-999A-66876DDEEECC}"/>
    <cellStyle name="Total 2 7 4 6 4 2" xfId="37883" xr:uid="{B5D7897C-4752-41F6-AF33-2CDDBD2AC41F}"/>
    <cellStyle name="Total 2 7 4 6 4 3" xfId="49562" xr:uid="{0CCA5256-E30B-4C29-B613-18A1888CA98C}"/>
    <cellStyle name="Total 2 7 4 6 5" xfId="21433" xr:uid="{C4402270-45D2-4C5A-8333-6828C0C14185}"/>
    <cellStyle name="Total 2 7 4 6 5 2" xfId="24613" xr:uid="{4471C233-BC29-41C6-87AC-9AA48CB35368}"/>
    <cellStyle name="Total 2 7 4 6 6" xfId="46324" xr:uid="{2835B4CE-A96D-4130-BEA4-78E640651872}"/>
    <cellStyle name="Total 2 7 4 7" xfId="6247" xr:uid="{00000000-0005-0000-0000-0000B2080000}"/>
    <cellStyle name="Total 2 7 4 7 2" xfId="13120" xr:uid="{0F9001DD-3C68-4680-BD52-0B699582AABB}"/>
    <cellStyle name="Total 2 7 4 7 2 2" xfId="35604" xr:uid="{5A66AD87-F60E-4A60-8279-D01626FD0AB8}"/>
    <cellStyle name="Total 2 7 4 7 2 3" xfId="51892" xr:uid="{18239595-BBD5-4697-99C6-5D44D01F3C70}"/>
    <cellStyle name="Total 2 7 4 7 3" xfId="18184" xr:uid="{4C7D1FCE-8147-48DD-AE30-D40000861C1A}"/>
    <cellStyle name="Total 2 7 4 7 3 2" xfId="40574" xr:uid="{345644E8-0333-4F2E-8F14-83B21FEED9F3}"/>
    <cellStyle name="Total 2 7 4 7 3 3" xfId="29411" xr:uid="{73F9898D-E08F-4BC4-BC6B-8D7C58C4AFA6}"/>
    <cellStyle name="Total 2 7 4 7 4" xfId="14802" xr:uid="{2660F6DF-6C84-47B8-BF23-D7D1EE13C881}"/>
    <cellStyle name="Total 2 7 4 7 4 2" xfId="37258" xr:uid="{3DBD68EE-236B-42B6-8CDF-35EC42B07007}"/>
    <cellStyle name="Total 2 7 4 7 4 3" xfId="32830" xr:uid="{9810C1AF-5A70-411B-896B-DF914A146F67}"/>
    <cellStyle name="Total 2 7 4 7 5" xfId="22608" xr:uid="{E4A3CD8B-4802-49B0-B568-60BC09F43BF6}"/>
    <cellStyle name="Total 2 7 4 7 5 2" xfId="51695" xr:uid="{1219985C-636B-4EE9-865C-71602331956F}"/>
    <cellStyle name="Total 2 7 4 7 6" xfId="50862" xr:uid="{F9F4B26F-92B1-4EE2-809F-9A8D18D604D3}"/>
    <cellStyle name="Total 2 7 4 8" xfId="12715" xr:uid="{54FB54AA-361E-4BEC-80B3-D668EB4B7280}"/>
    <cellStyle name="Total 2 7 4 8 2" xfId="35199" xr:uid="{50DAD845-808F-47DC-A6D5-D3F56AC7D5A0}"/>
    <cellStyle name="Total 2 7 4 8 3" xfId="27718" xr:uid="{30645D30-6D7E-4CCD-ABBD-3E871FBA69ED}"/>
    <cellStyle name="Total 2 7 4 9" xfId="20151" xr:uid="{833B0BE1-2888-4E88-B9AE-49BE65FD6A08}"/>
    <cellStyle name="Total 2 7 4 9 2" xfId="42463" xr:uid="{10F77CAE-B13E-4A2E-A261-96B4407E5379}"/>
    <cellStyle name="Total 2 7 4 9 3" xfId="29776" xr:uid="{CB8FB764-5E8D-4A40-9A3D-B942483E6B31}"/>
    <cellStyle name="Total 2 7 5" xfId="1215" xr:uid="{00000000-0005-0000-0000-0000B7080000}"/>
    <cellStyle name="Total 2 7 5 10" xfId="20426" xr:uid="{2669C339-9B7B-4FC6-B98C-6C3261A6B35E}"/>
    <cellStyle name="Total 2 7 5 10 2" xfId="24541" xr:uid="{9F7E4566-0F06-4EC8-A58D-32E53FD57C59}"/>
    <cellStyle name="Total 2 7 5 11" xfId="48634" xr:uid="{D65066F7-04FD-4031-8FD0-8C5C9B240AD6}"/>
    <cellStyle name="Total 2 7 5 2" xfId="2015" xr:uid="{00000000-0005-0000-0000-0000B8080000}"/>
    <cellStyle name="Total 2 7 5 2 10" xfId="14663" xr:uid="{52495A2A-00D5-4AF0-AB43-1A58235E8494}"/>
    <cellStyle name="Total 2 7 5 2 10 2" xfId="37123" xr:uid="{22D7CE38-8256-43FA-BD33-C57330917043}"/>
    <cellStyle name="Total 2 7 5 2 10 3" xfId="50982" xr:uid="{BC66AC8C-C0B6-4976-A8F9-6215CCE01A4F}"/>
    <cellStyle name="Total 2 7 5 2 11" xfId="20880" xr:uid="{F9A08797-E13E-4228-844D-5D2A9A090F6A}"/>
    <cellStyle name="Total 2 7 5 2 11 2" xfId="43144" xr:uid="{AAD418A1-4F9C-4E86-83F9-4BB97DEB7A53}"/>
    <cellStyle name="Total 2 7 5 2 11 3" xfId="50206" xr:uid="{23D9BCD9-A51C-407D-ABF7-302B6DF53EB8}"/>
    <cellStyle name="Total 2 7 5 2 12" xfId="8296" xr:uid="{647448F5-6337-49FF-B57F-46EDFB2E57D9}"/>
    <cellStyle name="Total 2 7 5 2 12 2" xfId="49970" xr:uid="{FF06886F-1F36-4DB5-9C8F-E42714BEDEAA}"/>
    <cellStyle name="Total 2 7 5 2 13" xfId="37558" xr:uid="{4C190328-47FA-41DD-94DD-F939FDF01CE8}"/>
    <cellStyle name="Total 2 7 5 2 2" xfId="4110" xr:uid="{00000000-0005-0000-0000-0000B5080000}"/>
    <cellStyle name="Total 2 7 5 2 2 2" xfId="11014" xr:uid="{DFEFB126-1368-43EF-95AD-A206D45D4B17}"/>
    <cellStyle name="Total 2 7 5 2 2 2 2" xfId="33500" xr:uid="{60FF5BA8-5319-4797-B766-AEBFB6CF9902}"/>
    <cellStyle name="Total 2 7 5 2 2 2 3" xfId="52367" xr:uid="{6DB13CC8-2790-40B6-B53F-B232935A86CA}"/>
    <cellStyle name="Total 2 7 5 2 2 3" xfId="16114" xr:uid="{AEC090FF-5B27-4DE2-9B02-FE98D3B6ABEC}"/>
    <cellStyle name="Total 2 7 5 2 2 3 2" xfId="38514" xr:uid="{38426299-3849-4B92-ADB2-1098C35C29CB}"/>
    <cellStyle name="Total 2 7 5 2 2 3 3" xfId="28164" xr:uid="{D0F10FFF-705A-411F-BAF4-9DD616D4C118}"/>
    <cellStyle name="Total 2 7 5 2 2 4" xfId="20618" xr:uid="{CC11FE6B-68D6-4C59-9452-86FC1FD310E6}"/>
    <cellStyle name="Total 2 7 5 2 2 4 2" xfId="42898" xr:uid="{BC6C63CE-3767-48D0-BED3-77DB2FDEB3B0}"/>
    <cellStyle name="Total 2 7 5 2 2 4 3" xfId="49028" xr:uid="{45DACD44-EE5B-4EFF-AD54-A346EF8BEF7A}"/>
    <cellStyle name="Total 2 7 5 2 2 5" xfId="13988" xr:uid="{311BB4D1-601D-4E9D-8EF0-32E60064865B}"/>
    <cellStyle name="Total 2 7 5 2 2 5 2" xfId="29846" xr:uid="{6EE2F745-B0B1-4BAE-B74A-27AF9FCD6BBD}"/>
    <cellStyle name="Total 2 7 5 2 2 6" xfId="45092" xr:uid="{274B57A7-6DE2-4944-AE54-CB4C2C657437}"/>
    <cellStyle name="Total 2 7 5 2 3" xfId="5456" xr:uid="{00000000-0005-0000-0000-0000B5080000}"/>
    <cellStyle name="Total 2 7 5 2 3 2" xfId="12345" xr:uid="{1AF80855-C0A2-47C3-B7C5-EC362B78E69E}"/>
    <cellStyle name="Total 2 7 5 2 3 2 2" xfId="34830" xr:uid="{505105C2-5B50-4D3E-81DD-A457E90111DE}"/>
    <cellStyle name="Total 2 7 5 2 3 2 3" xfId="27720" xr:uid="{51078816-D1F4-4D97-AAE3-C86A99CC57D8}"/>
    <cellStyle name="Total 2 7 5 2 3 3" xfId="17393" xr:uid="{4F2EC850-A5F9-40FE-B639-CC6F476EAF6E}"/>
    <cellStyle name="Total 2 7 5 2 3 3 2" xfId="39783" xr:uid="{2A6C2106-F17E-4A3C-9241-E6BCA7A2690B}"/>
    <cellStyle name="Total 2 7 5 2 3 3 3" xfId="29361" xr:uid="{E5EF6E74-C09C-4A89-9787-C643625C8FA9}"/>
    <cellStyle name="Total 2 7 5 2 3 4" xfId="19483" xr:uid="{C06FF031-E072-4CAA-8895-8BB362C65DF4}"/>
    <cellStyle name="Total 2 7 5 2 3 4 2" xfId="41847" xr:uid="{93D1CBDC-ABEE-4F12-AAF0-5890610044B9}"/>
    <cellStyle name="Total 2 7 5 2 3 4 3" xfId="28270" xr:uid="{B924CF27-6C11-4D49-9106-F84A0007988C}"/>
    <cellStyle name="Total 2 7 5 2 3 5" xfId="21817" xr:uid="{B0F29F31-2936-40DE-849D-245000A2491D}"/>
    <cellStyle name="Total 2 7 5 2 3 5 2" xfId="47404" xr:uid="{8A91AC23-A30A-4F17-B4F8-5B527C3DFCF6}"/>
    <cellStyle name="Total 2 7 5 2 3 6" xfId="52088" xr:uid="{311145F0-35DD-4E0B-9E64-5CAAEF21911B}"/>
    <cellStyle name="Total 2 7 5 2 4" xfId="5879" xr:uid="{00000000-0005-0000-0000-0000B5080000}"/>
    <cellStyle name="Total 2 7 5 2 4 2" xfId="12761" xr:uid="{167BD3C3-E266-4AC5-B935-69C6E207D703}"/>
    <cellStyle name="Total 2 7 5 2 4 2 2" xfId="35245" xr:uid="{B955628B-3185-404F-B035-44BE887329F5}"/>
    <cellStyle name="Total 2 7 5 2 4 2 3" xfId="24586" xr:uid="{2C24C0D4-37BC-4BB4-ADC1-52D6F3839B10}"/>
    <cellStyle name="Total 2 7 5 2 4 3" xfId="17816" xr:uid="{0DEA92B4-4E6C-4AA1-80CA-5416EEA2A75B}"/>
    <cellStyle name="Total 2 7 5 2 4 3 2" xfId="40206" xr:uid="{FBB586F0-6C7F-48DE-8113-01876E31E611}"/>
    <cellStyle name="Total 2 7 5 2 4 3 3" xfId="41718" xr:uid="{2C91416E-A5DE-4B41-824D-CA63EE27D759}"/>
    <cellStyle name="Total 2 7 5 2 4 4" xfId="7732" xr:uid="{C4E2D8A4-57CD-4BBF-B810-1886C5E4BB19}"/>
    <cellStyle name="Total 2 7 5 2 4 4 2" xfId="30381" xr:uid="{A04E8C58-CBAA-4212-B6E0-6E5DB70D9F49}"/>
    <cellStyle name="Total 2 7 5 2 4 4 3" xfId="29913" xr:uid="{BAA8F21E-18E6-4A38-A7EC-CD4541560966}"/>
    <cellStyle name="Total 2 7 5 2 4 5" xfId="22240" xr:uid="{F533B367-760A-4E01-BEC4-2FF8F99F03C5}"/>
    <cellStyle name="Total 2 7 5 2 4 5 2" xfId="52881" xr:uid="{086E829F-F1E7-4CAB-907A-818DB032FA34}"/>
    <cellStyle name="Total 2 7 5 2 4 6" xfId="48592" xr:uid="{88E97E37-DBAD-4EB8-BC02-B1DDCF924E3A}"/>
    <cellStyle name="Total 2 7 5 2 5" xfId="6217" xr:uid="{00000000-0005-0000-0000-0000B5080000}"/>
    <cellStyle name="Total 2 7 5 2 5 2" xfId="13092" xr:uid="{02837D58-4CD9-4F85-9CBC-EFF05064CC9B}"/>
    <cellStyle name="Total 2 7 5 2 5 2 2" xfId="35576" xr:uid="{6D05966B-BB71-4ED6-A960-A9EE6EB8CA13}"/>
    <cellStyle name="Total 2 7 5 2 5 2 3" xfId="53907" xr:uid="{9E19A734-1532-420D-9BAD-548E84204176}"/>
    <cellStyle name="Total 2 7 5 2 5 3" xfId="18154" xr:uid="{AF6EB061-6DDF-4319-A0E3-B8CDE4C7993B}"/>
    <cellStyle name="Total 2 7 5 2 5 3 2" xfId="40544" xr:uid="{5F396871-BE0D-4426-BF3A-9EAC701E0A4B}"/>
    <cellStyle name="Total 2 7 5 2 5 3 3" xfId="25844" xr:uid="{7357F93E-AB02-4F5A-8CDD-048DDFB5285D}"/>
    <cellStyle name="Total 2 7 5 2 5 4" xfId="15039" xr:uid="{91BB0A99-0B37-48D7-A776-C9DC2FE95D89}"/>
    <cellStyle name="Total 2 7 5 2 5 4 2" xfId="37487" xr:uid="{E0886450-4744-4A76-A002-3F119877997B}"/>
    <cellStyle name="Total 2 7 5 2 5 4 3" xfId="54009" xr:uid="{A805FE66-38DE-44E2-9AD7-9AFE435BCEFF}"/>
    <cellStyle name="Total 2 7 5 2 5 5" xfId="22578" xr:uid="{9797FDD4-AD99-4217-BD9C-70491555AC70}"/>
    <cellStyle name="Total 2 7 5 2 5 5 2" xfId="53421" xr:uid="{2E376DE0-58B7-4402-9DD9-79DD2E25C3D0}"/>
    <cellStyle name="Total 2 7 5 2 5 6" xfId="49076" xr:uid="{19E0169B-099F-421E-A6B9-80E310B10ACA}"/>
    <cellStyle name="Total 2 7 5 2 6" xfId="6583" xr:uid="{00000000-0005-0000-0000-0000B5080000}"/>
    <cellStyle name="Total 2 7 5 2 6 2" xfId="13449" xr:uid="{AC9CD50E-5BDC-4B3A-8CA5-EBD5D864C028}"/>
    <cellStyle name="Total 2 7 5 2 6 2 2" xfId="35933" xr:uid="{569342EE-4036-4D06-BD71-BBF5B2EBD0DC}"/>
    <cellStyle name="Total 2 7 5 2 6 2 3" xfId="30590" xr:uid="{A45227A2-E507-43C3-B786-AC942D7A5602}"/>
    <cellStyle name="Total 2 7 5 2 6 3" xfId="18520" xr:uid="{FEB30B9E-F925-47A7-9F37-BD19BA5CDD5E}"/>
    <cellStyle name="Total 2 7 5 2 6 3 2" xfId="40910" xr:uid="{B20540C6-D4C7-43DB-97F6-C1CCF42CAEF7}"/>
    <cellStyle name="Total 2 7 5 2 6 3 3" xfId="29628" xr:uid="{15E195F6-9715-4FE6-BBCA-6911FF97C7A4}"/>
    <cellStyle name="Total 2 7 5 2 6 4" xfId="21200" xr:uid="{29EB36E1-2ECE-485F-B5AC-A99CAB926309}"/>
    <cellStyle name="Total 2 7 5 2 6 4 2" xfId="43440" xr:uid="{EE16FAC6-DF11-4DB3-8E25-03544487898F}"/>
    <cellStyle name="Total 2 7 5 2 6 4 3" xfId="46076" xr:uid="{BC039A38-D9A8-4994-83E0-912DE5D4AE2B}"/>
    <cellStyle name="Total 2 7 5 2 6 5" xfId="22944" xr:uid="{1D7C6079-D485-4730-8E41-0F98C3A30EBB}"/>
    <cellStyle name="Total 2 7 5 2 6 5 2" xfId="51062" xr:uid="{7E323DC6-E45B-457C-808A-08A4C31AAA1F}"/>
    <cellStyle name="Total 2 7 5 2 6 6" xfId="49689" xr:uid="{1BD1AEDA-0238-439A-8E23-E80E0F4EB5CC}"/>
    <cellStyle name="Total 2 7 5 2 7" xfId="4616" xr:uid="{00000000-0005-0000-0000-0000B5080000}"/>
    <cellStyle name="Total 2 7 5 2 7 2" xfId="11517" xr:uid="{03363CE1-C886-4DAD-8504-42A8609634FE}"/>
    <cellStyle name="Total 2 7 5 2 7 2 2" xfId="34003" xr:uid="{863E5E1E-0227-4FE6-B3EE-B90340CB3D5E}"/>
    <cellStyle name="Total 2 7 5 2 7 2 3" xfId="26183" xr:uid="{216B91C0-B352-400F-8D41-F82904363381}"/>
    <cellStyle name="Total 2 7 5 2 7 3" xfId="16553" xr:uid="{C201D47B-0750-44CA-A4B5-8C9E55DFC7C7}"/>
    <cellStyle name="Total 2 7 5 2 7 3 2" xfId="38943" xr:uid="{54306261-1581-4FD1-BC52-4CB8E744903A}"/>
    <cellStyle name="Total 2 7 5 2 7 3 3" xfId="45815" xr:uid="{EB81BBF1-3428-445B-A584-88CBFC131B34}"/>
    <cellStyle name="Total 2 7 5 2 7 4" xfId="14780" xr:uid="{8794ABB8-0402-4D19-A39E-C87DE7451923}"/>
    <cellStyle name="Total 2 7 5 2 7 4 2" xfId="37236" xr:uid="{CDC7F66E-BED2-4DBE-BFE7-9F029AA23F2D}"/>
    <cellStyle name="Total 2 7 5 2 7 4 3" xfId="53879" xr:uid="{5A4344AC-DED9-4CA0-8191-6E70F9D84CD3}"/>
    <cellStyle name="Total 2 7 5 2 7 5" xfId="19505" xr:uid="{9A263F52-98E2-4F31-8709-442ED3E64AA8}"/>
    <cellStyle name="Total 2 7 5 2 7 5 2" xfId="32509" xr:uid="{30BE867B-6338-439D-B678-3D0061FF3452}"/>
    <cellStyle name="Total 2 7 5 2 7 6" xfId="51592" xr:uid="{C816FE3F-0AC8-4CB4-A845-ED93183014E4}"/>
    <cellStyle name="Total 2 7 5 2 8" xfId="7053" xr:uid="{00000000-0005-0000-0000-0000B5080000}"/>
    <cellStyle name="Total 2 7 5 2 8 2" xfId="13889" xr:uid="{9AACC428-494B-4A43-92EC-7E5B021CF7FC}"/>
    <cellStyle name="Total 2 7 5 2 8 2 2" xfId="36373" xr:uid="{C7037CED-214D-47F4-AFD6-B2CEEFAF559B}"/>
    <cellStyle name="Total 2 7 5 2 8 2 3" xfId="48537" xr:uid="{AB540AFE-511A-47BB-945A-848EF56AE80B}"/>
    <cellStyle name="Total 2 7 5 2 8 3" xfId="18990" xr:uid="{1F72306C-3C5C-470F-AB4C-CB472B8C4DAB}"/>
    <cellStyle name="Total 2 7 5 2 8 3 2" xfId="41380" xr:uid="{F6E3A5A6-D29C-4A00-B3F2-B6FFC7800AF3}"/>
    <cellStyle name="Total 2 7 5 2 8 3 3" xfId="43487" xr:uid="{694D6F2B-19EA-476A-86B9-7D90E1C5186E}"/>
    <cellStyle name="Total 2 7 5 2 8 4" xfId="20942" xr:uid="{AE8FDCE9-1340-4B21-B9FC-954C2C74B8D0}"/>
    <cellStyle name="Total 2 7 5 2 8 4 2" xfId="43201" xr:uid="{F4759001-BB31-4980-B6B7-E5F0EE208413}"/>
    <cellStyle name="Total 2 7 5 2 8 4 3" xfId="52799" xr:uid="{EC1560E5-28B0-4B13-AAA5-13EDEC56BCC8}"/>
    <cellStyle name="Total 2 7 5 2 8 5" xfId="23414" xr:uid="{3A3439F2-BAE2-4D41-9FD8-706D30B52E81}"/>
    <cellStyle name="Total 2 7 5 2 8 5 2" xfId="44906" xr:uid="{EEA4DC96-6FAD-4D79-AB4C-A2EBC92F6831}"/>
    <cellStyle name="Total 2 7 5 2 8 6" xfId="48593" xr:uid="{8B89772E-DCD7-458A-8025-1BEDD5A6EFB5}"/>
    <cellStyle name="Total 2 7 5 2 9" xfId="7168" xr:uid="{00000000-0005-0000-0000-0000B5080000}"/>
    <cellStyle name="Total 2 7 5 2 9 2" xfId="19105" xr:uid="{9CC718C0-C25B-42AE-B6A3-3403978F4C69}"/>
    <cellStyle name="Total 2 7 5 2 9 2 2" xfId="41495" xr:uid="{B8E53F2B-1DBA-42DB-8AFE-F2A2AEE8D171}"/>
    <cellStyle name="Total 2 7 5 2 9 2 3" xfId="28789" xr:uid="{6A5B8637-683E-4B1F-A2D3-925A6B8C2571}"/>
    <cellStyle name="Total 2 7 5 2 9 3" xfId="20046" xr:uid="{B382B45F-D6E3-4808-B620-5EF0B285DE9A}"/>
    <cellStyle name="Total 2 7 5 2 9 3 2" xfId="42367" xr:uid="{A6DEDC40-0746-4C11-B836-E7F4B7C0A8F3}"/>
    <cellStyle name="Total 2 7 5 2 9 3 3" xfId="25695" xr:uid="{9BA55C5E-9C5E-4569-865D-D2E3C2BD4AC2}"/>
    <cellStyle name="Total 2 7 5 2 9 4" xfId="23529" xr:uid="{187AF4BD-BC65-4C30-B087-4FF08F0E8488}"/>
    <cellStyle name="Total 2 7 5 2 9 4 2" xfId="28522" xr:uid="{73C44381-8276-4A3C-8B27-811E041DDE92}"/>
    <cellStyle name="Total 2 7 5 2 9 5" xfId="49034" xr:uid="{D1E2AD60-7DC3-4BAE-9567-000EAF886E6F}"/>
    <cellStyle name="Total 2 7 5 3" xfId="3329" xr:uid="{00000000-0005-0000-0000-0000B4080000}"/>
    <cellStyle name="Total 2 7 5 3 2" xfId="10237" xr:uid="{C57EDDA1-307B-4193-BE0B-1497614593B0}"/>
    <cellStyle name="Total 2 7 5 3 2 2" xfId="32731" xr:uid="{87BF1A68-2B13-487C-9C09-D0D762102FFB}"/>
    <cellStyle name="Total 2 7 5 3 2 3" xfId="50936" xr:uid="{8C2036BF-35AC-4AD3-993A-FCE8C0BABE0B}"/>
    <cellStyle name="Total 2 7 5 3 3" xfId="15555" xr:uid="{FE59F67E-7CFB-42B6-8A26-CF39F7124CF2}"/>
    <cellStyle name="Total 2 7 5 3 3 2" xfId="37974" xr:uid="{572E355D-D2E9-41D8-8323-1F753D3647E1}"/>
    <cellStyle name="Total 2 7 5 3 3 3" xfId="52184" xr:uid="{27128801-7C1E-4539-8C84-5C8F016FCD29}"/>
    <cellStyle name="Total 2 7 5 3 4" xfId="19545" xr:uid="{BECEAA65-C82D-415E-B6AF-6FB09E682E99}"/>
    <cellStyle name="Total 2 7 5 3 4 2" xfId="41904" xr:uid="{C6D289E4-0AA2-479B-BF2F-3AF6D2277743}"/>
    <cellStyle name="Total 2 7 5 3 4 3" xfId="45105" xr:uid="{F914035B-4A62-44D5-9F85-7D22FD2D9CD0}"/>
    <cellStyle name="Total 2 7 5 3 5" xfId="19607" xr:uid="{492103D2-14C4-4E6F-A8A1-D16B02D3C9E7}"/>
    <cellStyle name="Total 2 7 5 3 5 2" xfId="29096" xr:uid="{FCB68AF2-4D8A-4068-B407-DC4BA4E6D3DE}"/>
    <cellStyle name="Total 2 7 5 3 6" xfId="43100" xr:uid="{88FD7792-B045-4F9D-926B-7E78763CBF62}"/>
    <cellStyle name="Total 2 7 5 4" xfId="4915" xr:uid="{00000000-0005-0000-0000-0000B4080000}"/>
    <cellStyle name="Total 2 7 5 4 2" xfId="11810" xr:uid="{38BD8D03-7737-4269-8BF9-73C2E3469476}"/>
    <cellStyle name="Total 2 7 5 4 2 2" xfId="34296" xr:uid="{B1316828-6D92-4E4A-9C79-11D5CB455CEC}"/>
    <cellStyle name="Total 2 7 5 4 2 3" xfId="25319" xr:uid="{B211409C-E1EB-4063-A1E8-5D2BDE1855D8}"/>
    <cellStyle name="Total 2 7 5 4 3" xfId="16852" xr:uid="{940AC09E-54F0-4B0F-914E-4FC4C163F43E}"/>
    <cellStyle name="Total 2 7 5 4 3 2" xfId="39242" xr:uid="{95D50D49-2681-4188-A13D-08077692CA6A}"/>
    <cellStyle name="Total 2 7 5 4 3 3" xfId="23962" xr:uid="{6ACA64C1-9D08-4896-AE10-2172963F6C47}"/>
    <cellStyle name="Total 2 7 5 4 4" xfId="15125" xr:uid="{4B1B083D-E001-47DB-B714-1620CEA68CD1}"/>
    <cellStyle name="Total 2 7 5 4 4 2" xfId="37567" xr:uid="{D3E47D92-F7F7-4490-B338-032FC1B73DC9}"/>
    <cellStyle name="Total 2 7 5 4 4 3" xfId="45085" xr:uid="{EED50A58-D401-426D-AC42-B7EF16798D57}"/>
    <cellStyle name="Total 2 7 5 4 5" xfId="20057" xr:uid="{D9991649-5D3E-4E09-9A30-93BF027AA3B4}"/>
    <cellStyle name="Total 2 7 5 4 5 2" xfId="29612" xr:uid="{1E679FE5-F587-44ED-A912-8D28A0DB53D3}"/>
    <cellStyle name="Total 2 7 5 4 6" xfId="53871" xr:uid="{ADD54A98-9898-462E-AC7E-EC4E768FD95E}"/>
    <cellStyle name="Total 2 7 5 5" xfId="4580" xr:uid="{00000000-0005-0000-0000-0000B4080000}"/>
    <cellStyle name="Total 2 7 5 5 2" xfId="11482" xr:uid="{6C2ECB97-BFA3-430D-B2E1-7F436F423AAF}"/>
    <cellStyle name="Total 2 7 5 5 2 2" xfId="33968" xr:uid="{1A660BEE-7E6B-4FBB-90C8-A9B35204AA6C}"/>
    <cellStyle name="Total 2 7 5 5 2 3" xfId="25129" xr:uid="{DE7CD0E5-4A5A-4276-8B47-3890CFF423B9}"/>
    <cellStyle name="Total 2 7 5 5 3" xfId="16517" xr:uid="{9FD7FE3C-888A-40A5-B389-F5149037AC5D}"/>
    <cellStyle name="Total 2 7 5 5 3 2" xfId="38907" xr:uid="{5320A0CD-75BF-4816-8743-BC3E0383E8BB}"/>
    <cellStyle name="Total 2 7 5 5 3 3" xfId="24037" xr:uid="{400A532D-B307-4409-A159-0939C172F72E}"/>
    <cellStyle name="Total 2 7 5 5 4" xfId="14282" xr:uid="{5FFD31B6-EA39-4376-807F-8A3BBD05D95A}"/>
    <cellStyle name="Total 2 7 5 5 4 2" xfId="36751" xr:uid="{7B18EC59-B3A5-4835-B167-A63167D28535}"/>
    <cellStyle name="Total 2 7 5 5 4 3" xfId="47435" xr:uid="{7830E669-8AB4-4566-BAC1-218FCE3036BD}"/>
    <cellStyle name="Total 2 7 5 5 5" xfId="19596" xr:uid="{C292DB1B-AB2D-4735-8917-30465E99CF2F}"/>
    <cellStyle name="Total 2 7 5 5 5 2" xfId="24380" xr:uid="{A024F260-1A0F-4A2E-A1C9-ACBE6BA486FE}"/>
    <cellStyle name="Total 2 7 5 5 6" xfId="27717" xr:uid="{07981DB9-7720-4AFE-8260-5B0B5BA58080}"/>
    <cellStyle name="Total 2 7 5 6" xfId="4962" xr:uid="{00000000-0005-0000-0000-0000B4080000}"/>
    <cellStyle name="Total 2 7 5 6 2" xfId="11857" xr:uid="{CEE968ED-ED59-4785-8FD8-6ADD68C5138D}"/>
    <cellStyle name="Total 2 7 5 6 2 2" xfId="34343" xr:uid="{3A2759BD-97E1-43E9-B759-318C9F98C3B3}"/>
    <cellStyle name="Total 2 7 5 6 2 3" xfId="28819" xr:uid="{CCE9137F-A201-4C41-8B44-22055D7ADA81}"/>
    <cellStyle name="Total 2 7 5 6 3" xfId="16899" xr:uid="{94EFAACB-2DD2-4EE5-B44D-7A7E759698AB}"/>
    <cellStyle name="Total 2 7 5 6 3 2" xfId="39289" xr:uid="{C81FC12E-5388-4A1E-8C5E-BE8418F53C77}"/>
    <cellStyle name="Total 2 7 5 6 3 3" xfId="44519" xr:uid="{6DB8C60B-5414-4D10-9F8E-C38AB3EA4ED1}"/>
    <cellStyle name="Total 2 7 5 6 4" xfId="15861" xr:uid="{06C03B02-2C9B-41F2-ADF4-3D77DDE4A9C8}"/>
    <cellStyle name="Total 2 7 5 6 4 2" xfId="38267" xr:uid="{BCE7587F-CDEF-4A62-9560-1EA652DF1790}"/>
    <cellStyle name="Total 2 7 5 6 4 3" xfId="51458" xr:uid="{940F489D-24AC-43B4-83C2-15A3C03EF1C8}"/>
    <cellStyle name="Total 2 7 5 6 5" xfId="21323" xr:uid="{4465B8C1-2925-42E3-9010-7E1F84790EFD}"/>
    <cellStyle name="Total 2 7 5 6 5 2" xfId="46095" xr:uid="{526C90B7-2ACB-400A-A353-9F31C45889DD}"/>
    <cellStyle name="Total 2 7 5 6 6" xfId="47035" xr:uid="{24D116DB-1994-489E-8B01-831F0B6A3B53}"/>
    <cellStyle name="Total 2 7 5 7" xfId="6821" xr:uid="{00000000-0005-0000-0000-0000B4080000}"/>
    <cellStyle name="Total 2 7 5 7 2" xfId="13668" xr:uid="{0E9958FD-FD32-4DA0-BDE8-1B07E127DC77}"/>
    <cellStyle name="Total 2 7 5 7 2 2" xfId="36152" xr:uid="{3B73C253-38B4-42C2-AF17-F8216F7EE8DD}"/>
    <cellStyle name="Total 2 7 5 7 2 3" xfId="49782" xr:uid="{6CC43A07-8CC5-4455-8E1B-B98CEBFD9C6B}"/>
    <cellStyle name="Total 2 7 5 7 3" xfId="18758" xr:uid="{D89F1939-A049-41BC-B5F0-9BABF0E877E7}"/>
    <cellStyle name="Total 2 7 5 7 3 2" xfId="41148" xr:uid="{8872BC08-8D51-4735-9D64-CCED0A1DB0E4}"/>
    <cellStyle name="Total 2 7 5 7 3 3" xfId="45611" xr:uid="{0E3C7BC1-2D20-4257-AFF2-F645C309C5A4}"/>
    <cellStyle name="Total 2 7 5 7 4" xfId="19924" xr:uid="{DE47386B-2CD3-40B3-92FD-FAD01A8C967B}"/>
    <cellStyle name="Total 2 7 5 7 4 2" xfId="42256" xr:uid="{60DB0319-8330-4935-9895-DE93BDCC96AE}"/>
    <cellStyle name="Total 2 7 5 7 4 3" xfId="45433" xr:uid="{51C9FBEA-17F2-4651-A937-C83D4BAA825B}"/>
    <cellStyle name="Total 2 7 5 7 5" xfId="23182" xr:uid="{4598110C-DE34-4BDE-B3FC-D9FB751AF463}"/>
    <cellStyle name="Total 2 7 5 7 5 2" xfId="23846" xr:uid="{4438A229-2FF9-42EE-A396-ECF2F76ACA8A}"/>
    <cellStyle name="Total 2 7 5 7 6" xfId="53750" xr:uid="{3F0A528E-F2A6-4891-A987-E4383AC91461}"/>
    <cellStyle name="Total 2 7 5 8" xfId="14090" xr:uid="{33E49515-7B4B-470F-9810-F90D38FE5EA1}"/>
    <cellStyle name="Total 2 7 5 8 2" xfId="36568" xr:uid="{FAF8ABDA-97C3-44C8-91F6-FE4489765F50}"/>
    <cellStyle name="Total 2 7 5 8 3" xfId="26064" xr:uid="{D7906618-C647-449C-99AF-C119B202002A}"/>
    <cellStyle name="Total 2 7 5 9" xfId="20548" xr:uid="{2C0869FD-AB36-45BC-A374-C9798E58E215}"/>
    <cellStyle name="Total 2 7 5 9 2" xfId="42834" xr:uid="{37FA4C0B-11F3-422C-8ABB-BD5D5CF53A30}"/>
    <cellStyle name="Total 2 7 5 9 3" xfId="42084" xr:uid="{6ACA84A1-820A-4971-ACF5-EABCBD18A338}"/>
    <cellStyle name="Total 2 7 6" xfId="1377" xr:uid="{00000000-0005-0000-0000-0000B9080000}"/>
    <cellStyle name="Total 2 7 6 10" xfId="14625" xr:uid="{CBB06242-69C1-4ADD-B5C6-74CAB4B61B85}"/>
    <cellStyle name="Total 2 7 6 10 2" xfId="25987" xr:uid="{D722AB4C-0228-45DC-BEF4-EF7EC294A4B6}"/>
    <cellStyle name="Total 2 7 6 11" xfId="54053" xr:uid="{89A4FB51-C685-4D1D-806F-9413631D1890}"/>
    <cellStyle name="Total 2 7 6 2" xfId="2106" xr:uid="{00000000-0005-0000-0000-0000BA080000}"/>
    <cellStyle name="Total 2 7 6 2 10" xfId="14735" xr:uid="{A5B84BB7-0627-4192-A59B-F4221299BD9C}"/>
    <cellStyle name="Total 2 7 6 2 10 2" xfId="37193" xr:uid="{0504ECDB-4653-4F60-BAEE-832D9A10B52C}"/>
    <cellStyle name="Total 2 7 6 2 10 3" xfId="46224" xr:uid="{2830DC91-DB46-4786-A1CE-C2B59A71B5C4}"/>
    <cellStyle name="Total 2 7 6 2 11" xfId="20811" xr:uid="{181D955F-0701-49AA-9A78-B87D9C34BF63}"/>
    <cellStyle name="Total 2 7 6 2 11 2" xfId="43077" xr:uid="{3B722448-23FB-4579-BC7C-1DEF2C0BBBB1}"/>
    <cellStyle name="Total 2 7 6 2 11 3" xfId="24373" xr:uid="{5E1FDE5F-12CF-45CE-9D46-BC98C821948B}"/>
    <cellStyle name="Total 2 7 6 2 12" xfId="15518" xr:uid="{1C9D3E14-A17D-47E2-B1C3-766EA9DFC379}"/>
    <cellStyle name="Total 2 7 6 2 12 2" xfId="43835" xr:uid="{3BC398AA-DD73-4844-88C1-98FB1F855546}"/>
    <cellStyle name="Total 2 7 6 2 13" xfId="42018" xr:uid="{9AE05F8A-4BA0-41E0-BA5F-15E58C61D5E1}"/>
    <cellStyle name="Total 2 7 6 2 2" xfId="4199" xr:uid="{00000000-0005-0000-0000-0000B7080000}"/>
    <cellStyle name="Total 2 7 6 2 2 2" xfId="11103" xr:uid="{35094B4D-2D30-4AD2-B691-53DA409A2C41}"/>
    <cellStyle name="Total 2 7 6 2 2 2 2" xfId="33589" xr:uid="{C3388FC4-9C2B-45B0-94CB-A9492FBD3852}"/>
    <cellStyle name="Total 2 7 6 2 2 2 3" xfId="53335" xr:uid="{3B6B5129-43E9-4DE9-929D-39E804D9454C}"/>
    <cellStyle name="Total 2 7 6 2 2 3" xfId="16192" xr:uid="{5101DB2B-8D6F-422B-814C-C0E5F3C869F7}"/>
    <cellStyle name="Total 2 7 6 2 2 3 2" xfId="38591" xr:uid="{9358BC6E-E511-460F-B92C-6664A7753A6F}"/>
    <cellStyle name="Total 2 7 6 2 2 3 3" xfId="37494" xr:uid="{985D8C6C-342E-46F5-93B1-A055CEB70ED8}"/>
    <cellStyle name="Total 2 7 6 2 2 4" xfId="20018" xr:uid="{232F0241-F2B9-4CD6-9F76-93E1D66EB2A0}"/>
    <cellStyle name="Total 2 7 6 2 2 4 2" xfId="42342" xr:uid="{4AC5B6C0-535A-4037-8DA3-4715FC942825}"/>
    <cellStyle name="Total 2 7 6 2 2 4 3" xfId="43885" xr:uid="{F5D0D209-6162-41C2-B895-3FD64EC20266}"/>
    <cellStyle name="Total 2 7 6 2 2 5" xfId="14400" xr:uid="{B0E8D37F-0CA8-4ACE-8512-F33B2849ABE7}"/>
    <cellStyle name="Total 2 7 6 2 2 5 2" xfId="47357" xr:uid="{7C4E90B6-3459-4DED-84C4-2D0C6BED762B}"/>
    <cellStyle name="Total 2 7 6 2 2 6" xfId="44114" xr:uid="{F3A12B50-5A84-404E-A7E4-B4BAD13F98B3}"/>
    <cellStyle name="Total 2 7 6 2 3" xfId="5525" xr:uid="{00000000-0005-0000-0000-0000B7080000}"/>
    <cellStyle name="Total 2 7 6 2 3 2" xfId="12414" xr:uid="{F25B77AA-8E6B-452D-B69A-DF0B283BC288}"/>
    <cellStyle name="Total 2 7 6 2 3 2 2" xfId="34899" xr:uid="{26CBD04E-35FC-4F57-93D9-7048F140D53B}"/>
    <cellStyle name="Total 2 7 6 2 3 2 3" xfId="25905" xr:uid="{306C01C8-06B0-4127-9C79-C48A22484618}"/>
    <cellStyle name="Total 2 7 6 2 3 3" xfId="17462" xr:uid="{F1ABEA62-2931-4683-8B62-CD77C343D8AD}"/>
    <cellStyle name="Total 2 7 6 2 3 3 2" xfId="39852" xr:uid="{58E03405-5FDA-41C8-B997-1AA497B068DC}"/>
    <cellStyle name="Total 2 7 6 2 3 3 3" xfId="42978" xr:uid="{241E58B2-19D6-43EF-ABD7-013B6FE71105}"/>
    <cellStyle name="Total 2 7 6 2 3 4" xfId="7583" xr:uid="{90494AC5-DE27-4C87-B9F1-C31F714DE3DF}"/>
    <cellStyle name="Total 2 7 6 2 3 4 2" xfId="30246" xr:uid="{E7B8BD5F-D6B9-4502-BC58-1C8E5E634A88}"/>
    <cellStyle name="Total 2 7 6 2 3 4 3" xfId="45243" xr:uid="{E37D9F12-3570-4F92-AF03-DDC6FEF4A5B5}"/>
    <cellStyle name="Total 2 7 6 2 3 5" xfId="21886" xr:uid="{17480FD8-331B-49D1-B1E8-1E529D662A4D}"/>
    <cellStyle name="Total 2 7 6 2 3 5 2" xfId="52898" xr:uid="{55A027A9-43BB-497E-9F86-47398449B223}"/>
    <cellStyle name="Total 2 7 6 2 3 6" xfId="53752" xr:uid="{326DB2D0-5200-45F0-AC2B-CFE812534DFC}"/>
    <cellStyle name="Total 2 7 6 2 4" xfId="5947" xr:uid="{00000000-0005-0000-0000-0000B7080000}"/>
    <cellStyle name="Total 2 7 6 2 4 2" xfId="12828" xr:uid="{ED0EE821-C588-47FD-A5F7-57E653D016D7}"/>
    <cellStyle name="Total 2 7 6 2 4 2 2" xfId="35312" xr:uid="{43CE1EB1-87FB-4550-AE95-DC336BC84440}"/>
    <cellStyle name="Total 2 7 6 2 4 2 3" xfId="49112" xr:uid="{87895A34-B033-47DA-862B-E116C05C01A2}"/>
    <cellStyle name="Total 2 7 6 2 4 3" xfId="17884" xr:uid="{33F01B6F-07FE-4FE8-9C97-19B09CE93A0E}"/>
    <cellStyle name="Total 2 7 6 2 4 3 2" xfId="40274" xr:uid="{7444B73D-6DA3-4B03-9A48-FE8C20BB9AEA}"/>
    <cellStyle name="Total 2 7 6 2 4 3 3" xfId="24593" xr:uid="{8E1471AE-9EBC-477D-92B5-C0254F214C70}"/>
    <cellStyle name="Total 2 7 6 2 4 4" xfId="15473" xr:uid="{9CBDBDAC-4F3A-4C38-9678-DA2361EF27D2}"/>
    <cellStyle name="Total 2 7 6 2 4 4 2" xfId="37899" xr:uid="{1F6BBA9D-2B71-4AC3-83D4-66C3FF248F05}"/>
    <cellStyle name="Total 2 7 6 2 4 4 3" xfId="43899" xr:uid="{DA55F393-9BE5-45BF-AFCE-8C55516F4F0B}"/>
    <cellStyle name="Total 2 7 6 2 4 5" xfId="22308" xr:uid="{CC630AF7-077C-41B6-8687-D7623EC4A23E}"/>
    <cellStyle name="Total 2 7 6 2 4 5 2" xfId="51663" xr:uid="{A6021BA3-B8FC-4953-9CF7-2C2561D7BAB3}"/>
    <cellStyle name="Total 2 7 6 2 4 6" xfId="27122" xr:uid="{87C77278-6308-4624-8EC7-1E24C66E7390}"/>
    <cellStyle name="Total 2 7 6 2 5" xfId="6287" xr:uid="{00000000-0005-0000-0000-0000B7080000}"/>
    <cellStyle name="Total 2 7 6 2 5 2" xfId="13159" xr:uid="{E2E90432-8988-40C8-B017-2945CF25E307}"/>
    <cellStyle name="Total 2 7 6 2 5 2 2" xfId="35643" xr:uid="{A31F6FC4-2A54-4E97-BEEC-C4B1A72D0582}"/>
    <cellStyle name="Total 2 7 6 2 5 2 3" xfId="46248" xr:uid="{14BDDBB4-3A24-4505-8F25-65675D8E5336}"/>
    <cellStyle name="Total 2 7 6 2 5 3" xfId="18224" xr:uid="{CEE00649-1FA7-4897-B544-D9A90D6DC5D3}"/>
    <cellStyle name="Total 2 7 6 2 5 3 2" xfId="40614" xr:uid="{DE9419CC-7C74-4D89-8EBA-A99046F60D8A}"/>
    <cellStyle name="Total 2 7 6 2 5 3 3" xfId="26141" xr:uid="{ABB3CD95-32C6-414B-8A3C-B6F1004C801B}"/>
    <cellStyle name="Total 2 7 6 2 5 4" xfId="14795" xr:uid="{B564C159-0B6C-4A34-9316-26D1C57885C9}"/>
    <cellStyle name="Total 2 7 6 2 5 4 2" xfId="37251" xr:uid="{59220ADE-3B91-489D-93FA-DE5A0757346A}"/>
    <cellStyle name="Total 2 7 6 2 5 4 3" xfId="43947" xr:uid="{12248324-2CA5-4300-8407-3634FE7C3914}"/>
    <cellStyle name="Total 2 7 6 2 5 5" xfId="22648" xr:uid="{00469EC9-FE22-42A1-A728-D38D17222D26}"/>
    <cellStyle name="Total 2 7 6 2 5 5 2" xfId="43699" xr:uid="{E7331256-C0FB-4373-9EBF-BFFD850F126C}"/>
    <cellStyle name="Total 2 7 6 2 5 6" xfId="46091" xr:uid="{7E042094-AB3F-441F-8C6F-14A5611319CE}"/>
    <cellStyle name="Total 2 7 6 2 6" xfId="6642" xr:uid="{00000000-0005-0000-0000-0000B7080000}"/>
    <cellStyle name="Total 2 7 6 2 6 2" xfId="13508" xr:uid="{0BCBD2BA-9514-40E0-8843-2C8347091D6F}"/>
    <cellStyle name="Total 2 7 6 2 6 2 2" xfId="35992" xr:uid="{3619B28A-02C5-463A-837A-F98034DD6F31}"/>
    <cellStyle name="Total 2 7 6 2 6 2 3" xfId="50880" xr:uid="{A025F74B-C5A0-4A3D-A0A2-BD9592B50DF0}"/>
    <cellStyle name="Total 2 7 6 2 6 3" xfId="18579" xr:uid="{BEE13696-1655-495F-883B-38386200162A}"/>
    <cellStyle name="Total 2 7 6 2 6 3 2" xfId="40969" xr:uid="{AA96D34E-AC92-4501-B0E1-28C9573A25AC}"/>
    <cellStyle name="Total 2 7 6 2 6 3 3" xfId="25724" xr:uid="{F70FD36B-B6B1-481A-A963-003D0A6979FB}"/>
    <cellStyle name="Total 2 7 6 2 6 4" xfId="7306" xr:uid="{1CB3AA76-A725-4212-8A0B-DDD49986703D}"/>
    <cellStyle name="Total 2 7 6 2 6 4 2" xfId="29994" xr:uid="{4BDA9F6A-6F83-47D8-A084-C4E4178A023E}"/>
    <cellStyle name="Total 2 7 6 2 6 4 3" xfId="49335" xr:uid="{8AC9E98B-D00E-49BF-9D71-38C36F841C26}"/>
    <cellStyle name="Total 2 7 6 2 6 5" xfId="23003" xr:uid="{0B168B7F-2ECE-4B58-A6C8-258690705AEC}"/>
    <cellStyle name="Total 2 7 6 2 6 5 2" xfId="51030" xr:uid="{1EA62D3D-5C3C-40B6-95FD-A699EA2BF647}"/>
    <cellStyle name="Total 2 7 6 2 6 6" xfId="43839" xr:uid="{CA26FB93-05DC-4751-84BB-E094831BB8FE}"/>
    <cellStyle name="Total 2 7 6 2 7" xfId="4836" xr:uid="{00000000-0005-0000-0000-0000B7080000}"/>
    <cellStyle name="Total 2 7 6 2 7 2" xfId="11733" xr:uid="{7D544FF1-9221-46C6-A64F-E32EC20761FF}"/>
    <cellStyle name="Total 2 7 6 2 7 2 2" xfId="34219" xr:uid="{8A5337D4-8F91-47A5-846F-BEBF5B99DA0E}"/>
    <cellStyle name="Total 2 7 6 2 7 2 3" xfId="23753" xr:uid="{9510CC33-4B07-4698-8131-E37F0D184BA2}"/>
    <cellStyle name="Total 2 7 6 2 7 3" xfId="16773" xr:uid="{EDC25826-FB39-4DC1-8100-A8E825579F13}"/>
    <cellStyle name="Total 2 7 6 2 7 3 2" xfId="39163" xr:uid="{68C852F4-C8D0-435A-A058-1A4C83A9AEDE}"/>
    <cellStyle name="Total 2 7 6 2 7 3 3" xfId="32528" xr:uid="{2A074B7C-58D3-4FE2-924B-33AB114707B9}"/>
    <cellStyle name="Total 2 7 6 2 7 4" xfId="8671" xr:uid="{7633BA6A-E5FD-4750-9BBF-D94CC0D0D97B}"/>
    <cellStyle name="Total 2 7 6 2 7 4 2" xfId="31257" xr:uid="{BEC081F6-73F8-4762-8F94-E87BB883A9A8}"/>
    <cellStyle name="Total 2 7 6 2 7 4 3" xfId="43014" xr:uid="{DC6DE2C4-59FC-4946-AEF1-0C60F672AF2F}"/>
    <cellStyle name="Total 2 7 6 2 7 5" xfId="9022" xr:uid="{6DD2027F-9EB2-4F56-BB4E-6955533BDFB3}"/>
    <cellStyle name="Total 2 7 6 2 7 5 2" xfId="42529" xr:uid="{85566D72-AE13-4439-A5E5-D492F606CD98}"/>
    <cellStyle name="Total 2 7 6 2 7 6" xfId="48542" xr:uid="{53AC3578-EA11-470E-A06E-B892CF84E8C1}"/>
    <cellStyle name="Total 2 7 6 2 8" xfId="7097" xr:uid="{00000000-0005-0000-0000-0000B7080000}"/>
    <cellStyle name="Total 2 7 6 2 8 2" xfId="13933" xr:uid="{BFEE7E73-A5AF-48AE-8DFD-869CBF4EC253}"/>
    <cellStyle name="Total 2 7 6 2 8 2 2" xfId="36417" xr:uid="{664B04B7-73DF-4F75-A228-211265F870D9}"/>
    <cellStyle name="Total 2 7 6 2 8 2 3" xfId="27933" xr:uid="{5830B1E1-FDAE-4B5F-83C9-27984A8C2876}"/>
    <cellStyle name="Total 2 7 6 2 8 3" xfId="19034" xr:uid="{DE303A35-E316-40D4-9B6D-4F33DD36EC2B}"/>
    <cellStyle name="Total 2 7 6 2 8 3 2" xfId="41424" xr:uid="{5281434C-25B6-4156-93AC-136F7FDFABE3}"/>
    <cellStyle name="Total 2 7 6 2 8 3 3" xfId="28831" xr:uid="{1F0DE257-6A45-40A0-8030-D38502882FA9}"/>
    <cellStyle name="Total 2 7 6 2 8 4" xfId="20316" xr:uid="{67C608FE-E863-4049-B1FD-34D896FCC2BB}"/>
    <cellStyle name="Total 2 7 6 2 8 4 2" xfId="42615" xr:uid="{D47A7FE3-FD2D-47D1-9444-B1C7268B19EA}"/>
    <cellStyle name="Total 2 7 6 2 8 4 3" xfId="45384" xr:uid="{73B5210E-0294-4F8E-8017-F70722601DCD}"/>
    <cellStyle name="Total 2 7 6 2 8 5" xfId="23458" xr:uid="{01957168-9E34-497E-BAE2-FEB0ACA9BCD7}"/>
    <cellStyle name="Total 2 7 6 2 8 5 2" xfId="27203" xr:uid="{0A5C5DDD-632D-4378-AE59-81DB099B0FAE}"/>
    <cellStyle name="Total 2 7 6 2 8 6" xfId="48510" xr:uid="{FA52EEBD-ABB8-4327-9DB2-41C0722B4AB9}"/>
    <cellStyle name="Total 2 7 6 2 9" xfId="7212" xr:uid="{00000000-0005-0000-0000-0000B7080000}"/>
    <cellStyle name="Total 2 7 6 2 9 2" xfId="19149" xr:uid="{CBA924F3-2C3C-481E-91CF-4D9A5D995009}"/>
    <cellStyle name="Total 2 7 6 2 9 2 2" xfId="41539" xr:uid="{FC87C828-1923-4FC1-998F-913B31487730}"/>
    <cellStyle name="Total 2 7 6 2 9 2 3" xfId="29478" xr:uid="{8CED8107-0F23-4F91-86D4-9748217A1E24}"/>
    <cellStyle name="Total 2 7 6 2 9 3" xfId="15230" xr:uid="{BB8FD149-2843-4A32-B34D-1A0B1653140C}"/>
    <cellStyle name="Total 2 7 6 2 9 3 2" xfId="37666" xr:uid="{CACE5752-3F88-4F0D-BF7A-61A88A9FE91D}"/>
    <cellStyle name="Total 2 7 6 2 9 3 3" xfId="29586" xr:uid="{38CC0EE4-DF4B-4D77-B355-94FCF882A736}"/>
    <cellStyle name="Total 2 7 6 2 9 4" xfId="23573" xr:uid="{35C1E0A3-6BBC-491E-B424-F3E34B6BE2F7}"/>
    <cellStyle name="Total 2 7 6 2 9 4 2" xfId="43769" xr:uid="{A54602E7-0787-41BB-B174-4366A5134270}"/>
    <cellStyle name="Total 2 7 6 2 9 5" xfId="25833" xr:uid="{63785D5F-28B8-4DDA-83CA-6135A16686E0}"/>
    <cellStyle name="Total 2 7 6 3" xfId="3481" xr:uid="{00000000-0005-0000-0000-0000B6080000}"/>
    <cellStyle name="Total 2 7 6 3 2" xfId="10388" xr:uid="{2C2D03E2-4C98-4BE6-91F8-8E6613EAA0D8}"/>
    <cellStyle name="Total 2 7 6 3 2 2" xfId="32875" xr:uid="{C40648BC-3A2D-439B-B135-6A3488D62D6F}"/>
    <cellStyle name="Total 2 7 6 3 2 3" xfId="28077" xr:uid="{A8B90720-3987-4FC3-B4F7-763BCA21EC6A}"/>
    <cellStyle name="Total 2 7 6 3 3" xfId="15659" xr:uid="{64CC5A51-B1F9-4E83-B189-9D4DA99C9FA1}"/>
    <cellStyle name="Total 2 7 6 3 3 2" xfId="38075" xr:uid="{5EE35D6D-0A19-41DE-885D-4FBB40C0277F}"/>
    <cellStyle name="Total 2 7 6 3 3 3" xfId="49686" xr:uid="{E0BE2AA4-A25F-484B-93AF-C30FC0DA6DC1}"/>
    <cellStyle name="Total 2 7 6 3 4" xfId="21275" xr:uid="{F68252DA-2EF6-4C5A-AA48-BA3CA1CE8153}"/>
    <cellStyle name="Total 2 7 6 3 4 2" xfId="43510" xr:uid="{712ED46D-E3B4-4575-9C09-5FA1264DC573}"/>
    <cellStyle name="Total 2 7 6 3 4 3" xfId="29623" xr:uid="{FCCFCE1C-7292-4E88-90E6-DFA993C6B061}"/>
    <cellStyle name="Total 2 7 6 3 5" xfId="19866" xr:uid="{35547F8F-2C56-4E77-958D-A630A53F6C65}"/>
    <cellStyle name="Total 2 7 6 3 5 2" xfId="28382" xr:uid="{267C6D7C-50C6-4291-BFE6-0603DDDD7148}"/>
    <cellStyle name="Total 2 7 6 3 6" xfId="48409" xr:uid="{150D0ECF-90B7-4F8E-B278-86D50ED69D6D}"/>
    <cellStyle name="Total 2 7 6 4" xfId="5014" xr:uid="{00000000-0005-0000-0000-0000B6080000}"/>
    <cellStyle name="Total 2 7 6 4 2" xfId="11908" xr:uid="{0D2294C5-8966-444B-B5AE-BC6F29B8FD1B}"/>
    <cellStyle name="Total 2 7 6 4 2 2" xfId="34394" xr:uid="{E91257F6-B9A3-42F3-9B58-7B7B9B823871}"/>
    <cellStyle name="Total 2 7 6 4 2 3" xfId="44764" xr:uid="{231B5BA7-6A1F-4D93-AD4B-22621267E8D0}"/>
    <cellStyle name="Total 2 7 6 4 3" xfId="16951" xr:uid="{C9A5F169-7A69-48E5-8EED-D630098F0015}"/>
    <cellStyle name="Total 2 7 6 4 3 2" xfId="39341" xr:uid="{920B485E-81D1-4CDC-A74E-C4AC48EABC15}"/>
    <cellStyle name="Total 2 7 6 4 3 3" xfId="41685" xr:uid="{39956E29-2A67-4280-84D3-9824AB0E32C4}"/>
    <cellStyle name="Total 2 7 6 4 4" xfId="15227" xr:uid="{CDC64F22-EEBE-426E-91B7-57857CBC1D83}"/>
    <cellStyle name="Total 2 7 6 4 4 2" xfId="37664" xr:uid="{8780B444-A4FD-44B8-994A-1D1BA123EDDF}"/>
    <cellStyle name="Total 2 7 6 4 4 3" xfId="26388" xr:uid="{2FD5F929-8697-48A2-BD49-0201A94A1CBA}"/>
    <cellStyle name="Total 2 7 6 4 5" xfId="21375" xr:uid="{E2C5AAFF-9497-46F4-971F-780E4F6F798D}"/>
    <cellStyle name="Total 2 7 6 4 5 2" xfId="49243" xr:uid="{A72182A9-6B81-4D1A-8D4C-595EBD7F0714}"/>
    <cellStyle name="Total 2 7 6 4 6" xfId="52674" xr:uid="{5B456840-F963-4B19-88BD-CE2E36713608}"/>
    <cellStyle name="Total 2 7 6 5" xfId="5994" xr:uid="{00000000-0005-0000-0000-0000B6080000}"/>
    <cellStyle name="Total 2 7 6 5 2" xfId="12875" xr:uid="{53792735-9C34-42E7-8F7C-BA69B63BC274}"/>
    <cellStyle name="Total 2 7 6 5 2 2" xfId="35359" xr:uid="{593729B5-D6A0-4D7F-8E2C-353517F05691}"/>
    <cellStyle name="Total 2 7 6 5 2 3" xfId="25918" xr:uid="{518BBFF8-5592-43F2-A50E-8296DEF5AF81}"/>
    <cellStyle name="Total 2 7 6 5 3" xfId="17931" xr:uid="{51DE5834-D341-4BE5-AB4F-5E02D6FE05B6}"/>
    <cellStyle name="Total 2 7 6 5 3 2" xfId="40321" xr:uid="{6AD9577E-1760-44CB-A2F4-564619556788}"/>
    <cellStyle name="Total 2 7 6 5 3 3" xfId="42979" xr:uid="{9D267E70-315B-4C13-924A-F9ED0A96B575}"/>
    <cellStyle name="Total 2 7 6 5 4" xfId="8822" xr:uid="{4D6BBA45-CA71-4EFE-8DAB-D84255D3E0F8}"/>
    <cellStyle name="Total 2 7 6 5 4 2" xfId="31403" xr:uid="{BB04DAE0-7FF8-49BF-8F42-9E201B2FA5BC}"/>
    <cellStyle name="Total 2 7 6 5 4 3" xfId="54125" xr:uid="{27F5DD65-B0CF-4B27-93C5-CA9562749E5F}"/>
    <cellStyle name="Total 2 7 6 5 5" xfId="22355" xr:uid="{C0986486-A125-4E9B-9ACC-209D500F1110}"/>
    <cellStyle name="Total 2 7 6 5 5 2" xfId="50138" xr:uid="{75BFA0C2-5BC7-4F11-8F15-CEC221CA5C4E}"/>
    <cellStyle name="Total 2 7 6 5 6" xfId="47824" xr:uid="{3E932320-D55F-487E-B40A-01D806C607BC}"/>
    <cellStyle name="Total 2 7 6 6" xfId="3484" xr:uid="{00000000-0005-0000-0000-0000B6080000}"/>
    <cellStyle name="Total 2 7 6 6 2" xfId="10391" xr:uid="{AE89F32F-1AD0-4EFD-B2D6-A3ED18100008}"/>
    <cellStyle name="Total 2 7 6 6 2 2" xfId="32878" xr:uid="{1629ACAB-3A5C-403D-86AB-B6D1AA9984B1}"/>
    <cellStyle name="Total 2 7 6 6 2 3" xfId="23647" xr:uid="{5DF7C3C5-63CE-4A9D-9EED-9A494EAF8B4C}"/>
    <cellStyle name="Total 2 7 6 6 3" xfId="15662" xr:uid="{788C4D4C-E86E-4698-8911-F70B4BED0AB5}"/>
    <cellStyle name="Total 2 7 6 6 3 2" xfId="38078" xr:uid="{B1856DF2-78A8-4119-A03D-C30086D4FE36}"/>
    <cellStyle name="Total 2 7 6 6 3 3" xfId="49245" xr:uid="{275301CB-3FDA-46DE-9FE9-767EA9B877B3}"/>
    <cellStyle name="Total 2 7 6 6 4" xfId="21021" xr:uid="{6642C31E-27D3-4794-8F84-090E8361E3C0}"/>
    <cellStyle name="Total 2 7 6 6 4 2" xfId="43271" xr:uid="{5B3EA890-6341-4339-8A9D-E35599CFF896}"/>
    <cellStyle name="Total 2 7 6 6 4 3" xfId="52137" xr:uid="{636F093D-A680-4B90-9887-F684ED498B3F}"/>
    <cellStyle name="Total 2 7 6 6 5" xfId="20878" xr:uid="{BE71C370-32A9-4D84-8F0C-FC6C2B4F3EE6}"/>
    <cellStyle name="Total 2 7 6 6 5 2" xfId="43209" xr:uid="{7E0E733D-340D-4EC5-8E0A-3C344917C7CF}"/>
    <cellStyle name="Total 2 7 6 6 6" xfId="38017" xr:uid="{9F8D1ACA-6981-432A-B926-B46C41188FB8}"/>
    <cellStyle name="Total 2 7 6 7" xfId="6359" xr:uid="{00000000-0005-0000-0000-0000B6080000}"/>
    <cellStyle name="Total 2 7 6 7 2" xfId="13231" xr:uid="{4695EF9F-1006-49F2-8088-E460E583E780}"/>
    <cellStyle name="Total 2 7 6 7 2 2" xfId="35715" xr:uid="{3E43C275-AEEE-4FD5-992F-265DF7755625}"/>
    <cellStyle name="Total 2 7 6 7 2 3" xfId="50052" xr:uid="{1389649E-4E19-48B0-BEFF-B4BEBCE52BEF}"/>
    <cellStyle name="Total 2 7 6 7 3" xfId="18296" xr:uid="{6BB86E99-97D6-4BC3-8896-7583DE4F23F7}"/>
    <cellStyle name="Total 2 7 6 7 3 2" xfId="40686" xr:uid="{0BB64AE4-CD5D-4E56-B939-A07F2FC32CBF}"/>
    <cellStyle name="Total 2 7 6 7 3 3" xfId="25241" xr:uid="{D873A0BC-CA71-4F5D-A7B9-B220B7FD5B68}"/>
    <cellStyle name="Total 2 7 6 7 4" xfId="19413" xr:uid="{73063036-B66D-4D75-98AB-7C3178FBA324}"/>
    <cellStyle name="Total 2 7 6 7 4 2" xfId="41785" xr:uid="{EB77FF86-2A13-44F9-A11F-3541192178B9}"/>
    <cellStyle name="Total 2 7 6 7 4 3" xfId="25902" xr:uid="{76F2AC48-5AF9-4A7B-B3D7-A75509D728EE}"/>
    <cellStyle name="Total 2 7 6 7 5" xfId="22720" xr:uid="{8180995E-F3B2-4ABE-95BA-C042BDDAC16A}"/>
    <cellStyle name="Total 2 7 6 7 5 2" xfId="48547" xr:uid="{3E26EB9E-07E9-4019-A763-7094113636FF}"/>
    <cellStyle name="Total 2 7 6 7 6" xfId="43958" xr:uid="{E7E159F3-9363-4D0C-B2A5-45D44361B77A}"/>
    <cellStyle name="Total 2 7 6 8" xfId="14196" xr:uid="{B1DD05F1-3E32-4C5A-A1DA-92988F2F93C6}"/>
    <cellStyle name="Total 2 7 6 8 2" xfId="36671" xr:uid="{9A6D53F1-907F-4CEE-B99C-FBAC5D7EF06F}"/>
    <cellStyle name="Total 2 7 6 8 3" xfId="49898" xr:uid="{874863F8-BB26-4ACD-9B8B-AD78CD318E61}"/>
    <cellStyle name="Total 2 7 6 9" xfId="19407" xr:uid="{06143871-E616-4851-9B90-7F4368B64818}"/>
    <cellStyle name="Total 2 7 6 9 2" xfId="41779" xr:uid="{6D05F400-28C6-4DDA-ADC6-A2C4A8B6C643}"/>
    <cellStyle name="Total 2 7 6 9 3" xfId="28525" xr:uid="{ADCFFD89-F5D2-4F6D-BB9D-F3362B9AA549}"/>
    <cellStyle name="Total 2 7 7" xfId="1649" xr:uid="{00000000-0005-0000-0000-0000BB080000}"/>
    <cellStyle name="Total 2 7 7 10" xfId="14363" xr:uid="{A2D0372C-42C6-42FC-B32A-5BB2F74D7BC9}"/>
    <cellStyle name="Total 2 7 7 10 2" xfId="36831" xr:uid="{7472A6AD-9EA6-4FFF-9B8A-46291467BEBB}"/>
    <cellStyle name="Total 2 7 7 10 3" xfId="52361" xr:uid="{53FDEDCB-BFB4-4376-AFF3-9AD3CA975045}"/>
    <cellStyle name="Total 2 7 7 11" xfId="20220" xr:uid="{4D8479E7-9648-4EEE-9817-53127B990517}"/>
    <cellStyle name="Total 2 7 7 11 2" xfId="42526" xr:uid="{328E8D3E-1DBF-414F-B6C7-24BBF168BFC8}"/>
    <cellStyle name="Total 2 7 7 11 3" xfId="45375" xr:uid="{55B39EB5-C457-48A2-B770-2136870D3E45}"/>
    <cellStyle name="Total 2 7 7 12" xfId="19536" xr:uid="{5C2DFE1E-07DE-43D8-A16F-40FEB8D21344}"/>
    <cellStyle name="Total 2 7 7 12 2" xfId="45428" xr:uid="{B48D61DC-131F-4C67-96B0-AFC07FC6B780}"/>
    <cellStyle name="Total 2 7 7 13" xfId="46762" xr:uid="{2DF5929F-0FB7-4FF8-84C7-CCB69337F3D8}"/>
    <cellStyle name="Total 2 7 7 2" xfId="3747" xr:uid="{00000000-0005-0000-0000-0000B8080000}"/>
    <cellStyle name="Total 2 7 7 2 2" xfId="10651" xr:uid="{F1045976-F186-4525-8EDB-A79B20B57D49}"/>
    <cellStyle name="Total 2 7 7 2 2 2" xfId="33137" xr:uid="{6F076A3C-EE22-49FB-8652-7D4E5D4113EC}"/>
    <cellStyle name="Total 2 7 7 2 2 3" xfId="53940" xr:uid="{4E573979-DCF9-458F-B89B-1DBCBAAB55E5}"/>
    <cellStyle name="Total 2 7 7 2 3" xfId="15828" xr:uid="{AD8ECAB5-40A3-4323-9AC6-BBA29774F9B9}"/>
    <cellStyle name="Total 2 7 7 2 3 2" xfId="38236" xr:uid="{7592971D-E64B-4626-89B2-D4F8EA18FF9B}"/>
    <cellStyle name="Total 2 7 7 2 3 3" xfId="29332" xr:uid="{4B6250C4-F686-4733-8D7E-7247B87B3AC8}"/>
    <cellStyle name="Total 2 7 7 2 4" xfId="15367" xr:uid="{E59250C0-CDC3-4860-A235-DABF4A0B6040}"/>
    <cellStyle name="Total 2 7 7 2 4 2" xfId="37798" xr:uid="{C47F974F-1E31-420F-B767-728C3BCFA018}"/>
    <cellStyle name="Total 2 7 7 2 4 3" xfId="46966" xr:uid="{03275DA5-96E8-4E48-AC78-FA86E139A8E4}"/>
    <cellStyle name="Total 2 7 7 2 5" xfId="14294" xr:uid="{C655A26F-B7D7-458D-AEB9-77C3A98E2E16}"/>
    <cellStyle name="Total 2 7 7 2 5 2" xfId="46702" xr:uid="{6A968AFB-6118-4C6B-8E1C-493FF7DE6976}"/>
    <cellStyle name="Total 2 7 7 2 6" xfId="52703" xr:uid="{7C98EDF4-C2D6-4B56-8F99-4A66C5C7807C}"/>
    <cellStyle name="Total 2 7 7 3" xfId="5182" xr:uid="{00000000-0005-0000-0000-0000B8080000}"/>
    <cellStyle name="Total 2 7 7 3 2" xfId="12075" xr:uid="{9EC9FB42-2075-4203-BD1D-0B5F3F01F8A1}"/>
    <cellStyle name="Total 2 7 7 3 2 2" xfId="34561" xr:uid="{8D3B6113-2638-4AEB-90AE-5D5FF0D8D767}"/>
    <cellStyle name="Total 2 7 7 3 2 3" xfId="42353" xr:uid="{9C57E110-7E44-4E17-B341-68A004497F22}"/>
    <cellStyle name="Total 2 7 7 3 3" xfId="17119" xr:uid="{1B66E9A1-E052-4002-97E9-50B98C9124A1}"/>
    <cellStyle name="Total 2 7 7 3 3 2" xfId="39509" xr:uid="{772530C7-5F23-4076-99C0-22DEC882CC81}"/>
    <cellStyle name="Total 2 7 7 3 3 3" xfId="24645" xr:uid="{5EB83AAE-34C8-499F-8A79-B702B6DFBFC1}"/>
    <cellStyle name="Total 2 7 7 3 4" xfId="7288" xr:uid="{BEA481A2-C112-4F63-BA21-6D911F0FB5E2}"/>
    <cellStyle name="Total 2 7 7 3 4 2" xfId="29976" xr:uid="{137B25C3-F321-4EFB-8A96-B1D504785C6B}"/>
    <cellStyle name="Total 2 7 7 3 4 3" xfId="50036" xr:uid="{0E014C3B-7D53-4235-9551-29EE1F544375}"/>
    <cellStyle name="Total 2 7 7 3 5" xfId="21543" xr:uid="{FFEE1CA4-C8C8-4E74-B0A8-CFDCCDD9BD9B}"/>
    <cellStyle name="Total 2 7 7 3 5 2" xfId="43056" xr:uid="{97BA6A93-C67C-4669-ABD1-0596F53ACAA9}"/>
    <cellStyle name="Total 2 7 7 3 6" xfId="50301" xr:uid="{DA3AD374-8E88-4910-87A4-AF2BA94CBB58}"/>
    <cellStyle name="Total 2 7 7 4" xfId="4945" xr:uid="{00000000-0005-0000-0000-0000B8080000}"/>
    <cellStyle name="Total 2 7 7 4 2" xfId="11840" xr:uid="{B9505402-398F-4EF4-BF02-866A65279F54}"/>
    <cellStyle name="Total 2 7 7 4 2 2" xfId="34326" xr:uid="{931F1244-D8E6-401E-9284-1C3CEC26C47D}"/>
    <cellStyle name="Total 2 7 7 4 2 3" xfId="26353" xr:uid="{5CC6DBF4-9C24-4935-8F3A-B00E271C5A9F}"/>
    <cellStyle name="Total 2 7 7 4 3" xfId="16882" xr:uid="{B81B148B-98D3-44C1-8BD6-022E6A1DE5DE}"/>
    <cellStyle name="Total 2 7 7 4 3 2" xfId="39272" xr:uid="{99595BB7-98BD-45AE-91B3-62FF74A69578}"/>
    <cellStyle name="Total 2 7 7 4 3 3" xfId="28569" xr:uid="{7D442997-9FB4-44DD-8F09-88E912A32B3E}"/>
    <cellStyle name="Total 2 7 7 4 4" xfId="19297" xr:uid="{E644E54F-4EA2-4B5B-B134-2F0E0B256D42}"/>
    <cellStyle name="Total 2 7 7 4 4 2" xfId="41677" xr:uid="{A83F0B58-18D8-46D0-AD32-41BFDACD66DE}"/>
    <cellStyle name="Total 2 7 7 4 4 3" xfId="28551" xr:uid="{3455DF6F-4602-4879-AF52-DD2B61B495DB}"/>
    <cellStyle name="Total 2 7 7 4 5" xfId="21306" xr:uid="{802C55AC-2D70-4CF4-A847-633D164E0827}"/>
    <cellStyle name="Total 2 7 7 4 5 2" xfId="48047" xr:uid="{822BC720-237D-4338-A76C-F845A529BD3E}"/>
    <cellStyle name="Total 2 7 7 4 6" xfId="51809" xr:uid="{7F7FD71D-8C67-4BC9-97A8-3CDEC88321B2}"/>
    <cellStyle name="Total 2 7 7 5" xfId="5117" xr:uid="{00000000-0005-0000-0000-0000B8080000}"/>
    <cellStyle name="Total 2 7 7 5 2" xfId="12010" xr:uid="{444E7AFE-F51A-4264-852E-ED894B212E81}"/>
    <cellStyle name="Total 2 7 7 5 2 2" xfId="34496" xr:uid="{9AF5B310-8A43-4F1E-BE60-B87884681F68}"/>
    <cellStyle name="Total 2 7 7 5 2 3" xfId="28565" xr:uid="{11AC669C-7A78-49E6-BEE1-BB1E30C3FDF2}"/>
    <cellStyle name="Total 2 7 7 5 3" xfId="17054" xr:uid="{85FB1508-20C6-46C4-AB7F-3520572956D8}"/>
    <cellStyle name="Total 2 7 7 5 3 2" xfId="39444" xr:uid="{06AECDBA-FEAB-4C7C-A51C-78442230A11B}"/>
    <cellStyle name="Total 2 7 7 5 3 3" xfId="28529" xr:uid="{C15444C3-E91D-416A-9F50-8CCDFA6461F7}"/>
    <cellStyle name="Total 2 7 7 5 4" xfId="15011" xr:uid="{F729EA46-DA6C-46CD-9572-D7D57F5B9FE3}"/>
    <cellStyle name="Total 2 7 7 5 4 2" xfId="37461" xr:uid="{33A2531F-C0A5-42F6-B119-FA9199E29F9D}"/>
    <cellStyle name="Total 2 7 7 5 4 3" xfId="44476" xr:uid="{3EAE223B-15B2-42A4-B013-1F01F1A3BB94}"/>
    <cellStyle name="Total 2 7 7 5 5" xfId="21478" xr:uid="{9484440F-FB86-40B5-B74A-C2CFC734D5D4}"/>
    <cellStyle name="Total 2 7 7 5 5 2" xfId="49131" xr:uid="{E2CB4230-5FAB-4947-B82C-D24B5BD804E1}"/>
    <cellStyle name="Total 2 7 7 5 6" xfId="28661" xr:uid="{F01D649B-6738-4A9A-8914-3AA6D628CF90}"/>
    <cellStyle name="Total 2 7 7 6" xfId="5778" xr:uid="{00000000-0005-0000-0000-0000B8080000}"/>
    <cellStyle name="Total 2 7 7 6 2" xfId="12661" xr:uid="{6B7D3723-7B45-4305-99FA-6BBC879B8A32}"/>
    <cellStyle name="Total 2 7 7 6 2 2" xfId="35146" xr:uid="{F1661800-06CD-414B-8FF1-2EBACA38142C}"/>
    <cellStyle name="Total 2 7 7 6 2 3" xfId="45753" xr:uid="{BF1DD78B-F13B-4789-85A9-54201F28C113}"/>
    <cellStyle name="Total 2 7 7 6 3" xfId="17715" xr:uid="{DC6E769D-6EBB-4CFB-9699-615BBE1B8877}"/>
    <cellStyle name="Total 2 7 7 6 3 2" xfId="40105" xr:uid="{FBBC8833-8BBC-4993-A1E4-2FE2CCE731E0}"/>
    <cellStyle name="Total 2 7 7 6 3 3" xfId="44050" xr:uid="{C622269E-E5FB-4500-AAD0-5A65A09CD499}"/>
    <cellStyle name="Total 2 7 7 6 4" xfId="19538" xr:uid="{1B897216-63B7-475E-BA9F-426AE21A54CB}"/>
    <cellStyle name="Total 2 7 7 6 4 2" xfId="41897" xr:uid="{CDA5999D-6649-440A-9A21-6060EC546EBC}"/>
    <cellStyle name="Total 2 7 7 6 4 3" xfId="32304" xr:uid="{39675CB2-3863-4D51-BB1D-3B3A3991CF00}"/>
    <cellStyle name="Total 2 7 7 6 5" xfId="22139" xr:uid="{D138A288-18E5-4CD8-9804-6712D2F8FEF0}"/>
    <cellStyle name="Total 2 7 7 6 5 2" xfId="50599" xr:uid="{9F0C2F1F-00D5-414F-A06A-9C1A9FFFC764}"/>
    <cellStyle name="Total 2 7 7 6 6" xfId="23604" xr:uid="{3EA463AD-1E9A-4302-9B8D-F54670AC1DCA}"/>
    <cellStyle name="Total 2 7 7 7" xfId="4768" xr:uid="{00000000-0005-0000-0000-0000B8080000}"/>
    <cellStyle name="Total 2 7 7 7 2" xfId="11666" xr:uid="{F763D794-9931-49CB-85D1-CA607AA28B23}"/>
    <cellStyle name="Total 2 7 7 7 2 2" xfId="34152" xr:uid="{509D07FB-ED6D-4168-AE16-37555828004A}"/>
    <cellStyle name="Total 2 7 7 7 2 3" xfId="27806" xr:uid="{2C39BB04-AB96-4800-9E74-E61EA6B715B9}"/>
    <cellStyle name="Total 2 7 7 7 3" xfId="16705" xr:uid="{4438F37C-4DC8-443C-BB4B-D3145714B5A7}"/>
    <cellStyle name="Total 2 7 7 7 3 2" xfId="39095" xr:uid="{88DA66E9-053C-4406-8A21-0FA8D838381E}"/>
    <cellStyle name="Total 2 7 7 7 3 3" xfId="42005" xr:uid="{D0764379-0BA1-444B-8B64-2FD77429924F}"/>
    <cellStyle name="Total 2 7 7 7 4" xfId="15480" xr:uid="{386A2BEF-D851-4EC5-B46D-E746673692F9}"/>
    <cellStyle name="Total 2 7 7 7 4 2" xfId="37904" xr:uid="{0376E66B-3323-4AD1-8F03-BC2BFF0DE4CD}"/>
    <cellStyle name="Total 2 7 7 7 4 3" xfId="50469" xr:uid="{933B1F98-D902-457B-B9ED-8200758AABA7}"/>
    <cellStyle name="Total 2 7 7 7 5" xfId="13633" xr:uid="{090C7818-5A3B-4954-97C1-104238B95E83}"/>
    <cellStyle name="Total 2 7 7 7 5 2" xfId="47381" xr:uid="{9D305616-898B-4882-8911-08BC58DF3BB1}"/>
    <cellStyle name="Total 2 7 7 7 6" xfId="44813" xr:uid="{221545D1-0157-49E1-BF0A-E81D90080B6F}"/>
    <cellStyle name="Total 2 7 7 8" xfId="6836" xr:uid="{00000000-0005-0000-0000-0000B8080000}"/>
    <cellStyle name="Total 2 7 7 8 2" xfId="13681" xr:uid="{FCDDDF49-AA36-4E4B-8073-E1E01A1E5B26}"/>
    <cellStyle name="Total 2 7 7 8 2 2" xfId="36165" xr:uid="{0169262F-4AB0-4698-A52C-11E396497193}"/>
    <cellStyle name="Total 2 7 7 8 2 3" xfId="25649" xr:uid="{24BA7571-DBF0-4777-8682-D035514438AD}"/>
    <cellStyle name="Total 2 7 7 8 3" xfId="18773" xr:uid="{E92CA374-5085-4F98-925B-C6C2D11F79B1}"/>
    <cellStyle name="Total 2 7 7 8 3 2" xfId="41163" xr:uid="{3E77F4C7-C695-444E-8355-2784B73498E5}"/>
    <cellStyle name="Total 2 7 7 8 3 3" xfId="26211" xr:uid="{9B26D3F4-AA3C-46C1-B215-68D11F287C10}"/>
    <cellStyle name="Total 2 7 7 8 4" xfId="19398" xr:uid="{9E79628D-527A-41F2-AE9E-4E17CE6B2850}"/>
    <cellStyle name="Total 2 7 7 8 4 2" xfId="41771" xr:uid="{4DFD162F-D92A-42E8-92AB-8EF2683FF759}"/>
    <cellStyle name="Total 2 7 7 8 4 3" xfId="44040" xr:uid="{B9E419D4-9AC1-4312-9DB6-6BE3FCD7FB2D}"/>
    <cellStyle name="Total 2 7 7 8 5" xfId="23197" xr:uid="{201B25EF-FB42-48BA-80AC-1847FF5E0CDD}"/>
    <cellStyle name="Total 2 7 7 8 5 2" xfId="47017" xr:uid="{CF0DB5BA-9602-4586-BCC0-1223F7663825}"/>
    <cellStyle name="Total 2 7 7 8 6" xfId="53269" xr:uid="{B162365A-F219-44A6-BADE-32126406F949}"/>
    <cellStyle name="Total 2 7 7 9" xfId="6780" xr:uid="{00000000-0005-0000-0000-0000B8080000}"/>
    <cellStyle name="Total 2 7 7 9 2" xfId="18717" xr:uid="{DAA15DB1-C8AD-4064-983B-512E7B62BE98}"/>
    <cellStyle name="Total 2 7 7 9 2 2" xfId="41107" xr:uid="{7CD7E71B-E99B-4F36-B957-02546F16A771}"/>
    <cellStyle name="Total 2 7 7 9 2 3" xfId="29830" xr:uid="{40EE464E-410C-43E2-A671-8A73997403D1}"/>
    <cellStyle name="Total 2 7 7 9 3" xfId="20959" xr:uid="{638A895B-E70B-48AC-BCF7-07E14C74C437}"/>
    <cellStyle name="Total 2 7 7 9 3 2" xfId="43214" xr:uid="{2AFAAE24-2BCB-4221-917B-A8E8EF2FF4FE}"/>
    <cellStyle name="Total 2 7 7 9 3 3" xfId="53475" xr:uid="{FF2DA263-7E8E-4B62-A81D-B19ADD14919C}"/>
    <cellStyle name="Total 2 7 7 9 4" xfId="23141" xr:uid="{FFA0B4CC-F695-4543-A118-59B190BE8DE8}"/>
    <cellStyle name="Total 2 7 7 9 4 2" xfId="25222" xr:uid="{E699FD95-DAF2-4B3E-BF46-539246E6A513}"/>
    <cellStyle name="Total 2 7 7 9 5" xfId="30917" xr:uid="{D84D73CB-C50F-4761-98E3-FD9922DC1D6B}"/>
    <cellStyle name="Total 2 7 8" xfId="2599" xr:uid="{00000000-0005-0000-0000-0000AD080000}"/>
    <cellStyle name="Total 2 7 8 2" xfId="9508" xr:uid="{E3C7DC46-7493-46AB-94B4-E3DAACDC8ECD}"/>
    <cellStyle name="Total 2 7 8 2 2" xfId="32060" xr:uid="{8122E99A-51F4-4689-B2CE-DE594F1BC74A}"/>
    <cellStyle name="Total 2 7 8 2 3" xfId="28128" xr:uid="{F9FB90A5-A61D-4C69-B801-EE1A2319C470}"/>
    <cellStyle name="Total 2 7 8 3" xfId="15077" xr:uid="{DBE84D4A-117B-46D5-8CD8-D317DA2CAF97}"/>
    <cellStyle name="Total 2 7 8 3 2" xfId="37522" xr:uid="{8A9C1286-807E-4841-850C-DC7A9D6B4EE2}"/>
    <cellStyle name="Total 2 7 8 3 3" xfId="47557" xr:uid="{B6081D0B-11C4-4EA3-A91F-60C8C98BC390}"/>
    <cellStyle name="Total 2 7 8 4" xfId="15693" xr:uid="{90B7026F-FEA6-413A-9D39-4DC4938A532E}"/>
    <cellStyle name="Total 2 7 8 4 2" xfId="38107" xr:uid="{F543F51D-9BA8-4810-95CF-B1852F51061F}"/>
    <cellStyle name="Total 2 7 8 4 3" xfId="49744" xr:uid="{B1379B15-9E62-425F-810B-CC09A8F68D83}"/>
    <cellStyle name="Total 2 7 8 5" xfId="20650" xr:uid="{2661B3EC-EAAF-438C-B7CB-9614BEF36F77}"/>
    <cellStyle name="Total 2 7 8 5 2" xfId="49828" xr:uid="{87AD326D-4CDE-42C1-BFC9-0A8A64A91355}"/>
    <cellStyle name="Total 2 7 8 6" xfId="48888" xr:uid="{1AD45597-4949-4A52-A84D-D988212E22C6}"/>
    <cellStyle name="Total 2 7 9" xfId="4427" xr:uid="{00000000-0005-0000-0000-0000AD080000}"/>
    <cellStyle name="Total 2 7 9 2" xfId="11329" xr:uid="{84429A82-20DE-45B2-89A2-224AFDB04A7E}"/>
    <cellStyle name="Total 2 7 9 2 2" xfId="33815" xr:uid="{60384014-308D-45CC-AA18-C6F4F09EEB7A}"/>
    <cellStyle name="Total 2 7 9 2 3" xfId="29333" xr:uid="{F1605991-2F0A-4AB8-BE8F-85317F6F2BFC}"/>
    <cellStyle name="Total 2 7 9 3" xfId="16364" xr:uid="{26FA5B83-765A-4BEF-B173-28D586A33186}"/>
    <cellStyle name="Total 2 7 9 3 2" xfId="38754" xr:uid="{E993CD90-0AE6-4F2A-8F4F-9B9589F80133}"/>
    <cellStyle name="Total 2 7 9 3 3" xfId="44923" xr:uid="{93C20783-A71E-4B06-B466-41B1BFBBFCE5}"/>
    <cellStyle name="Total 2 7 9 4" xfId="16013" xr:uid="{70102063-FF12-4362-95B8-A50B76AC2D5D}"/>
    <cellStyle name="Total 2 7 9 4 2" xfId="38414" xr:uid="{CD1049CD-C450-4C39-B05C-43DB3BEF5340}"/>
    <cellStyle name="Total 2 7 9 4 3" xfId="42484" xr:uid="{0C2184BE-26C9-402B-A03F-1DEBA2022179}"/>
    <cellStyle name="Total 2 7 9 5" xfId="14264" xr:uid="{01C89FA8-8116-42AE-AAAB-B9838C0A8D12}"/>
    <cellStyle name="Total 2 7 9 5 2" xfId="23609" xr:uid="{CC7DFA9D-B0A9-4995-BC42-51D7C6D035B7}"/>
    <cellStyle name="Total 2 7 9 6" xfId="51627" xr:uid="{F5483733-5518-452C-9DF6-1B2E83A668F9}"/>
    <cellStyle name="Total 2 8" xfId="443" xr:uid="{00000000-0005-0000-0000-0000BC080000}"/>
    <cellStyle name="Total 2 8 10" xfId="6009" xr:uid="{00000000-0005-0000-0000-0000B9080000}"/>
    <cellStyle name="Total 2 8 10 2" xfId="12890" xr:uid="{F40048FD-504B-4990-9D4B-0571A272E277}"/>
    <cellStyle name="Total 2 8 10 2 2" xfId="35374" xr:uid="{B2DA6539-DD0A-4188-BFE9-508DA86A20E8}"/>
    <cellStyle name="Total 2 8 10 2 3" xfId="52563" xr:uid="{25843B0E-4D26-4494-B2B2-78C7E7D9A61E}"/>
    <cellStyle name="Total 2 8 10 3" xfId="17946" xr:uid="{85689284-9C5E-49DF-AE30-B38A039A3D2F}"/>
    <cellStyle name="Total 2 8 10 3 2" xfId="40336" xr:uid="{E67C3923-CA78-4D27-862C-68309B0A2637}"/>
    <cellStyle name="Total 2 8 10 3 3" xfId="26478" xr:uid="{C169CB18-0419-4907-916F-C597F2E18DF8}"/>
    <cellStyle name="Total 2 8 10 4" xfId="8125" xr:uid="{850322FB-9959-4517-87C7-F86630FD5F34}"/>
    <cellStyle name="Total 2 8 10 4 2" xfId="30737" xr:uid="{43F02604-6BB2-4E2B-8C7A-D50C26C00A39}"/>
    <cellStyle name="Total 2 8 10 4 3" xfId="46167" xr:uid="{1F4F7A79-8719-4BD3-B4A0-475B8EFD6F46}"/>
    <cellStyle name="Total 2 8 10 5" xfId="22370" xr:uid="{071773F2-ABA8-4024-BBDC-E9A729E3E34F}"/>
    <cellStyle name="Total 2 8 10 5 2" xfId="48399" xr:uid="{AE799633-29B7-4C8A-8D8A-7D87BB95C2E0}"/>
    <cellStyle name="Total 2 8 10 6" xfId="43728" xr:uid="{70F0AD7C-6EB6-4FE0-A239-52E62825222B}"/>
    <cellStyle name="Total 2 8 11" xfId="5381" xr:uid="{00000000-0005-0000-0000-0000B9080000}"/>
    <cellStyle name="Total 2 8 11 2" xfId="12272" xr:uid="{FCA5B8C4-2C88-4B5F-846B-85356650B0F9}"/>
    <cellStyle name="Total 2 8 11 2 2" xfId="34757" xr:uid="{A99A2CF7-2BD6-440F-8D44-908DAD899B5F}"/>
    <cellStyle name="Total 2 8 11 2 3" xfId="29173" xr:uid="{8179E944-B2F6-463F-8E47-BCBEE460C328}"/>
    <cellStyle name="Total 2 8 11 3" xfId="17318" xr:uid="{F9B60386-F44E-4B13-85A4-D27A5C2F0088}"/>
    <cellStyle name="Total 2 8 11 3 2" xfId="39708" xr:uid="{1434B119-76DD-4BD2-96E5-4C46BC6B8C57}"/>
    <cellStyle name="Total 2 8 11 3 3" xfId="32663" xr:uid="{A37DFF5C-B40E-4E89-BA26-2F34081F7EB1}"/>
    <cellStyle name="Total 2 8 11 4" xfId="19180" xr:uid="{30A41F46-CED9-448A-BC22-B6AC7E063AFB}"/>
    <cellStyle name="Total 2 8 11 4 2" xfId="41570" xr:uid="{3B027FB1-3551-418E-A2A1-B66A2F53B12B}"/>
    <cellStyle name="Total 2 8 11 4 3" xfId="27568" xr:uid="{06F94048-71CB-4005-8E9F-F0495FD81DB3}"/>
    <cellStyle name="Total 2 8 11 5" xfId="21742" xr:uid="{48B57A52-7D72-4879-9B38-20D9978C0CEE}"/>
    <cellStyle name="Total 2 8 11 5 2" xfId="48862" xr:uid="{EBB8E19E-8C67-47E2-A504-821CC46CA1BC}"/>
    <cellStyle name="Total 2 8 11 6" xfId="48877" xr:uid="{F2A4FECA-B7AB-44E6-A077-A362DFA3B9BE}"/>
    <cellStyle name="Total 2 8 12" xfId="4648" xr:uid="{00000000-0005-0000-0000-0000B9080000}"/>
    <cellStyle name="Total 2 8 12 2" xfId="11548" xr:uid="{EE3F9035-88DE-4BFE-8B53-36E6145A389A}"/>
    <cellStyle name="Total 2 8 12 2 2" xfId="34034" xr:uid="{54289970-8524-4C16-B7C6-B2FFD289BF35}"/>
    <cellStyle name="Total 2 8 12 2 3" xfId="41905" xr:uid="{A0EA1614-2DE1-4B35-8FBB-7BBABB8F26CE}"/>
    <cellStyle name="Total 2 8 12 3" xfId="16585" xr:uid="{D301A0D3-1C50-4ADC-B2DC-DDD09BC66FE2}"/>
    <cellStyle name="Total 2 8 12 3 2" xfId="38975" xr:uid="{54A1DECF-4DEB-4A9F-9E86-3D47DEF3D16C}"/>
    <cellStyle name="Total 2 8 12 3 3" xfId="45518" xr:uid="{AFB5D6C5-1283-4E00-8C22-79DB2E020FFC}"/>
    <cellStyle name="Total 2 8 12 4" xfId="15392" xr:uid="{48E5FABD-2AEA-4FBD-8ADB-3BDBEA8F4468}"/>
    <cellStyle name="Total 2 8 12 4 2" xfId="37818" xr:uid="{304D8DF4-9262-4EEB-BA2F-F34A33EECBFA}"/>
    <cellStyle name="Total 2 8 12 4 3" xfId="43624" xr:uid="{90A65B99-6587-4AF5-BEAA-205D59299BCB}"/>
    <cellStyle name="Total 2 8 12 5" xfId="19175" xr:uid="{F70372A5-14B9-4BFA-A7DF-C443F0FFDC6C}"/>
    <cellStyle name="Total 2 8 12 5 2" xfId="45520" xr:uid="{416D95B5-6F15-4977-92EF-6174D40CCCC9}"/>
    <cellStyle name="Total 2 8 12 6" xfId="47873" xr:uid="{F09E11BA-B67A-4990-8C3F-34D3EC1F790F}"/>
    <cellStyle name="Total 2 8 13" xfId="8895" xr:uid="{0BC1865E-02C2-4F95-8CB7-3CA90605686B}"/>
    <cellStyle name="Total 2 8 13 2" xfId="31474" xr:uid="{E39AB303-C23E-48CA-A2A3-E2D0C134F3E1}"/>
    <cellStyle name="Total 2 8 13 3" xfId="27196" xr:uid="{95B92244-E5B4-483C-90B9-2E53BD4C6AFF}"/>
    <cellStyle name="Total 2 8 14" xfId="13989" xr:uid="{C70F79D2-6A53-45A4-9773-20928DD9E659}"/>
    <cellStyle name="Total 2 8 14 2" xfId="36472" xr:uid="{C04253CC-5C66-46D4-8E45-2F400E17E478}"/>
    <cellStyle name="Total 2 8 14 3" xfId="53459" xr:uid="{3F57AC8B-E0AE-4E9F-8FE4-3DE35AECF338}"/>
    <cellStyle name="Total 2 8 15" xfId="20603" xr:uid="{6971194A-B6E8-4A24-AA98-F9ECA13483DE}"/>
    <cellStyle name="Total 2 8 15 2" xfId="52223" xr:uid="{34C961A2-1A50-4625-8CFB-BA5A00CE875E}"/>
    <cellStyle name="Total 2 8 16" xfId="53861" xr:uid="{36C7CDFA-747E-493E-B394-649F19642421}"/>
    <cellStyle name="Total 2 8 2" xfId="596" xr:uid="{00000000-0005-0000-0000-0000BD080000}"/>
    <cellStyle name="Total 2 8 2 10" xfId="14227" xr:uid="{31EFD917-8E64-43D0-9C94-3E34D829D8EB}"/>
    <cellStyle name="Total 2 8 2 10 2" xfId="47788" xr:uid="{85C4D65F-A15F-4C66-8D06-4D85C357F7C1}"/>
    <cellStyle name="Total 2 8 2 11" xfId="52560" xr:uid="{81CE1C13-431B-4A3F-AFCA-28347B7EA65C}"/>
    <cellStyle name="Total 2 8 2 2" xfId="1730" xr:uid="{00000000-0005-0000-0000-0000BE080000}"/>
    <cellStyle name="Total 2 8 2 2 10" xfId="14431" xr:uid="{63AE853B-A9E8-4EED-B08C-56BDE8884F44}"/>
    <cellStyle name="Total 2 8 2 2 10 2" xfId="36897" xr:uid="{C0EACDA5-8377-4D0D-AF81-367A7DFA6BC0}"/>
    <cellStyle name="Total 2 8 2 2 10 3" xfId="49365" xr:uid="{7BA07ED3-A2A0-4D67-9F32-9CD5DEBD7EFD}"/>
    <cellStyle name="Total 2 8 2 2 11" xfId="20102" xr:uid="{EC8A6633-29C8-4581-A793-DAE54CAB0D76}"/>
    <cellStyle name="Total 2 8 2 2 11 2" xfId="42419" xr:uid="{2126C69D-91BF-4145-A269-4C3C397AF528}"/>
    <cellStyle name="Total 2 8 2 2 11 3" xfId="28870" xr:uid="{B3B6E4E9-B613-49FE-A6F8-145DAD655363}"/>
    <cellStyle name="Total 2 8 2 2 12" xfId="19748" xr:uid="{05F818FD-9225-4364-9246-66FDA33495B5}"/>
    <cellStyle name="Total 2 8 2 2 12 2" xfId="26703" xr:uid="{DE2180B7-5265-4810-8CFF-39EB3ED69D35}"/>
    <cellStyle name="Total 2 8 2 2 13" xfId="48496" xr:uid="{98E2B3E8-03C0-4CFF-ABEC-534859FDB970}"/>
    <cellStyle name="Total 2 8 2 2 2" xfId="3828" xr:uid="{00000000-0005-0000-0000-0000BB080000}"/>
    <cellStyle name="Total 2 8 2 2 2 2" xfId="10732" xr:uid="{D6C5E4E6-6327-402D-9FA5-6B4C0A8BD5A2}"/>
    <cellStyle name="Total 2 8 2 2 2 2 2" xfId="33218" xr:uid="{1F66501A-F572-42B5-91B2-25DF51C9BE9D}"/>
    <cellStyle name="Total 2 8 2 2 2 2 3" xfId="25625" xr:uid="{FAB7CC52-8F13-4DE3-BC65-5CBDECE695F8}"/>
    <cellStyle name="Total 2 8 2 2 2 3" xfId="15888" xr:uid="{1430C2A2-9768-44B6-8E8E-DF739F622877}"/>
    <cellStyle name="Total 2 8 2 2 2 3 2" xfId="38294" xr:uid="{725CDCA7-B63A-4C33-9E28-DC5B411D1C78}"/>
    <cellStyle name="Total 2 8 2 2 2 3 3" xfId="53664" xr:uid="{17DCDBAD-87B5-4E46-82B8-FB2FCF738996}"/>
    <cellStyle name="Total 2 8 2 2 2 4" xfId="21116" xr:uid="{DA66BEFC-7EE9-4335-997D-41E671533B9A}"/>
    <cellStyle name="Total 2 8 2 2 2 4 2" xfId="43362" xr:uid="{0E46B71C-6E24-4A0D-92ED-CE2C999D6DF5}"/>
    <cellStyle name="Total 2 8 2 2 2 4 3" xfId="50315" xr:uid="{5E46F171-B534-484B-AA71-D55C64D903CC}"/>
    <cellStyle name="Total 2 8 2 2 2 5" xfId="20829" xr:uid="{322BE9FE-0E98-4635-8662-267BD22E89A9}"/>
    <cellStyle name="Total 2 8 2 2 2 5 2" xfId="49103" xr:uid="{A85C7F21-1A30-4E7E-BCA1-E6A13E457B0F}"/>
    <cellStyle name="Total 2 8 2 2 2 6" xfId="44646" xr:uid="{44DC4A0E-AFA8-4165-A9C0-A4D3964D930A}"/>
    <cellStyle name="Total 2 8 2 2 3" xfId="5244" xr:uid="{00000000-0005-0000-0000-0000BB080000}"/>
    <cellStyle name="Total 2 8 2 2 3 2" xfId="12136" xr:uid="{C5807BEC-26F4-4AFF-9917-56C8FF33B455}"/>
    <cellStyle name="Total 2 8 2 2 3 2 2" xfId="34621" xr:uid="{0496F03E-0331-4675-9B3F-8163323EA3D3}"/>
    <cellStyle name="Total 2 8 2 2 3 2 3" xfId="45873" xr:uid="{2BDF8ADF-6A28-4A2E-B9F5-E402FA5CB36A}"/>
    <cellStyle name="Total 2 8 2 2 3 3" xfId="17181" xr:uid="{1479F17C-72C4-464C-9716-C5E7DD7FD1A2}"/>
    <cellStyle name="Total 2 8 2 2 3 3 2" xfId="39571" xr:uid="{1F66864F-8193-45B3-8138-300C7A8008F0}"/>
    <cellStyle name="Total 2 8 2 2 3 3 3" xfId="26343" xr:uid="{BB0A7885-BA51-43A7-A9AA-B7B8ED691113}"/>
    <cellStyle name="Total 2 8 2 2 3 4" xfId="14161" xr:uid="{3A9BD7E7-D077-4671-86FB-D8FB8EB206AB}"/>
    <cellStyle name="Total 2 8 2 2 3 4 2" xfId="36637" xr:uid="{52AC0DEF-0A80-4F1A-AB56-F964550E438E}"/>
    <cellStyle name="Total 2 8 2 2 3 4 3" xfId="28698" xr:uid="{EF65B1DE-5642-4FAB-B970-92226315AA1B}"/>
    <cellStyle name="Total 2 8 2 2 3 5" xfId="21605" xr:uid="{36F4D07D-8BC8-44BD-ACD1-3492D468E17B}"/>
    <cellStyle name="Total 2 8 2 2 3 5 2" xfId="51782" xr:uid="{90D3E64B-8F9D-4B01-9A09-BDDC65C9BC9B}"/>
    <cellStyle name="Total 2 8 2 2 3 6" xfId="50733" xr:uid="{B62BF067-0647-4CB2-A626-145DFBA00438}"/>
    <cellStyle name="Total 2 8 2 2 4" xfId="5656" xr:uid="{00000000-0005-0000-0000-0000BB080000}"/>
    <cellStyle name="Total 2 8 2 2 4 2" xfId="12540" xr:uid="{49CC3FE3-2448-4E47-B685-7B5B6AE400DF}"/>
    <cellStyle name="Total 2 8 2 2 4 2 2" xfId="35025" xr:uid="{54A0C6E4-DA77-4765-B489-54033426E084}"/>
    <cellStyle name="Total 2 8 2 2 4 2 3" xfId="45792" xr:uid="{4EEF4C5F-F35D-4300-BE46-6258F47B8752}"/>
    <cellStyle name="Total 2 8 2 2 4 3" xfId="17593" xr:uid="{B1E8EBF1-B8CE-4EA4-93F1-2CB9D52BD2DB}"/>
    <cellStyle name="Total 2 8 2 2 4 3 2" xfId="39983" xr:uid="{262A9647-D4BB-4A78-B784-81D9C09D8EA4}"/>
    <cellStyle name="Total 2 8 2 2 4 3 3" xfId="28709" xr:uid="{F86BB34B-BBC7-4737-AAA3-F289040E173F}"/>
    <cellStyle name="Total 2 8 2 2 4 4" xfId="15112" xr:uid="{2E82C41A-1316-4422-B727-E32D52100486}"/>
    <cellStyle name="Total 2 8 2 2 4 4 2" xfId="37554" xr:uid="{793D2B2F-5975-4D08-A6C5-0B3B314A7E8E}"/>
    <cellStyle name="Total 2 8 2 2 4 4 3" xfId="47108" xr:uid="{8F703904-5470-4E92-A446-958716A0AB81}"/>
    <cellStyle name="Total 2 8 2 2 4 5" xfId="22017" xr:uid="{B073DAE2-C40E-447C-A9B8-541AF003A2D2}"/>
    <cellStyle name="Total 2 8 2 2 4 5 2" xfId="44332" xr:uid="{16B1A0D7-B6BE-451D-A908-A2FFEBDC9F1F}"/>
    <cellStyle name="Total 2 8 2 2 4 6" xfId="48640" xr:uid="{160BC539-C007-4831-837E-3C6C78362FAF}"/>
    <cellStyle name="Total 2 8 2 2 5" xfId="5109" xr:uid="{00000000-0005-0000-0000-0000BB080000}"/>
    <cellStyle name="Total 2 8 2 2 5 2" xfId="12002" xr:uid="{539810AB-6C32-46EF-B419-4A19EC84B805}"/>
    <cellStyle name="Total 2 8 2 2 5 2 2" xfId="34488" xr:uid="{F3816F06-9756-4661-A701-422E4C53323A}"/>
    <cellStyle name="Total 2 8 2 2 5 2 3" xfId="27847" xr:uid="{964BCCF8-2DBE-4398-9381-7EEE120A5739}"/>
    <cellStyle name="Total 2 8 2 2 5 3" xfId="17046" xr:uid="{CC65FED2-80F1-4BF7-9300-726808A26246}"/>
    <cellStyle name="Total 2 8 2 2 5 3 2" xfId="39436" xr:uid="{C46F78CC-6A69-483D-8D68-E6B820A3544E}"/>
    <cellStyle name="Total 2 8 2 2 5 3 3" xfId="44393" xr:uid="{9B5CACA8-07FE-4DCF-81E8-DFF5BE2BFAD4}"/>
    <cellStyle name="Total 2 8 2 2 5 4" xfId="15118" xr:uid="{056AC2A3-5113-4278-AE92-EBEAD016F871}"/>
    <cellStyle name="Total 2 8 2 2 5 4 2" xfId="37560" xr:uid="{617C6D76-4623-48C6-B1C5-3D49907D22F0}"/>
    <cellStyle name="Total 2 8 2 2 5 4 3" xfId="52880" xr:uid="{E9C0C781-9514-4705-9104-D24C25E06488}"/>
    <cellStyle name="Total 2 8 2 2 5 5" xfId="21470" xr:uid="{9F02ECC7-6F95-485F-85C9-9B3AEC5D244E}"/>
    <cellStyle name="Total 2 8 2 2 5 5 2" xfId="50291" xr:uid="{AE0E62CE-3B29-49A0-8000-9035E2801FAE}"/>
    <cellStyle name="Total 2 8 2 2 5 6" xfId="47954" xr:uid="{0CB4F71F-9A40-4191-BBCA-A69F777A19B9}"/>
    <cellStyle name="Total 2 8 2 2 6" xfId="6395" xr:uid="{00000000-0005-0000-0000-0000BB080000}"/>
    <cellStyle name="Total 2 8 2 2 6 2" xfId="13267" xr:uid="{B726DE2A-5F4D-4A13-9F5A-EE65B62151E0}"/>
    <cellStyle name="Total 2 8 2 2 6 2 2" xfId="35751" xr:uid="{ED5CA089-8171-4F7D-A2FF-8F7FC96067D8}"/>
    <cellStyle name="Total 2 8 2 2 6 2 3" xfId="51188" xr:uid="{377DDBEF-A7A7-4C61-A3B6-A724C13645A8}"/>
    <cellStyle name="Total 2 8 2 2 6 3" xfId="18332" xr:uid="{357ED9FC-3EDB-4F8C-90E5-6E8821E77D2C}"/>
    <cellStyle name="Total 2 8 2 2 6 3 2" xfId="40722" xr:uid="{4433AE80-A1C5-41AF-837B-6BBBA827DAC7}"/>
    <cellStyle name="Total 2 8 2 2 6 3 3" xfId="25826" xr:uid="{262BC2DF-49D2-4FE5-A753-CE1A9EED0444}"/>
    <cellStyle name="Total 2 8 2 2 6 4" xfId="7947" xr:uid="{90C57F63-51F9-446F-88E8-26BC8ADF67AE}"/>
    <cellStyle name="Total 2 8 2 2 6 4 2" xfId="30571" xr:uid="{F0ECC788-9C44-4255-A359-50A655E59CC0}"/>
    <cellStyle name="Total 2 8 2 2 6 4 3" xfId="45574" xr:uid="{EC6F0130-BEF1-48E9-9D1E-901EEB4A4DD1}"/>
    <cellStyle name="Total 2 8 2 2 6 5" xfId="22756" xr:uid="{B7C8ADD8-0016-4E9F-9D02-4A21778EC1AE}"/>
    <cellStyle name="Total 2 8 2 2 6 5 2" xfId="29155" xr:uid="{AB060ACD-4D36-4B19-88CA-4511612BF082}"/>
    <cellStyle name="Total 2 8 2 2 6 6" xfId="51915" xr:uid="{D1D5E4D9-CE98-46B0-BE57-1613C35472A9}"/>
    <cellStyle name="Total 2 8 2 2 7" xfId="6182" xr:uid="{00000000-0005-0000-0000-0000BB080000}"/>
    <cellStyle name="Total 2 8 2 2 7 2" xfId="13057" xr:uid="{E267509B-6D10-4627-9B1E-DB111C763D12}"/>
    <cellStyle name="Total 2 8 2 2 7 2 2" xfId="35541" xr:uid="{D01AB97E-1883-4363-B0BD-75E2A1AED571}"/>
    <cellStyle name="Total 2 8 2 2 7 2 3" xfId="51857" xr:uid="{D0FB7725-DBEC-468D-8583-65A2F40A1A59}"/>
    <cellStyle name="Total 2 8 2 2 7 3" xfId="18119" xr:uid="{457CCAEC-2DFF-43B4-AB95-EFE67BFFCD64}"/>
    <cellStyle name="Total 2 8 2 2 7 3 2" xfId="40509" xr:uid="{40875E5E-01B3-4FD5-B9B9-B0E94B38A66F}"/>
    <cellStyle name="Total 2 8 2 2 7 3 3" xfId="27575" xr:uid="{31562B2E-E0A7-4A67-973D-7A2050B12F5E}"/>
    <cellStyle name="Total 2 8 2 2 7 4" xfId="15620" xr:uid="{D7E0056E-C96D-4511-9359-A3A980D2ADD3}"/>
    <cellStyle name="Total 2 8 2 2 7 4 2" xfId="38036" xr:uid="{F84152A1-0A40-4F28-A464-099A680AA28E}"/>
    <cellStyle name="Total 2 8 2 2 7 4 3" xfId="48589" xr:uid="{30C81CA9-9D7B-4976-BCC0-64EECA75B460}"/>
    <cellStyle name="Total 2 8 2 2 7 5" xfId="22543" xr:uid="{61445E55-711A-4AE3-AF82-24E21DED651C}"/>
    <cellStyle name="Total 2 8 2 2 7 5 2" xfId="51976" xr:uid="{3C327C33-599F-4608-8399-B99C8E5C6D21}"/>
    <cellStyle name="Total 2 8 2 2 7 6" xfId="43204" xr:uid="{7AF6E881-6CF1-4281-8447-73719894E1D5}"/>
    <cellStyle name="Total 2 8 2 2 8" xfId="6912" xr:uid="{00000000-0005-0000-0000-0000BB080000}"/>
    <cellStyle name="Total 2 8 2 2 8 2" xfId="13750" xr:uid="{C2233301-04D6-499D-8ED2-E5C38AF5AC1B}"/>
    <cellStyle name="Total 2 8 2 2 8 2 2" xfId="36234" xr:uid="{D5F9CF66-49C6-4F69-A054-8E5A00B1BB82}"/>
    <cellStyle name="Total 2 8 2 2 8 2 3" xfId="50691" xr:uid="{EAC027AB-1406-4539-B2CB-703A15BF0BC2}"/>
    <cellStyle name="Total 2 8 2 2 8 3" xfId="18849" xr:uid="{09CCD4D8-E1D0-49AE-BCAB-55862305C6B2}"/>
    <cellStyle name="Total 2 8 2 2 8 3 2" xfId="41239" xr:uid="{3AFD638F-BCCA-41AC-876D-AEB56D8300D8}"/>
    <cellStyle name="Total 2 8 2 2 8 3 3" xfId="27207" xr:uid="{EBCBA69C-AFA0-4F73-AB47-AEE87C9B25CA}"/>
    <cellStyle name="Total 2 8 2 2 8 4" xfId="15038" xr:uid="{C036DDE3-5FF7-4EBA-A18D-BE1397DFC4BA}"/>
    <cellStyle name="Total 2 8 2 2 8 4 2" xfId="37486" xr:uid="{F3614CFE-168C-4F20-87B4-504347962EFB}"/>
    <cellStyle name="Total 2 8 2 2 8 4 3" xfId="32166" xr:uid="{1163D977-1B67-4287-A9C0-5618D5D4D466}"/>
    <cellStyle name="Total 2 8 2 2 8 5" xfId="23273" xr:uid="{866196EE-1DF5-42D7-8DED-26E7EEFF8A70}"/>
    <cellStyle name="Total 2 8 2 2 8 5 2" xfId="30524" xr:uid="{5EA4E508-A529-4573-8FDB-CC4C201CC0B0}"/>
    <cellStyle name="Total 2 8 2 2 8 6" xfId="45250" xr:uid="{BD163F63-6F15-4362-B55D-28E1DE203A5D}"/>
    <cellStyle name="Total 2 8 2 2 9" xfId="6244" xr:uid="{00000000-0005-0000-0000-0000BB080000}"/>
    <cellStyle name="Total 2 8 2 2 9 2" xfId="18181" xr:uid="{2B76B7FD-2358-4F6A-ACB3-A0F0708F4656}"/>
    <cellStyle name="Total 2 8 2 2 9 2 2" xfId="40571" xr:uid="{ACD1EDF7-79CD-412F-A46E-94BA82F90959}"/>
    <cellStyle name="Total 2 8 2 2 9 2 3" xfId="36461" xr:uid="{433394BB-BADA-40E9-9DFD-C835FA4C5AE4}"/>
    <cellStyle name="Total 2 8 2 2 9 3" xfId="14816" xr:uid="{1D9D2694-DA46-46D5-918C-7438713BF2D5}"/>
    <cellStyle name="Total 2 8 2 2 9 3 2" xfId="37271" xr:uid="{E4964C15-DA6B-4528-9A97-1B12FE516C4C}"/>
    <cellStyle name="Total 2 8 2 2 9 3 3" xfId="50442" xr:uid="{7C2C462D-7141-4914-9042-E72DBA829FB5}"/>
    <cellStyle name="Total 2 8 2 2 9 4" xfId="22605" xr:uid="{4C61D7B6-EE65-4C33-BF9A-C38C04437D23}"/>
    <cellStyle name="Total 2 8 2 2 9 4 2" xfId="27938" xr:uid="{B5D8E89E-7F7E-4AE7-8179-F43564E4A1A1}"/>
    <cellStyle name="Total 2 8 2 2 9 5" xfId="32426" xr:uid="{3DD9E3A0-14A1-4918-9C41-07679200F6E8}"/>
    <cellStyle name="Total 2 8 2 3" xfId="2743" xr:uid="{00000000-0005-0000-0000-0000BA080000}"/>
    <cellStyle name="Total 2 8 2 3 2" xfId="9652" xr:uid="{524917DA-532E-447B-A5FB-7C28C8A1E9C7}"/>
    <cellStyle name="Total 2 8 2 3 2 2" xfId="32200" xr:uid="{4A46183B-D684-4241-BA17-5293934725AA}"/>
    <cellStyle name="Total 2 8 2 3 2 3" xfId="47637" xr:uid="{8AA008AD-6223-438F-A1C6-5FF0C0D552F4}"/>
    <cellStyle name="Total 2 8 2 3 3" xfId="15170" xr:uid="{190599F0-621D-431B-B7E4-F15CCE39BFD2}"/>
    <cellStyle name="Total 2 8 2 3 3 2" xfId="37610" xr:uid="{C7904059-E8F0-4BFD-89DA-AE30A59EB164}"/>
    <cellStyle name="Total 2 8 2 3 3 3" xfId="50437" xr:uid="{92439CD6-25F4-476E-9211-4D9D1D31A8F8}"/>
    <cellStyle name="Total 2 8 2 3 4" xfId="14971" xr:uid="{754085A9-8AD6-4D6E-9CE8-172041788938}"/>
    <cellStyle name="Total 2 8 2 3 4 2" xfId="37422" xr:uid="{5F01B01C-1F12-42EE-8F49-0B3A8F00F13B}"/>
    <cellStyle name="Total 2 8 2 3 4 3" xfId="46356" xr:uid="{1B064C2B-2608-439E-9F93-DE7E543852D9}"/>
    <cellStyle name="Total 2 8 2 3 5" xfId="19434" xr:uid="{89DFB2F3-A7D7-40B3-8C98-1DD85AA3D4C2}"/>
    <cellStyle name="Total 2 8 2 3 5 2" xfId="44945" xr:uid="{C654F07F-AD58-44EB-9195-8DD6491A6870}"/>
    <cellStyle name="Total 2 8 2 3 6" xfId="47689" xr:uid="{1AB4378D-0812-406B-900D-228F5C2BB396}"/>
    <cellStyle name="Total 2 8 2 4" xfId="4535" xr:uid="{00000000-0005-0000-0000-0000BA080000}"/>
    <cellStyle name="Total 2 8 2 4 2" xfId="11437" xr:uid="{6F09AF14-E98F-48A1-AFE7-191DBA04A47E}"/>
    <cellStyle name="Total 2 8 2 4 2 2" xfId="33923" xr:uid="{4C525257-F49C-4371-A416-CA90F4826F25}"/>
    <cellStyle name="Total 2 8 2 4 2 3" xfId="32479" xr:uid="{1299FE93-6677-4669-8CBD-A8778A4D0289}"/>
    <cellStyle name="Total 2 8 2 4 3" xfId="16472" xr:uid="{D402F863-3E83-4D7A-84D1-8CDE55A9D0C4}"/>
    <cellStyle name="Total 2 8 2 4 3 2" xfId="38862" xr:uid="{BF4B58A2-3689-4FE3-A89A-EFA41C4DD594}"/>
    <cellStyle name="Total 2 8 2 4 3 3" xfId="29311" xr:uid="{77C11E35-6CEF-4EC2-BBD9-D1309503AA5E}"/>
    <cellStyle name="Total 2 8 2 4 4" xfId="15110" xr:uid="{497FE28A-EFA0-4578-A03D-83EF1943DB55}"/>
    <cellStyle name="Total 2 8 2 4 4 2" xfId="37552" xr:uid="{6814F9F0-575F-4B60-A8C8-84A19B8F9386}"/>
    <cellStyle name="Total 2 8 2 4 4 3" xfId="53398" xr:uid="{E178E5AA-6DCD-44BD-A014-6C9735D5D4DB}"/>
    <cellStyle name="Total 2 8 2 4 5" xfId="20576" xr:uid="{7CB2666E-E1B5-41CF-834C-DCF392AE8EB4}"/>
    <cellStyle name="Total 2 8 2 4 5 2" xfId="53558" xr:uid="{74577113-B633-4415-BF20-5F4B19385C6E}"/>
    <cellStyle name="Total 2 8 2 4 6" xfId="46784" xr:uid="{5FC2D485-3ABD-4A23-AEE7-034E34344712}"/>
    <cellStyle name="Total 2 8 2 5" xfId="6022" xr:uid="{00000000-0005-0000-0000-0000BA080000}"/>
    <cellStyle name="Total 2 8 2 5 2" xfId="12902" xr:uid="{0647CE14-4B85-4693-8437-C1FE568DB04F}"/>
    <cellStyle name="Total 2 8 2 5 2 2" xfId="35386" xr:uid="{356EBCF3-D600-4F71-B2E2-9B8CD147DDD2}"/>
    <cellStyle name="Total 2 8 2 5 2 3" xfId="46382" xr:uid="{2ECD9551-581D-48AB-85D0-312E6DD76342}"/>
    <cellStyle name="Total 2 8 2 5 3" xfId="17959" xr:uid="{8F668405-8202-41A6-90B6-F832B16CDF97}"/>
    <cellStyle name="Total 2 8 2 5 3 2" xfId="40349" xr:uid="{F4539351-3262-45C1-8F97-8EFDF8593357}"/>
    <cellStyle name="Total 2 8 2 5 3 3" xfId="29632" xr:uid="{9331CA4F-3EE8-4464-A089-875069C589B3}"/>
    <cellStyle name="Total 2 8 2 5 4" xfId="8429" xr:uid="{22966FD1-A1A7-4456-AC22-E05930B538DD}"/>
    <cellStyle name="Total 2 8 2 5 4 2" xfId="31017" xr:uid="{F3D3DD76-D8B9-408A-B934-161E39A35DB5}"/>
    <cellStyle name="Total 2 8 2 5 4 3" xfId="43648" xr:uid="{0B8CEC5D-5E74-4E24-9EE4-29E8D49A534F}"/>
    <cellStyle name="Total 2 8 2 5 5" xfId="22383" xr:uid="{FE397AD3-CB8E-4E31-87A6-3DB8041831F5}"/>
    <cellStyle name="Total 2 8 2 5 5 2" xfId="51735" xr:uid="{4880A260-76CE-4214-A6B0-9BDCF7DA8068}"/>
    <cellStyle name="Total 2 8 2 5 6" xfId="51189" xr:uid="{6FF409B6-51AD-465A-BD5B-26670077E97B}"/>
    <cellStyle name="Total 2 8 2 6" xfId="5685" xr:uid="{00000000-0005-0000-0000-0000BA080000}"/>
    <cellStyle name="Total 2 8 2 6 2" xfId="12569" xr:uid="{CC7AD42D-C137-4833-AA87-AE948E9F3F4D}"/>
    <cellStyle name="Total 2 8 2 6 2 2" xfId="35054" xr:uid="{55E11B7B-A198-4400-ADDE-A1CF115C1B71}"/>
    <cellStyle name="Total 2 8 2 6 2 3" xfId="32131" xr:uid="{0284C575-4066-45FF-88CE-E6961A56697B}"/>
    <cellStyle name="Total 2 8 2 6 3" xfId="17622" xr:uid="{BC0C7B9C-0625-4E61-8EB8-EAD3CB52CC5B}"/>
    <cellStyle name="Total 2 8 2 6 3 2" xfId="40012" xr:uid="{97719A77-C5D5-4725-8A7C-8F2DC31D07EC}"/>
    <cellStyle name="Total 2 8 2 6 3 3" xfId="27889" xr:uid="{9CDFABC2-2256-4DFC-9611-FA14D51722AD}"/>
    <cellStyle name="Total 2 8 2 6 4" xfId="19380" xr:uid="{9282C658-0AAB-4282-8DD4-3B5106D69B9A}"/>
    <cellStyle name="Total 2 8 2 6 4 2" xfId="41754" xr:uid="{218B1CD1-551F-402B-ADC6-071E4B9D96EC}"/>
    <cellStyle name="Total 2 8 2 6 4 3" xfId="32329" xr:uid="{6F4A89A6-8CF2-41D8-B6B8-8791817697FB}"/>
    <cellStyle name="Total 2 8 2 6 5" xfId="22046" xr:uid="{425D4A49-0A44-4DC5-AB43-2114E697A004}"/>
    <cellStyle name="Total 2 8 2 6 5 2" xfId="49946" xr:uid="{D2AC2D09-7415-474B-A4A1-ECFECC3AF57A}"/>
    <cellStyle name="Total 2 8 2 6 6" xfId="51387" xr:uid="{9279270B-6F69-463F-8F46-FFFB8222BE2D}"/>
    <cellStyle name="Total 2 8 2 7" xfId="6118" xr:uid="{00000000-0005-0000-0000-0000BA080000}"/>
    <cellStyle name="Total 2 8 2 7 2" xfId="12996" xr:uid="{0406CCA4-973B-4B1E-A3CB-028E5829B9C6}"/>
    <cellStyle name="Total 2 8 2 7 2 2" xfId="35480" xr:uid="{DB95C3D8-7832-4A1D-ACC0-C3961EC5B172}"/>
    <cellStyle name="Total 2 8 2 7 2 3" xfId="46601" xr:uid="{9347734D-6F02-4F8C-ADFF-6F9D78C9004C}"/>
    <cellStyle name="Total 2 8 2 7 3" xfId="18055" xr:uid="{B5A96801-42AE-4849-9766-A0DB3C896F2B}"/>
    <cellStyle name="Total 2 8 2 7 3 2" xfId="40445" xr:uid="{3A07D2BB-6255-4320-90C7-5D2680359E06}"/>
    <cellStyle name="Total 2 8 2 7 3 3" xfId="36688" xr:uid="{D79B8A7C-032F-4ABF-973D-C6256324400A}"/>
    <cellStyle name="Total 2 8 2 7 4" xfId="15994" xr:uid="{2F2B9F72-1FDB-424B-BAB2-91DE852C3EB6}"/>
    <cellStyle name="Total 2 8 2 7 4 2" xfId="38397" xr:uid="{C3F4C2EC-48D8-497B-92A6-23ADD7600C2A}"/>
    <cellStyle name="Total 2 8 2 7 4 3" xfId="29801" xr:uid="{6B154624-01FD-411D-B0DE-3B378DF372F2}"/>
    <cellStyle name="Total 2 8 2 7 5" xfId="22479" xr:uid="{1581DA9D-E77D-478E-A0A2-9CA204635E3B}"/>
    <cellStyle name="Total 2 8 2 7 5 2" xfId="29683" xr:uid="{1468BD15-3CD7-43C6-B7B7-08CF8187DEE3}"/>
    <cellStyle name="Total 2 8 2 7 6" xfId="50253" xr:uid="{52714289-31B9-4F3D-8B67-0D05DAB784AD}"/>
    <cellStyle name="Total 2 8 2 8" xfId="7331" xr:uid="{F65453CF-0F92-4616-9377-2C73708DA403}"/>
    <cellStyle name="Total 2 8 2 8 2" xfId="30019" xr:uid="{9C94A565-203C-4C8D-9779-BB46EFB241CA}"/>
    <cellStyle name="Total 2 8 2 8 3" xfId="51170" xr:uid="{4C64ADA1-E376-4DA1-AF78-AABDCFD2C724}"/>
    <cellStyle name="Total 2 8 2 9" xfId="20184" xr:uid="{857E0886-739D-4E30-93A6-08B989531535}"/>
    <cellStyle name="Total 2 8 2 9 2" xfId="42494" xr:uid="{0FD03DD2-C708-471F-9052-8795F684E0E6}"/>
    <cellStyle name="Total 2 8 2 9 3" xfId="24107" xr:uid="{DE54A679-0377-4BB4-B956-284092F2C229}"/>
    <cellStyle name="Total 2 8 3" xfId="843" xr:uid="{00000000-0005-0000-0000-0000BF080000}"/>
    <cellStyle name="Total 2 8 3 10" xfId="20562" xr:uid="{F9CCCB3A-F678-4A5A-A12E-9EDDCA4C5BE7}"/>
    <cellStyle name="Total 2 8 3 10 2" xfId="48502" xr:uid="{1299ED1E-ED63-46E7-8B87-B1A36850F6B8}"/>
    <cellStyle name="Total 2 8 3 11" xfId="47758" xr:uid="{67DD56C0-2C4E-4505-B01C-4D042E030118}"/>
    <cellStyle name="Total 2 8 3 2" xfId="1828" xr:uid="{00000000-0005-0000-0000-0000C0080000}"/>
    <cellStyle name="Total 2 8 3 2 10" xfId="14512" xr:uid="{3F927754-BA28-43FC-AAE4-B3A45A984390}"/>
    <cellStyle name="Total 2 8 3 2 10 2" xfId="36973" xr:uid="{B14263A7-CC1A-485B-B30D-B729E2F6DA39}"/>
    <cellStyle name="Total 2 8 3 2 10 3" xfId="52862" xr:uid="{862C1E5A-82A8-447B-9F8F-CD1939F24B9B}"/>
    <cellStyle name="Total 2 8 3 2 11" xfId="20012" xr:uid="{41B4F645-93AC-4E46-8216-EF8304CFDAC9}"/>
    <cellStyle name="Total 2 8 3 2 11 2" xfId="42337" xr:uid="{C8D085BB-9134-443F-B9EC-D4E06CA53A74}"/>
    <cellStyle name="Total 2 8 3 2 11 3" xfId="29294" xr:uid="{7D48684E-D028-4CEA-A7D4-30F61584846F}"/>
    <cellStyle name="Total 2 8 3 2 12" xfId="7373" xr:uid="{243137AB-4CBD-4DB5-9118-0AEC5384EB15}"/>
    <cellStyle name="Total 2 8 3 2 12 2" xfId="24496" xr:uid="{21500595-BE70-4DBE-9A0A-20FD766825F7}"/>
    <cellStyle name="Total 2 8 3 2 13" xfId="28137" xr:uid="{711D3B44-C183-4715-A17E-CF803CC446AD}"/>
    <cellStyle name="Total 2 8 3 2 2" xfId="3926" xr:uid="{00000000-0005-0000-0000-0000BD080000}"/>
    <cellStyle name="Total 2 8 3 2 2 2" xfId="10830" xr:uid="{82D4DFC6-6758-4FF6-8E96-3C6A1A5B490A}"/>
    <cellStyle name="Total 2 8 3 2 2 2 2" xfId="33316" xr:uid="{5BED0BC2-9009-4C8A-8520-297C15558EBB}"/>
    <cellStyle name="Total 2 8 3 2 2 2 3" xfId="47235" xr:uid="{995B4C98-895E-466F-ACDA-CEDFEE1B664C}"/>
    <cellStyle name="Total 2 8 3 2 2 3" xfId="15968" xr:uid="{8602733E-1136-44AF-B827-632716BC6F63}"/>
    <cellStyle name="Total 2 8 3 2 2 3 2" xfId="38371" xr:uid="{F5D21182-B11E-4321-B844-CA4856FD0B9D}"/>
    <cellStyle name="Total 2 8 3 2 2 3 3" xfId="48284" xr:uid="{4FEE762D-F883-43C9-8B07-8447558AE921}"/>
    <cellStyle name="Total 2 8 3 2 2 4" xfId="19897" xr:uid="{4267C7E5-415C-4F6F-B626-555522766440}"/>
    <cellStyle name="Total 2 8 3 2 2 4 2" xfId="42230" xr:uid="{47BD26EB-502B-4FF7-8A95-9C0CB7C3F9BC}"/>
    <cellStyle name="Total 2 8 3 2 2 4 3" xfId="24597" xr:uid="{B09269DA-66AD-4164-B85C-054807D2F036}"/>
    <cellStyle name="Total 2 8 3 2 2 5" xfId="19728" xr:uid="{EC61D77A-F5BA-4B6B-9A0F-578FDA170D1E}"/>
    <cellStyle name="Total 2 8 3 2 2 5 2" xfId="23848" xr:uid="{9DB48EA2-B28F-4743-A0B4-B220301F79D6}"/>
    <cellStyle name="Total 2 8 3 2 2 6" xfId="47296" xr:uid="{A4C73F92-A5A0-4DA5-B229-393FE8778FA1}"/>
    <cellStyle name="Total 2 8 3 2 3" xfId="5321" xr:uid="{00000000-0005-0000-0000-0000BD080000}"/>
    <cellStyle name="Total 2 8 3 2 3 2" xfId="12213" xr:uid="{EAD7A253-A4F0-4AF5-990F-3FFFED44A25C}"/>
    <cellStyle name="Total 2 8 3 2 3 2 2" xfId="34698" xr:uid="{80328831-0AA2-46E7-803E-4D62C76D932E}"/>
    <cellStyle name="Total 2 8 3 2 3 2 3" xfId="28652" xr:uid="{0D802CB0-183A-451B-9A4C-3937FB24445E}"/>
    <cellStyle name="Total 2 8 3 2 3 3" xfId="17258" xr:uid="{708325E5-111C-4AAF-82AF-01E287CE05ED}"/>
    <cellStyle name="Total 2 8 3 2 3 3 2" xfId="39648" xr:uid="{27AE5ED1-E2F3-4067-8AB3-5F1450AEC007}"/>
    <cellStyle name="Total 2 8 3 2 3 3 3" xfId="41565" xr:uid="{250B716F-E568-4166-94DF-215957717D41}"/>
    <cellStyle name="Total 2 8 3 2 3 4" xfId="15195" xr:uid="{5099D190-E36A-4679-A440-2AF4131FB84C}"/>
    <cellStyle name="Total 2 8 3 2 3 4 2" xfId="37635" xr:uid="{FAF12C91-B54C-4ABE-82E3-865010C0D591}"/>
    <cellStyle name="Total 2 8 3 2 3 4 3" xfId="47370" xr:uid="{9C266A4D-B0DE-4DD7-B437-BA8D9803F053}"/>
    <cellStyle name="Total 2 8 3 2 3 5" xfId="21682" xr:uid="{A5D5308B-022F-4B3E-BEE6-A11C8C9743C4}"/>
    <cellStyle name="Total 2 8 3 2 3 5 2" xfId="45969" xr:uid="{0FA8F121-DB96-4461-BAC1-A65D13FD10D1}"/>
    <cellStyle name="Total 2 8 3 2 3 6" xfId="50441" xr:uid="{EDC1674D-8FAF-43FD-8D25-B0C470E0B59E}"/>
    <cellStyle name="Total 2 8 3 2 4" xfId="5731" xr:uid="{00000000-0005-0000-0000-0000BD080000}"/>
    <cellStyle name="Total 2 8 3 2 4 2" xfId="12615" xr:uid="{BA1287D9-6174-4216-A51B-7B2FEBF12D46}"/>
    <cellStyle name="Total 2 8 3 2 4 2 2" xfId="35100" xr:uid="{06A5164C-CE6D-4C65-A4D7-CD8DEE10FFC8}"/>
    <cellStyle name="Total 2 8 3 2 4 2 3" xfId="37816" xr:uid="{E32D8C40-E14E-40B1-B642-BB5034C2C7FE}"/>
    <cellStyle name="Total 2 8 3 2 4 3" xfId="17668" xr:uid="{D01EDD72-5CE8-4058-A6BB-3AE382B8648B}"/>
    <cellStyle name="Total 2 8 3 2 4 3 2" xfId="40058" xr:uid="{2D2C213F-92D0-4682-B42B-931FF14D0653}"/>
    <cellStyle name="Total 2 8 3 2 4 3 3" xfId="26692" xr:uid="{7C3E8AF5-D66E-49A1-B47E-D7BDE3D766B7}"/>
    <cellStyle name="Total 2 8 3 2 4 4" xfId="15290" xr:uid="{2ADD6EF6-6655-4EC3-9908-8D1186BAA401}"/>
    <cellStyle name="Total 2 8 3 2 4 4 2" xfId="37722" xr:uid="{AE1FC09A-5A20-4D8A-8C38-C3D164788D27}"/>
    <cellStyle name="Total 2 8 3 2 4 4 3" xfId="50841" xr:uid="{8C85ED52-94B4-4FD1-8D00-80C5A7A32BB7}"/>
    <cellStyle name="Total 2 8 3 2 4 5" xfId="22092" xr:uid="{D81F72B5-8EF5-458D-B780-416163E1A7F4}"/>
    <cellStyle name="Total 2 8 3 2 4 5 2" xfId="49707" xr:uid="{35BAF1D4-799C-4734-8BFC-EEA2F285CEEC}"/>
    <cellStyle name="Total 2 8 3 2 4 6" xfId="43833" xr:uid="{A887E4A8-9F6E-4006-8459-E560B988CEF7}"/>
    <cellStyle name="Total 2 8 3 2 5" xfId="6085" xr:uid="{00000000-0005-0000-0000-0000BD080000}"/>
    <cellStyle name="Total 2 8 3 2 5 2" xfId="12963" xr:uid="{9A6B5194-486F-42D1-9174-050B4A910323}"/>
    <cellStyle name="Total 2 8 3 2 5 2 2" xfId="35447" xr:uid="{5B9E0B7F-D83B-4B44-99A4-9900D2C80395}"/>
    <cellStyle name="Total 2 8 3 2 5 2 3" xfId="48672" xr:uid="{35467495-24AE-4979-B843-29A16FBB9B53}"/>
    <cellStyle name="Total 2 8 3 2 5 3" xfId="18022" xr:uid="{61D5A3F1-CB39-431D-8F45-E05705E5960B}"/>
    <cellStyle name="Total 2 8 3 2 5 3 2" xfId="40412" xr:uid="{8D8A3781-D9AB-452F-B3A3-B5468F67DCDC}"/>
    <cellStyle name="Total 2 8 3 2 5 3 3" xfId="29462" xr:uid="{D0CB5AD7-89FD-4DC5-842B-398B08A46278}"/>
    <cellStyle name="Total 2 8 3 2 5 4" xfId="15466" xr:uid="{3B8D245D-5522-440F-8F2F-EA9D67CD62CE}"/>
    <cellStyle name="Total 2 8 3 2 5 4 2" xfId="37892" xr:uid="{9A1C933D-5227-43A9-8A54-776659476CA2}"/>
    <cellStyle name="Total 2 8 3 2 5 4 3" xfId="24318" xr:uid="{500E9389-FDE4-4F32-A252-21757C468461}"/>
    <cellStyle name="Total 2 8 3 2 5 5" xfId="22446" xr:uid="{ADC09CEE-756E-4E67-9DA6-B4CE154C6E69}"/>
    <cellStyle name="Total 2 8 3 2 5 5 2" xfId="49703" xr:uid="{F2065C1D-69D2-434D-A943-346FBEA11C8E}"/>
    <cellStyle name="Total 2 8 3 2 5 6" xfId="46229" xr:uid="{215279DC-64B3-45FA-8AF7-DBAB22717C45}"/>
    <cellStyle name="Total 2 8 3 2 6" xfId="6460" xr:uid="{00000000-0005-0000-0000-0000BD080000}"/>
    <cellStyle name="Total 2 8 3 2 6 2" xfId="13330" xr:uid="{2CA81D13-B617-446A-B1C6-B299832586B5}"/>
    <cellStyle name="Total 2 8 3 2 6 2 2" xfId="35814" xr:uid="{070B8EF7-2F91-4F24-9517-C912B85C37BD}"/>
    <cellStyle name="Total 2 8 3 2 6 2 3" xfId="47664" xr:uid="{16672D50-EC0D-4B7B-8F6B-8DDAE6570A44}"/>
    <cellStyle name="Total 2 8 3 2 6 3" xfId="18397" xr:uid="{6A9B94D8-31D7-4A3D-8E6E-50851191537D}"/>
    <cellStyle name="Total 2 8 3 2 6 3 2" xfId="40787" xr:uid="{9F19F81F-45E5-4204-AD00-22A6D965D94D}"/>
    <cellStyle name="Total 2 8 3 2 6 3 3" xfId="27687" xr:uid="{11980456-2DDC-4546-ABBF-1A5CB862FEE2}"/>
    <cellStyle name="Total 2 8 3 2 6 4" xfId="14767" xr:uid="{F2417F55-310F-4BDB-AA70-A3023C16A96A}"/>
    <cellStyle name="Total 2 8 3 2 6 4 2" xfId="37224" xr:uid="{17570C25-523E-45AF-A59F-915FD0A4B8BA}"/>
    <cellStyle name="Total 2 8 3 2 6 4 3" xfId="42564" xr:uid="{8F584F9F-74FB-46C8-A2DC-AA8D078EE8D3}"/>
    <cellStyle name="Total 2 8 3 2 6 5" xfId="22821" xr:uid="{022BE52B-EDAA-4D07-9D0B-7EA2C3BED65E}"/>
    <cellStyle name="Total 2 8 3 2 6 5 2" xfId="42948" xr:uid="{6813404F-B1F6-4265-9FA2-00ABA1896094}"/>
    <cellStyle name="Total 2 8 3 2 6 6" xfId="24034" xr:uid="{A416A24B-2FA1-46C5-A9E8-70DF23929BA6}"/>
    <cellStyle name="Total 2 8 3 2 7" xfId="6860" xr:uid="{00000000-0005-0000-0000-0000BD080000}"/>
    <cellStyle name="Total 2 8 3 2 7 2" xfId="13702" xr:uid="{84EAC120-1A9A-4CD9-A1AF-2DE7DBF37E3D}"/>
    <cellStyle name="Total 2 8 3 2 7 2 2" xfId="36186" xr:uid="{6DE7F4F4-424F-4E0D-8C11-63215ECCBEEA}"/>
    <cellStyle name="Total 2 8 3 2 7 2 3" xfId="52878" xr:uid="{E3EDA072-330F-47C2-9291-2723EB0658B5}"/>
    <cellStyle name="Total 2 8 3 2 7 3" xfId="18797" xr:uid="{C2B0355B-2F77-4771-B119-4576E6A54A34}"/>
    <cellStyle name="Total 2 8 3 2 7 3 2" xfId="41187" xr:uid="{ED35DEEE-AB51-4825-A341-BCAA7C9F0C38}"/>
    <cellStyle name="Total 2 8 3 2 7 3 3" xfId="28757" xr:uid="{DF7D2482-F505-48CF-A9FC-208AAE08CE32}"/>
    <cellStyle name="Total 2 8 3 2 7 4" xfId="13974" xr:uid="{621CBE85-7E9C-4CEE-9071-40A7A346C030}"/>
    <cellStyle name="Total 2 8 3 2 7 4 2" xfId="36458" xr:uid="{632898E8-9804-4305-AB44-6906415658BD}"/>
    <cellStyle name="Total 2 8 3 2 7 4 3" xfId="54105" xr:uid="{ACEC1326-262D-4D08-9229-AD8C51BE636C}"/>
    <cellStyle name="Total 2 8 3 2 7 5" xfId="23221" xr:uid="{90291AD6-9B20-4E78-A472-2389DB11C9CB}"/>
    <cellStyle name="Total 2 8 3 2 7 5 2" xfId="45972" xr:uid="{B1313153-DC4A-41E2-AFF2-B078AEB8193E}"/>
    <cellStyle name="Total 2 8 3 2 7 6" xfId="32266" xr:uid="{ACB1421D-ED2F-4A0F-80AB-36DC3C763B76}"/>
    <cellStyle name="Total 2 8 3 2 8" xfId="6960" xr:uid="{00000000-0005-0000-0000-0000BD080000}"/>
    <cellStyle name="Total 2 8 3 2 8 2" xfId="13797" xr:uid="{C37235E1-499F-46CE-9484-EA64ABF98958}"/>
    <cellStyle name="Total 2 8 3 2 8 2 2" xfId="36281" xr:uid="{A8CCBB98-4AC4-43B2-BFE9-1ED8DA9E2356}"/>
    <cellStyle name="Total 2 8 3 2 8 2 3" xfId="53839" xr:uid="{85BF0C2E-AD52-45E4-B8B7-E593E21CE493}"/>
    <cellStyle name="Total 2 8 3 2 8 3" xfId="18897" xr:uid="{CB1876FB-51F6-4958-8317-BCAC1A309C31}"/>
    <cellStyle name="Total 2 8 3 2 8 3 2" xfId="41287" xr:uid="{CF576581-7257-4CFD-8EB5-4FAB73943AB0}"/>
    <cellStyle name="Total 2 8 3 2 8 3 3" xfId="44968" xr:uid="{921C0AF1-E3E5-4AF6-9819-38213B45CDF4}"/>
    <cellStyle name="Total 2 8 3 2 8 4" xfId="20948" xr:uid="{28554B9F-B971-4100-B78C-26D6B8C1F23F}"/>
    <cellStyle name="Total 2 8 3 2 8 4 2" xfId="43206" xr:uid="{1D363B0B-7C73-4799-8BE4-6CA0BDB5155D}"/>
    <cellStyle name="Total 2 8 3 2 8 4 3" xfId="45487" xr:uid="{F635276F-93A3-4871-8F85-DEFB08E6C156}"/>
    <cellStyle name="Total 2 8 3 2 8 5" xfId="23321" xr:uid="{7B65D179-C0BE-411F-8003-8D1AB525F737}"/>
    <cellStyle name="Total 2 8 3 2 8 5 2" xfId="51256" xr:uid="{2ED1225E-9993-47AC-AF5A-BAE679D73C63}"/>
    <cellStyle name="Total 2 8 3 2 8 6" xfId="53981" xr:uid="{50B85E1C-0172-40B5-9798-066882D72421}"/>
    <cellStyle name="Total 2 8 3 2 9" xfId="6852" xr:uid="{00000000-0005-0000-0000-0000BD080000}"/>
    <cellStyle name="Total 2 8 3 2 9 2" xfId="18789" xr:uid="{01660217-4288-4589-B19E-2E4B1BD5E7E0}"/>
    <cellStyle name="Total 2 8 3 2 9 2 2" xfId="41179" xr:uid="{52C342EF-733A-4CBC-A181-4DFDE67847E5}"/>
    <cellStyle name="Total 2 8 3 2 9 2 3" xfId="31953" xr:uid="{AF15684F-8E07-46E3-8CE9-408C4857D25E}"/>
    <cellStyle name="Total 2 8 3 2 9 3" xfId="21244" xr:uid="{B1BDEA6C-BDC4-4E32-9393-45F87798F89A}"/>
    <cellStyle name="Total 2 8 3 2 9 3 2" xfId="43480" xr:uid="{E048759D-A536-4EDE-895E-D8D492DF3A6E}"/>
    <cellStyle name="Total 2 8 3 2 9 3 3" xfId="27618" xr:uid="{9E62881A-84A7-43CF-A045-2FEC43032A96}"/>
    <cellStyle name="Total 2 8 3 2 9 4" xfId="23213" xr:uid="{1349BBBB-E278-453F-A05C-A45E3118DFCA}"/>
    <cellStyle name="Total 2 8 3 2 9 4 2" xfId="47173" xr:uid="{EB7E9C88-75CF-4CB9-A09E-EC480E930A01}"/>
    <cellStyle name="Total 2 8 3 2 9 5" xfId="52210" xr:uid="{4DA1B83E-7E58-48FF-B26D-58483DACF34D}"/>
    <cellStyle name="Total 2 8 3 3" xfId="2976" xr:uid="{00000000-0005-0000-0000-0000BC080000}"/>
    <cellStyle name="Total 2 8 3 3 2" xfId="9885" xr:uid="{40709729-6253-4F99-B18E-DB179A22BDFF}"/>
    <cellStyle name="Total 2 8 3 3 2 2" xfId="32408" xr:uid="{6800F317-4215-47F0-8353-B864B42D95C4}"/>
    <cellStyle name="Total 2 8 3 3 2 3" xfId="41702" xr:uid="{5B40D232-00E3-43C1-9322-EEEE452A2B44}"/>
    <cellStyle name="Total 2 8 3 3 3" xfId="15323" xr:uid="{5FBDE9F8-DC28-4573-BA56-9F14CED91B7E}"/>
    <cellStyle name="Total 2 8 3 3 3 2" xfId="37755" xr:uid="{2D8C6BF8-246D-4A80-AEDC-ED7FB31DA695}"/>
    <cellStyle name="Total 2 8 3 3 3 3" xfId="27948" xr:uid="{712D8678-A167-4F93-9AC8-2C45A44675BB}"/>
    <cellStyle name="Total 2 8 3 3 4" xfId="14762" xr:uid="{8AFE2390-CC99-4B27-AB54-70F579CEC84A}"/>
    <cellStyle name="Total 2 8 3 3 4 2" xfId="37219" xr:uid="{6DC5FDD8-B1B8-4F29-90DE-B822C7253D46}"/>
    <cellStyle name="Total 2 8 3 3 4 3" xfId="46881" xr:uid="{B104C5DC-6430-49D8-AC1B-5DC825425C95}"/>
    <cellStyle name="Total 2 8 3 3 5" xfId="21262" xr:uid="{E8654B57-235C-483E-B3C3-7F04E21A1CD8}"/>
    <cellStyle name="Total 2 8 3 3 5 2" xfId="49404" xr:uid="{2179346F-030B-487C-A05F-612B35E01513}"/>
    <cellStyle name="Total 2 8 3 3 6" xfId="53066" xr:uid="{0A30CC18-330A-4518-B263-EBC76543B1F0}"/>
    <cellStyle name="Total 2 8 3 4" xfId="4687" xr:uid="{00000000-0005-0000-0000-0000BC080000}"/>
    <cellStyle name="Total 2 8 3 4 2" xfId="11585" xr:uid="{129311B3-0716-474F-BB0E-6E570DC80C6B}"/>
    <cellStyle name="Total 2 8 3 4 2 2" xfId="34071" xr:uid="{7B2CF2AC-7ECB-4FB3-983E-19F9E157921F}"/>
    <cellStyle name="Total 2 8 3 4 2 3" xfId="27707" xr:uid="{C251E71E-AD72-45C8-9BA6-BCC2EDB1C9E2}"/>
    <cellStyle name="Total 2 8 3 4 3" xfId="16624" xr:uid="{B16D52E4-4097-4144-97AA-53AB592C0B19}"/>
    <cellStyle name="Total 2 8 3 4 3 2" xfId="39014" xr:uid="{5AC38D57-1301-488C-95B2-9F40B68C6DF9}"/>
    <cellStyle name="Total 2 8 3 4 3 3" xfId="27862" xr:uid="{D4FAF0ED-A3F9-401D-A724-48FD6BD94628}"/>
    <cellStyle name="Total 2 8 3 4 4" xfId="14280" xr:uid="{3CBACCA5-C2AA-48DF-9A3B-ECC851A5EC7C}"/>
    <cellStyle name="Total 2 8 3 4 4 2" xfId="36750" xr:uid="{8680C979-0716-47D1-8814-F9B089B31530}"/>
    <cellStyle name="Total 2 8 3 4 4 3" xfId="53737" xr:uid="{3F201FD5-52A6-47D5-B1C1-8C5E19A202F2}"/>
    <cellStyle name="Total 2 8 3 4 5" xfId="14405" xr:uid="{C0D20F48-E239-464E-A904-77282D9DAA04}"/>
    <cellStyle name="Total 2 8 3 4 5 2" xfId="24791" xr:uid="{E297465C-493B-4F22-9182-66FA7D00169F}"/>
    <cellStyle name="Total 2 8 3 4 6" xfId="52205" xr:uid="{953C7A83-7073-4F04-A001-9EFE6E41F903}"/>
    <cellStyle name="Total 2 8 3 5" xfId="5137" xr:uid="{00000000-0005-0000-0000-0000BC080000}"/>
    <cellStyle name="Total 2 8 3 5 2" xfId="12030" xr:uid="{186B9B7D-B88A-4932-A3A2-36F715FD63B3}"/>
    <cellStyle name="Total 2 8 3 5 2 2" xfId="34516" xr:uid="{1EBDE98E-E69D-410A-9162-07CF110F0FED}"/>
    <cellStyle name="Total 2 8 3 5 2 3" xfId="24327" xr:uid="{1B5E57F4-0709-4C69-A9A8-840E050FF2BA}"/>
    <cellStyle name="Total 2 8 3 5 3" xfId="17074" xr:uid="{A345EBB9-C9F2-46A4-BD39-AEAFF0EF989B}"/>
    <cellStyle name="Total 2 8 3 5 3 2" xfId="39464" xr:uid="{A88B9E21-D410-466D-8456-BBF38F52C45F}"/>
    <cellStyle name="Total 2 8 3 5 3 3" xfId="29061" xr:uid="{E6FD3C50-1C5D-4AB5-BA60-C30665E36A83}"/>
    <cellStyle name="Total 2 8 3 5 4" xfId="14496" xr:uid="{9A899C61-EEF4-47B7-B138-4DD0B1226FF5}"/>
    <cellStyle name="Total 2 8 3 5 4 2" xfId="36957" xr:uid="{E6DB61FB-8467-480C-8E9C-4E046B5917ED}"/>
    <cellStyle name="Total 2 8 3 5 4 3" xfId="29057" xr:uid="{9097FE16-1448-4CD6-A56C-D91656EB925D}"/>
    <cellStyle name="Total 2 8 3 5 5" xfId="21498" xr:uid="{20065293-5106-4305-9266-F5EDEF53FD51}"/>
    <cellStyle name="Total 2 8 3 5 5 2" xfId="49332" xr:uid="{C00F8ABE-6871-445C-94DA-6BFEBAFCB637}"/>
    <cellStyle name="Total 2 8 3 5 6" xfId="48058" xr:uid="{C0982366-5C1A-48F2-B9FE-AF39AD80E5D7}"/>
    <cellStyle name="Total 2 8 3 6" xfId="4764" xr:uid="{00000000-0005-0000-0000-0000BC080000}"/>
    <cellStyle name="Total 2 8 3 6 2" xfId="11662" xr:uid="{D63A4487-71EF-4C2F-A18B-9F50BCDBC153}"/>
    <cellStyle name="Total 2 8 3 6 2 2" xfId="34148" xr:uid="{B9DA2F24-96F3-426B-84FC-02DF91C1376E}"/>
    <cellStyle name="Total 2 8 3 6 2 3" xfId="41908" xr:uid="{6B266B67-20BA-40E7-B59E-45E1A5BB1A3C}"/>
    <cellStyle name="Total 2 8 3 6 3" xfId="16701" xr:uid="{ADB839FB-985A-4C40-9BB5-CBFBED9478A2}"/>
    <cellStyle name="Total 2 8 3 6 3 2" xfId="39091" xr:uid="{A2511383-1ABB-4E11-8100-C5E6203E2EE2}"/>
    <cellStyle name="Total 2 8 3 6 3 3" xfId="24314" xr:uid="{4A064417-D77E-403C-9BF2-BC6DD298A777}"/>
    <cellStyle name="Total 2 8 3 6 4" xfId="19225" xr:uid="{CE1B905F-6758-4405-989F-B56132ECC70A}"/>
    <cellStyle name="Total 2 8 3 6 4 2" xfId="41611" xr:uid="{B30DA9D2-31BF-401F-9100-8026C63F1B60}"/>
    <cellStyle name="Total 2 8 3 6 4 3" xfId="29598" xr:uid="{0BD53AAB-A172-4C30-8620-B8E46F16BB4C}"/>
    <cellStyle name="Total 2 8 3 6 5" xfId="19496" xr:uid="{0D7CE5E2-39D9-46E6-9CE8-1981236920A1}"/>
    <cellStyle name="Total 2 8 3 6 5 2" xfId="28952" xr:uid="{FCEEF415-2CED-48DD-9081-ABC608135D6B}"/>
    <cellStyle name="Total 2 8 3 6 6" xfId="52165" xr:uid="{BD848A67-E2D3-4001-81EA-D09687B5303D}"/>
    <cellStyle name="Total 2 8 3 7" xfId="4356" xr:uid="{00000000-0005-0000-0000-0000BC080000}"/>
    <cellStyle name="Total 2 8 3 7 2" xfId="11259" xr:uid="{2C06050C-F004-4C0F-B096-2346356411BA}"/>
    <cellStyle name="Total 2 8 3 7 2 2" xfId="33745" xr:uid="{7EF2F2FC-C992-45EF-B66D-E81C18FFEB38}"/>
    <cellStyle name="Total 2 8 3 7 2 3" xfId="28032" xr:uid="{67315F93-52A8-4831-AD75-AECC9D784F0D}"/>
    <cellStyle name="Total 2 8 3 7 3" xfId="16293" xr:uid="{03F575A8-16F0-49E8-A7B1-642DE998FA91}"/>
    <cellStyle name="Total 2 8 3 7 3 2" xfId="38683" xr:uid="{F4E7190D-0530-4878-BCFF-434F8D623294}"/>
    <cellStyle name="Total 2 8 3 7 3 3" xfId="32366" xr:uid="{0B91B4CB-01BE-456B-BCD0-5FA15CFF418C}"/>
    <cellStyle name="Total 2 8 3 7 4" xfId="9193" xr:uid="{BBA29698-6FDB-4727-B9AA-1F569B701D8F}"/>
    <cellStyle name="Total 2 8 3 7 4 2" xfId="31768" xr:uid="{1E3D5529-AF15-434A-B240-B3AB07EA1DB8}"/>
    <cellStyle name="Total 2 8 3 7 4 3" xfId="46676" xr:uid="{0AAB05E1-B8C3-437E-B965-7109D36C8080}"/>
    <cellStyle name="Total 2 8 3 7 5" xfId="8676" xr:uid="{958270CB-6070-438F-AEC2-E75226E9F346}"/>
    <cellStyle name="Total 2 8 3 7 5 2" xfId="53125" xr:uid="{6798FDD7-9128-4122-9A3C-71937CA7717A}"/>
    <cellStyle name="Total 2 8 3 7 6" xfId="49579" xr:uid="{CAC119C8-E71D-4306-AF4E-EADE535F7103}"/>
    <cellStyle name="Total 2 8 3 8" xfId="7285" xr:uid="{6F15D018-B7A4-44AF-B009-7E78918B17DA}"/>
    <cellStyle name="Total 2 8 3 8 2" xfId="29973" xr:uid="{E2ECB861-962D-4C18-AC95-F9A3A1277156}"/>
    <cellStyle name="Total 2 8 3 8 3" xfId="27548" xr:uid="{42A8954B-22E1-43AE-86E1-27F1CF7A019D}"/>
    <cellStyle name="Total 2 8 3 9" xfId="19885" xr:uid="{D761B386-43AE-43C8-8129-2F3A7CDF67AF}"/>
    <cellStyle name="Total 2 8 3 9 2" xfId="42218" xr:uid="{DCCD784D-83ED-45CF-B3EB-3236AA5F80B9}"/>
    <cellStyle name="Total 2 8 3 9 3" xfId="32360" xr:uid="{31042D97-1E70-467B-92C3-26F3BA38B27B}"/>
    <cellStyle name="Total 2 8 4" xfId="1030" xr:uid="{00000000-0005-0000-0000-0000C1080000}"/>
    <cellStyle name="Total 2 8 4 10" xfId="19756" xr:uid="{B3221300-A881-41C9-AE85-951FFEDAE9F9}"/>
    <cellStyle name="Total 2 8 4 10 2" xfId="36735" xr:uid="{B3275156-C587-40FD-92DE-C644350259C0}"/>
    <cellStyle name="Total 2 8 4 11" xfId="47391" xr:uid="{00876F38-BD78-4518-ADF4-4C24A3E0DDF1}"/>
    <cellStyle name="Total 2 8 4 2" xfId="1920" xr:uid="{00000000-0005-0000-0000-0000C2080000}"/>
    <cellStyle name="Total 2 8 4 2 10" xfId="14590" xr:uid="{645E890B-A676-49E6-A148-4895835A5201}"/>
    <cellStyle name="Total 2 8 4 2 10 2" xfId="37051" xr:uid="{19E51BE6-8614-4AF3-BE28-E8D571873984}"/>
    <cellStyle name="Total 2 8 4 2 10 3" xfId="49821" xr:uid="{29AEC579-F1ED-4A22-8345-346762E24208}"/>
    <cellStyle name="Total 2 8 4 2 11" xfId="21270" xr:uid="{9889EEFF-E44A-4EEF-8758-9F9863393A64}"/>
    <cellStyle name="Total 2 8 4 2 11 2" xfId="43505" xr:uid="{BF3975DC-C1C6-45E0-AA2E-597AFE958BEF}"/>
    <cellStyle name="Total 2 8 4 2 11 3" xfId="48526" xr:uid="{53BDE1CF-2B2E-4846-91F9-230793880357}"/>
    <cellStyle name="Total 2 8 4 2 12" xfId="7395" xr:uid="{9D671CE3-7E92-4DDF-9329-60F14968BF85}"/>
    <cellStyle name="Total 2 8 4 2 12 2" xfId="37019" xr:uid="{A097773D-60A3-45C0-B555-45879210B0B8}"/>
    <cellStyle name="Total 2 8 4 2 13" xfId="47967" xr:uid="{BF3C6590-9907-4573-BC18-281E88B6372A}"/>
    <cellStyle name="Total 2 8 4 2 2" xfId="4017" xr:uid="{00000000-0005-0000-0000-0000BF080000}"/>
    <cellStyle name="Total 2 8 4 2 2 2" xfId="10921" xr:uid="{57F7DB67-66A8-4D5F-8543-4DDB8D9ADBB9}"/>
    <cellStyle name="Total 2 8 4 2 2 2 2" xfId="33407" xr:uid="{7DBCA5B4-2C57-4A7D-867C-BD2DADB1D207}"/>
    <cellStyle name="Total 2 8 4 2 2 2 3" xfId="46311" xr:uid="{6A51CCC2-2144-4530-9520-DB2637241D1B}"/>
    <cellStyle name="Total 2 8 4 2 2 3" xfId="16041" xr:uid="{8C35A9F4-1476-4A53-BAF4-C5D1DB77CEEB}"/>
    <cellStyle name="Total 2 8 4 2 2 3 2" xfId="38442" xr:uid="{62312C65-467C-4118-8F1F-EDAC3FB96EFC}"/>
    <cellStyle name="Total 2 8 4 2 2 3 3" xfId="42595" xr:uid="{773DAEA8-DEFE-41F3-93C3-D0A8F06F6EB6}"/>
    <cellStyle name="Total 2 8 4 2 2 4" xfId="19551" xr:uid="{D11A4E97-13CC-4CF6-B54B-DDC768BE5C80}"/>
    <cellStyle name="Total 2 8 4 2 2 4 2" xfId="41910" xr:uid="{770424C6-2804-4F97-8D71-B30F20E9A64F}"/>
    <cellStyle name="Total 2 8 4 2 2 4 3" xfId="38659" xr:uid="{9018714B-DDCF-4D1D-B9C9-A38142244B96}"/>
    <cellStyle name="Total 2 8 4 2 2 5" xfId="13820" xr:uid="{08D85E2F-D21E-4432-8E56-15D2AF391A33}"/>
    <cellStyle name="Total 2 8 4 2 2 5 2" xfId="52782" xr:uid="{88F5F6F2-6782-4147-A68B-001B84A7F089}"/>
    <cellStyle name="Total 2 8 4 2 2 6" xfId="52336" xr:uid="{9CA8787E-B5E0-4213-8940-0CBAFDBF865E}"/>
    <cellStyle name="Total 2 8 4 2 3" xfId="5392" xr:uid="{00000000-0005-0000-0000-0000BF080000}"/>
    <cellStyle name="Total 2 8 4 2 3 2" xfId="12283" xr:uid="{8E88A415-301C-429A-A636-AE41C816903D}"/>
    <cellStyle name="Total 2 8 4 2 3 2 2" xfId="34768" xr:uid="{6935F049-90A5-414B-92D3-BDCCDAC4DF26}"/>
    <cellStyle name="Total 2 8 4 2 3 2 3" xfId="28121" xr:uid="{75928E16-9AEF-4C3D-A0FD-DAC46DFCEB6E}"/>
    <cellStyle name="Total 2 8 4 2 3 3" xfId="17329" xr:uid="{199FCD76-9665-4FB5-962E-E897E92484BA}"/>
    <cellStyle name="Total 2 8 4 2 3 3 2" xfId="39719" xr:uid="{151F5B72-ECF0-4788-9BE6-1B93E8F54A21}"/>
    <cellStyle name="Total 2 8 4 2 3 3 3" xfId="44856" xr:uid="{DA1E0378-BEFC-469D-826B-C84F18E3AF84}"/>
    <cellStyle name="Total 2 8 4 2 3 4" xfId="19271" xr:uid="{2EF2416A-C092-42EC-B66D-CC9E6D96AE82}"/>
    <cellStyle name="Total 2 8 4 2 3 4 2" xfId="41654" xr:uid="{84D73555-EC78-4575-BE65-6507464EEEF3}"/>
    <cellStyle name="Total 2 8 4 2 3 4 3" xfId="29488" xr:uid="{042FF993-31AF-4A33-A469-7944249F562B}"/>
    <cellStyle name="Total 2 8 4 2 3 5" xfId="21753" xr:uid="{7FFF1DBE-BE0D-4A16-99E2-976C9D07E494}"/>
    <cellStyle name="Total 2 8 4 2 3 5 2" xfId="50636" xr:uid="{7B9FAB17-648E-4134-8815-F0BBD8CE814D}"/>
    <cellStyle name="Total 2 8 4 2 3 6" xfId="51543" xr:uid="{9057FBC7-EE8D-4A60-9A3F-A448184ABB53}"/>
    <cellStyle name="Total 2 8 4 2 4" xfId="5805" xr:uid="{00000000-0005-0000-0000-0000BF080000}"/>
    <cellStyle name="Total 2 8 4 2 4 2" xfId="12688" xr:uid="{0A7FE9AF-00EA-4CBD-A23B-60D7A5BE6B4C}"/>
    <cellStyle name="Total 2 8 4 2 4 2 2" xfId="35173" xr:uid="{CFE4DC01-9535-46B4-A588-5223B9FA45FE}"/>
    <cellStyle name="Total 2 8 4 2 4 2 3" xfId="27606" xr:uid="{2F96C6C1-C832-48BE-88E8-7FDA4E20F039}"/>
    <cellStyle name="Total 2 8 4 2 4 3" xfId="17742" xr:uid="{C4EF589F-89A1-4371-9F8F-ADEE97C14B60}"/>
    <cellStyle name="Total 2 8 4 2 4 3 2" xfId="40132" xr:uid="{68A3A1D8-1D21-44D0-8631-2C28E46121EC}"/>
    <cellStyle name="Total 2 8 4 2 4 3 3" xfId="32453" xr:uid="{AD51AB23-93C3-4CCE-A462-EFEF9F1EBB88}"/>
    <cellStyle name="Total 2 8 4 2 4 4" xfId="13972" xr:uid="{29AF0548-67FC-4002-94C1-5A3DA1F88EF5}"/>
    <cellStyle name="Total 2 8 4 2 4 4 2" xfId="36456" xr:uid="{E767E9EB-9F25-4E87-912B-10898D390A95}"/>
    <cellStyle name="Total 2 8 4 2 4 4 3" xfId="42488" xr:uid="{45E6944B-0E4E-4879-88E1-E23D5D55A921}"/>
    <cellStyle name="Total 2 8 4 2 4 5" xfId="22166" xr:uid="{AF41E16F-28F8-441E-BC6E-084D7FBC6BDE}"/>
    <cellStyle name="Total 2 8 4 2 4 5 2" xfId="50508" xr:uid="{124CC999-B868-4B50-947B-D13679CFA948}"/>
    <cellStyle name="Total 2 8 4 2 4 6" xfId="47906" xr:uid="{AE5A352F-EAB4-4E18-B420-DEC5FBA45377}"/>
    <cellStyle name="Total 2 8 4 2 5" xfId="6149" xr:uid="{00000000-0005-0000-0000-0000BF080000}"/>
    <cellStyle name="Total 2 8 4 2 5 2" xfId="13026" xr:uid="{9ECA33A3-E92E-4692-A21E-31D9EA5E0E54}"/>
    <cellStyle name="Total 2 8 4 2 5 2 2" xfId="35510" xr:uid="{09AE99FB-85F8-4E60-B507-219B3F2B7FD7}"/>
    <cellStyle name="Total 2 8 4 2 5 2 3" xfId="48668" xr:uid="{26E5A366-580D-4F84-9C22-1199842DF47E}"/>
    <cellStyle name="Total 2 8 4 2 5 3" xfId="18086" xr:uid="{FF200111-4F1C-4D63-9498-44E58852B6BD}"/>
    <cellStyle name="Total 2 8 4 2 5 3 2" xfId="40476" xr:uid="{DB65B680-DC9C-449C-B4B9-8E0F4BAE61B5}"/>
    <cellStyle name="Total 2 8 4 2 5 3 3" xfId="26258" xr:uid="{F1BF6D69-7256-4868-8859-59C770EB0FAA}"/>
    <cellStyle name="Total 2 8 4 2 5 4" xfId="15370" xr:uid="{C6B8AEDD-51A6-47C5-900B-800202AE5A30}"/>
    <cellStyle name="Total 2 8 4 2 5 4 2" xfId="37801" xr:uid="{41B11FF4-0C5F-465B-9EE1-7B3A7688317B}"/>
    <cellStyle name="Total 2 8 4 2 5 4 3" xfId="50035" xr:uid="{B8529774-5221-4420-BCED-E183057BF9EA}"/>
    <cellStyle name="Total 2 8 4 2 5 5" xfId="22510" xr:uid="{68FF0728-F74A-4D11-BFD9-63608890F8F5}"/>
    <cellStyle name="Total 2 8 4 2 5 5 2" xfId="38090" xr:uid="{9FA6B815-0D63-450F-813D-93CBCF7C2259}"/>
    <cellStyle name="Total 2 8 4 2 5 6" xfId="52855" xr:uid="{AE712A7F-3E5A-4471-9112-41D85BABDEC2}"/>
    <cellStyle name="Total 2 8 4 2 6" xfId="6522" xr:uid="{00000000-0005-0000-0000-0000BF080000}"/>
    <cellStyle name="Total 2 8 4 2 6 2" xfId="13391" xr:uid="{DC6A10FB-2FA6-408B-BA20-74B5D4A2A2F4}"/>
    <cellStyle name="Total 2 8 4 2 6 2 2" xfId="35875" xr:uid="{5FEE73EF-8D8D-4EB9-A585-B039B13B94C9}"/>
    <cellStyle name="Total 2 8 4 2 6 2 3" xfId="53525" xr:uid="{67D8FEE5-7118-43F1-8BB3-4608D28E056E}"/>
    <cellStyle name="Total 2 8 4 2 6 3" xfId="18459" xr:uid="{FF78526A-B0DE-4446-9089-760B67971659}"/>
    <cellStyle name="Total 2 8 4 2 6 3 2" xfId="40849" xr:uid="{E15E0E9C-AC14-40FA-9C3E-C08D9F8FA1E7}"/>
    <cellStyle name="Total 2 8 4 2 6 3 3" xfId="29661" xr:uid="{7CB3C947-2F9D-4220-9D6E-F7CB8D6A37A9}"/>
    <cellStyle name="Total 2 8 4 2 6 4" xfId="20735" xr:uid="{296B3DD1-0BF1-4EF6-8D5B-E8C709F3F202}"/>
    <cellStyle name="Total 2 8 4 2 6 4 2" xfId="43006" xr:uid="{491AE41C-497A-4BD3-AD3A-E5D15980B71C}"/>
    <cellStyle name="Total 2 8 4 2 6 4 3" xfId="49655" xr:uid="{042105A4-4D5E-41A7-A44C-7089FB0C5AAE}"/>
    <cellStyle name="Total 2 8 4 2 6 5" xfId="22883" xr:uid="{C09E15AD-FB7D-4322-9317-AEBE0F073004}"/>
    <cellStyle name="Total 2 8 4 2 6 5 2" xfId="32687" xr:uid="{5F3B9E45-3AA6-41BA-ACD7-AA847C61990D}"/>
    <cellStyle name="Total 2 8 4 2 6 6" xfId="28513" xr:uid="{9D52C875-2D35-4A8C-843B-668257AA9934}"/>
    <cellStyle name="Total 2 8 4 2 7" xfId="6555" xr:uid="{00000000-0005-0000-0000-0000BF080000}"/>
    <cellStyle name="Total 2 8 4 2 7 2" xfId="13422" xr:uid="{2945EF78-C7E9-4188-A391-6D004A10C844}"/>
    <cellStyle name="Total 2 8 4 2 7 2 2" xfId="35906" xr:uid="{ED8D6BAD-0361-4FBE-96C6-441B234DEFD4}"/>
    <cellStyle name="Total 2 8 4 2 7 2 3" xfId="26030" xr:uid="{8CE41DBA-652B-4FFE-9F0B-E3853708EBBC}"/>
    <cellStyle name="Total 2 8 4 2 7 3" xfId="18492" xr:uid="{EF9A0174-AEAC-44F3-9823-AD97945C7C03}"/>
    <cellStyle name="Total 2 8 4 2 7 3 2" xfId="40882" xr:uid="{3AEA44F2-BE07-4016-9C1E-E338B3795592}"/>
    <cellStyle name="Total 2 8 4 2 7 3 3" xfId="30972" xr:uid="{4FFAE2D4-9C38-47C4-8057-FA1EDC460A7E}"/>
    <cellStyle name="Total 2 8 4 2 7 4" xfId="20824" xr:uid="{3B34250E-C9A5-4124-BC41-CE55CBF33C48}"/>
    <cellStyle name="Total 2 8 4 2 7 4 2" xfId="43090" xr:uid="{43BA5C2C-4FB4-4265-ABBF-16669E6F3A51}"/>
    <cellStyle name="Total 2 8 4 2 7 4 3" xfId="52895" xr:uid="{8CACA11F-8ED0-49D0-A298-52182FEBA81E}"/>
    <cellStyle name="Total 2 8 4 2 7 5" xfId="22916" xr:uid="{8416DC59-2996-4EB4-8BDC-4263C2A00889}"/>
    <cellStyle name="Total 2 8 4 2 7 5 2" xfId="51910" xr:uid="{7676169C-8BAE-4E47-9CF8-0EB270F8065B}"/>
    <cellStyle name="Total 2 8 4 2 7 6" xfId="49973" xr:uid="{61ACD1AA-E606-46BD-B8D4-DF2D76B42466}"/>
    <cellStyle name="Total 2 8 4 2 8" xfId="7006" xr:uid="{00000000-0005-0000-0000-0000BF080000}"/>
    <cellStyle name="Total 2 8 4 2 8 2" xfId="13843" xr:uid="{8253FF05-AD15-4C69-8B01-5DDB7F4D7688}"/>
    <cellStyle name="Total 2 8 4 2 8 2 2" xfId="36327" xr:uid="{D518B91C-6A8E-4AD9-AC7F-854AB55FD122}"/>
    <cellStyle name="Total 2 8 4 2 8 2 3" xfId="46059" xr:uid="{2D25AB43-A5F6-4D2C-95E8-63CE8B2C0003}"/>
    <cellStyle name="Total 2 8 4 2 8 3" xfId="18943" xr:uid="{E92856DA-7C0C-4BC7-93B5-8982643C07B2}"/>
    <cellStyle name="Total 2 8 4 2 8 3 2" xfId="41333" xr:uid="{7893C592-CB26-48DE-BB22-E2B528295854}"/>
    <cellStyle name="Total 2 8 4 2 8 3 3" xfId="45678" xr:uid="{5BD30947-4AB0-4C53-8303-C09C822C1838}"/>
    <cellStyle name="Total 2 8 4 2 8 4" xfId="20471" xr:uid="{5BFE740A-1CC1-41FF-8B05-181F921E06B3}"/>
    <cellStyle name="Total 2 8 4 2 8 4 2" xfId="42760" xr:uid="{623142ED-C805-4C8F-81A9-0E29C6AF1AC6}"/>
    <cellStyle name="Total 2 8 4 2 8 4 3" xfId="49954" xr:uid="{15D4698A-DB96-4827-8CB2-11E1A3E0D3E2}"/>
    <cellStyle name="Total 2 8 4 2 8 5" xfId="23367" xr:uid="{94D0EAFE-A79F-4B51-9997-CC073B40A56C}"/>
    <cellStyle name="Total 2 8 4 2 8 5 2" xfId="43557" xr:uid="{557912C3-D977-4528-A8C4-6F9FF7F502D1}"/>
    <cellStyle name="Total 2 8 4 2 8 6" xfId="45935" xr:uid="{2A07AC54-7994-4746-A6F5-303227F4C268}"/>
    <cellStyle name="Total 2 8 4 2 9" xfId="6240" xr:uid="{00000000-0005-0000-0000-0000BF080000}"/>
    <cellStyle name="Total 2 8 4 2 9 2" xfId="18177" xr:uid="{59D64770-4140-47FA-9A4D-F17C192DBD55}"/>
    <cellStyle name="Total 2 8 4 2 9 2 2" xfId="40567" xr:uid="{9D224970-DACA-4DEF-AAEB-B5B97777B43C}"/>
    <cellStyle name="Total 2 8 4 2 9 2 3" xfId="43537" xr:uid="{71B4AFDA-346A-45D7-A0BD-7834C2C08EDF}"/>
    <cellStyle name="Total 2 8 4 2 9 3" xfId="7361" xr:uid="{50FDC6C6-D7D0-43D2-B852-64E355EAC623}"/>
    <cellStyle name="Total 2 8 4 2 9 3 2" xfId="30046" xr:uid="{3A00615C-235C-4C79-B3CC-AFA9D5FEE11D}"/>
    <cellStyle name="Total 2 8 4 2 9 3 3" xfId="46636" xr:uid="{237DFE9D-20BF-407E-BD33-750A589249B4}"/>
    <cellStyle name="Total 2 8 4 2 9 4" xfId="22601" xr:uid="{2FCFAF15-725E-4172-BE3F-2B04000FB4BA}"/>
    <cellStyle name="Total 2 8 4 2 9 4 2" xfId="29510" xr:uid="{88A0E7CC-DEA9-44D3-98FD-CAED4A2C8085}"/>
    <cellStyle name="Total 2 8 4 2 9 5" xfId="53922" xr:uid="{2D439062-570B-42A4-A38A-9A275B7E7855}"/>
    <cellStyle name="Total 2 8 4 3" xfId="3154" xr:uid="{00000000-0005-0000-0000-0000BE080000}"/>
    <cellStyle name="Total 2 8 4 3 2" xfId="10063" xr:uid="{F46010AD-9019-489F-ADA0-86B32B70B183}"/>
    <cellStyle name="Total 2 8 4 3 2 2" xfId="32570" xr:uid="{F2683895-9176-4A8F-B1CD-F801CEA21FEF}"/>
    <cellStyle name="Total 2 8 4 3 2 3" xfId="23799" xr:uid="{83F573EA-8D7A-4868-BD88-EFEFAF2565D3}"/>
    <cellStyle name="Total 2 8 4 3 3" xfId="15441" xr:uid="{3624FE51-78C3-4520-B01A-62638F14F97F}"/>
    <cellStyle name="Total 2 8 4 3 3 2" xfId="37867" xr:uid="{681CD79A-D76A-42B8-A09F-0833655F8B9D}"/>
    <cellStyle name="Total 2 8 4 3 3 3" xfId="25307" xr:uid="{0463A696-B633-487C-ACCD-010F2B315F40}"/>
    <cellStyle name="Total 2 8 4 3 4" xfId="15790" xr:uid="{7B5EC55E-A485-4D00-BD50-518817FEE8D8}"/>
    <cellStyle name="Total 2 8 4 3 4 2" xfId="38199" xr:uid="{3B0820E9-1307-411F-9C3E-B3B21712F876}"/>
    <cellStyle name="Total 2 8 4 3 4 3" xfId="48411" xr:uid="{09845581-180D-4DD9-82BF-6C2FD58E8F86}"/>
    <cellStyle name="Total 2 8 4 3 5" xfId="20260" xr:uid="{13D83FE8-2525-451E-BCE4-568EF61E5F11}"/>
    <cellStyle name="Total 2 8 4 3 5 2" xfId="42625" xr:uid="{954ACBA9-8B13-4423-AF69-857EA42EA4D9}"/>
    <cellStyle name="Total 2 8 4 3 6" xfId="52329" xr:uid="{C5DF27F2-9E56-4D22-BBCD-E518C6661CA8}"/>
    <cellStyle name="Total 2 8 4 4" xfId="4804" xr:uid="{00000000-0005-0000-0000-0000BE080000}"/>
    <cellStyle name="Total 2 8 4 4 2" xfId="11701" xr:uid="{72EEBAC3-47E1-4FB1-9B9E-0F8E830A5C7E}"/>
    <cellStyle name="Total 2 8 4 4 2 2" xfId="34187" xr:uid="{8D447094-4224-4C40-8E53-C7491BF047D6}"/>
    <cellStyle name="Total 2 8 4 4 2 3" xfId="32310" xr:uid="{872545BE-263F-48B6-8C73-03E9245006A1}"/>
    <cellStyle name="Total 2 8 4 4 3" xfId="16741" xr:uid="{D5B38A34-9B5A-4A9F-9CA6-3168A511A2D7}"/>
    <cellStyle name="Total 2 8 4 4 3 2" xfId="39131" xr:uid="{50B50F8F-99DB-4C3D-9977-0F17FD66AF53}"/>
    <cellStyle name="Total 2 8 4 4 3 3" xfId="25864" xr:uid="{58AC7A11-C58B-41B6-94B6-004D02BE85E1}"/>
    <cellStyle name="Total 2 8 4 4 4" xfId="13563" xr:uid="{31B5497E-5783-49D6-9F8D-4DE65A20A0D8}"/>
    <cellStyle name="Total 2 8 4 4 4 2" xfId="36047" xr:uid="{F8283577-5E1C-4C63-8958-B2E617AF7B5C}"/>
    <cellStyle name="Total 2 8 4 4 4 3" xfId="26333" xr:uid="{96DB1271-7D92-4938-B66B-ECED79893F16}"/>
    <cellStyle name="Total 2 8 4 4 5" xfId="16075" xr:uid="{EC3C0B92-06C2-4DFC-A14B-F389DDFFFE42}"/>
    <cellStyle name="Total 2 8 4 4 5 2" xfId="46015" xr:uid="{79E71D17-5894-45A2-BF01-B303977F04FC}"/>
    <cellStyle name="Total 2 8 4 4 6" xfId="26346" xr:uid="{850FE5F7-AC20-492B-BEF6-54EA7B6907A1}"/>
    <cellStyle name="Total 2 8 4 5" xfId="4598" xr:uid="{00000000-0005-0000-0000-0000BE080000}"/>
    <cellStyle name="Total 2 8 4 5 2" xfId="11499" xr:uid="{6DA7EB8A-2997-4B3A-BC5C-261D786983F7}"/>
    <cellStyle name="Total 2 8 4 5 2 2" xfId="33985" xr:uid="{43DD35F5-47CF-4C8E-926B-1920E99DD1A2}"/>
    <cellStyle name="Total 2 8 4 5 2 3" xfId="45368" xr:uid="{755CF74B-2038-43C8-BEC9-2A30264D3580}"/>
    <cellStyle name="Total 2 8 4 5 3" xfId="16535" xr:uid="{513044EF-B686-4CE1-9DAB-F6B0630074B6}"/>
    <cellStyle name="Total 2 8 4 5 3 2" xfId="38925" xr:uid="{3ECB0B5A-52EF-4014-A13B-FDC8C27437F4}"/>
    <cellStyle name="Total 2 8 4 5 3 3" xfId="43705" xr:uid="{9CFD41E0-08C2-407A-BE66-2C0B28A451FC}"/>
    <cellStyle name="Total 2 8 4 5 4" xfId="19589" xr:uid="{98B7A2DF-B782-4BDF-9D2C-41FE6B213663}"/>
    <cellStyle name="Total 2 8 4 5 4 2" xfId="41944" xr:uid="{577719FD-829A-49A5-BD9D-714074453ADE}"/>
    <cellStyle name="Total 2 8 4 5 4 3" xfId="43731" xr:uid="{9ECF03D6-61DC-4FF3-8BA6-849A6CCB8BAF}"/>
    <cellStyle name="Total 2 8 4 5 5" xfId="19883" xr:uid="{317F70B0-1F50-4DEB-8468-3F360812377D}"/>
    <cellStyle name="Total 2 8 4 5 5 2" xfId="43416" xr:uid="{CBFF468C-EA4F-4552-B91F-5C0AA79EE31D}"/>
    <cellStyle name="Total 2 8 4 5 6" xfId="48307" xr:uid="{1F892484-CB9B-486F-82C9-2313D1286E06}"/>
    <cellStyle name="Total 2 8 4 6" xfId="4859" xr:uid="{00000000-0005-0000-0000-0000BE080000}"/>
    <cellStyle name="Total 2 8 4 6 2" xfId="11755" xr:uid="{53279CDD-0A35-4CAF-9410-135E85298D4C}"/>
    <cellStyle name="Total 2 8 4 6 2 2" xfId="34241" xr:uid="{A9459E71-8716-4553-8D62-8E008D095E98}"/>
    <cellStyle name="Total 2 8 4 6 2 3" xfId="43789" xr:uid="{A995B9AC-E52B-4AA4-AEB5-2CCA8391FD15}"/>
    <cellStyle name="Total 2 8 4 6 3" xfId="16796" xr:uid="{E5CBF795-8790-4914-BE52-6AD8663A98A7}"/>
    <cellStyle name="Total 2 8 4 6 3 2" xfId="39186" xr:uid="{6F0EA48B-6623-4CD9-A6D5-8240325A9A95}"/>
    <cellStyle name="Total 2 8 4 6 3 3" xfId="27890" xr:uid="{C48AFE39-8AC7-4C3F-9FCD-CF8577424900}"/>
    <cellStyle name="Total 2 8 4 6 4" xfId="15343" xr:uid="{8F89EE5A-771D-4025-A615-57058FEDBF0D}"/>
    <cellStyle name="Total 2 8 4 6 4 2" xfId="37775" xr:uid="{19E84772-0094-416F-8113-B6B4FCE7EBB3}"/>
    <cellStyle name="Total 2 8 4 6 4 3" xfId="48838" xr:uid="{4D10CE03-9374-410B-8EB0-C5E37CDF9BF4}"/>
    <cellStyle name="Total 2 8 4 6 5" xfId="19269" xr:uid="{228B4B7D-8170-48D5-A9DB-A726CCEDD369}"/>
    <cellStyle name="Total 2 8 4 6 5 2" xfId="43219" xr:uid="{931FBB78-363C-4D8A-97AF-AEEDC4573BAE}"/>
    <cellStyle name="Total 2 8 4 6 6" xfId="51645" xr:uid="{876ECFC6-6295-4C1B-B345-3FC27C063E3A}"/>
    <cellStyle name="Total 2 8 4 7" xfId="5094" xr:uid="{00000000-0005-0000-0000-0000BE080000}"/>
    <cellStyle name="Total 2 8 4 7 2" xfId="11987" xr:uid="{2645CFFC-0AB4-4A51-B9E8-C219AFCAB145}"/>
    <cellStyle name="Total 2 8 4 7 2 2" xfId="34473" xr:uid="{DD2B7793-5EA7-494A-AD50-E163F094E434}"/>
    <cellStyle name="Total 2 8 4 7 2 3" xfId="28438" xr:uid="{A16E4E30-92F0-4A60-9951-4BE09DD1B025}"/>
    <cellStyle name="Total 2 8 4 7 3" xfId="17031" xr:uid="{26208945-9085-4326-8A10-72355E2EB651}"/>
    <cellStyle name="Total 2 8 4 7 3 2" xfId="39421" xr:uid="{41A2A1C0-E232-4DDE-AC3E-C9D2EB36E3F6}"/>
    <cellStyle name="Total 2 8 4 7 3 3" xfId="44730" xr:uid="{7B311898-677A-4241-900F-B35FC30089CA}"/>
    <cellStyle name="Total 2 8 4 7 4" xfId="15037" xr:uid="{E9834FA1-A960-4284-9FFD-620CDC3722A0}"/>
    <cellStyle name="Total 2 8 4 7 4 2" xfId="37485" xr:uid="{9413AF87-EFA4-4F16-8A39-64B5DF140A77}"/>
    <cellStyle name="Total 2 8 4 7 4 3" xfId="51178" xr:uid="{14C5858B-BA33-43FF-B491-CAC11F805B8D}"/>
    <cellStyle name="Total 2 8 4 7 5" xfId="21455" xr:uid="{EBEB2B10-1286-4B3E-B8F8-844F6259A7E3}"/>
    <cellStyle name="Total 2 8 4 7 5 2" xfId="47683" xr:uid="{D33967CA-1C79-4859-A4E5-20020203E87E}"/>
    <cellStyle name="Total 2 8 4 7 6" xfId="29519" xr:uid="{6D93117D-BF0A-4599-8DE2-2AFD6B1F6A77}"/>
    <cellStyle name="Total 2 8 4 8" xfId="7965" xr:uid="{6DB8901B-56FD-4A77-B404-42411AD5D799}"/>
    <cellStyle name="Total 2 8 4 8 2" xfId="30588" xr:uid="{CB24BE3C-370E-4799-8477-C94FE14043F8}"/>
    <cellStyle name="Total 2 8 4 8 3" xfId="45926" xr:uid="{A4D82755-F6E4-4EAE-AF49-348E856B60C8}"/>
    <cellStyle name="Total 2 8 4 9" xfId="20551" xr:uid="{A4790C34-7207-46DF-89F2-935DBC7DEA4E}"/>
    <cellStyle name="Total 2 8 4 9 2" xfId="42837" xr:uid="{38C6C5E1-703C-438F-ABB8-AE2254C70519}"/>
    <cellStyle name="Total 2 8 4 9 3" xfId="47089" xr:uid="{DDA6C8B4-ADF9-4388-AF70-0F9B188081CC}"/>
    <cellStyle name="Total 2 8 5" xfId="1214" xr:uid="{00000000-0005-0000-0000-0000C3080000}"/>
    <cellStyle name="Total 2 8 5 10" xfId="21205" xr:uid="{04498935-3EDD-472E-8CE8-3A8AE5110148}"/>
    <cellStyle name="Total 2 8 5 10 2" xfId="24357" xr:uid="{5A12C593-E489-449D-9904-2690BC39115B}"/>
    <cellStyle name="Total 2 8 5 11" xfId="52075" xr:uid="{7FBA3102-917A-40DA-8A42-0EEE60902A4E}"/>
    <cellStyle name="Total 2 8 5 2" xfId="2014" xr:uid="{00000000-0005-0000-0000-0000C4080000}"/>
    <cellStyle name="Total 2 8 5 2 10" xfId="14662" xr:uid="{976CAEF2-A9D2-4588-8B2D-DEE398BD7B9D}"/>
    <cellStyle name="Total 2 8 5 2 10 2" xfId="37122" xr:uid="{EA3F1C99-AC7C-41D4-A28E-59239EA5C2E6}"/>
    <cellStyle name="Total 2 8 5 2 10 3" xfId="53889" xr:uid="{A4AFDAC9-0666-49D5-960F-2687FD6D6CA9}"/>
    <cellStyle name="Total 2 8 5 2 11" xfId="20442" xr:uid="{18F21218-5EF8-435D-AAE6-4EB4204A7204}"/>
    <cellStyle name="Total 2 8 5 2 11 2" xfId="42734" xr:uid="{22F1DDAE-3A63-488B-80FE-61DF029A762F}"/>
    <cellStyle name="Total 2 8 5 2 11 3" xfId="43575" xr:uid="{81091FC2-3C2E-4692-A04B-66E19175C424}"/>
    <cellStyle name="Total 2 8 5 2 12" xfId="16145" xr:uid="{9DF9ED27-4FF7-45FE-BC7C-51F588D0FB35}"/>
    <cellStyle name="Total 2 8 5 2 12 2" xfId="44563" xr:uid="{7A68AED8-8789-4EF8-88C4-50CB26D34808}"/>
    <cellStyle name="Total 2 8 5 2 13" xfId="46144" xr:uid="{44454B1F-7AF3-412A-8EFB-72CE0A62AAF8}"/>
    <cellStyle name="Total 2 8 5 2 2" xfId="4109" xr:uid="{00000000-0005-0000-0000-0000C1080000}"/>
    <cellStyle name="Total 2 8 5 2 2 2" xfId="11013" xr:uid="{3DC25B77-4534-4246-BD22-435F953D056B}"/>
    <cellStyle name="Total 2 8 5 2 2 2 2" xfId="33499" xr:uid="{C7132705-8267-44B1-AE8F-E3922660B685}"/>
    <cellStyle name="Total 2 8 5 2 2 2 3" xfId="28949" xr:uid="{7E3F15B8-5687-4D1E-8EFE-F74142C197D6}"/>
    <cellStyle name="Total 2 8 5 2 2 3" xfId="16113" xr:uid="{92228EF9-6926-4ACA-AE2E-896494F88A60}"/>
    <cellStyle name="Total 2 8 5 2 2 3 2" xfId="38513" xr:uid="{D586E490-737F-4931-8C47-87EC404813E1}"/>
    <cellStyle name="Total 2 8 5 2 2 3 3" xfId="28211" xr:uid="{F87896D5-CF72-4DAE-ACB2-45D83C2CFD66}"/>
    <cellStyle name="Total 2 8 5 2 2 4" xfId="20112" xr:uid="{AAA72CF3-724F-4352-A79B-DA909E6AE513}"/>
    <cellStyle name="Total 2 8 5 2 2 4 2" xfId="42427" xr:uid="{9706294A-9BB3-44CB-A006-25A844BF7576}"/>
    <cellStyle name="Total 2 8 5 2 2 4 3" xfId="24027" xr:uid="{F5A0CF2E-4B6A-4168-8956-B39F6B8594A1}"/>
    <cellStyle name="Total 2 8 5 2 2 5" xfId="20154" xr:uid="{CB484859-155B-40CF-98B9-E00FA0911DE3}"/>
    <cellStyle name="Total 2 8 5 2 2 5 2" xfId="44395" xr:uid="{4D0F4D5B-2B22-4FAA-83CB-71F3387005CA}"/>
    <cellStyle name="Total 2 8 5 2 2 6" xfId="28998" xr:uid="{C5EFEA17-80E8-4A6E-AD9F-E65D885AC322}"/>
    <cellStyle name="Total 2 8 5 2 3" xfId="5455" xr:uid="{00000000-0005-0000-0000-0000C1080000}"/>
    <cellStyle name="Total 2 8 5 2 3 2" xfId="12344" xr:uid="{7D06CF0B-3A88-454C-973B-10BDEF003596}"/>
    <cellStyle name="Total 2 8 5 2 3 2 2" xfId="34829" xr:uid="{349F0017-ECFD-41A6-B6EE-4AEDC8998D6F}"/>
    <cellStyle name="Total 2 8 5 2 3 2 3" xfId="45039" xr:uid="{C5FD3DA1-949A-4CDA-BA98-CE9464658E4D}"/>
    <cellStyle name="Total 2 8 5 2 3 3" xfId="17392" xr:uid="{40F7692F-E1CC-4497-AE1F-0D82E6656722}"/>
    <cellStyle name="Total 2 8 5 2 3 3 2" xfId="39782" xr:uid="{ADFCA195-FB47-4458-B552-E694150A34A9}"/>
    <cellStyle name="Total 2 8 5 2 3 3 3" xfId="26205" xr:uid="{B03A1590-339F-4DC5-A4D3-3BC76ECE316C}"/>
    <cellStyle name="Total 2 8 5 2 3 4" xfId="15581" xr:uid="{F57798A4-8A8A-4841-BB4A-23027FC9A607}"/>
    <cellStyle name="Total 2 8 5 2 3 4 2" xfId="38000" xr:uid="{BBCF58CC-7DCF-4B1D-902C-AF1023750F2B}"/>
    <cellStyle name="Total 2 8 5 2 3 4 3" xfId="41578" xr:uid="{EFF82809-D54F-4254-A63E-FD52A3C978AB}"/>
    <cellStyle name="Total 2 8 5 2 3 5" xfId="21816" xr:uid="{A710A2B4-D538-4437-BCE5-8FD25D5B26BB}"/>
    <cellStyle name="Total 2 8 5 2 3 5 2" xfId="50791" xr:uid="{04C920A5-072A-47B6-8A4F-68C5B032DBB7}"/>
    <cellStyle name="Total 2 8 5 2 3 6" xfId="53597" xr:uid="{E90395FD-579A-4715-A684-7B2B2A457655}"/>
    <cellStyle name="Total 2 8 5 2 4" xfId="5878" xr:uid="{00000000-0005-0000-0000-0000C1080000}"/>
    <cellStyle name="Total 2 8 5 2 4 2" xfId="12760" xr:uid="{D69FC3BB-A1E5-40C3-9DC3-E90FECBCBAB0}"/>
    <cellStyle name="Total 2 8 5 2 4 2 2" xfId="35244" xr:uid="{9C809ADE-167A-4108-94EF-639B12B5A3EB}"/>
    <cellStyle name="Total 2 8 5 2 4 2 3" xfId="45210" xr:uid="{CE3C3EAD-F6DF-4061-9DE5-7EDBE40B2E62}"/>
    <cellStyle name="Total 2 8 5 2 4 3" xfId="17815" xr:uid="{9AFBC6A8-5B0A-4FF7-9063-01CDFE9CBF1E}"/>
    <cellStyle name="Total 2 8 5 2 4 3 2" xfId="40205" xr:uid="{1FFA35E2-C4C2-4C76-AFCF-4569AAEFBEF1}"/>
    <cellStyle name="Total 2 8 5 2 4 3 3" xfId="29590" xr:uid="{2702C1AB-B903-4E58-91D9-0993DD333C4B}"/>
    <cellStyle name="Total 2 8 5 2 4 4" xfId="15634" xr:uid="{ADA89C3D-A334-4CE6-A003-F2A95C68926E}"/>
    <cellStyle name="Total 2 8 5 2 4 4 2" xfId="38050" xr:uid="{13853FA0-C092-4361-ABDA-A40348FC502E}"/>
    <cellStyle name="Total 2 8 5 2 4 4 3" xfId="42378" xr:uid="{DBE38F06-078C-4BA4-BC20-679BA89EDB7C}"/>
    <cellStyle name="Total 2 8 5 2 4 5" xfId="22239" xr:uid="{EEEC6459-091D-4FBC-9F38-69474C1C7E8E}"/>
    <cellStyle name="Total 2 8 5 2 4 5 2" xfId="25486" xr:uid="{43448003-2047-4C9A-9498-ACF3F68D96F4}"/>
    <cellStyle name="Total 2 8 5 2 4 6" xfId="52532" xr:uid="{94B1BB18-45EF-4AF8-82A1-6F241F4D4E05}"/>
    <cellStyle name="Total 2 8 5 2 5" xfId="6216" xr:uid="{00000000-0005-0000-0000-0000C1080000}"/>
    <cellStyle name="Total 2 8 5 2 5 2" xfId="13091" xr:uid="{ACE498B1-4321-42D6-9F47-40BDC82F76EE}"/>
    <cellStyle name="Total 2 8 5 2 5 2 2" xfId="35575" xr:uid="{BA16412A-14B2-42C7-B21E-14886BD77F50}"/>
    <cellStyle name="Total 2 8 5 2 5 2 3" xfId="32799" xr:uid="{98F90286-C47F-480E-80E2-3CD70C20E3D7}"/>
    <cellStyle name="Total 2 8 5 2 5 3" xfId="18153" xr:uid="{B3B91BFC-0771-4C0A-8D75-D7E997BAB9F0}"/>
    <cellStyle name="Total 2 8 5 2 5 3 2" xfId="40543" xr:uid="{56D5CDF0-8241-4C9C-81EC-62C3DEABE860}"/>
    <cellStyle name="Total 2 8 5 2 5 3 3" xfId="31396" xr:uid="{6E9AED19-9630-4AAC-BB5F-1EC48A2EA31B}"/>
    <cellStyle name="Total 2 8 5 2 5 4" xfId="14579" xr:uid="{1CC367ED-F510-4EED-95F0-13DB1E657C4E}"/>
    <cellStyle name="Total 2 8 5 2 5 4 2" xfId="37040" xr:uid="{D44B06F5-1543-420F-8EF5-EE1804D6EDAF}"/>
    <cellStyle name="Total 2 8 5 2 5 4 3" xfId="46096" xr:uid="{0F6F447C-A06F-43C1-997F-2D7D2D31BDCA}"/>
    <cellStyle name="Total 2 8 5 2 5 5" xfId="22577" xr:uid="{4FC97C5D-1B89-4D15-9FC0-FF388220BA60}"/>
    <cellStyle name="Total 2 8 5 2 5 5 2" xfId="24743" xr:uid="{E206A049-04AC-4DFC-A1F2-119FF401E836}"/>
    <cellStyle name="Total 2 8 5 2 5 6" xfId="48563" xr:uid="{172D9413-670C-4A9C-ACE9-7AB5FFD6F814}"/>
    <cellStyle name="Total 2 8 5 2 6" xfId="6582" xr:uid="{00000000-0005-0000-0000-0000C1080000}"/>
    <cellStyle name="Total 2 8 5 2 6 2" xfId="13448" xr:uid="{1DEE663E-56CE-4AE4-99B0-7D8D78C9BACE}"/>
    <cellStyle name="Total 2 8 5 2 6 2 2" xfId="35932" xr:uid="{EC55B35A-AEFE-4C4E-B2D7-EF798FD40EF0}"/>
    <cellStyle name="Total 2 8 5 2 6 2 3" xfId="47599" xr:uid="{022E87F6-1E93-48B7-B632-3E21BED7AADD}"/>
    <cellStyle name="Total 2 8 5 2 6 3" xfId="18519" xr:uid="{8DD704C8-71E8-458E-8654-95FD8F4D2033}"/>
    <cellStyle name="Total 2 8 5 2 6 3 2" xfId="40909" xr:uid="{0F3A82AF-BF38-4961-96AC-528B33481596}"/>
    <cellStyle name="Total 2 8 5 2 6 3 3" xfId="25391" xr:uid="{5532A8DB-6CC0-4EA0-8A65-DAB4187B2E6F}"/>
    <cellStyle name="Total 2 8 5 2 6 4" xfId="21260" xr:uid="{4B932FD9-9D07-4F66-96AF-6ADA02A249CE}"/>
    <cellStyle name="Total 2 8 5 2 6 4 2" xfId="43495" xr:uid="{89A499CF-E5F0-4843-80E3-053DFC076C9F}"/>
    <cellStyle name="Total 2 8 5 2 6 4 3" xfId="44407" xr:uid="{3D7B17B1-0139-49D9-BB56-5E96B79EF28C}"/>
    <cellStyle name="Total 2 8 5 2 6 5" xfId="22943" xr:uid="{2027A6B3-3038-4CE8-AF39-E041586F46E7}"/>
    <cellStyle name="Total 2 8 5 2 6 5 2" xfId="53970" xr:uid="{F9BFB4C2-1D9F-4C9A-8134-AEA226F27E9C}"/>
    <cellStyle name="Total 2 8 5 2 6 6" xfId="48734" xr:uid="{54961DA7-7B32-424B-B595-569F6DBAF392}"/>
    <cellStyle name="Total 2 8 5 2 7" xfId="5490" xr:uid="{00000000-0005-0000-0000-0000C1080000}"/>
    <cellStyle name="Total 2 8 5 2 7 2" xfId="12379" xr:uid="{FF4C70BD-75E6-4F51-A359-A722793386C8}"/>
    <cellStyle name="Total 2 8 5 2 7 2 2" xfId="34864" xr:uid="{90772C52-3A68-40FF-9F0F-1B172A65D47D}"/>
    <cellStyle name="Total 2 8 5 2 7 2 3" xfId="42846" xr:uid="{BD2506F5-8CE3-414D-8E81-4DD7BF4F9A46}"/>
    <cellStyle name="Total 2 8 5 2 7 3" xfId="17427" xr:uid="{8E3ADCEF-9542-498E-8A0B-E91680DC7AAE}"/>
    <cellStyle name="Total 2 8 5 2 7 3 2" xfId="39817" xr:uid="{2FB8E0F2-7E5A-49CD-8B29-6ACA41FC1269}"/>
    <cellStyle name="Total 2 8 5 2 7 3 3" xfId="45330" xr:uid="{C06FA707-9357-474E-BF5E-3052B581AF4B}"/>
    <cellStyle name="Total 2 8 5 2 7 4" xfId="9030" xr:uid="{07F4C5F0-236A-4D40-9F6C-73CFFFAE9F9F}"/>
    <cellStyle name="Total 2 8 5 2 7 4 2" xfId="31607" xr:uid="{403267EB-A98F-4DF7-9300-28689FF71C61}"/>
    <cellStyle name="Total 2 8 5 2 7 4 3" xfId="43655" xr:uid="{6326630A-B2DD-4A30-94CC-7F3F50D4A75D}"/>
    <cellStyle name="Total 2 8 5 2 7 5" xfId="21851" xr:uid="{82BFDD79-DB5D-48FA-9714-8B62D2FEF5DB}"/>
    <cellStyle name="Total 2 8 5 2 7 5 2" xfId="52817" xr:uid="{FE239AF9-92DC-4D13-904F-2621DC81D459}"/>
    <cellStyle name="Total 2 8 5 2 7 6" xfId="47881" xr:uid="{A967437B-F990-4521-821B-47C8081B57DC}"/>
    <cellStyle name="Total 2 8 5 2 8" xfId="7052" xr:uid="{00000000-0005-0000-0000-0000C1080000}"/>
    <cellStyle name="Total 2 8 5 2 8 2" xfId="13888" xr:uid="{79C3D8C0-0B80-47DC-988A-1AD9DD636362}"/>
    <cellStyle name="Total 2 8 5 2 8 2 2" xfId="36372" xr:uid="{CBBDE3C2-D4DD-4E12-8C62-2C1229694CFD}"/>
    <cellStyle name="Total 2 8 5 2 8 2 3" xfId="44318" xr:uid="{DB4A78ED-856A-472C-808E-909F3ED4277D}"/>
    <cellStyle name="Total 2 8 5 2 8 3" xfId="18989" xr:uid="{33071819-F8F0-4E5F-84F9-386376DF6BB4}"/>
    <cellStyle name="Total 2 8 5 2 8 3 2" xfId="41379" xr:uid="{A2586F74-2E0F-4E29-9541-2754E3D010F1}"/>
    <cellStyle name="Total 2 8 5 2 8 3 3" xfId="28794" xr:uid="{04DB1EDA-C65F-4A10-AC2C-2D5255C6F490}"/>
    <cellStyle name="Total 2 8 5 2 8 4" xfId="20438" xr:uid="{B29E47E9-4300-473E-A309-BB8FCE59306B}"/>
    <cellStyle name="Total 2 8 5 2 8 4 2" xfId="42730" xr:uid="{28915509-1AF0-49C6-A8A9-91A4711C0BA2}"/>
    <cellStyle name="Total 2 8 5 2 8 4 3" xfId="24010" xr:uid="{CAE32BBC-12BB-429F-9183-A40307A20998}"/>
    <cellStyle name="Total 2 8 5 2 8 5" xfId="23413" xr:uid="{5508C66F-2B29-489F-A01A-F2BC4A8D89A9}"/>
    <cellStyle name="Total 2 8 5 2 8 5 2" xfId="50627" xr:uid="{D70F50B8-B6B9-44EF-AC18-EB9C1B3FFB0E}"/>
    <cellStyle name="Total 2 8 5 2 8 6" xfId="53119" xr:uid="{3A22B32B-B6C0-404D-9255-C447A3A8A078}"/>
    <cellStyle name="Total 2 8 5 2 9" xfId="7167" xr:uid="{00000000-0005-0000-0000-0000C1080000}"/>
    <cellStyle name="Total 2 8 5 2 9 2" xfId="19104" xr:uid="{8ABCE8ED-1C4C-4BB8-B185-B5E657286F47}"/>
    <cellStyle name="Total 2 8 5 2 9 2 2" xfId="41494" xr:uid="{DACF4170-C515-4DB8-98A6-BB2AF85D38BF}"/>
    <cellStyle name="Total 2 8 5 2 9 2 3" xfId="36607" xr:uid="{DDC7A6F5-AB4E-48F9-81B2-ADE03CE5A831}"/>
    <cellStyle name="Total 2 8 5 2 9 3" xfId="20354" xr:uid="{6244C1F5-2B7E-4B7F-9AF0-CB2B907E018E}"/>
    <cellStyle name="Total 2 8 5 2 9 3 2" xfId="42651" xr:uid="{CBC82078-B9FC-4483-8FB8-28ADEAF486FD}"/>
    <cellStyle name="Total 2 8 5 2 9 3 3" xfId="46685" xr:uid="{7FDCA3B7-5769-4DD1-9FEB-70D963FC956C}"/>
    <cellStyle name="Total 2 8 5 2 9 4" xfId="23528" xr:uid="{9A0C2EBA-9C13-443E-B367-DDB11F317182}"/>
    <cellStyle name="Total 2 8 5 2 9 4 2" xfId="26061" xr:uid="{09C8F833-F79D-409C-AAA8-7B5769754B20}"/>
    <cellStyle name="Total 2 8 5 2 9 5" xfId="52061" xr:uid="{B817F517-70AB-4C4C-981D-C3E6DCB54468}"/>
    <cellStyle name="Total 2 8 5 3" xfId="3328" xr:uid="{00000000-0005-0000-0000-0000C0080000}"/>
    <cellStyle name="Total 2 8 5 3 2" xfId="10236" xr:uid="{AFB73382-CB1F-4F3C-92D6-9C42F5BC659F}"/>
    <cellStyle name="Total 2 8 5 3 2 2" xfId="32730" xr:uid="{44A77F8F-8E73-4445-8E68-38AF4F50245C}"/>
    <cellStyle name="Total 2 8 5 3 2 3" xfId="53843" xr:uid="{19168CE0-663F-44CF-AEF8-90BFD6C29922}"/>
    <cellStyle name="Total 2 8 5 3 3" xfId="15554" xr:uid="{12BE2164-C9F4-4189-92A3-175F373498EF}"/>
    <cellStyle name="Total 2 8 5 3 3 2" xfId="37973" xr:uid="{70F18E3A-67EA-49AB-9801-A16BC7A9B770}"/>
    <cellStyle name="Total 2 8 5 3 3 3" xfId="48155" xr:uid="{60BB3B9C-FF83-4C66-BB2B-E2A9AE2C82E9}"/>
    <cellStyle name="Total 2 8 5 3 4" xfId="15916" xr:uid="{05F67A16-6C96-43C5-9A82-E00AF3443431}"/>
    <cellStyle name="Total 2 8 5 3 4 2" xfId="38322" xr:uid="{BEFC7DBE-FCCA-4B1A-9FFD-156C4A81750F}"/>
    <cellStyle name="Total 2 8 5 3 4 3" xfId="53544" xr:uid="{9546AC15-13E9-4D68-9A37-31349CC7D37C}"/>
    <cellStyle name="Total 2 8 5 3 5" xfId="20660" xr:uid="{FB5C7119-15D4-49CC-A41A-ADC2F88D8947}"/>
    <cellStyle name="Total 2 8 5 3 5 2" xfId="42067" xr:uid="{F5209C82-C3F4-4DD3-BAFB-78142E772AF7}"/>
    <cellStyle name="Total 2 8 5 3 6" xfId="37687" xr:uid="{E15C7AEC-27DD-4860-8AF0-8150315DBCE9}"/>
    <cellStyle name="Total 2 8 5 4" xfId="4914" xr:uid="{00000000-0005-0000-0000-0000C0080000}"/>
    <cellStyle name="Total 2 8 5 4 2" xfId="11809" xr:uid="{17888318-9DFC-4538-BDBC-A319D77DCE20}"/>
    <cellStyle name="Total 2 8 5 4 2 2" xfId="34295" xr:uid="{BF4AF895-09B1-4B89-8540-6793C408C867}"/>
    <cellStyle name="Total 2 8 5 4 2 3" xfId="45866" xr:uid="{700607B4-E86B-40DC-8782-5123C55CB27E}"/>
    <cellStyle name="Total 2 8 5 4 3" xfId="16851" xr:uid="{F593A3F8-8DC2-4775-83CB-8B8D3EF26510}"/>
    <cellStyle name="Total 2 8 5 4 3 2" xfId="39241" xr:uid="{0B55E801-442F-4938-8C06-EA30292A9681}"/>
    <cellStyle name="Total 2 8 5 4 3 3" xfId="43909" xr:uid="{67C22218-31E6-4712-B249-653405CDA382}"/>
    <cellStyle name="Total 2 8 5 4 4" xfId="19254" xr:uid="{DBB7574B-A2F5-4528-8A83-9DA7272B82EE}"/>
    <cellStyle name="Total 2 8 5 4 4 2" xfId="41637" xr:uid="{B2B3C06D-78F3-44B2-B53F-7D58C76EE26D}"/>
    <cellStyle name="Total 2 8 5 4 4 3" xfId="30410" xr:uid="{1AA20E16-FB06-47CF-9F85-F9CF12C899DE}"/>
    <cellStyle name="Total 2 8 5 4 5" xfId="20043" xr:uid="{0B1C2709-7AEE-4973-9A0C-A637F116BF03}"/>
    <cellStyle name="Total 2 8 5 4 5 2" xfId="27786" xr:uid="{BD0168F5-FEC1-4B48-9026-280712EC93D8}"/>
    <cellStyle name="Total 2 8 5 4 6" xfId="30508" xr:uid="{BCBBE319-99DF-4F1D-9D3C-5366129E9DD6}"/>
    <cellStyle name="Total 2 8 5 5" xfId="5624" xr:uid="{00000000-0005-0000-0000-0000C0080000}"/>
    <cellStyle name="Total 2 8 5 5 2" xfId="12508" xr:uid="{FB37876D-7388-4C91-BEAD-8EFC5FF278D2}"/>
    <cellStyle name="Total 2 8 5 5 2 2" xfId="34993" xr:uid="{E591D436-09D5-43C5-B5FB-ECDA2FEB3A71}"/>
    <cellStyle name="Total 2 8 5 5 2 3" xfId="29923" xr:uid="{8541D11A-5526-4D28-A440-64273CAC1740}"/>
    <cellStyle name="Total 2 8 5 5 3" xfId="17561" xr:uid="{63A8683A-6450-4CF5-8278-4EED5A3F69BF}"/>
    <cellStyle name="Total 2 8 5 5 3 2" xfId="39951" xr:uid="{3E420C30-FBB0-4512-823D-2BF70191E1E6}"/>
    <cellStyle name="Total 2 8 5 5 3 3" xfId="25463" xr:uid="{56A6736C-0815-4A89-9F99-75C65E10BE72}"/>
    <cellStyle name="Total 2 8 5 5 4" xfId="19334" xr:uid="{B0A98BF2-C3CA-4846-886A-AE36A5BD9490}"/>
    <cellStyle name="Total 2 8 5 5 4 2" xfId="41711" xr:uid="{7049FB9C-F6BB-432A-8741-A5FF9DE8BEA1}"/>
    <cellStyle name="Total 2 8 5 5 4 3" xfId="29368" xr:uid="{1618A5A0-5F37-47E9-97FA-78FD28A226E5}"/>
    <cellStyle name="Total 2 8 5 5 5" xfId="21985" xr:uid="{FBE50D2A-7AD2-4640-8141-F08A772EC6D4}"/>
    <cellStyle name="Total 2 8 5 5 5 2" xfId="51022" xr:uid="{9D3A94A4-29F0-4B26-8076-C43DA81C3078}"/>
    <cellStyle name="Total 2 8 5 5 6" xfId="49129" xr:uid="{2666A2E6-2966-4BC9-A0B9-8B9D29B1054F}"/>
    <cellStyle name="Total 2 8 5 6" xfId="6062" xr:uid="{00000000-0005-0000-0000-0000C0080000}"/>
    <cellStyle name="Total 2 8 5 6 2" xfId="12940" xr:uid="{0665AD32-6440-476A-BC7E-B58737DDFCD5}"/>
    <cellStyle name="Total 2 8 5 6 2 2" xfId="35424" xr:uid="{D1776AB3-3491-410F-8A26-E1459C608D65}"/>
    <cellStyle name="Total 2 8 5 6 2 3" xfId="49130" xr:uid="{AC2DA4CD-77B4-4D2E-89D3-7E17CFE1AEB9}"/>
    <cellStyle name="Total 2 8 5 6 3" xfId="17999" xr:uid="{6F908D21-0D33-4534-A1A1-F3B7728985CD}"/>
    <cellStyle name="Total 2 8 5 6 3 2" xfId="40389" xr:uid="{D66C6083-957F-4D61-B83F-BC178C6F7DED}"/>
    <cellStyle name="Total 2 8 5 6 3 3" xfId="30093" xr:uid="{9820012E-B907-492D-8738-4B4448302683}"/>
    <cellStyle name="Total 2 8 5 6 4" xfId="15791" xr:uid="{2B29E4DE-91A0-4D4D-966B-A920F0B031C0}"/>
    <cellStyle name="Total 2 8 5 6 4 2" xfId="38200" xr:uid="{5CD378A0-06BC-4505-A990-7E6EBAB0C3D7}"/>
    <cellStyle name="Total 2 8 5 6 4 3" xfId="48651" xr:uid="{FFD8F104-4A88-448A-AFC2-F1A7EECCE954}"/>
    <cellStyle name="Total 2 8 5 6 5" xfId="22423" xr:uid="{DFEB433D-E65A-487E-B594-C3EEAD4DDC23}"/>
    <cellStyle name="Total 2 8 5 6 5 2" xfId="26229" xr:uid="{432670D5-1DE0-46F0-B6CA-74728C2C15A4}"/>
    <cellStyle name="Total 2 8 5 6 6" xfId="29271" xr:uid="{320B7CFC-AA83-486E-823F-9D7A00F6490E}"/>
    <cellStyle name="Total 2 8 5 7" xfId="5486" xr:uid="{00000000-0005-0000-0000-0000C0080000}"/>
    <cellStyle name="Total 2 8 5 7 2" xfId="12375" xr:uid="{C2E7566A-A5A3-4000-89A0-842828E6D7B9}"/>
    <cellStyle name="Total 2 8 5 7 2 2" xfId="34860" xr:uid="{5B65984E-9660-4750-A8B7-B6985BF92D6D}"/>
    <cellStyle name="Total 2 8 5 7 2 3" xfId="43323" xr:uid="{5A0E1AAD-677E-48CF-AAB4-2DAA3F006DA8}"/>
    <cellStyle name="Total 2 8 5 7 3" xfId="17423" xr:uid="{77492D8D-7EF9-424A-AA9B-CE9788EEDA3C}"/>
    <cellStyle name="Total 2 8 5 7 3 2" xfId="39813" xr:uid="{A625A669-31CA-47AF-B140-B2DC97E3B097}"/>
    <cellStyle name="Total 2 8 5 7 3 3" xfId="28720" xr:uid="{7DF21395-DF2A-411F-B2CC-44C49546A6C1}"/>
    <cellStyle name="Total 2 8 5 7 4" xfId="10897" xr:uid="{445E1CD8-12D4-4CE1-942F-B753A5C47530}"/>
    <cellStyle name="Total 2 8 5 7 4 2" xfId="33383" xr:uid="{B3524129-A440-4681-8704-A12160A295E6}"/>
    <cellStyle name="Total 2 8 5 7 4 3" xfId="45804" xr:uid="{3DCD1EE1-3700-4318-8A91-C3CA637E8522}"/>
    <cellStyle name="Total 2 8 5 7 5" xfId="21847" xr:uid="{BD7FC6C2-FA5B-4834-AF69-0D38214B02CB}"/>
    <cellStyle name="Total 2 8 5 7 5 2" xfId="52683" xr:uid="{E6203F95-171D-4D2D-B365-C8E267D087C3}"/>
    <cellStyle name="Total 2 8 5 7 6" xfId="51999" xr:uid="{BFCC3B1E-F717-43BD-9475-09EEA8D2D08E}"/>
    <cellStyle name="Total 2 8 5 8" xfId="14089" xr:uid="{8FC48D33-EA98-443E-AE29-CBD3DDF99B59}"/>
    <cellStyle name="Total 2 8 5 8 2" xfId="36567" xr:uid="{2C0D3D97-CFAF-43E8-AD9E-EBAE9D8A6132}"/>
    <cellStyle name="Total 2 8 5 8 3" xfId="48630" xr:uid="{36868C08-8660-46DE-AA72-FD6258FC77F8}"/>
    <cellStyle name="Total 2 8 5 9" xfId="21188" xr:uid="{8DB2731A-0391-45AF-9942-5F95A7EF3496}"/>
    <cellStyle name="Total 2 8 5 9 2" xfId="43428" xr:uid="{74C8AE6B-A2CB-444A-BC20-3E4A097EB8F0}"/>
    <cellStyle name="Total 2 8 5 9 3" xfId="48146" xr:uid="{70D781F2-1DD8-4F09-813D-003664B85EAA}"/>
    <cellStyle name="Total 2 8 6" xfId="1376" xr:uid="{00000000-0005-0000-0000-0000C5080000}"/>
    <cellStyle name="Total 2 8 6 10" xfId="15512" xr:uid="{CAA4441C-8C08-4DF1-A18A-65C3BA15CB18}"/>
    <cellStyle name="Total 2 8 6 10 2" xfId="49624" xr:uid="{FB384BF2-4538-4C06-935B-326451CA4F09}"/>
    <cellStyle name="Total 2 8 6 11" xfId="30647" xr:uid="{17157D20-4A2D-422E-9C33-74234B3ADC4D}"/>
    <cellStyle name="Total 2 8 6 2" xfId="2105" xr:uid="{00000000-0005-0000-0000-0000C6080000}"/>
    <cellStyle name="Total 2 8 6 2 10" xfId="14734" xr:uid="{A5126428-5BC7-4048-B05A-72822A3EBCD6}"/>
    <cellStyle name="Total 2 8 6 2 10 2" xfId="37192" xr:uid="{D6E92C7D-F71B-40D3-917C-AD3FCD17DE92}"/>
    <cellStyle name="Total 2 8 6 2 10 3" xfId="49578" xr:uid="{6D35718B-A85E-4854-A71A-A97F26069534}"/>
    <cellStyle name="Total 2 8 6 2 11" xfId="20988" xr:uid="{18D8D839-46BD-4EA8-8CF5-3CF5FF3FBA30}"/>
    <cellStyle name="Total 2 8 6 2 11 2" xfId="43242" xr:uid="{C7A888AF-A65E-4AE2-AE70-99E59FA27099}"/>
    <cellStyle name="Total 2 8 6 2 11 3" xfId="50556" xr:uid="{ABE2AC16-E78C-4051-8700-D5DE72C946F7}"/>
    <cellStyle name="Total 2 8 6 2 12" xfId="14323" xr:uid="{9D9E371F-0571-4975-9C2F-8B8CA557EF88}"/>
    <cellStyle name="Total 2 8 6 2 12 2" xfId="23669" xr:uid="{3F8BD17D-D466-4315-AB1B-DCEF97C3C2EB}"/>
    <cellStyle name="Total 2 8 6 2 13" xfId="46074" xr:uid="{B4C19EEE-0D12-4CC7-A37E-A602C3DEB762}"/>
    <cellStyle name="Total 2 8 6 2 2" xfId="4198" xr:uid="{00000000-0005-0000-0000-0000C3080000}"/>
    <cellStyle name="Total 2 8 6 2 2 2" xfId="11102" xr:uid="{47A67DCC-08DF-4398-950D-11146BB9437B}"/>
    <cellStyle name="Total 2 8 6 2 2 2 2" xfId="33588" xr:uid="{B7FB0A31-C386-45F4-AA3E-6363619F2A87}"/>
    <cellStyle name="Total 2 8 6 2 2 2 3" xfId="37409" xr:uid="{C7905216-B55A-4F4B-AFF7-C28FF4809B40}"/>
    <cellStyle name="Total 2 8 6 2 2 3" xfId="16191" xr:uid="{08CDE7F0-4C5B-4FF4-B675-797CF11CFE9E}"/>
    <cellStyle name="Total 2 8 6 2 2 3 2" xfId="38590" xr:uid="{32E6B3BE-8DD5-4669-9B6E-37C79308C324}"/>
    <cellStyle name="Total 2 8 6 2 2 3 3" xfId="32007" xr:uid="{0333EF33-34C5-4D54-B7A2-0AE92EFBEA7E}"/>
    <cellStyle name="Total 2 8 6 2 2 4" xfId="13706" xr:uid="{504CB3BE-C309-4029-8E72-3A5FC5B658BA}"/>
    <cellStyle name="Total 2 8 6 2 2 4 2" xfId="36190" xr:uid="{B3DC2356-F9C7-4908-BF4A-F7D46FAD04D7}"/>
    <cellStyle name="Total 2 8 6 2 2 4 3" xfId="51485" xr:uid="{E866E3FD-6553-4D43-934F-BB058082D705}"/>
    <cellStyle name="Total 2 8 6 2 2 5" xfId="19412" xr:uid="{E4D9C3D3-4B39-43C8-8FDA-253F0DC3F408}"/>
    <cellStyle name="Total 2 8 6 2 2 5 2" xfId="43712" xr:uid="{E20A2098-9F6A-47F4-95F4-7FC39967AB97}"/>
    <cellStyle name="Total 2 8 6 2 2 6" xfId="47326" xr:uid="{68B0FFAD-20E2-4927-9E47-9D87321C4DF7}"/>
    <cellStyle name="Total 2 8 6 2 3" xfId="5524" xr:uid="{00000000-0005-0000-0000-0000C3080000}"/>
    <cellStyle name="Total 2 8 6 2 3 2" xfId="12413" xr:uid="{9F8D806C-D3F0-4E47-86D3-DBE661D893D8}"/>
    <cellStyle name="Total 2 8 6 2 3 2 2" xfId="34898" xr:uid="{526F9675-3321-45BE-A10C-7513E1FF0ECA}"/>
    <cellStyle name="Total 2 8 6 2 3 2 3" xfId="45006" xr:uid="{C96AA11B-F851-4A25-9DFD-8155E00EAED6}"/>
    <cellStyle name="Total 2 8 6 2 3 3" xfId="17461" xr:uid="{77F005F0-A35A-4F49-8724-B18A5997F353}"/>
    <cellStyle name="Total 2 8 6 2 3 3 2" xfId="39851" xr:uid="{D5C70E34-7B7D-41CB-88A7-6413BE430CD8}"/>
    <cellStyle name="Total 2 8 6 2 3 3 3" xfId="27824" xr:uid="{C0EBC0EA-E6BA-494A-85C5-63A3E7072083}"/>
    <cellStyle name="Total 2 8 6 2 3 4" xfId="19696" xr:uid="{8CB3DA2E-B077-4EFA-B8B5-C15AEA7A1334}"/>
    <cellStyle name="Total 2 8 6 2 3 4 2" xfId="42043" xr:uid="{B29F2CA0-1013-4D16-A00F-F7FD9BC69504}"/>
    <cellStyle name="Total 2 8 6 2 3 4 3" xfId="29844" xr:uid="{DE70526B-3C13-4AF0-ADA8-A42A7739B48E}"/>
    <cellStyle name="Total 2 8 6 2 3 5" xfId="21885" xr:uid="{D042646C-431B-4F6C-9323-0C898CAA6C44}"/>
    <cellStyle name="Total 2 8 6 2 3 5 2" xfId="28446" xr:uid="{0C98A8BC-C31D-4D2B-9634-0A9F8891E1A6}"/>
    <cellStyle name="Total 2 8 6 2 3 6" xfId="24217" xr:uid="{6074A652-3DF2-4256-ABE7-FD4D8C09D814}"/>
    <cellStyle name="Total 2 8 6 2 4" xfId="5946" xr:uid="{00000000-0005-0000-0000-0000C3080000}"/>
    <cellStyle name="Total 2 8 6 2 4 2" xfId="12827" xr:uid="{40C968FA-9256-4C2A-9892-A4D179D9A11A}"/>
    <cellStyle name="Total 2 8 6 2 4 2 2" xfId="35311" xr:uid="{F144F8C5-8480-424E-B84B-3C6E27710E9A}"/>
    <cellStyle name="Total 2 8 6 2 4 2 3" xfId="52188" xr:uid="{2187C344-A516-422B-8215-347B91E4A5AF}"/>
    <cellStyle name="Total 2 8 6 2 4 3" xfId="17883" xr:uid="{E62F0067-5A3B-4775-98E6-5277A4ABF090}"/>
    <cellStyle name="Total 2 8 6 2 4 3 2" xfId="40273" xr:uid="{A508685D-1315-4433-BE65-98522719771D}"/>
    <cellStyle name="Total 2 8 6 2 4 3 3" xfId="44112" xr:uid="{D7924372-E4F7-402D-B3E7-2AFC5F1DC85D}"/>
    <cellStyle name="Total 2 8 6 2 4 4" xfId="14822" xr:uid="{16621F9E-0931-482C-8171-A70255DADEBE}"/>
    <cellStyle name="Total 2 8 6 2 4 4 2" xfId="37277" xr:uid="{69472468-8C46-4F9C-8D8B-7252D71199D7}"/>
    <cellStyle name="Total 2 8 6 2 4 4 3" xfId="28126" xr:uid="{08BF1FD0-BC21-409C-9C35-8D5BB1781E10}"/>
    <cellStyle name="Total 2 8 6 2 4 5" xfId="22307" xr:uid="{AEC4B308-3885-4B01-B81C-00827C2A5667}"/>
    <cellStyle name="Total 2 8 6 2 4 5 2" xfId="48209" xr:uid="{99359AB4-3A28-44FE-97D7-58757E261B14}"/>
    <cellStyle name="Total 2 8 6 2 4 6" xfId="29306" xr:uid="{F3940857-429B-4FB4-9176-A7D3224036A1}"/>
    <cellStyle name="Total 2 8 6 2 5" xfId="6286" xr:uid="{00000000-0005-0000-0000-0000C3080000}"/>
    <cellStyle name="Total 2 8 6 2 5 2" xfId="13158" xr:uid="{E8EDC9DB-3EC4-425D-A48C-B1A03F2DDA79}"/>
    <cellStyle name="Total 2 8 6 2 5 2 2" xfId="35642" xr:uid="{5A836ABB-BDDE-4271-AF2A-7769BB918FC1}"/>
    <cellStyle name="Total 2 8 6 2 5 2 3" xfId="49601" xr:uid="{72CE2D9E-D23B-417E-95D0-DF9F17DA267A}"/>
    <cellStyle name="Total 2 8 6 2 5 3" xfId="18223" xr:uid="{5059DC96-BBD5-44CC-9287-7B4E7E60078E}"/>
    <cellStyle name="Total 2 8 6 2 5 3 2" xfId="40613" xr:uid="{19F025C0-67E1-46B2-A9D6-0274C4C5153B}"/>
    <cellStyle name="Total 2 8 6 2 5 3 3" xfId="25230" xr:uid="{99A31DDE-AB5B-48D9-84C1-6117B4BF879F}"/>
    <cellStyle name="Total 2 8 6 2 5 4" xfId="8506" xr:uid="{6D66F098-6E60-4638-A700-52C2265B27D9}"/>
    <cellStyle name="Total 2 8 6 2 5 4 2" xfId="31093" xr:uid="{4D8AD30D-10BA-4A3B-9909-081B581A4118}"/>
    <cellStyle name="Total 2 8 6 2 5 4 3" xfId="24354" xr:uid="{B690BBED-B8FB-4E52-BC77-5BC14BFA61BD}"/>
    <cellStyle name="Total 2 8 6 2 5 5" xfId="22647" xr:uid="{98823592-78EC-473B-9C77-9AB1EDA0C611}"/>
    <cellStyle name="Total 2 8 6 2 5 5 2" xfId="47065" xr:uid="{71196E09-6E85-4A5C-BBD6-11FFE897B2B7}"/>
    <cellStyle name="Total 2 8 6 2 5 6" xfId="49437" xr:uid="{1E08C34E-9531-46EB-9A80-943581DFD5E9}"/>
    <cellStyle name="Total 2 8 6 2 6" xfId="6641" xr:uid="{00000000-0005-0000-0000-0000C3080000}"/>
    <cellStyle name="Total 2 8 6 2 6 2" xfId="13507" xr:uid="{C76360E6-F6B1-4AEF-98AC-53BCD11311C8}"/>
    <cellStyle name="Total 2 8 6 2 6 2 2" xfId="35991" xr:uid="{1A420A5C-6417-48FE-AF00-879545AB46A8}"/>
    <cellStyle name="Total 2 8 6 2 6 2 3" xfId="53790" xr:uid="{D665541C-EE0D-4A11-9857-B29A69635028}"/>
    <cellStyle name="Total 2 8 6 2 6 3" xfId="18578" xr:uid="{4638D7E3-C12A-4915-B302-1B75544CED35}"/>
    <cellStyle name="Total 2 8 6 2 6 3 2" xfId="40968" xr:uid="{BEB636D9-1738-4095-AFA3-A06D81E860D0}"/>
    <cellStyle name="Total 2 8 6 2 6 3 3" xfId="28103" xr:uid="{C929E28A-1F72-4335-8DCE-C78FD8F8B9B7}"/>
    <cellStyle name="Total 2 8 6 2 6 4" xfId="19920" xr:uid="{FF96BCDD-89B0-4D62-A934-B6635D660D88}"/>
    <cellStyle name="Total 2 8 6 2 6 4 2" xfId="42252" xr:uid="{D5CEC10D-BFBD-41CF-AF17-5FF40B673AD7}"/>
    <cellStyle name="Total 2 8 6 2 6 4 3" xfId="44613" xr:uid="{CACF9B79-79DC-4DE3-8D2F-841DDD9D1643}"/>
    <cellStyle name="Total 2 8 6 2 6 5" xfId="23002" xr:uid="{866BBC60-79C1-4ADF-A40A-7DA7807BBF62}"/>
    <cellStyle name="Total 2 8 6 2 6 5 2" xfId="53938" xr:uid="{FD915757-E4E9-49A9-B901-24EE745185F1}"/>
    <cellStyle name="Total 2 8 6 2 6 6" xfId="52221" xr:uid="{EE5EC564-BCBD-462B-81C4-2B7DC2E2CD79}"/>
    <cellStyle name="Total 2 8 6 2 7" xfId="4633" xr:uid="{00000000-0005-0000-0000-0000C3080000}"/>
    <cellStyle name="Total 2 8 6 2 7 2" xfId="11534" xr:uid="{0BCDDC4B-7C41-4B88-9C1A-26A1ADA72DC6}"/>
    <cellStyle name="Total 2 8 6 2 7 2 2" xfId="34020" xr:uid="{29FC81C2-37A6-418A-838E-E6D1EB88D820}"/>
    <cellStyle name="Total 2 8 6 2 7 2 3" xfId="27969" xr:uid="{0024FE30-1628-4701-99F1-7B48E6B7E27B}"/>
    <cellStyle name="Total 2 8 6 2 7 3" xfId="16570" xr:uid="{DAE571F2-D1C7-4F41-86C4-3CC1DB46929F}"/>
    <cellStyle name="Total 2 8 6 2 7 3 2" xfId="38960" xr:uid="{979FACB3-3780-46B8-8463-E0C56894770E}"/>
    <cellStyle name="Total 2 8 6 2 7 3 3" xfId="43606" xr:uid="{27F2C947-8F79-4726-8ABC-01F19D757725}"/>
    <cellStyle name="Total 2 8 6 2 7 4" xfId="7278" xr:uid="{AD29C2EE-1758-487D-BC39-57E9CCDE590C}"/>
    <cellStyle name="Total 2 8 6 2 7 4 2" xfId="29966" xr:uid="{ECE8FB0D-108D-4D16-AF9C-143DB511D47A}"/>
    <cellStyle name="Total 2 8 6 2 7 4 3" xfId="50565" xr:uid="{C59D7A21-1795-4C60-8D09-513149B26779}"/>
    <cellStyle name="Total 2 8 6 2 7 5" xfId="21099" xr:uid="{10A41735-CC0F-405B-9A7C-EBF7A2DFB512}"/>
    <cellStyle name="Total 2 8 6 2 7 5 2" xfId="54026" xr:uid="{64261B0D-8904-40C5-99A1-1C3390809853}"/>
    <cellStyle name="Total 2 8 6 2 7 6" xfId="51349" xr:uid="{3B25C743-5210-4584-93FE-0026DA2F77A1}"/>
    <cellStyle name="Total 2 8 6 2 8" xfId="7096" xr:uid="{00000000-0005-0000-0000-0000C3080000}"/>
    <cellStyle name="Total 2 8 6 2 8 2" xfId="13932" xr:uid="{CA12720B-742B-4975-A27E-47EFABCFB968}"/>
    <cellStyle name="Total 2 8 6 2 8 2 2" xfId="36416" xr:uid="{B83FB5C3-CD70-475F-9E92-B8EECBAB110E}"/>
    <cellStyle name="Total 2 8 6 2 8 2 3" xfId="47208" xr:uid="{DFFBE8F4-1299-417F-8A5A-BF7D79571FE9}"/>
    <cellStyle name="Total 2 8 6 2 8 3" xfId="19033" xr:uid="{D7DDB0FF-DC60-49DD-B0D1-15C45672C658}"/>
    <cellStyle name="Total 2 8 6 2 8 3 2" xfId="41423" xr:uid="{C1A06C7D-6C60-4E1B-BA30-6D4763128787}"/>
    <cellStyle name="Total 2 8 6 2 8 3 3" xfId="41632" xr:uid="{ACEC883F-BEAE-4E6E-8A14-E8B5C7292C4E}"/>
    <cellStyle name="Total 2 8 6 2 8 4" xfId="21183" xr:uid="{8C122895-D3DB-469A-B794-6658F22377E3}"/>
    <cellStyle name="Total 2 8 6 2 8 4 2" xfId="43423" xr:uid="{14CE7B7C-F490-40F1-B83A-9BBD7C614A4F}"/>
    <cellStyle name="Total 2 8 6 2 8 4 3" xfId="49105" xr:uid="{D9E8A39B-21F3-4172-AC1B-159D4EE8481E}"/>
    <cellStyle name="Total 2 8 6 2 8 5" xfId="23457" xr:uid="{46963A24-4D40-4823-A76F-98CC1B9153A6}"/>
    <cellStyle name="Total 2 8 6 2 8 5 2" xfId="47040" xr:uid="{4C9543BA-E8D4-4CE1-968E-3F090361A815}"/>
    <cellStyle name="Total 2 8 6 2 8 6" xfId="48744" xr:uid="{F74FB2F2-2027-4194-A64B-D6620DDB85E9}"/>
    <cellStyle name="Total 2 8 6 2 9" xfId="7211" xr:uid="{00000000-0005-0000-0000-0000C3080000}"/>
    <cellStyle name="Total 2 8 6 2 9 2" xfId="19148" xr:uid="{E65D9AC1-9087-4815-AE5D-D9B3759744AD}"/>
    <cellStyle name="Total 2 8 6 2 9 2 2" xfId="41538" xr:uid="{89659E52-77F0-4565-9BB7-43FB8D5B9849}"/>
    <cellStyle name="Total 2 8 6 2 9 2 3" xfId="44224" xr:uid="{1C8D3D9E-0C28-4A1A-847A-601BB5691797}"/>
    <cellStyle name="Total 2 8 6 2 9 3" xfId="15921" xr:uid="{1EE99A31-9030-4181-95B6-0C57E543D11E}"/>
    <cellStyle name="Total 2 8 6 2 9 3 2" xfId="38327" xr:uid="{CC6B7FE7-BA5E-4D78-B824-E3489C0AAA5F}"/>
    <cellStyle name="Total 2 8 6 2 9 3 3" xfId="49758" xr:uid="{DA34BB9C-FF03-452F-BF8B-8C1C238BB58D}"/>
    <cellStyle name="Total 2 8 6 2 9 4" xfId="23572" xr:uid="{087587B3-D52E-4B93-A2D7-B0C52866B787}"/>
    <cellStyle name="Total 2 8 6 2 9 4 2" xfId="43877" xr:uid="{5242AF78-028E-408B-B1B1-C72E590504CC}"/>
    <cellStyle name="Total 2 8 6 2 9 5" xfId="48665" xr:uid="{5EE8A587-83D5-41AB-B3CD-BA0D82893221}"/>
    <cellStyle name="Total 2 8 6 3" xfId="3480" xr:uid="{00000000-0005-0000-0000-0000C2080000}"/>
    <cellStyle name="Total 2 8 6 3 2" xfId="10387" xr:uid="{27CA5B9C-F766-4FCD-BFC3-780E772064BA}"/>
    <cellStyle name="Total 2 8 6 3 2 2" xfId="32874" xr:uid="{9D61E3FC-4BFC-4C8F-BFD3-BE1B2D0A0CDD}"/>
    <cellStyle name="Total 2 8 6 3 2 3" xfId="46513" xr:uid="{DB2C122D-5720-4FFA-870D-18750F9E993D}"/>
    <cellStyle name="Total 2 8 6 3 3" xfId="15658" xr:uid="{EC67D20F-AAF3-40AB-A636-A652353A3CB4}"/>
    <cellStyle name="Total 2 8 6 3 3 2" xfId="38074" xr:uid="{797AE192-C23E-4996-B3A3-05E667770F6C}"/>
    <cellStyle name="Total 2 8 6 3 3 3" xfId="52609" xr:uid="{CBD194C8-B31C-4974-BECF-96E776A3BC63}"/>
    <cellStyle name="Total 2 8 6 3 4" xfId="19406" xr:uid="{E9E2F1A8-59C6-4A97-A304-51490F37BB9D}"/>
    <cellStyle name="Total 2 8 6 3 4 2" xfId="41778" xr:uid="{4FDE171C-F343-4FCB-9FE5-2F2E7C6570C5}"/>
    <cellStyle name="Total 2 8 6 3 4 3" xfId="29918" xr:uid="{AF1F0C55-BD0E-4DE6-9BF1-A1C3F6434063}"/>
    <cellStyle name="Total 2 8 6 3 5" xfId="20089" xr:uid="{59450A3D-F218-44E4-B429-F48B963C3201}"/>
    <cellStyle name="Total 2 8 6 3 5 2" xfId="28947" xr:uid="{64C77C9A-E890-4A2A-8F6E-4C26DB5FC5A5}"/>
    <cellStyle name="Total 2 8 6 3 6" xfId="53521" xr:uid="{3AFECFD1-1C65-4A8A-B4E2-5355C79D3064}"/>
    <cellStyle name="Total 2 8 6 4" xfId="5013" xr:uid="{00000000-0005-0000-0000-0000C2080000}"/>
    <cellStyle name="Total 2 8 6 4 2" xfId="11907" xr:uid="{2A52E172-8118-4D33-8F45-D2458C9B89B6}"/>
    <cellStyle name="Total 2 8 6 4 2 2" xfId="34393" xr:uid="{1472F094-5FAF-4879-A75A-19BBBECEF841}"/>
    <cellStyle name="Total 2 8 6 4 2 3" xfId="28651" xr:uid="{B53EAF62-F003-44F7-874E-4516118ADEB5}"/>
    <cellStyle name="Total 2 8 6 4 3" xfId="16950" xr:uid="{6594BEBB-B62B-49CE-BA07-6F672D0DCE53}"/>
    <cellStyle name="Total 2 8 6 4 3 2" xfId="39340" xr:uid="{3770630D-20A6-466D-876D-9778BF980101}"/>
    <cellStyle name="Total 2 8 6 4 3 3" xfId="43278" xr:uid="{D0FCCF94-25D8-4152-87B9-C5481302745A}"/>
    <cellStyle name="Total 2 8 6 4 4" xfId="7292" xr:uid="{DAE19C93-EEF0-4302-86B0-65E5DEE7E3E1}"/>
    <cellStyle name="Total 2 8 6 4 4 2" xfId="29980" xr:uid="{0D41FCF7-2065-4083-ACBD-7D7B39D94CF7}"/>
    <cellStyle name="Total 2 8 6 4 4 3" xfId="52226" xr:uid="{202B1C04-A5C1-42A2-BD65-7D992D2D0988}"/>
    <cellStyle name="Total 2 8 6 4 5" xfId="21374" xr:uid="{59B3929A-74ED-4F83-A553-EBD7A90654DE}"/>
    <cellStyle name="Total 2 8 6 4 5 2" xfId="30765" xr:uid="{80EED5C3-2ABB-4894-BD04-9A1E15309313}"/>
    <cellStyle name="Total 2 8 6 4 6" xfId="42511" xr:uid="{7CE6DD5F-94A3-4DAA-8894-66B84529A2E6}"/>
    <cellStyle name="Total 2 8 6 5" xfId="4624" xr:uid="{00000000-0005-0000-0000-0000C2080000}"/>
    <cellStyle name="Total 2 8 6 5 2" xfId="11525" xr:uid="{72DD39C0-5DC2-432E-AB01-4586A26C3675}"/>
    <cellStyle name="Total 2 8 6 5 2 2" xfId="34011" xr:uid="{7C1A73FF-8E59-4060-868D-290296A88602}"/>
    <cellStyle name="Total 2 8 6 5 2 3" xfId="26661" xr:uid="{FABEFA2C-E1A1-4EF7-A9AD-397665E71403}"/>
    <cellStyle name="Total 2 8 6 5 3" xfId="16561" xr:uid="{DB0E7FE7-62C3-46F5-B048-AFD9F5E56657}"/>
    <cellStyle name="Total 2 8 6 5 3 2" xfId="38951" xr:uid="{479D7FE3-E098-4267-B38A-15EB94FB1ECE}"/>
    <cellStyle name="Total 2 8 6 5 3 3" xfId="45732" xr:uid="{AF2BBB38-60A9-451F-B4AB-19D512413B14}"/>
    <cellStyle name="Total 2 8 6 5 4" xfId="15727" xr:uid="{49B6324B-AD74-4A94-AE0D-7F9BBBC3B0C1}"/>
    <cellStyle name="Total 2 8 6 5 4 2" xfId="38140" xr:uid="{71E75C6D-D7F6-4084-8991-189F682C1E9A}"/>
    <cellStyle name="Total 2 8 6 5 4 3" xfId="48422" xr:uid="{B872BB2E-2D37-4623-9F4E-9FDBC094064D}"/>
    <cellStyle name="Total 2 8 6 5 5" xfId="14872" xr:uid="{9B0E41D1-ADFB-46A8-A093-552C4EF6C73B}"/>
    <cellStyle name="Total 2 8 6 5 5 2" xfId="47273" xr:uid="{D6836FC0-CD95-4FDE-853D-BAC6FDADE585}"/>
    <cellStyle name="Total 2 8 6 5 6" xfId="28289" xr:uid="{E7145B37-591C-4844-A1C6-A434230B4F8F}"/>
    <cellStyle name="Total 2 8 6 6" xfId="4946" xr:uid="{00000000-0005-0000-0000-0000C2080000}"/>
    <cellStyle name="Total 2 8 6 6 2" xfId="11841" xr:uid="{1DABAE0E-F6DB-498B-A6D8-7E82AE8D827E}"/>
    <cellStyle name="Total 2 8 6 6 2 2" xfId="34327" xr:uid="{4483A4DF-D8A9-4F68-8C57-8A5FAAFD57F8}"/>
    <cellStyle name="Total 2 8 6 6 2 3" xfId="45587" xr:uid="{7C83EDBF-9935-4A62-9C22-E74311C14F99}"/>
    <cellStyle name="Total 2 8 6 6 3" xfId="16883" xr:uid="{97F4B6FD-31B2-409F-BB43-81289620113A}"/>
    <cellStyle name="Total 2 8 6 6 3 2" xfId="39273" xr:uid="{D8397CD3-C852-41CD-9A7F-F4CD21FC13D2}"/>
    <cellStyle name="Total 2 8 6 6 3 3" xfId="25394" xr:uid="{81AAD2A1-D6D0-4D2E-89D3-BE390DA6BEE2}"/>
    <cellStyle name="Total 2 8 6 6 4" xfId="7737" xr:uid="{9E8BC608-3F46-4830-8E46-1F9206C18966}"/>
    <cellStyle name="Total 2 8 6 6 4 2" xfId="30386" xr:uid="{91C5E9A9-C24E-41DE-B4A1-C6FA397F5AB0}"/>
    <cellStyle name="Total 2 8 6 6 4 3" xfId="32126" xr:uid="{BC12DB41-D2D1-4086-B9BE-A55B56DE4AAA}"/>
    <cellStyle name="Total 2 8 6 6 5" xfId="21307" xr:uid="{9EF5CBED-D0FF-44EA-BCC6-7794EA13BB0C}"/>
    <cellStyle name="Total 2 8 6 6 5 2" xfId="29805" xr:uid="{F8ECDC16-1622-4476-BC07-8C24E0E25D07}"/>
    <cellStyle name="Total 2 8 6 6 6" xfId="51009" xr:uid="{82EA893E-FA8B-4B5A-B993-4DBDFADE0D52}"/>
    <cellStyle name="Total 2 8 6 7" xfId="6493" xr:uid="{00000000-0005-0000-0000-0000C2080000}"/>
    <cellStyle name="Total 2 8 6 7 2" xfId="13362" xr:uid="{169C8084-34FC-4090-8C4A-5A296114F7FB}"/>
    <cellStyle name="Total 2 8 6 7 2 2" xfId="35846" xr:uid="{88A23E3E-4DFF-4AE3-8AFF-998E3479DACC}"/>
    <cellStyle name="Total 2 8 6 7 2 3" xfId="51386" xr:uid="{9406A20C-4493-4701-AF85-12D440981539}"/>
    <cellStyle name="Total 2 8 6 7 3" xfId="18430" xr:uid="{71DE66EB-632D-4218-A6E8-836BABF58353}"/>
    <cellStyle name="Total 2 8 6 7 3 2" xfId="40820" xr:uid="{3A02081A-FC41-4343-A690-B43579ED5F66}"/>
    <cellStyle name="Total 2 8 6 7 3 3" xfId="27714" xr:uid="{2813EA36-D5FD-4A06-A2A7-FA1AC8875784}"/>
    <cellStyle name="Total 2 8 6 7 4" xfId="21198" xr:uid="{FB0FCDE8-C62D-49CD-90EA-49843BA5A762}"/>
    <cellStyle name="Total 2 8 6 7 4 2" xfId="43438" xr:uid="{2366C666-C2AD-4898-9F04-BFFE3EE7CC74}"/>
    <cellStyle name="Total 2 8 6 7 4 3" xfId="52366" xr:uid="{E91F9013-0F3D-4A2D-924F-6A8F32DF4D3F}"/>
    <cellStyle name="Total 2 8 6 7 5" xfId="22854" xr:uid="{6D6BE066-D27A-4E27-8873-64F4A1D193B1}"/>
    <cellStyle name="Total 2 8 6 7 5 2" xfId="52179" xr:uid="{E8A5C2FF-D747-4446-8B6C-8A1B4FC9F5E2}"/>
    <cellStyle name="Total 2 8 6 7 6" xfId="48193" xr:uid="{C1499970-9F58-4B2C-BCFD-4A54F91CCC94}"/>
    <cellStyle name="Total 2 8 6 8" xfId="14195" xr:uid="{8C134B20-D8F7-4CB8-8A8A-5E7128BB6CC8}"/>
    <cellStyle name="Total 2 8 6 8 2" xfId="36670" xr:uid="{0E68824A-6C7A-446A-8F68-AF235D579EFA}"/>
    <cellStyle name="Total 2 8 6 8 3" xfId="52819" xr:uid="{53B71AC9-3278-45B6-95B5-9ACB56CAA902}"/>
    <cellStyle name="Total 2 8 6 9" xfId="20215" xr:uid="{510DC79A-EEBF-4CDA-8E6C-92FB8EA8232C}"/>
    <cellStyle name="Total 2 8 6 9 2" xfId="42523" xr:uid="{4004BA20-B832-4E05-81D7-12CBC4083AFE}"/>
    <cellStyle name="Total 2 8 6 9 3" xfId="27807" xr:uid="{B8CC49C6-668A-4577-9893-73A6F844F574}"/>
    <cellStyle name="Total 2 8 7" xfId="1648" xr:uid="{00000000-0005-0000-0000-0000C7080000}"/>
    <cellStyle name="Total 2 8 7 10" xfId="14362" xr:uid="{87D63155-E35C-4B67-ADA6-A78B8BAA2891}"/>
    <cellStyle name="Total 2 8 7 10 2" xfId="36830" xr:uid="{A62EFCD6-AA42-41D1-86AB-CF99089C369C}"/>
    <cellStyle name="Total 2 8 7 10 3" xfId="44191" xr:uid="{1E5B447A-1CC1-4A5F-8DCD-25579E4E4DD2}"/>
    <cellStyle name="Total 2 8 7 11" xfId="19393" xr:uid="{61739A82-C0C2-40C1-B059-F3FAD67B2DD5}"/>
    <cellStyle name="Total 2 8 7 11 2" xfId="41766" xr:uid="{89EE52D3-CA4E-487C-85E5-046A06EBACA9}"/>
    <cellStyle name="Total 2 8 7 11 3" xfId="23698" xr:uid="{CFDF860E-AA15-4D11-AEF1-1315FC533C26}"/>
    <cellStyle name="Total 2 8 7 12" xfId="15677" xr:uid="{D147CD18-A7D5-4D5A-98A6-7109DE056B6B}"/>
    <cellStyle name="Total 2 8 7 12 2" xfId="28895" xr:uid="{99BDB202-5515-4B57-BC42-E0A1DBBC82FA}"/>
    <cellStyle name="Total 2 8 7 13" xfId="50123" xr:uid="{1F343B11-2BE7-4483-AD45-31BFAF611D10}"/>
    <cellStyle name="Total 2 8 7 2" xfId="3746" xr:uid="{00000000-0005-0000-0000-0000C4080000}"/>
    <cellStyle name="Total 2 8 7 2 2" xfId="10650" xr:uid="{2F3772DA-BF48-4C4B-AD7A-C985F1B9B136}"/>
    <cellStyle name="Total 2 8 7 2 2 2" xfId="33136" xr:uid="{4EFFF8D1-D872-47CF-AE42-20494E101824}"/>
    <cellStyle name="Total 2 8 7 2 2 3" xfId="25624" xr:uid="{0CBA0474-5E73-4BFC-9B21-6CDFB34C33D5}"/>
    <cellStyle name="Total 2 8 7 2 3" xfId="15827" xr:uid="{E4C0CCF2-09AD-458E-A6EA-C5B969D13E31}"/>
    <cellStyle name="Total 2 8 7 2 3 2" xfId="38235" xr:uid="{16B0DF8B-9F18-4C3B-8AAC-DF011BC6CD98}"/>
    <cellStyle name="Total 2 8 7 2 3 3" xfId="46909" xr:uid="{E681203F-F406-476C-B1C0-EBBD22E0CB2D}"/>
    <cellStyle name="Total 2 8 7 2 4" xfId="20715" xr:uid="{723AB0B1-165B-41A1-9816-BD56B1435B17}"/>
    <cellStyle name="Total 2 8 7 2 4 2" xfId="42986" xr:uid="{586499CA-58BC-485B-8402-6B7ADB5533A9}"/>
    <cellStyle name="Total 2 8 7 2 4 3" xfId="52362" xr:uid="{E242C39B-8B61-451D-BF66-D73CDA5AFCED}"/>
    <cellStyle name="Total 2 8 7 2 5" xfId="15506" xr:uid="{732338C8-BA74-4DFD-BB39-3D221EE803EA}"/>
    <cellStyle name="Total 2 8 7 2 5 2" xfId="32307" xr:uid="{654550CC-7A86-4A1D-8FCB-A20FF49CFF7A}"/>
    <cellStyle name="Total 2 8 7 2 6" xfId="38481" xr:uid="{2229C468-1B52-4705-BF1C-4DA0A40272B9}"/>
    <cellStyle name="Total 2 8 7 3" xfId="5181" xr:uid="{00000000-0005-0000-0000-0000C4080000}"/>
    <cellStyle name="Total 2 8 7 3 2" xfId="12074" xr:uid="{D454B90D-0E16-4EB8-A8D3-D4530D1351AF}"/>
    <cellStyle name="Total 2 8 7 3 2 2" xfId="34560" xr:uid="{C644712B-A63F-4309-A049-95B242EC5347}"/>
    <cellStyle name="Total 2 8 7 3 2 3" xfId="43966" xr:uid="{5D8857AA-745A-45BD-A76F-A0F369649D86}"/>
    <cellStyle name="Total 2 8 7 3 3" xfId="17118" xr:uid="{442341D4-A5B5-42CE-A6BD-4C22B4454B25}"/>
    <cellStyle name="Total 2 8 7 3 3 2" xfId="39508" xr:uid="{7662CD1A-E1D0-4B40-9C33-2F0B2A35163B}"/>
    <cellStyle name="Total 2 8 7 3 3 3" xfId="37095" xr:uid="{3037D4E6-FC37-4B82-AE99-37C42F7E6964}"/>
    <cellStyle name="Total 2 8 7 3 4" xfId="15132" xr:uid="{B2DEA9EF-8CF4-4AE7-9673-B0C05DEAB829}"/>
    <cellStyle name="Total 2 8 7 3 4 2" xfId="37574" xr:uid="{EE258CB9-AC70-4347-9AB9-C81AC95279CE}"/>
    <cellStyle name="Total 2 8 7 3 4 3" xfId="51844" xr:uid="{BA989586-070E-40A8-851E-DBF0F0EF65FB}"/>
    <cellStyle name="Total 2 8 7 3 5" xfId="21542" xr:uid="{B86B9F89-A0D6-4304-8BB2-022646F5D9C3}"/>
    <cellStyle name="Total 2 8 7 3 5 2" xfId="48127" xr:uid="{D1F879B2-B8FB-496A-B16A-88A8ABB8C36A}"/>
    <cellStyle name="Total 2 8 7 3 6" xfId="48529" xr:uid="{DE9E59D3-7351-4190-8FE3-31292856BD0F}"/>
    <cellStyle name="Total 2 8 7 4" xfId="2405" xr:uid="{00000000-0005-0000-0000-0000C4080000}"/>
    <cellStyle name="Total 2 8 7 4 2" xfId="9314" xr:uid="{F9C8685B-882F-4B56-A4D9-82ACF0129176}"/>
    <cellStyle name="Total 2 8 7 4 2 2" xfId="31886" xr:uid="{0F674A97-FF4D-463D-9113-A6B8E78EF641}"/>
    <cellStyle name="Total 2 8 7 4 2 3" xfId="49478" xr:uid="{65E3E1C8-1FC4-4BCF-A5F5-30F77AC9CE84}"/>
    <cellStyle name="Total 2 8 7 4 3" xfId="14953" xr:uid="{549CE222-A812-4298-9AFB-4E6B73A867A7}"/>
    <cellStyle name="Total 2 8 7 4 3 2" xfId="37406" xr:uid="{50DA54E6-9047-4993-8E02-C44C8EB6B537}"/>
    <cellStyle name="Total 2 8 7 4 3 3" xfId="47983" xr:uid="{45EC88B3-81FB-4085-949E-8438B0B837E5}"/>
    <cellStyle name="Total 2 8 7 4 4" xfId="15245" xr:uid="{DB1BE867-FF71-4D6F-BD69-E33AA47E5522}"/>
    <cellStyle name="Total 2 8 7 4 4 2" xfId="37680" xr:uid="{873E9057-B05C-4D0D-8E48-D1D81D157027}"/>
    <cellStyle name="Total 2 8 7 4 4 3" xfId="26125" xr:uid="{F908A9C7-DA4D-4305-A343-325D60A973F3}"/>
    <cellStyle name="Total 2 8 7 4 5" xfId="8815" xr:uid="{91570166-F171-494B-9BB4-4546FA006041}"/>
    <cellStyle name="Total 2 8 7 4 5 2" xfId="49746" xr:uid="{C71480FC-EC07-4CFE-825E-8F14527A8221}"/>
    <cellStyle name="Total 2 8 7 4 6" xfId="52890" xr:uid="{556105C7-7F01-4B53-AD73-A697D23347A9}"/>
    <cellStyle name="Total 2 8 7 5" xfId="5611" xr:uid="{00000000-0005-0000-0000-0000C4080000}"/>
    <cellStyle name="Total 2 8 7 5 2" xfId="12495" xr:uid="{A542D296-5507-4748-81E3-C49B9C81744E}"/>
    <cellStyle name="Total 2 8 7 5 2 2" xfId="34980" xr:uid="{F893704D-B6AC-4110-B8CD-8FF1E7840E93}"/>
    <cellStyle name="Total 2 8 7 5 2 3" xfId="25479" xr:uid="{0BE43B92-374D-4BA3-A63B-B9F074BF19D7}"/>
    <cellStyle name="Total 2 8 7 5 3" xfId="17548" xr:uid="{646FF9DC-8F4D-43F9-B193-E83F076A76B4}"/>
    <cellStyle name="Total 2 8 7 5 3 2" xfId="39938" xr:uid="{2DC1D875-65FD-4853-95EB-F8D57868F1F6}"/>
    <cellStyle name="Total 2 8 7 5 3 3" xfId="43976" xr:uid="{CFEC15E8-4AE6-47B6-BFC5-9B8F52DB937E}"/>
    <cellStyle name="Total 2 8 7 5 4" xfId="14390" xr:uid="{A07AFB22-096A-40DC-BE54-BD1989396054}"/>
    <cellStyle name="Total 2 8 7 5 4 2" xfId="36857" xr:uid="{A2C79CFB-390E-4235-8634-2FD761BCC720}"/>
    <cellStyle name="Total 2 8 7 5 4 3" xfId="53990" xr:uid="{E3A98B5F-16E1-49A8-A052-DDF51D6874C9}"/>
    <cellStyle name="Total 2 8 7 5 5" xfId="21972" xr:uid="{E870B7A5-163B-47DA-9F11-E7F7CCDCFCD4}"/>
    <cellStyle name="Total 2 8 7 5 5 2" xfId="31610" xr:uid="{336ABF38-C0E1-4564-AAF5-0D0F7BBED30A}"/>
    <cellStyle name="Total 2 8 7 5 6" xfId="43629" xr:uid="{7839CFB5-C7B4-451B-A4E3-15CFAD9D213D}"/>
    <cellStyle name="Total 2 8 7 6" xfId="2606" xr:uid="{00000000-0005-0000-0000-0000C4080000}"/>
    <cellStyle name="Total 2 8 7 6 2" xfId="9515" xr:uid="{7173A411-A9EF-4349-BC53-31267CEC6E61}"/>
    <cellStyle name="Total 2 8 7 6 2 2" xfId="32067" xr:uid="{0CB71429-EB59-4558-B8D1-7D81283020A0}"/>
    <cellStyle name="Total 2 8 7 6 2 3" xfId="48242" xr:uid="{FDC93F97-7124-4E56-9F12-CE719B7BDDAF}"/>
    <cellStyle name="Total 2 8 7 6 3" xfId="15084" xr:uid="{F8F37430-59C4-4E39-8F81-C98E63DD3107}"/>
    <cellStyle name="Total 2 8 7 6 3 2" xfId="37529" xr:uid="{16D9DEE0-2182-4AC8-828E-CA991EE68C87}"/>
    <cellStyle name="Total 2 8 7 6 3 3" xfId="48345" xr:uid="{B6D6BC3F-8479-4F3F-992E-AE812BDB1DDA}"/>
    <cellStyle name="Total 2 8 7 6 4" xfId="8974" xr:uid="{98E8F8F0-986E-4F19-BCE4-29B7CBF2B22E}"/>
    <cellStyle name="Total 2 8 7 6 4 2" xfId="31552" xr:uid="{66474D3E-821B-4C1F-8BC7-0C1BED795013}"/>
    <cellStyle name="Total 2 8 7 6 4 3" xfId="44832" xr:uid="{0EE379E2-2D9C-42FE-B902-2AEAF3F3BEEB}"/>
    <cellStyle name="Total 2 8 7 6 5" xfId="20123" xr:uid="{EFA22220-9C08-483B-A2AE-0617EA0F56F3}"/>
    <cellStyle name="Total 2 8 7 6 5 2" xfId="43109" xr:uid="{D6A9F20B-3C25-4DD9-8F75-BF14BE39AE39}"/>
    <cellStyle name="Total 2 8 7 6 6" xfId="46819" xr:uid="{5392B69F-30D1-4DB6-B414-9B2DBF4B1350}"/>
    <cellStyle name="Total 2 8 7 7" xfId="6709" xr:uid="{00000000-0005-0000-0000-0000C4080000}"/>
    <cellStyle name="Total 2 8 7 7 2" xfId="13572" xr:uid="{52F5476E-9E17-4A73-8B1D-851836AC8B08}"/>
    <cellStyle name="Total 2 8 7 7 2 2" xfId="36056" xr:uid="{50D79701-22ED-41A3-B79F-B772A546E233}"/>
    <cellStyle name="Total 2 8 7 7 2 3" xfId="53724" xr:uid="{3FCBDC13-5A6F-483D-9D4F-13DF8514C7CF}"/>
    <cellStyle name="Total 2 8 7 7 3" xfId="18646" xr:uid="{61EFB2A9-68EE-4F05-81E2-3793691CED57}"/>
    <cellStyle name="Total 2 8 7 7 3 2" xfId="41036" xr:uid="{F5B41F5D-47C1-424A-A07F-A5F1673FFB13}"/>
    <cellStyle name="Total 2 8 7 7 3 3" xfId="28827" xr:uid="{54396E54-E261-405F-95AF-EF9ABF1EECC7}"/>
    <cellStyle name="Total 2 8 7 7 4" xfId="19663" xr:uid="{4CEE1BEB-A5BF-42A8-A220-F5A4CE0066DC}"/>
    <cellStyle name="Total 2 8 7 7 4 2" xfId="42011" xr:uid="{CA90ED4C-B937-4469-A6B9-85602B73B530}"/>
    <cellStyle name="Total 2 8 7 7 4 3" xfId="25846" xr:uid="{51833435-7561-418C-8724-90AC085BDF88}"/>
    <cellStyle name="Total 2 8 7 7 5" xfId="23070" xr:uid="{5B35AE92-F5BF-4409-BF8E-E15CAA3429A1}"/>
    <cellStyle name="Total 2 8 7 7 5 2" xfId="50637" xr:uid="{B1A456C8-DF8B-4717-B4BA-F5DC7AE56265}"/>
    <cellStyle name="Total 2 8 7 7 6" xfId="48042" xr:uid="{0E28FF94-4361-4C26-9178-C31BA5D74F4C}"/>
    <cellStyle name="Total 2 8 7 8" xfId="6834" xr:uid="{00000000-0005-0000-0000-0000C4080000}"/>
    <cellStyle name="Total 2 8 7 8 2" xfId="13679" xr:uid="{442AF503-9891-4478-9A95-CE9BCBACDFDE}"/>
    <cellStyle name="Total 2 8 7 8 2 2" xfId="36163" xr:uid="{918480E9-CFE3-4EA9-9230-4FBDA350D398}"/>
    <cellStyle name="Total 2 8 7 8 2 3" xfId="52039" xr:uid="{E7A3CEC6-9B44-4C18-AAC7-67E3F73D7C80}"/>
    <cellStyle name="Total 2 8 7 8 3" xfId="18771" xr:uid="{ED0D89F2-9679-4294-B179-A6AA5E415A85}"/>
    <cellStyle name="Total 2 8 7 8 3 2" xfId="41161" xr:uid="{2E8C8315-061E-48CF-9469-A0BC3D8EE1FD}"/>
    <cellStyle name="Total 2 8 7 8 3 3" xfId="36737" xr:uid="{3E3B9A17-167C-4F38-9CB0-C60BAC4E5FF0}"/>
    <cellStyle name="Total 2 8 7 8 4" xfId="20545" xr:uid="{9078D807-9836-4C68-9059-1F4064BF7385}"/>
    <cellStyle name="Total 2 8 7 8 4 2" xfId="42831" xr:uid="{BDACEC5F-FB7A-4FB7-8DCF-373486A6AC81}"/>
    <cellStyle name="Total 2 8 7 8 4 3" xfId="46403" xr:uid="{275D9C66-C7BD-443F-88E6-72250696C206}"/>
    <cellStyle name="Total 2 8 7 8 5" xfId="23195" xr:uid="{A4713366-5303-48D9-B0A7-8FAB8F43B110}"/>
    <cellStyle name="Total 2 8 7 8 5 2" xfId="53304" xr:uid="{86F304A9-3408-4A3B-8D53-E6E0A551FA33}"/>
    <cellStyle name="Total 2 8 7 8 6" xfId="47197" xr:uid="{8CB62F7E-CA87-4265-BF96-2A26C2E59D57}"/>
    <cellStyle name="Total 2 8 7 9" xfId="2313" xr:uid="{00000000-0005-0000-0000-0000C4080000}"/>
    <cellStyle name="Total 2 8 7 9 2" xfId="14877" xr:uid="{822AFC59-8199-4CFD-A1B8-2045A4C77CEA}"/>
    <cellStyle name="Total 2 8 7 9 2 2" xfId="37331" xr:uid="{90570F7A-8FB9-484E-9243-1F47D2B045DF}"/>
    <cellStyle name="Total 2 8 7 9 2 3" xfId="30881" xr:uid="{2F1A1A4F-729E-4220-A32A-97B2EBBD339E}"/>
    <cellStyle name="Total 2 8 7 9 3" xfId="20575" xr:uid="{DAFF81B9-C795-4351-9324-48490BF7DA8E}"/>
    <cellStyle name="Total 2 8 7 9 3 2" xfId="42858" xr:uid="{218D4903-A626-4C5C-BD1C-BA8F6C307F09}"/>
    <cellStyle name="Total 2 8 7 9 3 3" xfId="30145" xr:uid="{9AE26360-AB1F-4AD7-9ED8-8D7555E3A1A4}"/>
    <cellStyle name="Total 2 8 7 9 4" xfId="20411" xr:uid="{2163B2C1-5C8B-4124-A1D4-71CBD3DBCE6D}"/>
    <cellStyle name="Total 2 8 7 9 4 2" xfId="52913" xr:uid="{E05EC849-7487-455D-A49F-BA57F76E7BB0}"/>
    <cellStyle name="Total 2 8 7 9 5" xfId="52831" xr:uid="{FD6896B7-5BC4-4712-A392-D85A921A3EA9}"/>
    <cellStyle name="Total 2 8 8" xfId="2598" xr:uid="{00000000-0005-0000-0000-0000B9080000}"/>
    <cellStyle name="Total 2 8 8 2" xfId="9507" xr:uid="{76BE6AEC-9865-47DB-AAC6-A8CE27C24329}"/>
    <cellStyle name="Total 2 8 8 2 2" xfId="32059" xr:uid="{73D14727-4902-4107-AC35-8CFE370D03FC}"/>
    <cellStyle name="Total 2 8 8 2 3" xfId="46703" xr:uid="{45202F83-030F-4DF3-ACAB-67619B37FA3D}"/>
    <cellStyle name="Total 2 8 8 3" xfId="15076" xr:uid="{E5C39B11-78A5-46CF-8212-09D593052339}"/>
    <cellStyle name="Total 2 8 8 3 2" xfId="37521" xr:uid="{124C028D-382A-4117-8AC3-4C63D1A1675A}"/>
    <cellStyle name="Total 2 8 8 3 3" xfId="50969" xr:uid="{0E7AD184-CC26-477E-9FA9-02BE1BBED056}"/>
    <cellStyle name="Total 2 8 8 4" xfId="16014" xr:uid="{C956B694-E3EE-43FB-B823-718D31822629}"/>
    <cellStyle name="Total 2 8 8 4 2" xfId="38415" xr:uid="{CCA5E657-2A19-48A4-A9DB-5A04B102CE1C}"/>
    <cellStyle name="Total 2 8 8 4 3" xfId="53088" xr:uid="{D76DC689-72A5-4119-B001-BD6A5010A162}"/>
    <cellStyle name="Total 2 8 8 5" xfId="20210" xr:uid="{A019E285-62F7-4B70-A32C-6B6E41E01322}"/>
    <cellStyle name="Total 2 8 8 5 2" xfId="43291" xr:uid="{5240F86B-FDC8-4465-96E4-4F9AA1CD809A}"/>
    <cellStyle name="Total 2 8 8 6" xfId="53670" xr:uid="{83386499-A93C-49BE-B2E9-B0455662B11A}"/>
    <cellStyle name="Total 2 8 9" xfId="4426" xr:uid="{00000000-0005-0000-0000-0000B9080000}"/>
    <cellStyle name="Total 2 8 9 2" xfId="11328" xr:uid="{B72CFEED-84AF-4404-A691-AAC1A93F88F0}"/>
    <cellStyle name="Total 2 8 9 2 2" xfId="33814" xr:uid="{04C1403B-9716-4CB9-93BE-C8ACD3E89D29}"/>
    <cellStyle name="Total 2 8 9 2 3" xfId="45857" xr:uid="{3B797DBD-8ADB-4EEE-956D-A3471A8BAD60}"/>
    <cellStyle name="Total 2 8 9 3" xfId="16363" xr:uid="{06E5BCA9-C6CC-40CD-B85D-898F1C556C5E}"/>
    <cellStyle name="Total 2 8 9 3 2" xfId="38753" xr:uid="{BF6280D5-67BB-46E2-B4DE-AE8B97E103C9}"/>
    <cellStyle name="Total 2 8 9 3 3" xfId="42875" xr:uid="{94A4AAC2-FD95-4C94-A745-9C62D64283CF}"/>
    <cellStyle name="Total 2 8 9 4" xfId="19861" xr:uid="{12CED8FD-0416-40AC-9F03-3F287FFF11A8}"/>
    <cellStyle name="Total 2 8 9 4 2" xfId="42196" xr:uid="{F7788657-05AF-4AF8-8728-47F647A5FF0E}"/>
    <cellStyle name="Total 2 8 9 4 3" xfId="41743" xr:uid="{29149ACD-BDE3-4CAC-8176-0587A2D7B5A1}"/>
    <cellStyle name="Total 2 8 9 5" xfId="21145" xr:uid="{F6F839F6-CFBC-4483-9672-9A8AE0D6784C}"/>
    <cellStyle name="Total 2 8 9 5 2" xfId="28451" xr:uid="{8750466F-8ED6-4EDE-A8F2-49C8F9712E0F}"/>
    <cellStyle name="Total 2 8 9 6" xfId="52365" xr:uid="{9E74FA23-725F-416B-80D5-B0C8EE48EC7E}"/>
    <cellStyle name="Total 2 9" xfId="456" xr:uid="{00000000-0005-0000-0000-0000C8080000}"/>
    <cellStyle name="Total 2 9 10" xfId="5035" xr:uid="{00000000-0005-0000-0000-0000C5080000}"/>
    <cellStyle name="Total 2 9 10 2" xfId="11929" xr:uid="{9261C402-2AF1-454B-9C66-91677519D396}"/>
    <cellStyle name="Total 2 9 10 2 2" xfId="34415" xr:uid="{C1A8C96F-2E7C-4BDC-AC43-9C8A7E82FC96}"/>
    <cellStyle name="Total 2 9 10 2 3" xfId="28286" xr:uid="{F5F457FE-507B-4C12-B4BF-8F15EA7FDFB5}"/>
    <cellStyle name="Total 2 9 10 3" xfId="16972" xr:uid="{652FA208-8072-475F-840F-DEF406D67F4B}"/>
    <cellStyle name="Total 2 9 10 3 2" xfId="39362" xr:uid="{07213BFA-E065-4665-A847-593E264D40FA}"/>
    <cellStyle name="Total 2 9 10 3 3" xfId="45136" xr:uid="{692D9D3D-9343-4AA9-99B6-95B5BB626156}"/>
    <cellStyle name="Total 2 9 10 4" xfId="11369" xr:uid="{001D1389-60C8-4F02-9D33-E7FDB7FAF592}"/>
    <cellStyle name="Total 2 9 10 4 2" xfId="33855" xr:uid="{F12B6611-F719-46E5-974E-3FFC156DABAE}"/>
    <cellStyle name="Total 2 9 10 4 3" xfId="42211" xr:uid="{9C088693-1D71-4D72-B58F-D0842D71991E}"/>
    <cellStyle name="Total 2 9 10 5" xfId="21396" xr:uid="{195422BA-0AB4-4BD9-9CFB-F59626EB241F}"/>
    <cellStyle name="Total 2 9 10 5 2" xfId="47715" xr:uid="{D876863D-81AE-4809-B1EE-237809B3F8C7}"/>
    <cellStyle name="Total 2 9 10 6" xfId="49727" xr:uid="{F1F1529E-B903-4C9C-8698-681C92434B9B}"/>
    <cellStyle name="Total 2 9 11" xfId="4612" xr:uid="{00000000-0005-0000-0000-0000C5080000}"/>
    <cellStyle name="Total 2 9 11 2" xfId="11513" xr:uid="{510174CF-CFB8-4223-9251-0A651FD737D7}"/>
    <cellStyle name="Total 2 9 11 2 2" xfId="33999" xr:uid="{07A6450B-894E-4939-97C0-A0BCE4243D40}"/>
    <cellStyle name="Total 2 9 11 2 3" xfId="44153" xr:uid="{75B252C3-3E39-4775-9116-21423913A0CA}"/>
    <cellStyle name="Total 2 9 11 3" xfId="16549" xr:uid="{2505EDA3-DC33-4A63-9492-800DF6A219D3}"/>
    <cellStyle name="Total 2 9 11 3 2" xfId="38939" xr:uid="{56FF914F-36C3-428F-A7D2-20ED81C00FA2}"/>
    <cellStyle name="Total 2 9 11 3 3" xfId="32246" xr:uid="{6AF3C521-83E6-47B2-BA31-79535AD1BC08}"/>
    <cellStyle name="Total 2 9 11 4" xfId="7383" xr:uid="{183B2F8B-8BED-4939-B652-BC9225FF2E61}"/>
    <cellStyle name="Total 2 9 11 4 2" xfId="30068" xr:uid="{FC72DD8C-BAFC-4050-9629-F6418DE8935E}"/>
    <cellStyle name="Total 2 9 11 4 3" xfId="50278" xr:uid="{2F8E5307-1077-4A75-BCE3-E643B36A0BBA}"/>
    <cellStyle name="Total 2 9 11 5" xfId="19917" xr:uid="{4F0302B1-72E6-492C-A5EF-3173B644E496}"/>
    <cellStyle name="Total 2 9 11 5 2" xfId="32704" xr:uid="{822E296D-BCE0-477F-B6EB-B9B9F445D851}"/>
    <cellStyle name="Total 2 9 11 6" xfId="48262" xr:uid="{50C921D9-40FE-4FB9-9D6E-F3656DCA09FF}"/>
    <cellStyle name="Total 2 9 12" xfId="5266" xr:uid="{00000000-0005-0000-0000-0000C5080000}"/>
    <cellStyle name="Total 2 9 12 2" xfId="12158" xr:uid="{EF5F6E2C-5E55-4E6E-A71D-D068263008EF}"/>
    <cellStyle name="Total 2 9 12 2 2" xfId="34643" xr:uid="{02093AC1-8543-4722-BB7E-6A8207AA9532}"/>
    <cellStyle name="Total 2 9 12 2 3" xfId="43472" xr:uid="{27C77B42-2532-460C-8975-A5EBB6F7393E}"/>
    <cellStyle name="Total 2 9 12 3" xfId="17203" xr:uid="{55891AF2-F0AF-4AD6-AFBE-5A37DDA5E75B}"/>
    <cellStyle name="Total 2 9 12 3 2" xfId="39593" xr:uid="{4D379256-35E5-4612-87FE-F2B2313877DC}"/>
    <cellStyle name="Total 2 9 12 3 3" xfId="45290" xr:uid="{9F1C66FB-A0DC-464F-8BE1-C41E7EE682C3}"/>
    <cellStyle name="Total 2 9 12 4" xfId="16263" xr:uid="{FB24AC79-9CB3-41DF-B87A-322EBFEC51C3}"/>
    <cellStyle name="Total 2 9 12 4 2" xfId="38655" xr:uid="{EA2D0EE1-696C-4706-A0A4-5D6F2DE8FA80}"/>
    <cellStyle name="Total 2 9 12 4 3" xfId="44345" xr:uid="{58A9FD84-5B32-4FFE-934A-9CB1749467F9}"/>
    <cellStyle name="Total 2 9 12 5" xfId="21627" xr:uid="{B292641D-E079-403E-AE84-7F1D6D0F1D87}"/>
    <cellStyle name="Total 2 9 12 5 2" xfId="53417" xr:uid="{63670AC2-3A87-4E87-9FC9-98EDFBE05EEA}"/>
    <cellStyle name="Total 2 9 12 6" xfId="44120" xr:uid="{EE451AF4-92D0-406E-A311-9BB468CFF230}"/>
    <cellStyle name="Total 2 9 13" xfId="8435" xr:uid="{76DA2A89-A558-4C80-9EE8-7BF74A515963}"/>
    <cellStyle name="Total 2 9 13 2" xfId="31023" xr:uid="{296A658A-AE69-44C8-A22F-969CC2589684}"/>
    <cellStyle name="Total 2 9 13 3" xfId="49305" xr:uid="{F339BD65-090D-462E-8878-2F3DAF3B3A9A}"/>
    <cellStyle name="Total 2 9 14" xfId="20063" xr:uid="{6EB58642-E0E8-453A-9F6A-B28C7ABFA7C5}"/>
    <cellStyle name="Total 2 9 14 2" xfId="42384" xr:uid="{6CFB0B7E-AF92-43E9-A292-C86CEF0E9B27}"/>
    <cellStyle name="Total 2 9 14 3" xfId="23906" xr:uid="{31F5836E-8F0F-4FC2-BBB9-EC557878CCEC}"/>
    <cellStyle name="Total 2 9 15" xfId="14184" xr:uid="{ABD82831-AB2A-4000-95F3-B188929A13D1}"/>
    <cellStyle name="Total 2 9 15 2" xfId="48046" xr:uid="{F8C19D84-6396-4EF3-A822-C04D29DAC9F9}"/>
    <cellStyle name="Total 2 9 16" xfId="44833" xr:uid="{0818289B-39FF-4948-BF7E-25899CDBD43A}"/>
    <cellStyle name="Total 2 9 2" xfId="609" xr:uid="{00000000-0005-0000-0000-0000C9080000}"/>
    <cellStyle name="Total 2 9 2 10" xfId="19632" xr:uid="{A8E0B7B1-4453-4763-9196-8237CEFDD7C0}"/>
    <cellStyle name="Total 2 9 2 10 2" xfId="43854" xr:uid="{ED927432-4FBC-4C08-9EB5-9CD2D30E949C}"/>
    <cellStyle name="Total 2 9 2 11" xfId="28975" xr:uid="{34AE322A-E3A3-4572-990A-CD820CB47DE5}"/>
    <cellStyle name="Total 2 9 2 2" xfId="1743" xr:uid="{00000000-0005-0000-0000-0000CA080000}"/>
    <cellStyle name="Total 2 9 2 2 10" xfId="14444" xr:uid="{0D9FC1F7-6C58-4B03-B3CD-C9B9CAAA6974}"/>
    <cellStyle name="Total 2 9 2 2 10 2" xfId="36910" xr:uid="{3565E929-B36D-4A81-A6A5-B12EF7705CED}"/>
    <cellStyle name="Total 2 9 2 2 10 3" xfId="43224" xr:uid="{47AF5052-3EBC-4B3D-A6D4-7DE105C9641F}"/>
    <cellStyle name="Total 2 9 2 2 11" xfId="20056" xr:uid="{98972AD6-2F63-4C18-BDF8-668E3DB881BC}"/>
    <cellStyle name="Total 2 9 2 2 11 2" xfId="42377" xr:uid="{B1EB9E06-3D54-4F55-9649-583515D3852F}"/>
    <cellStyle name="Total 2 9 2 2 11 3" xfId="26418" xr:uid="{26011CEE-A15E-4407-BB7D-C2D5A5091927}"/>
    <cellStyle name="Total 2 9 2 2 12" xfId="20502" xr:uid="{FFFF2D4F-8267-4825-A0BF-645B47B4AC26}"/>
    <cellStyle name="Total 2 9 2 2 12 2" xfId="51730" xr:uid="{445A250B-D2A9-4900-890C-2921EF9F9EAF}"/>
    <cellStyle name="Total 2 9 2 2 13" xfId="23662" xr:uid="{CF529673-D886-42B4-9FBA-87997F9D727C}"/>
    <cellStyle name="Total 2 9 2 2 2" xfId="3841" xr:uid="{00000000-0005-0000-0000-0000C7080000}"/>
    <cellStyle name="Total 2 9 2 2 2 2" xfId="10745" xr:uid="{9C64F545-F70D-43EA-835D-A70013F4123F}"/>
    <cellStyle name="Total 2 9 2 2 2 2 2" xfId="33231" xr:uid="{8AA334B0-9AC4-42C1-BE5D-36D5D02B9BA6}"/>
    <cellStyle name="Total 2 9 2 2 2 2 3" xfId="23728" xr:uid="{C9A09209-5490-4F6A-892F-DC3C062A7333}"/>
    <cellStyle name="Total 2 9 2 2 2 3" xfId="15901" xr:uid="{68411FB0-6025-48ED-A093-D5B56A734B95}"/>
    <cellStyle name="Total 2 9 2 2 2 3 2" xfId="38307" xr:uid="{BF854FF8-4134-45C2-BDCB-9F1AAD08D493}"/>
    <cellStyle name="Total 2 9 2 2 2 3 3" xfId="49980" xr:uid="{98A2BADD-3786-4CF8-BF71-D7A09A88CC6D}"/>
    <cellStyle name="Total 2 9 2 2 2 4" xfId="21269" xr:uid="{CA13A348-A4CB-42CE-965F-936D2AB119F4}"/>
    <cellStyle name="Total 2 9 2 2 2 4 2" xfId="43504" xr:uid="{C359319F-0633-4AA1-A678-BDACC4238C8F}"/>
    <cellStyle name="Total 2 9 2 2 2 4 3" xfId="51671" xr:uid="{0ABE8B57-20FD-4607-8C93-86BB773E0B72}"/>
    <cellStyle name="Total 2 9 2 2 2 5" xfId="21250" xr:uid="{8B210725-BDFF-42DD-A1E9-BC76F551E155}"/>
    <cellStyle name="Total 2 9 2 2 2 5 2" xfId="36643" xr:uid="{5212B643-C937-471A-B58F-BBA001396991}"/>
    <cellStyle name="Total 2 9 2 2 2 6" xfId="47644" xr:uid="{303BFCCD-7CDC-4A9C-9852-2BA5071362E3}"/>
    <cellStyle name="Total 2 9 2 2 3" xfId="5257" xr:uid="{00000000-0005-0000-0000-0000C7080000}"/>
    <cellStyle name="Total 2 9 2 2 3 2" xfId="12149" xr:uid="{318BC2D7-AE89-48EC-87D3-431031ACE6BF}"/>
    <cellStyle name="Total 2 9 2 2 3 2 2" xfId="34634" xr:uid="{3DA3C661-C2C9-4D31-A8C4-AEC8F005658F}"/>
    <cellStyle name="Total 2 9 2 2 3 2 3" xfId="43721" xr:uid="{D206082B-16EE-48DB-97DB-F18FAA10B470}"/>
    <cellStyle name="Total 2 9 2 2 3 3" xfId="17194" xr:uid="{853694E7-3D0A-4E22-B1D9-43A22B90C97D}"/>
    <cellStyle name="Total 2 9 2 2 3 3 2" xfId="39584" xr:uid="{8FB72690-03F4-44C3-A434-A895D2666212}"/>
    <cellStyle name="Total 2 9 2 2 3 3 3" xfId="43334" xr:uid="{C9DFDBEC-0962-4762-B996-43FF4E9EE98C}"/>
    <cellStyle name="Total 2 9 2 2 3 4" xfId="14933" xr:uid="{F501D7CB-18E4-4F68-972A-2FA0E7B66F6C}"/>
    <cellStyle name="Total 2 9 2 2 3 4 2" xfId="37387" xr:uid="{C3536E86-11E2-4373-B1AE-6ACC866A8730}"/>
    <cellStyle name="Total 2 9 2 2 3 4 3" xfId="46069" xr:uid="{01C2AECC-F095-4A68-81C1-A77B53E6F5A9}"/>
    <cellStyle name="Total 2 9 2 2 3 5" xfId="21618" xr:uid="{54C9F60D-F14B-46DC-8B3F-7AB57C304825}"/>
    <cellStyle name="Total 2 9 2 2 3 5 2" xfId="41810" xr:uid="{26E89D7D-D42C-4AD2-BDB8-713E41896A4A}"/>
    <cellStyle name="Total 2 9 2 2 3 6" xfId="52884" xr:uid="{DE05BF18-363D-4D36-B362-79B2A287F4C7}"/>
    <cellStyle name="Total 2 9 2 2 4" xfId="5669" xr:uid="{00000000-0005-0000-0000-0000C7080000}"/>
    <cellStyle name="Total 2 9 2 2 4 2" xfId="12553" xr:uid="{B33AC2C5-882D-4DB7-8F5A-40DC10DD9818}"/>
    <cellStyle name="Total 2 9 2 2 4 2 2" xfId="35038" xr:uid="{F06CDF2E-6E95-40F6-B6DC-D581C2910868}"/>
    <cellStyle name="Total 2 9 2 2 4 2 3" xfId="41911" xr:uid="{D52ADFFF-6681-4EE6-9E8F-57204E9D8115}"/>
    <cellStyle name="Total 2 9 2 2 4 3" xfId="17606" xr:uid="{2A5459EA-F70D-4CF6-9FA5-7A3E82A7F543}"/>
    <cellStyle name="Total 2 9 2 2 4 3 2" xfId="39996" xr:uid="{0DCEA634-7D47-4BF0-A81E-A474836A71E4}"/>
    <cellStyle name="Total 2 9 2 2 4 3 3" xfId="25922" xr:uid="{E1F5714E-4132-40D2-A655-0BD29CEA2550}"/>
    <cellStyle name="Total 2 9 2 2 4 4" xfId="14302" xr:uid="{D4E5AAD9-338C-42DC-8179-F6FD4331C9FA}"/>
    <cellStyle name="Total 2 9 2 2 4 4 2" xfId="36771" xr:uid="{FDC37246-5E24-4E68-8EA6-F8114E48C507}"/>
    <cellStyle name="Total 2 9 2 2 4 4 3" xfId="48241" xr:uid="{B21E23EE-B3D9-4CB5-BC51-3291F7490C74}"/>
    <cellStyle name="Total 2 9 2 2 4 5" xfId="22030" xr:uid="{A743964B-FB83-48A3-BE74-085B252CA2F3}"/>
    <cellStyle name="Total 2 9 2 2 4 5 2" xfId="49318" xr:uid="{2AD9A5CD-7428-4ED0-B3BB-4BEBE032999F}"/>
    <cellStyle name="Total 2 9 2 2 4 6" xfId="52715" xr:uid="{209D8F4D-A95C-4ADD-AABE-D1BF08924100}"/>
    <cellStyle name="Total 2 9 2 2 5" xfId="5039" xr:uid="{00000000-0005-0000-0000-0000C7080000}"/>
    <cellStyle name="Total 2 9 2 2 5 2" xfId="11933" xr:uid="{13FBEFBF-6617-4C6A-BDB7-1C239329E892}"/>
    <cellStyle name="Total 2 9 2 2 5 2 2" xfId="34419" xr:uid="{2E6A0A9A-DA9E-4133-999D-5E419B438E95}"/>
    <cellStyle name="Total 2 9 2 2 5 2 3" xfId="32784" xr:uid="{E93755B5-31FC-42A8-94D1-DA0BFAF5CF43}"/>
    <cellStyle name="Total 2 9 2 2 5 3" xfId="16976" xr:uid="{345DA97B-7228-44BE-B0A7-39D4B6C3ED36}"/>
    <cellStyle name="Total 2 9 2 2 5 3 2" xfId="39366" xr:uid="{FEF07C3B-0BCB-427F-B21F-59CC5CD89DD9}"/>
    <cellStyle name="Total 2 9 2 2 5 3 3" xfId="26448" xr:uid="{2D103E81-2A17-45CE-9514-CCE5A8260D14}"/>
    <cellStyle name="Total 2 9 2 2 5 4" xfId="19177" xr:uid="{99DA8E67-4EFC-4939-997F-8DDAFEB9297E}"/>
    <cellStyle name="Total 2 9 2 2 5 4 2" xfId="41567" xr:uid="{1BA8AECA-4AC1-4A31-9E8A-22A584E6AF6E}"/>
    <cellStyle name="Total 2 9 2 2 5 4 3" xfId="44919" xr:uid="{5FD0F33C-3340-4007-A5FB-FAB8DA093636}"/>
    <cellStyle name="Total 2 9 2 2 5 5" xfId="21400" xr:uid="{5B2F05DC-2279-4842-BC2B-1E72F9BC399C}"/>
    <cellStyle name="Total 2 9 2 2 5 5 2" xfId="47240" xr:uid="{6A2F8FB9-9FF8-4049-8269-4C9E57D0A440}"/>
    <cellStyle name="Total 2 9 2 2 5 6" xfId="51483" xr:uid="{1B60BAA1-E8FF-4679-A46B-D5B9394D0015}"/>
    <cellStyle name="Total 2 9 2 2 6" xfId="6408" xr:uid="{00000000-0005-0000-0000-0000C7080000}"/>
    <cellStyle name="Total 2 9 2 2 6 2" xfId="13280" xr:uid="{EE1B96EC-AA71-43ED-80EC-2BBEB8BDB326}"/>
    <cellStyle name="Total 2 9 2 2 6 2 2" xfId="35764" xr:uid="{3405AA0C-9114-4512-9D35-05F65F10B1AF}"/>
    <cellStyle name="Total 2 9 2 2 6 2 3" xfId="29557" xr:uid="{241B7D28-B6B5-44A1-B986-64F1952E8C41}"/>
    <cellStyle name="Total 2 9 2 2 6 3" xfId="18345" xr:uid="{5B95BE44-2823-4823-BB09-33D98A06B841}"/>
    <cellStyle name="Total 2 9 2 2 6 3 2" xfId="40735" xr:uid="{E0CB0219-C87D-4569-BA36-0A5711E9C779}"/>
    <cellStyle name="Total 2 9 2 2 6 3 3" xfId="29894" xr:uid="{679BB328-8991-4D8E-AC12-91C5DB682C06}"/>
    <cellStyle name="Total 2 9 2 2 6 4" xfId="20415" xr:uid="{4F958DCF-39E7-43FA-975E-89F3990F0DEB}"/>
    <cellStyle name="Total 2 9 2 2 6 4 2" xfId="42709" xr:uid="{10E1C9CC-4C39-42B2-89F5-F24DE5810832}"/>
    <cellStyle name="Total 2 9 2 2 6 4 3" xfId="51899" xr:uid="{092C3846-54AA-4F0D-8EC6-28E67F8397FD}"/>
    <cellStyle name="Total 2 9 2 2 6 5" xfId="22769" xr:uid="{0E580488-DEDC-4FDC-ABDF-0B7259111858}"/>
    <cellStyle name="Total 2 9 2 2 6 5 2" xfId="50221" xr:uid="{23637D51-35E0-40DF-AF6D-677AEC9277A8}"/>
    <cellStyle name="Total 2 9 2 2 6 6" xfId="27610" xr:uid="{0627DCC9-C4CB-4955-B6FD-404C89DD1620}"/>
    <cellStyle name="Total 2 9 2 2 7" xfId="5296" xr:uid="{00000000-0005-0000-0000-0000C7080000}"/>
    <cellStyle name="Total 2 9 2 2 7 2" xfId="12188" xr:uid="{AB59D369-7012-4470-88A6-256A3ECA9930}"/>
    <cellStyle name="Total 2 9 2 2 7 2 2" xfId="34673" xr:uid="{D53DAC86-4EE6-4A21-AEDB-B1A21C63204B}"/>
    <cellStyle name="Total 2 9 2 2 7 2 3" xfId="32385" xr:uid="{A11782E0-1EA5-450A-90A6-34A435F37BB5}"/>
    <cellStyle name="Total 2 9 2 2 7 3" xfId="17233" xr:uid="{F06FA76C-5060-414E-8878-406A3E96A6F0}"/>
    <cellStyle name="Total 2 9 2 2 7 3 2" xfId="39623" xr:uid="{84904973-5C3A-4E3D-9E0A-B8786D1F9EA2}"/>
    <cellStyle name="Total 2 9 2 2 7 3 3" xfId="43686" xr:uid="{8020672A-2D6D-4603-BB00-666F119E4F28}"/>
    <cellStyle name="Total 2 9 2 2 7 4" xfId="15936" xr:uid="{3A1DDD21-2C78-4E03-8FF2-913DF0D0C7ED}"/>
    <cellStyle name="Total 2 9 2 2 7 4 2" xfId="38340" xr:uid="{5939FCE4-9DFA-4ABB-9518-D7EF85BDA99F}"/>
    <cellStyle name="Total 2 9 2 2 7 4 3" xfId="53771" xr:uid="{C961255E-655F-4A2A-A030-A8157245A2E5}"/>
    <cellStyle name="Total 2 9 2 2 7 5" xfId="21657" xr:uid="{777A0772-8538-4B27-A4CD-9E850382B818}"/>
    <cellStyle name="Total 2 9 2 2 7 5 2" xfId="44500" xr:uid="{6EC48F5F-B803-46A0-8083-1716C535A3EC}"/>
    <cellStyle name="Total 2 9 2 2 7 6" xfId="51490" xr:uid="{F0ABBB62-686B-4ACD-9453-04A03D3CEAA5}"/>
    <cellStyle name="Total 2 9 2 2 8" xfId="6925" xr:uid="{00000000-0005-0000-0000-0000C7080000}"/>
    <cellStyle name="Total 2 9 2 2 8 2" xfId="13763" xr:uid="{E88CB5A7-1F9E-44E4-85E8-9D44AD36EA52}"/>
    <cellStyle name="Total 2 9 2 2 8 2 2" xfId="36247" xr:uid="{3E0E2CE0-6838-4B6D-9528-053A9828B6A0}"/>
    <cellStyle name="Total 2 9 2 2 8 2 3" xfId="46565" xr:uid="{3939B7B1-2051-44D9-A152-4B4B5FC29CAD}"/>
    <cellStyle name="Total 2 9 2 2 8 3" xfId="18862" xr:uid="{A4282E58-EBC9-4267-A226-3A9FBA777292}"/>
    <cellStyle name="Total 2 9 2 2 8 3 2" xfId="41252" xr:uid="{55F95F59-D634-4FEA-A3EE-8DD58648FA40}"/>
    <cellStyle name="Total 2 9 2 2 8 3 3" xfId="26776" xr:uid="{ABCB3578-0B60-428F-9200-D80B97F03724}"/>
    <cellStyle name="Total 2 9 2 2 8 4" xfId="20202" xr:uid="{F7361D9D-7058-48B2-A9FC-533F6AF096EC}"/>
    <cellStyle name="Total 2 9 2 2 8 4 2" xfId="42510" xr:uid="{6D1F4E5E-0BCC-4FEA-8AD8-97161998660E}"/>
    <cellStyle name="Total 2 9 2 2 8 4 3" xfId="29692" xr:uid="{4CBC5FA7-D3A8-41C8-AEAE-C28858620F5B}"/>
    <cellStyle name="Total 2 9 2 2 8 5" xfId="23286" xr:uid="{75F6FE70-A886-4C28-833C-9010F338052E}"/>
    <cellStyle name="Total 2 9 2 2 8 5 2" xfId="46355" xr:uid="{4854156F-74A0-4CAD-B355-34E927E93D34}"/>
    <cellStyle name="Total 2 9 2 2 8 6" xfId="48184" xr:uid="{5EC32EBD-00B3-4229-99C4-EF985FF9D153}"/>
    <cellStyle name="Total 2 9 2 2 9" xfId="6731" xr:uid="{00000000-0005-0000-0000-0000C7080000}"/>
    <cellStyle name="Total 2 9 2 2 9 2" xfId="18668" xr:uid="{8C00820E-54CC-4CD2-8F22-68642A6ADBE7}"/>
    <cellStyle name="Total 2 9 2 2 9 2 2" xfId="41058" xr:uid="{173227FE-5537-40F9-8BAA-1DCDD35B7DB1}"/>
    <cellStyle name="Total 2 9 2 2 9 2 3" xfId="24547" xr:uid="{D376D542-9C75-4589-8115-25DAA9B9206F}"/>
    <cellStyle name="Total 2 9 2 2 9 3" xfId="19939" xr:uid="{AD23FE24-3361-471E-AF4C-162E87FA8805}"/>
    <cellStyle name="Total 2 9 2 2 9 3 2" xfId="42269" xr:uid="{B2E11173-D77A-4A87-A4EE-409C3C586715}"/>
    <cellStyle name="Total 2 9 2 2 9 3 3" xfId="42062" xr:uid="{9755A453-FA5E-46D3-96A8-98C6E7AB9CE3}"/>
    <cellStyle name="Total 2 9 2 2 9 4" xfId="23092" xr:uid="{6DEDD23C-5C65-411B-BB10-E6382660971B}"/>
    <cellStyle name="Total 2 9 2 2 9 4 2" xfId="23617" xr:uid="{7A7799A4-61D7-4949-95F0-656ABEA25267}"/>
    <cellStyle name="Total 2 9 2 2 9 5" xfId="37553" xr:uid="{DA4E0266-201B-4390-AC88-EDC7AA56071A}"/>
    <cellStyle name="Total 2 9 2 3" xfId="2754" xr:uid="{00000000-0005-0000-0000-0000C6080000}"/>
    <cellStyle name="Total 2 9 2 3 2" xfId="9663" xr:uid="{5F23BF63-75ED-437F-B525-304B69D3E574}"/>
    <cellStyle name="Total 2 9 2 3 2 2" xfId="32211" xr:uid="{A1E21783-48A7-4BE7-B423-6A92077F3CFF}"/>
    <cellStyle name="Total 2 9 2 3 2 3" xfId="50449" xr:uid="{9E99E483-7D72-48E2-A884-043BC03864A3}"/>
    <cellStyle name="Total 2 9 2 3 3" xfId="15181" xr:uid="{8A13220D-2EEF-431F-880B-24C847D242D7}"/>
    <cellStyle name="Total 2 9 2 3 3 2" xfId="37621" xr:uid="{718667C1-0961-4A52-A0CF-0F16CD28A9C0}"/>
    <cellStyle name="Total 2 9 2 3 3 3" xfId="48806" xr:uid="{21956E99-3E5A-4947-A5E6-A79A5EB7ED8D}"/>
    <cellStyle name="Total 2 9 2 3 4" xfId="19782" xr:uid="{DB5EF372-8BBA-41CA-8F7C-4CF1A5AD0FB9}"/>
    <cellStyle name="Total 2 9 2 3 4 2" xfId="42120" xr:uid="{374E2348-D542-4E28-841E-D612C27A1420}"/>
    <cellStyle name="Total 2 9 2 3 4 3" xfId="27132" xr:uid="{2B52C001-945F-4017-BF82-D866CCE45242}"/>
    <cellStyle name="Total 2 9 2 3 5" xfId="16232" xr:uid="{D5B188CC-EB3A-4355-BF36-56630A5362C8}"/>
    <cellStyle name="Total 2 9 2 3 5 2" xfId="30792" xr:uid="{3B87BB83-C73E-4922-98E0-2EBAA0F20BC9}"/>
    <cellStyle name="Total 2 9 2 3 6" xfId="44338" xr:uid="{2B8CA226-38C2-46E5-974B-9E6F5F582CF6}"/>
    <cellStyle name="Total 2 9 2 4" xfId="4548" xr:uid="{00000000-0005-0000-0000-0000C6080000}"/>
    <cellStyle name="Total 2 9 2 4 2" xfId="11450" xr:uid="{DC76F086-1B00-4AEF-9607-41DDD1D8BF71}"/>
    <cellStyle name="Total 2 9 2 4 2 2" xfId="33936" xr:uid="{9BDB6262-15CE-4259-9486-A8E2E1809624}"/>
    <cellStyle name="Total 2 9 2 4 2 3" xfId="27650" xr:uid="{4C374F47-42B0-47CA-B75B-A1BC7937A68A}"/>
    <cellStyle name="Total 2 9 2 4 3" xfId="16485" xr:uid="{39C5FC72-1DB8-4151-9FED-6DF08D1ACC29}"/>
    <cellStyle name="Total 2 9 2 4 3 2" xfId="38875" xr:uid="{D9BB6B36-1A2B-4290-B104-45E9D030C793}"/>
    <cellStyle name="Total 2 9 2 4 3 3" xfId="23745" xr:uid="{6D62D422-05B5-48BC-A7E2-E7123F46101B}"/>
    <cellStyle name="Total 2 9 2 4 4" xfId="7717" xr:uid="{D2354C5A-1CB8-4B9F-B66F-368298EBF234}"/>
    <cellStyle name="Total 2 9 2 4 4 2" xfId="30366" xr:uid="{5368998A-C8F5-445B-8485-50DAF9857321}"/>
    <cellStyle name="Total 2 9 2 4 4 3" xfId="43199" xr:uid="{6D9FC9B1-5FD6-42F6-A43D-DEE5D92CD371}"/>
    <cellStyle name="Total 2 9 2 4 5" xfId="14561" xr:uid="{F1C436C7-AD2D-4698-B80A-CA2F50030DFF}"/>
    <cellStyle name="Total 2 9 2 4 5 2" xfId="45419" xr:uid="{2DF7D2AA-E234-43AC-B306-350B5291BE84}"/>
    <cellStyle name="Total 2 9 2 4 6" xfId="51989" xr:uid="{6F68B238-9849-4080-A723-478679041D13}"/>
    <cellStyle name="Total 2 9 2 5" xfId="5367" xr:uid="{00000000-0005-0000-0000-0000C6080000}"/>
    <cellStyle name="Total 2 9 2 5 2" xfId="12259" xr:uid="{49FA54F0-8EC5-4D09-AF2E-6A9F208667B4}"/>
    <cellStyle name="Total 2 9 2 5 2 2" xfId="34744" xr:uid="{A9B83819-CB74-4003-B71A-FA1FCDD37F57}"/>
    <cellStyle name="Total 2 9 2 5 2 3" xfId="42254" xr:uid="{1FC4E783-CFB9-42CB-B713-D9F29F139B19}"/>
    <cellStyle name="Total 2 9 2 5 3" xfId="17304" xr:uid="{7251B422-E69F-4B9C-B8B9-AACA280B17D6}"/>
    <cellStyle name="Total 2 9 2 5 3 2" xfId="39694" xr:uid="{542CF4C7-C73F-4626-AE06-CE57DB620033}"/>
    <cellStyle name="Total 2 9 2 5 3 3" xfId="43113" xr:uid="{3FC1F8CA-522C-4BEC-B088-32AB622C3417}"/>
    <cellStyle name="Total 2 9 2 5 4" xfId="14030" xr:uid="{2BD3986E-1B96-40ED-99C0-B5697E91263C}"/>
    <cellStyle name="Total 2 9 2 5 4 2" xfId="36513" xr:uid="{BA77132F-4021-46F3-B9E4-7C982B0C70E2}"/>
    <cellStyle name="Total 2 9 2 5 4 3" xfId="48715" xr:uid="{4A69042A-B581-4BF2-A1E7-D8F81030B89F}"/>
    <cellStyle name="Total 2 9 2 5 5" xfId="21728" xr:uid="{12075C27-9B5E-4726-904F-F817A6102A53}"/>
    <cellStyle name="Total 2 9 2 5 5 2" xfId="42635" xr:uid="{F1482681-15A2-43CF-9F3C-7701CCB33D46}"/>
    <cellStyle name="Total 2 9 2 5 6" xfId="52123" xr:uid="{B970890E-7B5C-4514-BDEB-78E440DC86F8}"/>
    <cellStyle name="Total 2 9 2 6" xfId="6122" xr:uid="{00000000-0005-0000-0000-0000C6080000}"/>
    <cellStyle name="Total 2 9 2 6 2" xfId="12999" xr:uid="{21BFDB6C-7712-4D15-9CD1-A4D7415E9525}"/>
    <cellStyle name="Total 2 9 2 6 2 2" xfId="35483" xr:uid="{9430195E-D58D-414A-A493-7003041D5350}"/>
    <cellStyle name="Total 2 9 2 6 2 3" xfId="49086" xr:uid="{A8D2F44E-A620-4910-ABEA-BC562B57734E}"/>
    <cellStyle name="Total 2 9 2 6 3" xfId="18059" xr:uid="{8FB5140E-DE53-4356-B4A2-29118BACC9AA}"/>
    <cellStyle name="Total 2 9 2 6 3 2" xfId="40449" xr:uid="{4F4C67D2-361E-41C6-B3E1-F3E3FB964924}"/>
    <cellStyle name="Total 2 9 2 6 3 3" xfId="29573" xr:uid="{732F53A1-13EB-454A-B5B1-21CF124406DF}"/>
    <cellStyle name="Total 2 9 2 6 4" xfId="16156" xr:uid="{704FB07D-462D-457E-9E56-B7E657F663AC}"/>
    <cellStyle name="Total 2 9 2 6 4 2" xfId="38555" xr:uid="{89BB36C0-DB98-4461-B914-D9633DA0F3DF}"/>
    <cellStyle name="Total 2 9 2 6 4 3" xfId="24612" xr:uid="{CDCF8605-0023-4A4D-9E40-99DD8CFC7928}"/>
    <cellStyle name="Total 2 9 2 6 5" xfId="22483" xr:uid="{847690D4-ED0F-4E30-9B98-103837CE8DFB}"/>
    <cellStyle name="Total 2 9 2 6 5 2" xfId="27040" xr:uid="{A7E7B020-EE38-4C4F-AF07-98268382E830}"/>
    <cellStyle name="Total 2 9 2 6 6" xfId="23763" xr:uid="{3A1D23BE-9B0B-4DEA-B32E-86EFE96F60FD}"/>
    <cellStyle name="Total 2 9 2 7" xfId="5426" xr:uid="{00000000-0005-0000-0000-0000C6080000}"/>
    <cellStyle name="Total 2 9 2 7 2" xfId="12316" xr:uid="{20403E3E-8777-417E-9778-A22496DB0918}"/>
    <cellStyle name="Total 2 9 2 7 2 2" xfId="34801" xr:uid="{437CF39D-0657-457E-BE50-C1AD80481150}"/>
    <cellStyle name="Total 2 9 2 7 2 3" xfId="30169" xr:uid="{4839C426-95B9-4A95-A400-CA9BC8DA0AB3}"/>
    <cellStyle name="Total 2 9 2 7 3" xfId="17363" xr:uid="{72F5962E-11F9-4D77-8ED9-9A3563829E84}"/>
    <cellStyle name="Total 2 9 2 7 3 2" xfId="39753" xr:uid="{ACD544A0-E332-4C6E-BF0D-35F455998EAB}"/>
    <cellStyle name="Total 2 9 2 7 3 3" xfId="30458" xr:uid="{6934615A-39B9-4C28-B5A7-2F0953E23CC9}"/>
    <cellStyle name="Total 2 9 2 7 4" xfId="15492" xr:uid="{7CA21715-3C3B-45F7-B732-7360583776E6}"/>
    <cellStyle name="Total 2 9 2 7 4 2" xfId="37914" xr:uid="{B1F62016-BB93-4BB4-9C81-BFD23C3F69AA}"/>
    <cellStyle name="Total 2 9 2 7 4 3" xfId="49082" xr:uid="{6FF7023D-1904-4C72-BB40-3AA790DE861A}"/>
    <cellStyle name="Total 2 9 2 7 5" xfId="21787" xr:uid="{4EEFC729-2E40-4B40-AB4A-A0EB1713EF9B}"/>
    <cellStyle name="Total 2 9 2 7 5 2" xfId="26626" xr:uid="{5F5C13F1-C187-45EF-BA29-E51DE1140911}"/>
    <cellStyle name="Total 2 9 2 7 6" xfId="24054" xr:uid="{7CC324A8-8E70-4794-8204-824A3016CC34}"/>
    <cellStyle name="Total 2 9 2 8" xfId="7918" xr:uid="{09A8526F-AED6-42AD-8677-81EFE63833C5}"/>
    <cellStyle name="Total 2 9 2 8 2" xfId="30545" xr:uid="{37B2B700-D843-4567-81C6-DDCB9E3C6337}"/>
    <cellStyle name="Total 2 9 2 8 3" xfId="24287" xr:uid="{C8DA34D9-1454-4C25-9552-72BE2980FB9E}"/>
    <cellStyle name="Total 2 9 2 9" xfId="15631" xr:uid="{1C59B705-281A-4694-953C-00F700671280}"/>
    <cellStyle name="Total 2 9 2 9 2" xfId="38047" xr:uid="{B6052196-EE9A-4B35-A629-FF4A76A21DB9}"/>
    <cellStyle name="Total 2 9 2 9 3" xfId="50124" xr:uid="{757957DC-8CCE-45C5-AFAE-0CFE58EF27C1}"/>
    <cellStyle name="Total 2 9 3" xfId="856" xr:uid="{00000000-0005-0000-0000-0000CB080000}"/>
    <cellStyle name="Total 2 9 3 10" xfId="21022" xr:uid="{7A3A967C-C90F-4B47-9EC6-308FB28E459B}"/>
    <cellStyle name="Total 2 9 3 10 2" xfId="48302" xr:uid="{1BAF1EB2-C1BA-4C02-8ED0-E44C0C3FB596}"/>
    <cellStyle name="Total 2 9 3 11" xfId="23842" xr:uid="{6C363026-0371-46BC-8086-0865AC711FB7}"/>
    <cellStyle name="Total 2 9 3 2" xfId="1841" xr:uid="{00000000-0005-0000-0000-0000CC080000}"/>
    <cellStyle name="Total 2 9 3 2 10" xfId="14525" xr:uid="{592FB95C-7788-47A9-8F26-F5C59FB6B28C}"/>
    <cellStyle name="Total 2 9 3 2 10 2" xfId="36986" xr:uid="{4BD26D70-9804-4393-B7AE-E0A190BA87A6}"/>
    <cellStyle name="Total 2 9 3 2 10 3" xfId="50152" xr:uid="{7FC31FBA-8F3F-4875-AD1B-83A08588AB44}"/>
    <cellStyle name="Total 2 9 3 2 11" xfId="20678" xr:uid="{2BC90964-DC2D-4928-B89B-BA3C1CAAA210}"/>
    <cellStyle name="Total 2 9 3 2 11 2" xfId="42952" xr:uid="{B9E5E1CD-3A3F-4670-9208-ED31F06007D9}"/>
    <cellStyle name="Total 2 9 3 2 11 3" xfId="31549" xr:uid="{457721AA-D60A-49A3-96F2-17837121FC93}"/>
    <cellStyle name="Total 2 9 3 2 12" xfId="15190" xr:uid="{35E54C7B-6E72-4285-B63B-649383833F7D}"/>
    <cellStyle name="Total 2 9 3 2 12 2" xfId="45024" xr:uid="{5EBFB761-E144-4B7D-B397-8E02B6D33D5E}"/>
    <cellStyle name="Total 2 9 3 2 13" xfId="49193" xr:uid="{F0ED4FEA-EA16-4F7E-94CF-45F193D9CA65}"/>
    <cellStyle name="Total 2 9 3 2 2" xfId="3939" xr:uid="{00000000-0005-0000-0000-0000C9080000}"/>
    <cellStyle name="Total 2 9 3 2 2 2" xfId="10843" xr:uid="{0B03D60C-BFCE-427F-9048-5776DA541ADC}"/>
    <cellStyle name="Total 2 9 3 2 2 2 2" xfId="33329" xr:uid="{D9F0064C-45B4-4B27-875B-4A4D532BB13A}"/>
    <cellStyle name="Total 2 9 3 2 2 2 3" xfId="45292" xr:uid="{F2DA668B-6736-4E04-A1D5-6C7C57C7E077}"/>
    <cellStyle name="Total 2 9 3 2 2 3" xfId="15981" xr:uid="{052D37C3-A0BF-4F09-9516-4FB3562DD22D}"/>
    <cellStyle name="Total 2 9 3 2 2 3 2" xfId="38384" xr:uid="{DDB2478A-4959-4018-88C1-F100A157F782}"/>
    <cellStyle name="Total 2 9 3 2 2 3 3" xfId="24490" xr:uid="{3CADACAC-A658-409E-B619-4AF878C57FC4}"/>
    <cellStyle name="Total 2 9 3 2 2 4" xfId="7795" xr:uid="{F3861531-958C-4F4C-A7D5-872890C4E71D}"/>
    <cellStyle name="Total 2 9 3 2 2 4 2" xfId="30433" xr:uid="{DD012C7A-AD12-44D2-A4C5-DD89F4FF9AFC}"/>
    <cellStyle name="Total 2 9 3 2 2 4 3" xfId="52943" xr:uid="{359F8B27-1597-4DA3-94F4-6BE11217BA4E}"/>
    <cellStyle name="Total 2 9 3 2 2 5" xfId="15107" xr:uid="{C4A3DCAD-4DC3-411F-A9E8-1F1F7191AFDB}"/>
    <cellStyle name="Total 2 9 3 2 2 5 2" xfId="50728" xr:uid="{FA2A9752-C340-442E-BF45-ED419A0D8B43}"/>
    <cellStyle name="Total 2 9 3 2 2 6" xfId="37838" xr:uid="{F189FFB8-9919-43F1-964F-116AD66D2B4D}"/>
    <cellStyle name="Total 2 9 3 2 3" xfId="5334" xr:uid="{00000000-0005-0000-0000-0000C9080000}"/>
    <cellStyle name="Total 2 9 3 2 3 2" xfId="12226" xr:uid="{EDA43789-13EF-4540-B43C-6B43042BF1BA}"/>
    <cellStyle name="Total 2 9 3 2 3 2 2" xfId="34711" xr:uid="{EE2BE506-1D28-4F1A-8A47-66E72AA97FB7}"/>
    <cellStyle name="Total 2 9 3 2 3 2 3" xfId="28923" xr:uid="{9C0AE937-8C61-4F09-A06D-C3F3A9FFFD82}"/>
    <cellStyle name="Total 2 9 3 2 3 3" xfId="17271" xr:uid="{80D1F892-F7E6-4B05-9225-1E03F26F9FCE}"/>
    <cellStyle name="Total 2 9 3 2 3 3 2" xfId="39661" xr:uid="{78A12D2E-4711-4FB5-AB1D-98E6BDA7E923}"/>
    <cellStyle name="Total 2 9 3 2 3 3 3" xfId="27833" xr:uid="{F3090E60-4C37-4B0D-AC55-63A71B41D615}"/>
    <cellStyle name="Total 2 9 3 2 3 4" xfId="8748" xr:uid="{A20AC495-8AAA-4D2E-9A0A-2564A8E1BF29}"/>
    <cellStyle name="Total 2 9 3 2 3 4 2" xfId="31331" xr:uid="{7033474F-0404-4242-A8D2-A21D65E9341C}"/>
    <cellStyle name="Total 2 9 3 2 3 4 3" xfId="52335" xr:uid="{85771370-5E24-46FA-8C1B-DC9DB646CD4D}"/>
    <cellStyle name="Total 2 9 3 2 3 5" xfId="21695" xr:uid="{908B8C0E-B692-4ACF-B940-4C1E3C35C2C3}"/>
    <cellStyle name="Total 2 9 3 2 3 5 2" xfId="53779" xr:uid="{97A55FB3-74F7-4FBA-AD0A-7F7F7343ADA3}"/>
    <cellStyle name="Total 2 9 3 2 3 6" xfId="48156" xr:uid="{2B51E6F3-2BB2-4970-9DB5-BE44D0B5EF21}"/>
    <cellStyle name="Total 2 9 3 2 4" xfId="5744" xr:uid="{00000000-0005-0000-0000-0000C9080000}"/>
    <cellStyle name="Total 2 9 3 2 4 2" xfId="12628" xr:uid="{4CEA4885-05F2-4124-9C07-E009D845809B}"/>
    <cellStyle name="Total 2 9 3 2 4 2 2" xfId="35113" xr:uid="{E522C1EE-5069-4CD1-8D37-061CE14AC677}"/>
    <cellStyle name="Total 2 9 3 2 4 2 3" xfId="26204" xr:uid="{6EDD45DF-DDCE-4E7D-AEA3-D3AEAC4EE68A}"/>
    <cellStyle name="Total 2 9 3 2 4 3" xfId="17681" xr:uid="{9F30B35D-96A7-4A83-81D0-802A826B4B2D}"/>
    <cellStyle name="Total 2 9 3 2 4 3 2" xfId="40071" xr:uid="{16ECFBF2-C1D4-435E-9745-E2272FF13952}"/>
    <cellStyle name="Total 2 9 3 2 4 3 3" xfId="32165" xr:uid="{91D5071B-AD4E-4C85-896B-F11B9C5B4720}"/>
    <cellStyle name="Total 2 9 3 2 4 4" xfId="14258" xr:uid="{158E1277-3078-4910-81AF-DB375A11BF52}"/>
    <cellStyle name="Total 2 9 3 2 4 4 2" xfId="36731" xr:uid="{ECF3F46D-74F5-425D-854C-CBD8974EE6EC}"/>
    <cellStyle name="Total 2 9 3 2 4 4 3" xfId="50169" xr:uid="{E2E942D8-9EC7-40F0-8DD4-B26EC5C9867A}"/>
    <cellStyle name="Total 2 9 3 2 4 5" xfId="22105" xr:uid="{7E78DD3D-E3EF-4608-9AC0-344FA28DB9CF}"/>
    <cellStyle name="Total 2 9 3 2 4 5 2" xfId="31951" xr:uid="{41E8EFCD-D1C4-4EA1-A7AF-74C3CF48A74D}"/>
    <cellStyle name="Total 2 9 3 2 4 6" xfId="46447" xr:uid="{DEE0F51A-167A-4E3C-AD0E-699EFFF1B3E8}"/>
    <cellStyle name="Total 2 9 3 2 5" xfId="6098" xr:uid="{00000000-0005-0000-0000-0000C9080000}"/>
    <cellStyle name="Total 2 9 3 2 5 2" xfId="12976" xr:uid="{20DA336B-E23A-4A61-AA1F-E2F7A35F671A}"/>
    <cellStyle name="Total 2 9 3 2 5 2 2" xfId="35460" xr:uid="{3232F4C2-D09F-447A-9207-4754CF0615C8}"/>
    <cellStyle name="Total 2 9 3 2 5 2 3" xfId="47651" xr:uid="{49D48749-5795-46FE-9346-70631564C79E}"/>
    <cellStyle name="Total 2 9 3 2 5 3" xfId="18035" xr:uid="{AD04B4AD-82FB-4DC4-880F-ED9804CA6A79}"/>
    <cellStyle name="Total 2 9 3 2 5 3 2" xfId="40425" xr:uid="{1E9268B2-BEF8-4514-AB0F-093E02572A2F}"/>
    <cellStyle name="Total 2 9 3 2 5 3 3" xfId="44339" xr:uid="{D51ACC43-6929-47EA-B9C7-5EA79C32CECA}"/>
    <cellStyle name="Total 2 9 3 2 5 4" xfId="8952" xr:uid="{58A0CE9D-1FAB-46B3-8147-38BE7D80D411}"/>
    <cellStyle name="Total 2 9 3 2 5 4 2" xfId="31531" xr:uid="{4FC86E6C-8E23-4E52-AA5F-12BBEF9EE61D}"/>
    <cellStyle name="Total 2 9 3 2 5 4 3" xfId="50249" xr:uid="{4C297A6E-1B66-47BF-92AA-0A827BB7FFB3}"/>
    <cellStyle name="Total 2 9 3 2 5 5" xfId="22459" xr:uid="{D075CA80-A330-4D9F-8F08-C36DF24D0888}"/>
    <cellStyle name="Total 2 9 3 2 5 5 2" xfId="25952" xr:uid="{129C86D8-751E-420C-982F-1E59C9E3FF0B}"/>
    <cellStyle name="Total 2 9 3 2 5 6" xfId="51080" xr:uid="{8FBE44AC-3051-4E95-991A-0D816CE0FD8A}"/>
    <cellStyle name="Total 2 9 3 2 6" xfId="6473" xr:uid="{00000000-0005-0000-0000-0000C9080000}"/>
    <cellStyle name="Total 2 9 3 2 6 2" xfId="13343" xr:uid="{0B7E3466-9886-43A9-B916-379E27517C49}"/>
    <cellStyle name="Total 2 9 3 2 6 2 2" xfId="35827" xr:uid="{E0418015-13D3-49EB-B6D0-B570B539EF18}"/>
    <cellStyle name="Total 2 9 3 2 6 2 3" xfId="27363" xr:uid="{E0912407-EE0A-44BE-8A99-5F525671C7B1}"/>
    <cellStyle name="Total 2 9 3 2 6 3" xfId="18410" xr:uid="{6E2AC977-7970-4CFB-963D-DE1B2F60B671}"/>
    <cellStyle name="Total 2 9 3 2 6 3 2" xfId="40800" xr:uid="{B83BB8DD-13F6-4E5A-8E78-EA4AF5EDF5E3}"/>
    <cellStyle name="Total 2 9 3 2 6 3 3" xfId="44174" xr:uid="{283D57CB-C5E7-4C13-82A9-E2847F16849E}"/>
    <cellStyle name="Total 2 9 3 2 6 4" xfId="20731" xr:uid="{739C6401-8066-44A0-948B-D5C2F4FB91B8}"/>
    <cellStyle name="Total 2 9 3 2 6 4 2" xfId="43002" xr:uid="{BF23AA03-B633-4DE1-B1F6-555EB1507940}"/>
    <cellStyle name="Total 2 9 3 2 6 4 3" xfId="49941" xr:uid="{002C7198-27CC-49A2-8EEA-DA5F972CA9F4}"/>
    <cellStyle name="Total 2 9 3 2 6 5" xfId="22834" xr:uid="{16356779-2AB2-44DA-B7EE-A385B84BDF6F}"/>
    <cellStyle name="Total 2 9 3 2 6 5 2" xfId="50803" xr:uid="{403E440D-A84A-4083-B3DC-01751CE00923}"/>
    <cellStyle name="Total 2 9 3 2 6 6" xfId="50539" xr:uid="{907CFB0B-DC4B-4422-B1DB-23C49F78533B}"/>
    <cellStyle name="Total 2 9 3 2 7" xfId="6610" xr:uid="{00000000-0005-0000-0000-0000C9080000}"/>
    <cellStyle name="Total 2 9 3 2 7 2" xfId="13476" xr:uid="{C783E8C4-3BFD-4D42-8E2D-4C2F24F1ABB3}"/>
    <cellStyle name="Total 2 9 3 2 7 2 2" xfId="35960" xr:uid="{1067A909-8068-4EB5-94E5-A90504466BAF}"/>
    <cellStyle name="Total 2 9 3 2 7 2 3" xfId="48040" xr:uid="{FCDE8F84-A640-417A-B61F-7735C59F014B}"/>
    <cellStyle name="Total 2 9 3 2 7 3" xfId="18547" xr:uid="{1B0F49EA-F94F-47C3-BE10-AE8212E56AD6}"/>
    <cellStyle name="Total 2 9 3 2 7 3 2" xfId="40937" xr:uid="{F61A0164-1BD5-4619-89B3-2967EC3E9D3E}"/>
    <cellStyle name="Total 2 9 3 2 7 3 3" xfId="28599" xr:uid="{4C0D47CE-25E2-42AF-B8BA-6B79DED45870}"/>
    <cellStyle name="Total 2 9 3 2 7 4" xfId="20044" xr:uid="{064D47A0-EB95-4D01-A8D5-C032909DE31C}"/>
    <cellStyle name="Total 2 9 3 2 7 4 2" xfId="42365" xr:uid="{BF54FB3E-95B0-4D81-A115-5807D2D91B38}"/>
    <cellStyle name="Total 2 9 3 2 7 4 3" xfId="24123" xr:uid="{345BC046-81AE-4E6A-9367-EB83A7D0B49A}"/>
    <cellStyle name="Total 2 9 3 2 7 5" xfId="22971" xr:uid="{E18879E7-C285-43FB-94B1-1048DDBEEE4F}"/>
    <cellStyle name="Total 2 9 3 2 7 5 2" xfId="52160" xr:uid="{2570F3A6-6BF7-47DB-BED3-E83C5276A79F}"/>
    <cellStyle name="Total 2 9 3 2 7 6" xfId="53619" xr:uid="{252FBD38-1929-4282-85B5-665745C646C7}"/>
    <cellStyle name="Total 2 9 3 2 8" xfId="6973" xr:uid="{00000000-0005-0000-0000-0000C9080000}"/>
    <cellStyle name="Total 2 9 3 2 8 2" xfId="13810" xr:uid="{C505758B-9A50-4DED-8DE8-060945FAC879}"/>
    <cellStyle name="Total 2 9 3 2 8 2 2" xfId="36294" xr:uid="{EAAEB3F5-33A8-4936-B68C-5B00EC58CB70}"/>
    <cellStyle name="Total 2 9 3 2 8 2 3" xfId="47265" xr:uid="{EABF7F71-1434-4F39-986D-15F2971AF307}"/>
    <cellStyle name="Total 2 9 3 2 8 3" xfId="18910" xr:uid="{0E1E02FA-A533-41A4-8035-A16A8127C527}"/>
    <cellStyle name="Total 2 9 3 2 8 3 2" xfId="41300" xr:uid="{D2E970DF-68E5-47AB-8A78-812430F9DFB2}"/>
    <cellStyle name="Total 2 9 3 2 8 3 3" xfId="24401" xr:uid="{D4836F48-ABAE-4E16-A79C-8545935C0CF4}"/>
    <cellStyle name="Total 2 9 3 2 8 4" xfId="21153" xr:uid="{E86E476C-5D78-4A1C-83B8-1B8586BA5393}"/>
    <cellStyle name="Total 2 9 3 2 8 4 2" xfId="43396" xr:uid="{D153F03F-8C16-444E-B566-D0519829F12A}"/>
    <cellStyle name="Total 2 9 3 2 8 4 3" xfId="27660" xr:uid="{47838867-037C-4DB4-9688-80FF0BFCD2A4}"/>
    <cellStyle name="Total 2 9 3 2 8 5" xfId="23334" xr:uid="{D279CDBC-4E5B-4A98-B953-729603CDD858}"/>
    <cellStyle name="Total 2 9 3 2 8 5 2" xfId="48337" xr:uid="{E1A5446C-B26B-4163-A2A0-28E7C562DB37}"/>
    <cellStyle name="Total 2 9 3 2 8 6" xfId="47344" xr:uid="{E5FD86C3-C102-467F-A8AE-9E3B2D6EB267}"/>
    <cellStyle name="Total 2 9 3 2 9" xfId="5967" xr:uid="{00000000-0005-0000-0000-0000C9080000}"/>
    <cellStyle name="Total 2 9 3 2 9 2" xfId="17904" xr:uid="{FD41F528-E3E3-480F-95CA-50E39FA10E99}"/>
    <cellStyle name="Total 2 9 3 2 9 2 2" xfId="40294" xr:uid="{1425EEB4-D95C-483C-A7D5-5AE402A97A0E}"/>
    <cellStyle name="Total 2 9 3 2 9 2 3" xfId="25321" xr:uid="{F236C084-9778-4160-9B9A-6E28CEEB74DE}"/>
    <cellStyle name="Total 2 9 3 2 9 3" xfId="15757" xr:uid="{8C8A1FCB-D0D8-4CF3-8B11-098814590D15}"/>
    <cellStyle name="Total 2 9 3 2 9 3 2" xfId="38169" xr:uid="{1ED0DA06-E7DA-4582-B912-65A471B71EBC}"/>
    <cellStyle name="Total 2 9 3 2 9 3 3" xfId="45223" xr:uid="{284ADAF1-98E6-41E2-BC8D-BAA5BB3D8896}"/>
    <cellStyle name="Total 2 9 3 2 9 4" xfId="22328" xr:uid="{34B3D096-9A50-4806-881C-7D045D177D9F}"/>
    <cellStyle name="Total 2 9 3 2 9 4 2" xfId="49378" xr:uid="{A36A7300-F36E-4533-9211-676A62FF2AA6}"/>
    <cellStyle name="Total 2 9 3 2 9 5" xfId="53498" xr:uid="{455A4F87-3770-4DF1-9B2C-CD40881F74A5}"/>
    <cellStyle name="Total 2 9 3 3" xfId="2987" xr:uid="{00000000-0005-0000-0000-0000C8080000}"/>
    <cellStyle name="Total 2 9 3 3 2" xfId="9896" xr:uid="{86BD1EFE-C5A6-4A6C-9EF7-40271872E5CC}"/>
    <cellStyle name="Total 2 9 3 3 2 2" xfId="32419" xr:uid="{B7E5AA61-9BD4-49B5-BC1F-D1D48EC318DD}"/>
    <cellStyle name="Total 2 9 3 3 2 3" xfId="45710" xr:uid="{01827012-9A89-4234-8BC6-1DFF0A56C302}"/>
    <cellStyle name="Total 2 9 3 3 3" xfId="15334" xr:uid="{94BA0030-AC54-49D0-AD6C-F1019D030D70}"/>
    <cellStyle name="Total 2 9 3 3 3 2" xfId="37766" xr:uid="{695F5794-BBB9-4C81-9FAA-BC2CCCAD4143}"/>
    <cellStyle name="Total 2 9 3 3 3 3" xfId="53047" xr:uid="{0414CEBE-3A90-4692-BA16-D56036FE6776}"/>
    <cellStyle name="Total 2 9 3 3 4" xfId="8948" xr:uid="{81B8BB69-EC7B-44F2-843A-E96E76A1A82F}"/>
    <cellStyle name="Total 2 9 3 3 4 2" xfId="31527" xr:uid="{FDE5C505-8956-4E1D-B2D9-44689C1B194F}"/>
    <cellStyle name="Total 2 9 3 3 4 3" xfId="50485" xr:uid="{316FFF01-BE4C-41F9-A7FE-7AB00FADF146}"/>
    <cellStyle name="Total 2 9 3 3 5" xfId="8726" xr:uid="{914AFC1C-D7C2-4497-9B66-5EC2F7316681}"/>
    <cellStyle name="Total 2 9 3 3 5 2" xfId="28360" xr:uid="{ECAA6AFA-F62C-4619-ACB5-6093392F1A6A}"/>
    <cellStyle name="Total 2 9 3 3 6" xfId="52035" xr:uid="{CB4ADBBE-9F86-4D0B-94DF-A2118152167E}"/>
    <cellStyle name="Total 2 9 3 4" xfId="4700" xr:uid="{00000000-0005-0000-0000-0000C8080000}"/>
    <cellStyle name="Total 2 9 3 4 2" xfId="11598" xr:uid="{2F06F7D0-7995-44BD-A401-905B07690F77}"/>
    <cellStyle name="Total 2 9 3 4 2 2" xfId="34084" xr:uid="{23B153F9-200F-4257-858F-AEF83BF15614}"/>
    <cellStyle name="Total 2 9 3 4 2 3" xfId="45182" xr:uid="{FD388402-C1B6-4F85-8309-C9D3F855D3E5}"/>
    <cellStyle name="Total 2 9 3 4 3" xfId="16637" xr:uid="{F249B137-E8B2-459B-BC73-10DC62EEE53D}"/>
    <cellStyle name="Total 2 9 3 4 3 2" xfId="39027" xr:uid="{19A9D70E-AC8F-48D6-8C88-58C5EA6559CC}"/>
    <cellStyle name="Total 2 9 3 4 3 3" xfId="32355" xr:uid="{8AE14851-2705-48BA-923B-F4D1C3EB5249}"/>
    <cellStyle name="Total 2 9 3 4 4" xfId="14723" xr:uid="{EEB56C0A-D583-47FF-B284-B99FD42F6780}"/>
    <cellStyle name="Total 2 9 3 4 4 2" xfId="37181" xr:uid="{DDAB94F1-10FD-4789-A3F7-82B9367CC680}"/>
    <cellStyle name="Total 2 9 3 4 4 3" xfId="46197" xr:uid="{556277BA-123A-4EAF-A622-36EBC7F295E9}"/>
    <cellStyle name="Total 2 9 3 4 5" xfId="15237" xr:uid="{EA517715-425F-4A21-AA1F-AD30F1941D39}"/>
    <cellStyle name="Total 2 9 3 4 5 2" xfId="49861" xr:uid="{37ADB228-22E4-4557-AE19-9574D219672A}"/>
    <cellStyle name="Total 2 9 3 4 6" xfId="48286" xr:uid="{8F42DBFE-0605-4DF7-B3C8-76498E2DB0AC}"/>
    <cellStyle name="Total 2 9 3 5" xfId="4723" xr:uid="{00000000-0005-0000-0000-0000C8080000}"/>
    <cellStyle name="Total 2 9 3 5 2" xfId="11621" xr:uid="{32997633-9B56-4F0B-8647-E0241910F303}"/>
    <cellStyle name="Total 2 9 3 5 2 2" xfId="34107" xr:uid="{84776232-FB37-4738-BE09-2B57DDA2C9CA}"/>
    <cellStyle name="Total 2 9 3 5 2 3" xfId="26675" xr:uid="{6D49A719-7A74-4273-A349-A8B125472212}"/>
    <cellStyle name="Total 2 9 3 5 3" xfId="16660" xr:uid="{905962D7-392F-47D0-9F01-B142736F755D}"/>
    <cellStyle name="Total 2 9 3 5 3 2" xfId="39050" xr:uid="{F39BF341-5F6B-4913-B5D7-E6BB7CA151F1}"/>
    <cellStyle name="Total 2 9 3 5 3 3" xfId="44111" xr:uid="{BE89DBF7-636E-4033-94AF-601FB4A89E83}"/>
    <cellStyle name="Total 2 9 3 5 4" xfId="16088" xr:uid="{83000420-F8CA-4167-B37E-6631A64894F0}"/>
    <cellStyle name="Total 2 9 3 5 4 2" xfId="38488" xr:uid="{0A9A6EE7-0B1D-4D09-900D-C20533DDE8DB}"/>
    <cellStyle name="Total 2 9 3 5 4 3" xfId="29340" xr:uid="{A3B10735-9D69-4F51-8E19-782B5568F569}"/>
    <cellStyle name="Total 2 9 3 5 5" xfId="19274" xr:uid="{6068536F-41C8-4244-9045-E9A3C074C03B}"/>
    <cellStyle name="Total 2 9 3 5 5 2" xfId="44398" xr:uid="{523B8B9D-5B3B-4F20-8DE2-7A1511DF8779}"/>
    <cellStyle name="Total 2 9 3 5 6" xfId="43182" xr:uid="{7EA7F907-36F6-493C-9573-AED7A34D1A26}"/>
    <cellStyle name="Total 2 9 3 6" xfId="4337" xr:uid="{00000000-0005-0000-0000-0000C8080000}"/>
    <cellStyle name="Total 2 9 3 6 2" xfId="11240" xr:uid="{2E9D51EB-DDE0-4FF8-921E-62F57A13E438}"/>
    <cellStyle name="Total 2 9 3 6 2 2" xfId="33726" xr:uid="{47471664-86DE-4F80-B181-AEA8DEDCDE22}"/>
    <cellStyle name="Total 2 9 3 6 2 3" xfId="27912" xr:uid="{02456D30-5547-4300-8720-FC1A21A147F5}"/>
    <cellStyle name="Total 2 9 3 6 3" xfId="16277" xr:uid="{C6D12720-5F27-4E86-8E22-CDD6F4516E95}"/>
    <cellStyle name="Total 2 9 3 6 3 2" xfId="38668" xr:uid="{0ADC05FF-02EB-46DE-A8FF-5BB05BC0C0A9}"/>
    <cellStyle name="Total 2 9 3 6 3 3" xfId="23689" xr:uid="{307325C6-8F49-4BB7-8342-61DED1647042}"/>
    <cellStyle name="Total 2 9 3 6 4" xfId="13234" xr:uid="{ED03AE58-809C-40CA-891E-BCF5223D96F4}"/>
    <cellStyle name="Total 2 9 3 6 4 2" xfId="35718" xr:uid="{D5BF04FE-D5EC-4E23-A3AC-9CDF14A1B0DA}"/>
    <cellStyle name="Total 2 9 3 6 4 3" xfId="52508" xr:uid="{9C751334-18D5-4223-9822-6450DD1015BC}"/>
    <cellStyle name="Total 2 9 3 6 5" xfId="7726" xr:uid="{9C4A777C-7019-4DF8-B4D3-C3891472A5F9}"/>
    <cellStyle name="Total 2 9 3 6 5 2" xfId="46714" xr:uid="{968B4F57-9A25-4B65-9D69-EADFF9AE072D}"/>
    <cellStyle name="Total 2 9 3 6 6" xfId="24075" xr:uid="{3635B8FB-6CDE-4636-9D99-717939204A5C}"/>
    <cellStyle name="Total 2 9 3 7" xfId="6343" xr:uid="{00000000-0005-0000-0000-0000C8080000}"/>
    <cellStyle name="Total 2 9 3 7 2" xfId="13215" xr:uid="{4D03E1E5-0054-4D17-8576-540017E1DE69}"/>
    <cellStyle name="Total 2 9 3 7 2 2" xfId="35699" xr:uid="{471A1D68-1869-4A38-B581-23C4E620EF93}"/>
    <cellStyle name="Total 2 9 3 7 2 3" xfId="49512" xr:uid="{C2C68308-889F-44A8-808E-F5EF7B3A57BF}"/>
    <cellStyle name="Total 2 9 3 7 3" xfId="18280" xr:uid="{9DB27E56-03F9-447B-AC98-B1D968BEF8F2}"/>
    <cellStyle name="Total 2 9 3 7 3 2" xfId="40670" xr:uid="{68D606F1-DE40-4322-83DA-BB0DDF29D566}"/>
    <cellStyle name="Total 2 9 3 7 3 3" xfId="25727" xr:uid="{A3B0F366-5C73-4C65-80A7-B50BA33B6287}"/>
    <cellStyle name="Total 2 9 3 7 4" xfId="15711" xr:uid="{4550B9A1-ABD8-40C4-96EC-F646FDD66631}"/>
    <cellStyle name="Total 2 9 3 7 4 2" xfId="38124" xr:uid="{72FC3888-9AD8-4583-89E4-575D3AC5A960}"/>
    <cellStyle name="Total 2 9 3 7 4 3" xfId="53760" xr:uid="{ECD357EF-C497-4F00-8BBF-4889ECFF63F1}"/>
    <cellStyle name="Total 2 9 3 7 5" xfId="22704" xr:uid="{3A8D08E6-DF2B-44E4-918D-20EE49BDA985}"/>
    <cellStyle name="Total 2 9 3 7 5 2" xfId="30814" xr:uid="{0F06FB37-3E2C-43D7-A990-E54A155FC4F4}"/>
    <cellStyle name="Total 2 9 3 7 6" xfId="44123" xr:uid="{468CCE92-1E9D-49E7-89DF-A76D4DA7DED2}"/>
    <cellStyle name="Total 2 9 3 8" xfId="7325" xr:uid="{361E966F-CDEC-4F71-ADBF-BB1F7AAE6E2D}"/>
    <cellStyle name="Total 2 9 3 8 2" xfId="30013" xr:uid="{5669ACFC-913B-4293-9A3D-FFFCBF7E5213}"/>
    <cellStyle name="Total 2 9 3 8 3" xfId="51362" xr:uid="{62865A49-E2E5-44E7-AE39-6E4B5AFB99AE}"/>
    <cellStyle name="Total 2 9 3 9" xfId="16276" xr:uid="{D141696F-A00B-4A4D-92BF-02BD178A26A2}"/>
    <cellStyle name="Total 2 9 3 9 2" xfId="38667" xr:uid="{1ADA5C6B-D0B6-4656-8281-3800E68A2F3D}"/>
    <cellStyle name="Total 2 9 3 9 3" xfId="44593" xr:uid="{D57A5390-56CF-41AE-8625-EAE35518ED99}"/>
    <cellStyle name="Total 2 9 4" xfId="1043" xr:uid="{00000000-0005-0000-0000-0000CD080000}"/>
    <cellStyle name="Total 2 9 4 10" xfId="19802" xr:uid="{7F929646-689A-44AD-B9E0-93322D464DF2}"/>
    <cellStyle name="Total 2 9 4 10 2" xfId="43514" xr:uid="{1F57D0FC-954B-4D8F-AD2D-760C148C4237}"/>
    <cellStyle name="Total 2 9 4 11" xfId="51424" xr:uid="{7424BE19-477E-4F94-90DE-FDF0B416315C}"/>
    <cellStyle name="Total 2 9 4 2" xfId="1933" xr:uid="{00000000-0005-0000-0000-0000CE080000}"/>
    <cellStyle name="Total 2 9 4 2 10" xfId="14603" xr:uid="{0744FF19-6DE7-4C75-A870-786C36727550}"/>
    <cellStyle name="Total 2 9 4 2 10 2" xfId="37064" xr:uid="{D7CA6201-8A7A-41D4-B57E-57FE13C61A5B}"/>
    <cellStyle name="Total 2 9 4 2 10 3" xfId="52112" xr:uid="{C97B6156-9347-4A45-ABE5-39889D2D9304}"/>
    <cellStyle name="Total 2 9 4 2 11" xfId="20153" xr:uid="{AB4DEDCB-A121-447F-B94B-68FE67CEC57A}"/>
    <cellStyle name="Total 2 9 4 2 11 2" xfId="42465" xr:uid="{BA181A43-1888-442C-805A-4D122C517D15}"/>
    <cellStyle name="Total 2 9 4 2 11 3" xfId="23624" xr:uid="{37C6DCA0-4173-47B7-B252-83BE4B850B8C}"/>
    <cellStyle name="Total 2 9 4 2 12" xfId="7961" xr:uid="{AD28C80E-ECA4-4A71-A44A-3190ABF8FC64}"/>
    <cellStyle name="Total 2 9 4 2 12 2" xfId="24755" xr:uid="{3691B7A1-7B08-4784-80C3-F8FAE5699CEC}"/>
    <cellStyle name="Total 2 9 4 2 13" xfId="28705" xr:uid="{D5023DFE-032D-4A63-85BF-AA07E28AA5B6}"/>
    <cellStyle name="Total 2 9 4 2 2" xfId="4030" xr:uid="{00000000-0005-0000-0000-0000CB080000}"/>
    <cellStyle name="Total 2 9 4 2 2 2" xfId="10934" xr:uid="{B9F472A7-4EF6-46D3-A7C8-1A25597E30E5}"/>
    <cellStyle name="Total 2 9 4 2 2 2 2" xfId="33420" xr:uid="{C98F5E51-F1B3-4E14-8496-4F48D3BC0419}"/>
    <cellStyle name="Total 2 9 4 2 2 2 3" xfId="53707" xr:uid="{DCAD9C5F-83AF-4673-8EFD-9864FECA64AE}"/>
    <cellStyle name="Total 2 9 4 2 2 3" xfId="16054" xr:uid="{91688D38-A613-4AED-8A9B-473F55304DC4}"/>
    <cellStyle name="Total 2 9 4 2 2 3 2" xfId="38455" xr:uid="{3B95980C-2AC3-409E-A247-6CEA0F1387A3}"/>
    <cellStyle name="Total 2 9 4 2 2 3 3" xfId="53936" xr:uid="{750B8FEC-64B6-4213-B17E-3B4CE947333C}"/>
    <cellStyle name="Total 2 9 4 2 2 4" xfId="20443" xr:uid="{01DBD6E6-DAC7-4700-AD4E-5F648CBFE203}"/>
    <cellStyle name="Total 2 9 4 2 2 4 2" xfId="42735" xr:uid="{8A32DDFB-0367-4F1C-828D-86CE749F7DDE}"/>
    <cellStyle name="Total 2 9 4 2 2 4 3" xfId="52384" xr:uid="{12F38C76-E8A5-4F38-955A-9A6961D2A245}"/>
    <cellStyle name="Total 2 9 4 2 2 5" xfId="20858" xr:uid="{7DF2E791-21EC-421E-97E7-099CED5532AE}"/>
    <cellStyle name="Total 2 9 4 2 2 5 2" xfId="42980" xr:uid="{7C04F743-49A3-49A0-9ACA-FA863534B5AB}"/>
    <cellStyle name="Total 2 9 4 2 2 6" xfId="45895" xr:uid="{65F12F78-6743-4AFC-8AA8-B1B2CEB960AE}"/>
    <cellStyle name="Total 2 9 4 2 3" xfId="5405" xr:uid="{00000000-0005-0000-0000-0000CB080000}"/>
    <cellStyle name="Total 2 9 4 2 3 2" xfId="12296" xr:uid="{26BF2D09-86A0-4CE4-BCC4-3A0F03E90C4E}"/>
    <cellStyle name="Total 2 9 4 2 3 2 2" xfId="34781" xr:uid="{63E4FAF7-689C-47AF-BC56-F56BFFE92CA6}"/>
    <cellStyle name="Total 2 9 4 2 3 2 3" xfId="45728" xr:uid="{FE466580-BFAA-4110-B358-0B4BFF4122E6}"/>
    <cellStyle name="Total 2 9 4 2 3 3" xfId="17342" xr:uid="{9A3E63AE-1385-4941-974D-B292E41C6AE4}"/>
    <cellStyle name="Total 2 9 4 2 3 3 2" xfId="39732" xr:uid="{8F312672-C2BD-4FCD-8045-E0184CB812F8}"/>
    <cellStyle name="Total 2 9 4 2 3 3 3" xfId="43998" xr:uid="{2C8476A9-DBB3-4C71-92B1-D8BBCCF61AA8}"/>
    <cellStyle name="Total 2 9 4 2 3 4" xfId="19258" xr:uid="{7F43A58C-016D-4199-A754-0AACAE38D3EA}"/>
    <cellStyle name="Total 2 9 4 2 3 4 2" xfId="41641" xr:uid="{0EFA1ACE-3261-4072-BA6E-8461D1AD0CCB}"/>
    <cellStyle name="Total 2 9 4 2 3 4 3" xfId="44502" xr:uid="{E0F61C0A-0D2D-485E-9A2C-5458ECE281AA}"/>
    <cellStyle name="Total 2 9 4 2 3 5" xfId="21766" xr:uid="{820AADD7-E4F9-487F-8A94-F24C6CF32B45}"/>
    <cellStyle name="Total 2 9 4 2 3 5 2" xfId="46994" xr:uid="{28DA3AAD-22BA-4DF7-AF7D-984BD2729E6C}"/>
    <cellStyle name="Total 2 9 4 2 3 6" xfId="29909" xr:uid="{7DC57346-14F5-44FA-B605-09869F1A30AB}"/>
    <cellStyle name="Total 2 9 4 2 4" xfId="5818" xr:uid="{00000000-0005-0000-0000-0000CB080000}"/>
    <cellStyle name="Total 2 9 4 2 4 2" xfId="12701" xr:uid="{F30B489B-B3D0-4B73-9BB2-79BA1C2ECDEB}"/>
    <cellStyle name="Total 2 9 4 2 4 2 2" xfId="35186" xr:uid="{322433FB-5867-4ED0-8DD7-1368CA5F7584}"/>
    <cellStyle name="Total 2 9 4 2 4 2 3" xfId="28300" xr:uid="{9BF905AB-7969-4EE1-B31E-BDE1E32A99B5}"/>
    <cellStyle name="Total 2 9 4 2 4 3" xfId="17755" xr:uid="{187F446D-CB44-4AF1-9A56-185429CCF5BE}"/>
    <cellStyle name="Total 2 9 4 2 4 3 2" xfId="40145" xr:uid="{654C85F7-5CA3-4BD8-ABB0-293F23B5E606}"/>
    <cellStyle name="Total 2 9 4 2 4 3 3" xfId="27597" xr:uid="{827E45E4-6D40-4846-ADD1-6A82ACDBCB78}"/>
    <cellStyle name="Total 2 9 4 2 4 4" xfId="19501" xr:uid="{39B894A8-611F-434D-83BF-7116EBC90086}"/>
    <cellStyle name="Total 2 9 4 2 4 4 2" xfId="41865" xr:uid="{00EE6741-2B12-4F5F-8B74-5DFC2F9F2707}"/>
    <cellStyle name="Total 2 9 4 2 4 4 3" xfId="32325" xr:uid="{2DED69A1-A0BD-4CF7-9CB7-AEAFBF3C7581}"/>
    <cellStyle name="Total 2 9 4 2 4 5" xfId="22179" xr:uid="{F550CA49-6EE6-496B-A2A0-973968FD9B9E}"/>
    <cellStyle name="Total 2 9 4 2 4 5 2" xfId="46928" xr:uid="{672FA3BB-4E95-4551-80A3-A48802D7051C}"/>
    <cellStyle name="Total 2 9 4 2 4 6" xfId="53559" xr:uid="{B7000BA4-11B8-4DDE-8ADE-9DD2B74D3B96}"/>
    <cellStyle name="Total 2 9 4 2 5" xfId="6162" xr:uid="{00000000-0005-0000-0000-0000CB080000}"/>
    <cellStyle name="Total 2 9 4 2 5 2" xfId="13039" xr:uid="{A74D24D0-CF7A-4A6E-8F39-E4EB7F7D2513}"/>
    <cellStyle name="Total 2 9 4 2 5 2 2" xfId="35523" xr:uid="{6CFB3F33-79F9-401B-A96D-9A9887B7EBEB}"/>
    <cellStyle name="Total 2 9 4 2 5 2 3" xfId="47520" xr:uid="{553BEF88-2AF0-4996-830D-B9A001B165B6}"/>
    <cellStyle name="Total 2 9 4 2 5 3" xfId="18099" xr:uid="{BD5E2E93-0E6E-4C2A-8873-6271E926765E}"/>
    <cellStyle name="Total 2 9 4 2 5 3 2" xfId="40489" xr:uid="{C206BD44-F5B3-4A8D-8790-E45DE7C6F50F}"/>
    <cellStyle name="Total 2 9 4 2 5 3 3" xfId="42191" xr:uid="{BF27C9CB-A1C8-476F-B5DA-2B4D927A744E}"/>
    <cellStyle name="Total 2 9 4 2 5 4" xfId="15514" xr:uid="{ECBD25A4-17A1-4F04-8639-C7E023504161}"/>
    <cellStyle name="Total 2 9 4 2 5 4 2" xfId="37935" xr:uid="{864FCA3F-5725-49CA-BEE6-02A36B21B8E9}"/>
    <cellStyle name="Total 2 9 4 2 5 4 3" xfId="27506" xr:uid="{5C2B17D6-4E8B-4005-8EC5-5B3A1AC31791}"/>
    <cellStyle name="Total 2 9 4 2 5 5" xfId="22523" xr:uid="{8EA1F73E-DA05-4C70-8E9C-BFB9A6FE109E}"/>
    <cellStyle name="Total 2 9 4 2 5 5 2" xfId="53685" xr:uid="{2B7EFFF8-9AC6-4A1A-AE7E-9AD9D22CFD2C}"/>
    <cellStyle name="Total 2 9 4 2 5 6" xfId="26288" xr:uid="{CCD07133-32C3-4D92-A6D7-47B438C1FF26}"/>
    <cellStyle name="Total 2 9 4 2 6" xfId="6535" xr:uid="{00000000-0005-0000-0000-0000CB080000}"/>
    <cellStyle name="Total 2 9 4 2 6 2" xfId="13404" xr:uid="{5B1541C1-AD30-4D47-AC50-D71841EF6B6C}"/>
    <cellStyle name="Total 2 9 4 2 6 2 2" xfId="35888" xr:uid="{A60031F1-50BE-4866-AEBC-67A90C32B0F3}"/>
    <cellStyle name="Total 2 9 4 2 6 2 3" xfId="50201" xr:uid="{BE1D94AB-12C8-4B4D-9194-623695C6AB1C}"/>
    <cellStyle name="Total 2 9 4 2 6 3" xfId="18472" xr:uid="{E305DD5E-457C-4478-9209-815699450510}"/>
    <cellStyle name="Total 2 9 4 2 6 3 2" xfId="40862" xr:uid="{AE02FC7D-3A72-46F4-8E97-DBA09EA8F3CF}"/>
    <cellStyle name="Total 2 9 4 2 6 3 3" xfId="27108" xr:uid="{A7B34B5D-2676-4ECB-8632-5934D00E90B3}"/>
    <cellStyle name="Total 2 9 4 2 6 4" xfId="19988" xr:uid="{BEA41D74-A4C7-4255-9C0F-08F897B03B7F}"/>
    <cellStyle name="Total 2 9 4 2 6 4 2" xfId="42314" xr:uid="{B2CD67A0-CCD4-4F7B-B55A-FC3C2B98C67A}"/>
    <cellStyle name="Total 2 9 4 2 6 4 3" xfId="23918" xr:uid="{965879AE-096E-4664-9FEC-F8F44183F6B2}"/>
    <cellStyle name="Total 2 9 4 2 6 5" xfId="22896" xr:uid="{E256884D-AFCF-444D-84D2-704954F57929}"/>
    <cellStyle name="Total 2 9 4 2 6 5 2" xfId="53429" xr:uid="{47CE99F5-69B5-4210-93C8-BDF3F1D07308}"/>
    <cellStyle name="Total 2 9 4 2 6 6" xfId="49735" xr:uid="{4DEC23AF-CBB5-47C4-9985-D399C64EEDB9}"/>
    <cellStyle name="Total 2 9 4 2 7" xfId="6427" xr:uid="{00000000-0005-0000-0000-0000CB080000}"/>
    <cellStyle name="Total 2 9 4 2 7 2" xfId="13299" xr:uid="{F6956EAB-5370-4E00-84F0-4955A6A0FBE4}"/>
    <cellStyle name="Total 2 9 4 2 7 2 2" xfId="35783" xr:uid="{DAA40E49-3ED1-4BDA-BB2D-1DBB3EC76D28}"/>
    <cellStyle name="Total 2 9 4 2 7 2 3" xfId="48190" xr:uid="{6C9F2869-DE6C-4CFF-B5FA-AAE8268F0D52}"/>
    <cellStyle name="Total 2 9 4 2 7 3" xfId="18364" xr:uid="{238C75A2-6909-4B86-8874-5B28FF0B9043}"/>
    <cellStyle name="Total 2 9 4 2 7 3 2" xfId="40754" xr:uid="{45DB0B58-3CBE-4225-B5B5-3DA21D0EEE1C}"/>
    <cellStyle name="Total 2 9 4 2 7 3 3" xfId="28853" xr:uid="{5BC68B98-22F5-4475-9EC6-9DE976E10119}"/>
    <cellStyle name="Total 2 9 4 2 7 4" xfId="20836" xr:uid="{B54B4CA9-3564-47E5-9CA3-3D0F093A3714}"/>
    <cellStyle name="Total 2 9 4 2 7 4 2" xfId="43101" xr:uid="{12005ED4-D960-4BA1-AD9B-8692FA0B6706}"/>
    <cellStyle name="Total 2 9 4 2 7 4 3" xfId="51801" xr:uid="{C75D0756-C6BC-4A57-9C05-C972669AF9DB}"/>
    <cellStyle name="Total 2 9 4 2 7 5" xfId="22788" xr:uid="{258B8833-8D2A-4D10-B09A-311E161FAF2D}"/>
    <cellStyle name="Total 2 9 4 2 7 5 2" xfId="52727" xr:uid="{2A740953-5636-457D-8075-C3FD767B3179}"/>
    <cellStyle name="Total 2 9 4 2 7 6" xfId="52696" xr:uid="{6EE65715-F7BD-420B-A77C-32CE6723FA57}"/>
    <cellStyle name="Total 2 9 4 2 8" xfId="7019" xr:uid="{00000000-0005-0000-0000-0000CB080000}"/>
    <cellStyle name="Total 2 9 4 2 8 2" xfId="13856" xr:uid="{5A5EBE7C-9641-45A2-8524-1EBCEBED9A24}"/>
    <cellStyle name="Total 2 9 4 2 8 2 2" xfId="36340" xr:uid="{CAA8469D-9769-450F-9428-CDB466B5F8AD}"/>
    <cellStyle name="Total 2 9 4 2 8 2 3" xfId="44209" xr:uid="{AF38BA86-22BA-41E6-800D-D2EDF9448709}"/>
    <cellStyle name="Total 2 9 4 2 8 3" xfId="18956" xr:uid="{C2EAEC1F-1595-475A-B66C-730114696346}"/>
    <cellStyle name="Total 2 9 4 2 8 3 2" xfId="41346" xr:uid="{356D67BD-59A5-4C09-8FF7-21FAF512D06E}"/>
    <cellStyle name="Total 2 9 4 2 8 3 3" xfId="44887" xr:uid="{AF1A1109-E40E-495B-840E-4CF8397F6FF7}"/>
    <cellStyle name="Total 2 9 4 2 8 4" xfId="19391" xr:uid="{EC1F0E80-96D1-48AA-8C99-D1D268ABD147}"/>
    <cellStyle name="Total 2 9 4 2 8 4 2" xfId="41764" xr:uid="{E7B08A46-2E57-41C1-9322-C75E4B965677}"/>
    <cellStyle name="Total 2 9 4 2 8 4 3" xfId="41614" xr:uid="{F47F85B8-0DD1-4C54-8207-663E8EDE9971}"/>
    <cellStyle name="Total 2 9 4 2 8 5" xfId="23380" xr:uid="{F912C052-A85F-4A2A-A517-C3A9B4D294DD}"/>
    <cellStyle name="Total 2 9 4 2 8 5 2" xfId="48469" xr:uid="{23D9993F-0DB7-4C69-8C4F-2CAAA062F0D0}"/>
    <cellStyle name="Total 2 9 4 2 8 6" xfId="32005" xr:uid="{C1D11E5E-6AA7-4B08-879F-AE297C0A1F86}"/>
    <cellStyle name="Total 2 9 4 2 9" xfId="7135" xr:uid="{00000000-0005-0000-0000-0000CB080000}"/>
    <cellStyle name="Total 2 9 4 2 9 2" xfId="19072" xr:uid="{E2AAD1CC-F050-468F-AC49-AB19D0F9E81F}"/>
    <cellStyle name="Total 2 9 4 2 9 2 2" xfId="41462" xr:uid="{6D06CABF-398E-4902-9023-8DFA45C6B326}"/>
    <cellStyle name="Total 2 9 4 2 9 2 3" xfId="27922" xr:uid="{690D9962-34D8-4F2F-BE19-610D360BDA9B}"/>
    <cellStyle name="Total 2 9 4 2 9 3" xfId="21068" xr:uid="{4FC0F645-F7D3-4D41-93B8-2425B18813CF}"/>
    <cellStyle name="Total 2 9 4 2 9 3 2" xfId="43316" xr:uid="{AE76F3EF-0A36-489D-9957-31A29F8B1F9A}"/>
    <cellStyle name="Total 2 9 4 2 9 3 3" xfId="52499" xr:uid="{77EB5D01-C3E3-4614-968E-0B092FF76057}"/>
    <cellStyle name="Total 2 9 4 2 9 4" xfId="23496" xr:uid="{6554FF86-8C8A-4260-AFBA-CA6DE28E2B5A}"/>
    <cellStyle name="Total 2 9 4 2 9 4 2" xfId="46534" xr:uid="{76C021C2-FD06-462D-BA1A-44F723BF6560}"/>
    <cellStyle name="Total 2 9 4 2 9 5" xfId="52351" xr:uid="{0EDD98C4-B56A-4B9A-A396-A34E5C2F3E19}"/>
    <cellStyle name="Total 2 9 4 3" xfId="3164" xr:uid="{00000000-0005-0000-0000-0000CA080000}"/>
    <cellStyle name="Total 2 9 4 3 2" xfId="10073" xr:uid="{FCE5BC22-07BB-45E1-B5A3-7847C5CDC624}"/>
    <cellStyle name="Total 2 9 4 3 2 2" xfId="32580" xr:uid="{CB2B4689-633F-4343-A25B-8FACC602A76A}"/>
    <cellStyle name="Total 2 9 4 3 2 3" xfId="47028" xr:uid="{D2525386-2E4A-4AFA-A7EA-49D5516B3A48}"/>
    <cellStyle name="Total 2 9 4 3 3" xfId="15451" xr:uid="{32D53FF0-DBDC-4182-A498-08173C3A0664}"/>
    <cellStyle name="Total 2 9 4 3 3 2" xfId="37877" xr:uid="{8F6C7CE7-4131-45B5-B415-03FC282324EB}"/>
    <cellStyle name="Total 2 9 4 3 3 3" xfId="44370" xr:uid="{6E3E318F-1661-4DCD-A51E-D21A31A99CAF}"/>
    <cellStyle name="Total 2 9 4 3 4" xfId="8964" xr:uid="{8601B45C-8203-419C-9E71-2FE2B7A05BFB}"/>
    <cellStyle name="Total 2 9 4 3 4 2" xfId="31543" xr:uid="{8D68A84D-A6D0-4937-BC44-954E47C1D3B1}"/>
    <cellStyle name="Total 2 9 4 3 4 3" xfId="51878" xr:uid="{5236AF53-1974-4510-B3A6-3407FCE31E6E}"/>
    <cellStyle name="Total 2 9 4 3 5" xfId="21071" xr:uid="{807C48E5-9DBC-4A62-8365-4F4348293105}"/>
    <cellStyle name="Total 2 9 4 3 5 2" xfId="43308" xr:uid="{78841D3A-7678-477D-BDF4-9F263E5190AC}"/>
    <cellStyle name="Total 2 9 4 3 6" xfId="47570" xr:uid="{CF1ABB21-3407-4FC0-9123-23D27665B49E}"/>
    <cellStyle name="Total 2 9 4 4" xfId="4817" xr:uid="{00000000-0005-0000-0000-0000CA080000}"/>
    <cellStyle name="Total 2 9 4 4 2" xfId="11714" xr:uid="{DE97F8E0-97BE-4742-83FD-9E148E7A876C}"/>
    <cellStyle name="Total 2 9 4 4 2 2" xfId="34200" xr:uid="{AE3DD3B4-7174-4D8C-83A1-2470C277F1A5}"/>
    <cellStyle name="Total 2 9 4 4 2 3" xfId="44551" xr:uid="{ABE6CFBF-4EEC-4101-9B73-D54C6E4C0763}"/>
    <cellStyle name="Total 2 9 4 4 3" xfId="16754" xr:uid="{F421B2F8-40F1-403F-9C41-EAB8744DE6DE}"/>
    <cellStyle name="Total 2 9 4 4 3 2" xfId="39144" xr:uid="{7CB103B5-FF58-44FE-807A-02D46FB4670A}"/>
    <cellStyle name="Total 2 9 4 4 3 3" xfId="43761" xr:uid="{606DF45F-E603-4EE3-84B1-E154CC7733D1}"/>
    <cellStyle name="Total 2 9 4 4 4" xfId="14157" xr:uid="{F0D2ED1E-F895-48A9-9368-ABECF532AE49}"/>
    <cellStyle name="Total 2 9 4 4 4 2" xfId="36633" xr:uid="{1B119A3D-FB94-478B-BCA8-B8E3FA7091DC}"/>
    <cellStyle name="Total 2 9 4 4 4 3" xfId="26085" xr:uid="{759E794E-51DF-4F35-97C5-28DB6FAFF039}"/>
    <cellStyle name="Total 2 9 4 4 5" xfId="20236" xr:uid="{CE3A40C8-4128-417E-88BA-C760241E712F}"/>
    <cellStyle name="Total 2 9 4 4 5 2" xfId="29653" xr:uid="{98A7AD9D-B469-407E-81CA-3E7EFC38F812}"/>
    <cellStyle name="Total 2 9 4 4 6" xfId="50482" xr:uid="{C65DEE70-1558-4E19-BD40-81BC718445D1}"/>
    <cellStyle name="Total 2 9 4 5" xfId="5416" xr:uid="{00000000-0005-0000-0000-0000CA080000}"/>
    <cellStyle name="Total 2 9 4 5 2" xfId="12307" xr:uid="{5A65A45C-7841-469B-82B9-84D90E928379}"/>
    <cellStyle name="Total 2 9 4 5 2 2" xfId="34792" xr:uid="{7D7E79A2-E827-47C2-826B-6F5B97629E76}"/>
    <cellStyle name="Total 2 9 4 5 2 3" xfId="27576" xr:uid="{7B8D95D3-F354-4FB9-A94B-F572F14CD947}"/>
    <cellStyle name="Total 2 9 4 5 3" xfId="17353" xr:uid="{E222A20D-F4C9-42F2-80C1-E5D80BBCC368}"/>
    <cellStyle name="Total 2 9 4 5 3 2" xfId="39743" xr:uid="{D0C3B9DA-8C78-4BD2-AD4B-B070ACA96F36}"/>
    <cellStyle name="Total 2 9 4 5 3 3" xfId="27519" xr:uid="{1DCA60AC-C895-4F5C-B825-A9B68796F58F}"/>
    <cellStyle name="Total 2 9 4 5 4" xfId="19342" xr:uid="{8F775A83-88ED-4F65-B2A1-088C703CB186}"/>
    <cellStyle name="Total 2 9 4 5 4 2" xfId="41719" xr:uid="{49664D98-D096-49B4-9575-E26418171FFA}"/>
    <cellStyle name="Total 2 9 4 5 4 3" xfId="44315" xr:uid="{231681BD-16C7-4E6A-98FB-7FB115CB21BD}"/>
    <cellStyle name="Total 2 9 4 5 5" xfId="21777" xr:uid="{FED68AA0-9A9D-48B9-A426-868BDAE3401D}"/>
    <cellStyle name="Total 2 9 4 5 5 2" xfId="51985" xr:uid="{489D4268-B81D-413F-BC46-309E0343B7C7}"/>
    <cellStyle name="Total 2 9 4 5 6" xfId="24813" xr:uid="{3E5EEE3D-53EA-4B3A-97A5-3C5085FBB74E}"/>
    <cellStyle name="Total 2 9 4 6" xfId="5425" xr:uid="{00000000-0005-0000-0000-0000CA080000}"/>
    <cellStyle name="Total 2 9 4 6 2" xfId="12315" xr:uid="{A9214011-A72E-4FB6-A101-3ED46C0063DF}"/>
    <cellStyle name="Total 2 9 4 6 2 2" xfId="34800" xr:uid="{72BB9E06-E08D-4AB4-B466-F9D8141808A4}"/>
    <cellStyle name="Total 2 9 4 6 2 3" xfId="23985" xr:uid="{BB36E747-2340-42E5-AC42-F6903738CDCD}"/>
    <cellStyle name="Total 2 9 4 6 3" xfId="17362" xr:uid="{7F6247D5-C1BF-48D4-8D49-14A97EEEA658}"/>
    <cellStyle name="Total 2 9 4 6 3 2" xfId="39752" xr:uid="{038DAB97-63DD-44C8-B576-5B871BC500B5}"/>
    <cellStyle name="Total 2 9 4 6 3 3" xfId="26544" xr:uid="{4AF9F953-1E90-4A9D-8AA5-249120B05379}"/>
    <cellStyle name="Total 2 9 4 6 4" xfId="15519" xr:uid="{C181BFDF-0794-4ECF-AF16-9F3E35078C9D}"/>
    <cellStyle name="Total 2 9 4 6 4 2" xfId="37940" xr:uid="{91A0EE9C-4CE1-4B22-8859-4DBC0EA43AA8}"/>
    <cellStyle name="Total 2 9 4 6 4 3" xfId="48971" xr:uid="{65675428-268C-47E0-A228-5EA4D5C69E4D}"/>
    <cellStyle name="Total 2 9 4 6 5" xfId="21786" xr:uid="{6793AA5C-6D2E-446C-82D6-0D560052AB2D}"/>
    <cellStyle name="Total 2 9 4 6 5 2" xfId="47549" xr:uid="{DB66A4B9-9D1D-45ED-8659-A2DD1B4C4155}"/>
    <cellStyle name="Total 2 9 4 6 6" xfId="53348" xr:uid="{FA25F505-8B83-44EC-9A11-C1DA796FA070}"/>
    <cellStyle name="Total 2 9 4 7" xfId="5965" xr:uid="{00000000-0005-0000-0000-0000CA080000}"/>
    <cellStyle name="Total 2 9 4 7 2" xfId="12846" xr:uid="{E5950A3A-F470-4F0C-8A44-6716A6958AE4}"/>
    <cellStyle name="Total 2 9 4 7 2 2" xfId="35330" xr:uid="{9697D7FB-24D9-410B-9F07-A5771AFB762B}"/>
    <cellStyle name="Total 2 9 4 7 2 3" xfId="49701" xr:uid="{97793698-835F-4250-9176-425B6043593E}"/>
    <cellStyle name="Total 2 9 4 7 3" xfId="17902" xr:uid="{FCDECCA0-1E5A-4F3D-A1F7-327DA8C4C56D}"/>
    <cellStyle name="Total 2 9 4 7 3 2" xfId="40292" xr:uid="{061FCF52-3EFE-4B97-BA34-046CF1D56C02}"/>
    <cellStyle name="Total 2 9 4 7 3 3" xfId="43701" xr:uid="{4451D29E-43F7-441A-B603-F34C193F93A9}"/>
    <cellStyle name="Total 2 9 4 7 4" xfId="11545" xr:uid="{75CE238D-FEEF-41AF-8756-98998C2A7D69}"/>
    <cellStyle name="Total 2 9 4 7 4 2" xfId="34031" xr:uid="{CEAE38DF-BE45-4AF8-949F-FBD75FC7E397}"/>
    <cellStyle name="Total 2 9 4 7 4 3" xfId="45680" xr:uid="{37E9EDA8-3734-4726-A0F4-56645B2EA829}"/>
    <cellStyle name="Total 2 9 4 7 5" xfId="22326" xr:uid="{CC8DC3E5-C43B-48C6-82A6-A2FD06F8BCB7}"/>
    <cellStyle name="Total 2 9 4 7 5 2" xfId="25298" xr:uid="{78798F3A-DEBE-4325-8A49-5414C9516956}"/>
    <cellStyle name="Total 2 9 4 7 6" xfId="47432" xr:uid="{FBB39874-D1AD-4650-AFAC-F2CC6D9E674E}"/>
    <cellStyle name="Total 2 9 4 8" xfId="13286" xr:uid="{5025454B-CBDF-460B-B4C7-D914ACDCE871}"/>
    <cellStyle name="Total 2 9 4 8 2" xfId="35770" xr:uid="{9884E5F5-D090-44C7-A644-2DA13F891AA8}"/>
    <cellStyle name="Total 2 9 4 8 3" xfId="50307" xr:uid="{567A9F30-580E-4975-BF87-BBB2208352D6}"/>
    <cellStyle name="Total 2 9 4 9" xfId="19889" xr:uid="{041C2E5F-9504-43A9-BF05-D563D749DFD1}"/>
    <cellStyle name="Total 2 9 4 9 2" xfId="42222" xr:uid="{2B942C55-7938-4718-A50C-41E9608D55FA}"/>
    <cellStyle name="Total 2 9 4 9 3" xfId="23808" xr:uid="{6A6FE678-5083-431E-9AE8-396384F37237}"/>
    <cellStyle name="Total 2 9 5" xfId="1227" xr:uid="{00000000-0005-0000-0000-0000CF080000}"/>
    <cellStyle name="Total 2 9 5 10" xfId="20368" xr:uid="{4F797BA7-2026-46B6-918D-835C2EB461B1}"/>
    <cellStyle name="Total 2 9 5 10 2" xfId="53878" xr:uid="{2612E240-0E2D-48DA-B7F1-3E946DFAC50E}"/>
    <cellStyle name="Total 2 9 5 11" xfId="37568" xr:uid="{6001E2AD-0278-4412-A174-ED40C0D50035}"/>
    <cellStyle name="Total 2 9 5 2" xfId="2027" xr:uid="{00000000-0005-0000-0000-0000D0080000}"/>
    <cellStyle name="Total 2 9 5 2 10" xfId="14675" xr:uid="{C94303FE-C6A2-4269-A4FE-988C0EF14B51}"/>
    <cellStyle name="Total 2 9 5 2 10 2" xfId="37135" xr:uid="{4E503EC4-A35F-462A-8CCE-1F21BBECC4F0}"/>
    <cellStyle name="Total 2 9 5 2 10 3" xfId="49647" xr:uid="{103435AC-59AE-412D-BF12-D6E0FEC82EF9}"/>
    <cellStyle name="Total 2 9 5 2 11" xfId="15574" xr:uid="{D0E18A54-1935-4F9E-B4E8-145FB84FCD49}"/>
    <cellStyle name="Total 2 9 5 2 11 2" xfId="37993" xr:uid="{161FFD87-B46C-4FCD-9943-D1BA6801F67F}"/>
    <cellStyle name="Total 2 9 5 2 11 3" xfId="48565" xr:uid="{932A4451-3877-4500-8186-0313134BAF96}"/>
    <cellStyle name="Total 2 9 5 2 12" xfId="20217" xr:uid="{3AB344E2-1712-4DA4-ABE4-3F6D3A771167}"/>
    <cellStyle name="Total 2 9 5 2 12 2" xfId="44834" xr:uid="{AEC7B818-1D9A-4123-B074-2A7AF14FD19F}"/>
    <cellStyle name="Total 2 9 5 2 13" xfId="51050" xr:uid="{07A12793-7236-4777-A1E8-38111C34B576}"/>
    <cellStyle name="Total 2 9 5 2 2" xfId="4122" xr:uid="{00000000-0005-0000-0000-0000CD080000}"/>
    <cellStyle name="Total 2 9 5 2 2 2" xfId="11026" xr:uid="{85547E2A-24E8-41F7-8717-5D139CA88A96}"/>
    <cellStyle name="Total 2 9 5 2 2 2 2" xfId="33512" xr:uid="{6965803A-24C0-4D50-AF07-6A429D6FF3C6}"/>
    <cellStyle name="Total 2 9 5 2 2 2 3" xfId="50083" xr:uid="{B6C4C4C6-7AA4-4903-B3FC-715F0771EBFD}"/>
    <cellStyle name="Total 2 9 5 2 2 3" xfId="16126" xr:uid="{17BD6FF2-9289-42B0-8F1A-B78A98E2630B}"/>
    <cellStyle name="Total 2 9 5 2 2 3 2" xfId="38526" xr:uid="{89B76A57-BA21-455F-A5A5-76D1F857645F}"/>
    <cellStyle name="Total 2 9 5 2 2 3 3" xfId="29121" xr:uid="{18B19227-B9F1-468D-A799-8A01FD3AF615}"/>
    <cellStyle name="Total 2 9 5 2 2 4" xfId="7952" xr:uid="{E5E61F03-BB62-4769-86D8-63ED837E87F8}"/>
    <cellStyle name="Total 2 9 5 2 2 4 2" xfId="30576" xr:uid="{B1A088CA-181A-4073-82F4-CFE1E40923A2}"/>
    <cellStyle name="Total 2 9 5 2 2 4 3" xfId="25228" xr:uid="{21328D4F-52CD-4821-8F70-6A0DDDEFA547}"/>
    <cellStyle name="Total 2 9 5 2 2 5" xfId="14021" xr:uid="{9063DB32-A24E-4F69-AE39-CC4CF357B600}"/>
    <cellStyle name="Total 2 9 5 2 2 5 2" xfId="48381" xr:uid="{9CBA5690-772A-4F07-8A35-78AE23BE0DC9}"/>
    <cellStyle name="Total 2 9 5 2 2 6" xfId="28495" xr:uid="{A4D52D00-E448-4E02-BC49-9FF03603F54D}"/>
    <cellStyle name="Total 2 9 5 2 3" xfId="5468" xr:uid="{00000000-0005-0000-0000-0000CD080000}"/>
    <cellStyle name="Total 2 9 5 2 3 2" xfId="12357" xr:uid="{9093A09A-B419-419D-B95F-BD6D43826400}"/>
    <cellStyle name="Total 2 9 5 2 3 2 2" xfId="34842" xr:uid="{72267838-BB20-45C8-AE86-7457D306FA9A}"/>
    <cellStyle name="Total 2 9 5 2 3 2 3" xfId="29810" xr:uid="{A024E5A2-60CA-4521-B184-9291DD29414B}"/>
    <cellStyle name="Total 2 9 5 2 3 3" xfId="17405" xr:uid="{D91E59A3-CFBF-4F59-A211-495CC9981391}"/>
    <cellStyle name="Total 2 9 5 2 3 3 2" xfId="39795" xr:uid="{D0FFF33B-B954-4F23-95A3-A651E84BACB0}"/>
    <cellStyle name="Total 2 9 5 2 3 3 3" xfId="28000" xr:uid="{2102316D-3079-44B9-A281-27AD38DB0464}"/>
    <cellStyle name="Total 2 9 5 2 3 4" xfId="13198" xr:uid="{1C6537CC-00E4-47D4-BF18-30AAA083D810}"/>
    <cellStyle name="Total 2 9 5 2 3 4 2" xfId="35682" xr:uid="{550016C8-517D-4FF6-BBB0-13A39F9B1E36}"/>
    <cellStyle name="Total 2 9 5 2 3 4 3" xfId="42761" xr:uid="{9A1D76C3-9074-457E-BF55-BD88585286AF}"/>
    <cellStyle name="Total 2 9 5 2 3 5" xfId="21829" xr:uid="{4FBD3CCA-E022-4E73-BB53-7DE5289E2A49}"/>
    <cellStyle name="Total 2 9 5 2 3 5 2" xfId="46663" xr:uid="{40FF8528-DC75-4B55-9F01-A83C79BD0509}"/>
    <cellStyle name="Total 2 9 5 2 3 6" xfId="28897" xr:uid="{F08DD8F2-4126-450B-B48B-26BB5EF98060}"/>
    <cellStyle name="Total 2 9 5 2 4" xfId="5891" xr:uid="{00000000-0005-0000-0000-0000CD080000}"/>
    <cellStyle name="Total 2 9 5 2 4 2" xfId="12773" xr:uid="{4F2DDD85-E1E8-4B49-A0C2-48E41165A227}"/>
    <cellStyle name="Total 2 9 5 2 4 2 2" xfId="35257" xr:uid="{EE4722F7-08D0-4911-BB08-D449B5231A3B}"/>
    <cellStyle name="Total 2 9 5 2 4 2 3" xfId="37536" xr:uid="{67C2F626-C6A3-428C-A6B2-01A44B191B25}"/>
    <cellStyle name="Total 2 9 5 2 4 3" xfId="17828" xr:uid="{A39B19D0-7CF1-477D-BBAB-F31C988B2EAD}"/>
    <cellStyle name="Total 2 9 5 2 4 3 2" xfId="40218" xr:uid="{B757DA71-EA4F-4B2B-AB2A-C6606B1A86D3}"/>
    <cellStyle name="Total 2 9 5 2 4 3 3" xfId="28161" xr:uid="{8D1F6042-A676-4CD9-BCDA-317215BB3545}"/>
    <cellStyle name="Total 2 9 5 2 4 4" xfId="19184" xr:uid="{0428B1CE-5FC3-4287-AF35-D2A35D95EBF8}"/>
    <cellStyle name="Total 2 9 5 2 4 4 2" xfId="41573" xr:uid="{9C3B36D9-EDA0-4F42-8BF2-7BE9C0286953}"/>
    <cellStyle name="Total 2 9 5 2 4 4 3" xfId="29490" xr:uid="{768B323D-12B1-4C04-85CA-DFC1825C3629}"/>
    <cellStyle name="Total 2 9 5 2 4 5" xfId="22252" xr:uid="{7C9D680A-638D-480B-B4EA-C9F5E5E65A69}"/>
    <cellStyle name="Total 2 9 5 2 4 5 2" xfId="51255" xr:uid="{5C20248B-163A-40E1-B73E-A177E00D44D2}"/>
    <cellStyle name="Total 2 9 5 2 4 6" xfId="30516" xr:uid="{5F098D88-EB86-418E-A8DF-CD900B6881B6}"/>
    <cellStyle name="Total 2 9 5 2 5" xfId="6229" xr:uid="{00000000-0005-0000-0000-0000CD080000}"/>
    <cellStyle name="Total 2 9 5 2 5 2" xfId="13104" xr:uid="{39A89736-662D-4268-AD33-D48E44D78C52}"/>
    <cellStyle name="Total 2 9 5 2 5 2 2" xfId="35588" xr:uid="{E5BABBC4-78B3-4901-A7FF-B5299DF19438}"/>
    <cellStyle name="Total 2 9 5 2 5 2 3" xfId="48110" xr:uid="{91E36834-CB3F-46C0-BBD2-D445FE0BA8BE}"/>
    <cellStyle name="Total 2 9 5 2 5 3" xfId="18166" xr:uid="{E308E672-DDA1-4D7F-A264-4EF740C51BCC}"/>
    <cellStyle name="Total 2 9 5 2 5 3 2" xfId="40556" xr:uid="{E05BE119-B2EC-4278-BFC2-0AC93B933AD0}"/>
    <cellStyle name="Total 2 9 5 2 5 3 3" xfId="30127" xr:uid="{FFEA8931-85F8-441D-81AD-762B69B9D0EC}"/>
    <cellStyle name="Total 2 9 5 2 5 4" xfId="14072" xr:uid="{63CA4ECA-5264-4639-9475-9956263FBCE3}"/>
    <cellStyle name="Total 2 9 5 2 5 4 2" xfId="36550" xr:uid="{D54EBC1C-4361-4A6B-A46D-202F222B81CF}"/>
    <cellStyle name="Total 2 9 5 2 5 4 3" xfId="51868" xr:uid="{C6B201DE-44E7-4F69-AA30-7F79D8975436}"/>
    <cellStyle name="Total 2 9 5 2 5 5" xfId="22590" xr:uid="{85E4A122-61A9-4B6C-BD0F-2F986E08614E}"/>
    <cellStyle name="Total 2 9 5 2 5 5 2" xfId="53164" xr:uid="{0E8BEDF7-3FDA-45D7-8C80-3641691921FC}"/>
    <cellStyle name="Total 2 9 5 2 5 6" xfId="46040" xr:uid="{C1CF6059-80F8-45CF-AB16-FE4C78357FDB}"/>
    <cellStyle name="Total 2 9 5 2 6" xfId="6595" xr:uid="{00000000-0005-0000-0000-0000CD080000}"/>
    <cellStyle name="Total 2 9 5 2 6 2" xfId="13461" xr:uid="{DA50563E-3720-419F-BE37-1B2598191D0A}"/>
    <cellStyle name="Total 2 9 5 2 6 2 2" xfId="35945" xr:uid="{3E22E762-B8CF-4576-A551-E9EC997241B1}"/>
    <cellStyle name="Total 2 9 5 2 6 2 3" xfId="43191" xr:uid="{45F9F20E-44E9-44FF-BAA2-30AC0EB6C70D}"/>
    <cellStyle name="Total 2 9 5 2 6 3" xfId="18532" xr:uid="{FA06B039-16A9-4FD4-A086-B1F1A115798E}"/>
    <cellStyle name="Total 2 9 5 2 6 3 2" xfId="40922" xr:uid="{4FFC444A-390C-42D8-AF1A-0D9B6E1A272B}"/>
    <cellStyle name="Total 2 9 5 2 6 3 3" xfId="32130" xr:uid="{7BF74D47-76DC-4576-9D78-9017E2D0C6F3}"/>
    <cellStyle name="Total 2 9 5 2 6 4" xfId="20100" xr:uid="{249CD735-A468-4A26-AC6C-4A7DB186FA0F}"/>
    <cellStyle name="Total 2 9 5 2 6 4 2" xfId="42417" xr:uid="{08E95875-FC65-490C-8D29-20608C6E5F09}"/>
    <cellStyle name="Total 2 9 5 2 6 4 3" xfId="27361" xr:uid="{6593266C-CB89-4CFB-88CC-CB7E683B3958}"/>
    <cellStyle name="Total 2 9 5 2 6 5" xfId="22956" xr:uid="{5BADC5B7-7663-4BDE-93C3-D8FFD1587EF3}"/>
    <cellStyle name="Total 2 9 5 2 6 5 2" xfId="50468" xr:uid="{13DC5ADD-76E4-4118-A50D-C3C5465100E7}"/>
    <cellStyle name="Total 2 9 5 2 6 6" xfId="41862" xr:uid="{D268BCF3-DB91-4D17-BB4D-7600E8F9CBBC}"/>
    <cellStyle name="Total 2 9 5 2 7" xfId="5347" xr:uid="{00000000-0005-0000-0000-0000CD080000}"/>
    <cellStyle name="Total 2 9 5 2 7 2" xfId="12239" xr:uid="{8B4497EC-9CA3-4D01-BCBA-82EC798BE836}"/>
    <cellStyle name="Total 2 9 5 2 7 2 2" xfId="34724" xr:uid="{5315B668-1150-4C7B-8214-FF91FD0970F9}"/>
    <cellStyle name="Total 2 9 5 2 7 2 3" xfId="30540" xr:uid="{07C4A280-00A3-42D0-BE3C-6953949B2AA8}"/>
    <cellStyle name="Total 2 9 5 2 7 3" xfId="17284" xr:uid="{FC0D2A14-D46D-456A-A585-DE9554AC96BE}"/>
    <cellStyle name="Total 2 9 5 2 7 3 2" xfId="39674" xr:uid="{0A447B9C-5C4B-4B8C-B687-8087101CE4BE}"/>
    <cellStyle name="Total 2 9 5 2 7 3 3" xfId="29285" xr:uid="{1E9C86E7-CC9E-434C-B6BB-BFA348C893E0}"/>
    <cellStyle name="Total 2 9 5 2 7 4" xfId="15852" xr:uid="{B5D9161F-9B17-4F71-B508-432E0FFDBA5C}"/>
    <cellStyle name="Total 2 9 5 2 7 4 2" xfId="38259" xr:uid="{029BB7D7-C476-4C3D-971D-E591C2F27C4B}"/>
    <cellStyle name="Total 2 9 5 2 7 4 3" xfId="45146" xr:uid="{B374A898-B0A9-4048-8A52-335BA029DCDD}"/>
    <cellStyle name="Total 2 9 5 2 7 5" xfId="21708" xr:uid="{B6B907E8-4D94-4DC8-BB8C-B942D1059B59}"/>
    <cellStyle name="Total 2 9 5 2 7 5 2" xfId="50065" xr:uid="{EC89A76A-D16A-4807-B692-6B9B1D122C0C}"/>
    <cellStyle name="Total 2 9 5 2 7 6" xfId="52670" xr:uid="{462FB6DF-8618-41F4-8A86-62813AD3F01A}"/>
    <cellStyle name="Total 2 9 5 2 8" xfId="7065" xr:uid="{00000000-0005-0000-0000-0000CD080000}"/>
    <cellStyle name="Total 2 9 5 2 8 2" xfId="13901" xr:uid="{D5B9EF5C-9A6B-4DB7-980E-05368FD7786F}"/>
    <cellStyle name="Total 2 9 5 2 8 2 2" xfId="36385" xr:uid="{FB5EA27E-4913-4278-B07C-B8C8CD997826}"/>
    <cellStyle name="Total 2 9 5 2 8 2 3" xfId="46798" xr:uid="{85700CEF-215E-4EAD-A8C8-00FC666461DC}"/>
    <cellStyle name="Total 2 9 5 2 8 3" xfId="19002" xr:uid="{74B878E9-898C-40B5-9A2B-4C2AC3224F69}"/>
    <cellStyle name="Total 2 9 5 2 8 3 2" xfId="41392" xr:uid="{B0E33B86-6B81-4E25-8E36-2F6AA08C4F19}"/>
    <cellStyle name="Total 2 9 5 2 8 3 3" xfId="29163" xr:uid="{3529A90C-EDDC-4CB4-938E-9D403A9A73C6}"/>
    <cellStyle name="Total 2 9 5 2 8 4" xfId="21074" xr:uid="{CF57F7C9-198E-4ED0-A75D-2FD5A5061160}"/>
    <cellStyle name="Total 2 9 5 2 8 4 2" xfId="43321" xr:uid="{80EA0481-7ADA-47A2-B46F-6824EE48791A}"/>
    <cellStyle name="Total 2 9 5 2 8 4 3" xfId="51905" xr:uid="{C29D0E4C-72DD-4A8E-819A-464652F3607E}"/>
    <cellStyle name="Total 2 9 5 2 8 5" xfId="23426" xr:uid="{821FD84A-665E-4BF6-AB1E-EB03D7464CB2}"/>
    <cellStyle name="Total 2 9 5 2 8 5 2" xfId="37390" xr:uid="{A5313503-209B-468B-8D0C-81E1D06F8490}"/>
    <cellStyle name="Total 2 9 5 2 8 6" xfId="45556" xr:uid="{DEDFCB9C-9A91-43EA-83E1-1653C977ABF4}"/>
    <cellStyle name="Total 2 9 5 2 9" xfId="7180" xr:uid="{00000000-0005-0000-0000-0000CD080000}"/>
    <cellStyle name="Total 2 9 5 2 9 2" xfId="19117" xr:uid="{86680B3B-6093-4479-A25C-A577839CCB58}"/>
    <cellStyle name="Total 2 9 5 2 9 2 2" xfId="41507" xr:uid="{C816B486-3D49-42E2-8173-114EE7C75F55}"/>
    <cellStyle name="Total 2 9 5 2 9 2 3" xfId="44559" xr:uid="{18E72E2E-EA6C-4ED0-84BA-C921AB11131B}"/>
    <cellStyle name="Total 2 9 5 2 9 3" xfId="20175" xr:uid="{9376ED51-1F8E-45AC-BFA6-BBF8CF8DA043}"/>
    <cellStyle name="Total 2 9 5 2 9 3 2" xfId="42486" xr:uid="{FD24AC99-6FCB-4ECA-9676-58E1F96AC355}"/>
    <cellStyle name="Total 2 9 5 2 9 3 3" xfId="29147" xr:uid="{FCE923FC-A320-49E3-B720-B30619187FDA}"/>
    <cellStyle name="Total 2 9 5 2 9 4" xfId="23541" xr:uid="{9D99962A-0D9C-496B-AC72-806D3830488E}"/>
    <cellStyle name="Total 2 9 5 2 9 4 2" xfId="52857" xr:uid="{938A494B-7E85-4A23-9062-7D5E35562598}"/>
    <cellStyle name="Total 2 9 5 2 9 5" xfId="45943" xr:uid="{726AD3B9-66F0-41C3-9CA7-F6C7D5626F63}"/>
    <cellStyle name="Total 2 9 5 3" xfId="3339" xr:uid="{00000000-0005-0000-0000-0000CC080000}"/>
    <cellStyle name="Total 2 9 5 3 2" xfId="10247" xr:uid="{6DA0B873-D6E7-4C9C-9190-9660092695CD}"/>
    <cellStyle name="Total 2 9 5 3 2 2" xfId="32741" xr:uid="{246C93E4-E752-4F00-845B-E5D6EA3B402A}"/>
    <cellStyle name="Total 2 9 5 3 2 3" xfId="43773" xr:uid="{0853E7E0-8BAC-4F6E-9BED-9E404E0608F7}"/>
    <cellStyle name="Total 2 9 5 3 3" xfId="15565" xr:uid="{03616D1A-3FD1-438B-8937-2EDB052B3E99}"/>
    <cellStyle name="Total 2 9 5 3 3 2" xfId="37984" xr:uid="{14BC8F08-8260-46ED-B5C0-6A6F27E83B03}"/>
    <cellStyle name="Total 2 9 5 3 3 3" xfId="32815" xr:uid="{870CD95F-60F4-404B-8661-CA0D1C72A717}"/>
    <cellStyle name="Total 2 9 5 3 4" xfId="14047" xr:uid="{DCA2677C-476B-4D96-97D6-094D1006F3F2}"/>
    <cellStyle name="Total 2 9 5 3 4 2" xfId="36527" xr:uid="{1DBA55F7-72F1-4898-9ADA-9B3163496474}"/>
    <cellStyle name="Total 2 9 5 3 4 3" xfId="29921" xr:uid="{CC68DAC3-214F-4D38-8BDE-0617C0FE861A}"/>
    <cellStyle name="Total 2 9 5 3 5" xfId="14163" xr:uid="{ED1256CE-7908-4C6F-8D36-344778A065CA}"/>
    <cellStyle name="Total 2 9 5 3 5 2" xfId="50664" xr:uid="{6B71FA38-D869-4ADD-852D-17A993B8CE5D}"/>
    <cellStyle name="Total 2 9 5 3 6" xfId="53102" xr:uid="{C15A0D68-C7D3-4D21-99D6-80F923232562}"/>
    <cellStyle name="Total 2 9 5 4" xfId="4927" xr:uid="{00000000-0005-0000-0000-0000CC080000}"/>
    <cellStyle name="Total 2 9 5 4 2" xfId="11822" xr:uid="{B45BCA5E-3245-44D2-9AF0-7E78AF254B97}"/>
    <cellStyle name="Total 2 9 5 4 2 2" xfId="34308" xr:uid="{D26DEDFC-CB4B-4FE9-85CE-5AFC5A91EFAE}"/>
    <cellStyle name="Total 2 9 5 4 2 3" xfId="28828" xr:uid="{DE0A189E-B21E-46B8-8D12-37A9E190EEA9}"/>
    <cellStyle name="Total 2 9 5 4 3" xfId="16864" xr:uid="{7CA3F5DA-CAE3-4ED8-8EB8-51D049D96908}"/>
    <cellStyle name="Total 2 9 5 4 3 2" xfId="39254" xr:uid="{BAEBA00E-BA62-4718-8AAD-9445DF7A1263}"/>
    <cellStyle name="Total 2 9 5 4 3 3" xfId="30815" xr:uid="{A058BF7E-43B8-4485-AED1-1943D20399E0}"/>
    <cellStyle name="Total 2 9 5 4 4" xfId="19242" xr:uid="{219201B9-3407-4672-A839-50E1D410E1A8}"/>
    <cellStyle name="Total 2 9 5 4 4 2" xfId="41627" xr:uid="{61161785-1DF1-4F74-8B4F-80B9C6B53D71}"/>
    <cellStyle name="Total 2 9 5 4 4 3" xfId="43288" xr:uid="{44B700EC-FCD1-4F98-9990-F82B96EC61DC}"/>
    <cellStyle name="Total 2 9 5 4 5" xfId="21288" xr:uid="{C4D3FE0E-4457-49FD-938B-901B414AC5E7}"/>
    <cellStyle name="Total 2 9 5 4 5 2" xfId="53020" xr:uid="{71E4D446-6179-43F0-86EF-C329F2B9C032}"/>
    <cellStyle name="Total 2 9 5 4 6" xfId="49982" xr:uid="{461077EB-17EA-43E9-A56C-6F81900319D6}"/>
    <cellStyle name="Total 2 9 5 5" xfId="5707" xr:uid="{00000000-0005-0000-0000-0000CC080000}"/>
    <cellStyle name="Total 2 9 5 5 2" xfId="12591" xr:uid="{6DCD6EFD-5FC4-433D-8705-D217C5AAA76A}"/>
    <cellStyle name="Total 2 9 5 5 2 2" xfId="35076" xr:uid="{42EF0721-EFBD-4F13-BBCA-81D5ED884A5B}"/>
    <cellStyle name="Total 2 9 5 5 2 3" xfId="36942" xr:uid="{DA78CA5D-0D9F-4EFD-8811-9EDD17F89F25}"/>
    <cellStyle name="Total 2 9 5 5 3" xfId="17644" xr:uid="{18EC2C78-B49F-429E-8EB1-3807B14AA62B}"/>
    <cellStyle name="Total 2 9 5 5 3 2" xfId="40034" xr:uid="{37E1221B-34EB-4351-A1EF-BDD17F6AB5A5}"/>
    <cellStyle name="Total 2 9 5 5 3 3" xfId="43828" xr:uid="{1288223E-ADC8-4339-B94D-C2B8B8B808A4}"/>
    <cellStyle name="Total 2 9 5 5 4" xfId="7720" xr:uid="{E49EA249-4EE9-4A7D-835E-B5EF03D9A699}"/>
    <cellStyle name="Total 2 9 5 5 4 2" xfId="30369" xr:uid="{48926321-28EB-4456-8C5E-64206D42703D}"/>
    <cellStyle name="Total 2 9 5 5 4 3" xfId="50370" xr:uid="{DB4DB9A2-9DED-4DEA-AA04-BFFD5CAD1989}"/>
    <cellStyle name="Total 2 9 5 5 5" xfId="22068" xr:uid="{FC020356-674D-430D-A79D-12D75658332B}"/>
    <cellStyle name="Total 2 9 5 5 5 2" xfId="28940" xr:uid="{6AE33817-AB1D-4EF9-B9B4-33477EDDEDEF}"/>
    <cellStyle name="Total 2 9 5 5 6" xfId="52822" xr:uid="{8E801B3A-3DFE-4F0F-B059-ED453400567B}"/>
    <cellStyle name="Total 2 9 5 6" xfId="4359" xr:uid="{00000000-0005-0000-0000-0000CC080000}"/>
    <cellStyle name="Total 2 9 5 6 2" xfId="11262" xr:uid="{CB1B8A37-D460-4074-B6E7-044C04E835EB}"/>
    <cellStyle name="Total 2 9 5 6 2 2" xfId="33748" xr:uid="{D99FF51E-6747-4D0D-A3E9-CC555E324767}"/>
    <cellStyle name="Total 2 9 5 6 2 3" xfId="43421" xr:uid="{70ED096A-77C9-4174-9E2C-B32EF892E0AD}"/>
    <cellStyle name="Total 2 9 5 6 3" xfId="16296" xr:uid="{027706F0-A2E3-4D20-8DAF-E06AB8CCA8E3}"/>
    <cellStyle name="Total 2 9 5 6 3 2" xfId="38686" xr:uid="{B33AE4C2-86BB-48DD-A8D6-5C16E2CFCDD9}"/>
    <cellStyle name="Total 2 9 5 6 3 3" xfId="25963" xr:uid="{73FDFE94-77BF-4D89-90A8-D687688C8B29}"/>
    <cellStyle name="Total 2 9 5 6 4" xfId="14823" xr:uid="{543A74BD-91E0-44C2-BB17-F730C45559B8}"/>
    <cellStyle name="Total 2 9 5 6 4 2" xfId="37278" xr:uid="{540E87DE-467C-4415-8213-08A89B5088E3}"/>
    <cellStyle name="Total 2 9 5 6 4 3" xfId="52842" xr:uid="{AA932B73-887A-40DA-B38D-2EFFD84E514F}"/>
    <cellStyle name="Total 2 9 5 6 5" xfId="20914" xr:uid="{7E3125FF-C2B2-4FC9-B798-E2D6C3AA27B5}"/>
    <cellStyle name="Total 2 9 5 6 5 2" xfId="43941" xr:uid="{6960CBC1-DC7D-4669-8D7C-6366C579A52C}"/>
    <cellStyle name="Total 2 9 5 6 6" xfId="51545" xr:uid="{3019629D-A5DD-4A77-9647-D220957EFD82}"/>
    <cellStyle name="Total 2 9 5 7" xfId="5987" xr:uid="{00000000-0005-0000-0000-0000CC080000}"/>
    <cellStyle name="Total 2 9 5 7 2" xfId="12868" xr:uid="{D4ABB6FB-9F62-4693-868D-F3AFE9F244BF}"/>
    <cellStyle name="Total 2 9 5 7 2 2" xfId="35352" xr:uid="{22334D3C-3A9F-41F2-AB0D-3C124D3BC48D}"/>
    <cellStyle name="Total 2 9 5 7 2 3" xfId="53485" xr:uid="{0BCA6E79-33F2-4B2D-A7BF-7FB1E26E85E0}"/>
    <cellStyle name="Total 2 9 5 7 3" xfId="17924" xr:uid="{58BA4939-749E-4876-8A82-617EEE2E9187}"/>
    <cellStyle name="Total 2 9 5 7 3 2" xfId="40314" xr:uid="{5490A191-3C58-4580-ACBA-BDA8E8E13C0A}"/>
    <cellStyle name="Total 2 9 5 7 3 3" xfId="28761" xr:uid="{61E55B78-C1D8-4D2D-9A89-49933393110A}"/>
    <cellStyle name="Total 2 9 5 7 4" xfId="14777" xr:uid="{01DCFB36-BA4C-48DA-A85B-E7E7D478244B}"/>
    <cellStyle name="Total 2 9 5 7 4 2" xfId="37234" xr:uid="{FAA94C05-D414-4538-B166-193E642ED47F}"/>
    <cellStyle name="Total 2 9 5 7 4 3" xfId="44851" xr:uid="{E6AC378F-CFD3-4CBE-8A8B-84FC42C52E6E}"/>
    <cellStyle name="Total 2 9 5 7 5" xfId="22348" xr:uid="{AE4AAE81-1CBB-4509-B94E-0260A0DFE924}"/>
    <cellStyle name="Total 2 9 5 7 5 2" xfId="47267" xr:uid="{6F7771B3-BFCC-472A-9031-68830876C876}"/>
    <cellStyle name="Total 2 9 5 7 6" xfId="52557" xr:uid="{0ACEBCFB-376B-4F8A-A546-B23C1758B1B1}"/>
    <cellStyle name="Total 2 9 5 8" xfId="14102" xr:uid="{39FE7946-F309-45C5-BEA6-AEB61B469CDA}"/>
    <cellStyle name="Total 2 9 5 8 2" xfId="36580" xr:uid="{F837AF81-C2EF-4E4F-8F57-CEB7A4538946}"/>
    <cellStyle name="Total 2 9 5 8 3" xfId="43060" xr:uid="{5B4EADE3-A8C2-4EE9-9BC3-6F917AB53716}"/>
    <cellStyle name="Total 2 9 5 9" xfId="19210" xr:uid="{EFB207E7-4953-4FE4-9950-1A2E286B0E79}"/>
    <cellStyle name="Total 2 9 5 9 2" xfId="41598" xr:uid="{64949B6A-A51A-4398-9160-9F88A157B8E4}"/>
    <cellStyle name="Total 2 9 5 9 3" xfId="42095" xr:uid="{20FDA850-EBB0-475D-B5E5-6799B61F579E}"/>
    <cellStyle name="Total 2 9 6" xfId="1389" xr:uid="{00000000-0005-0000-0000-0000D1080000}"/>
    <cellStyle name="Total 2 9 6 10" xfId="15920" xr:uid="{871B1599-D65C-4D2E-8C1C-812E6ED2E0EB}"/>
    <cellStyle name="Total 2 9 6 10 2" xfId="52681" xr:uid="{51A089D2-DF72-47CD-B9F3-0FBE043102B7}"/>
    <cellStyle name="Total 2 9 6 11" xfId="50826" xr:uid="{AE9CBCCD-4238-4CC3-B428-4AAF97287C29}"/>
    <cellStyle name="Total 2 9 6 2" xfId="2118" xr:uid="{00000000-0005-0000-0000-0000D2080000}"/>
    <cellStyle name="Total 2 9 6 2 10" xfId="14747" xr:uid="{A5AD02CA-3E41-4FF0-94A2-8307C2AEC5D2}"/>
    <cellStyle name="Total 2 9 6 2 10 2" xfId="37205" xr:uid="{6B369949-D12C-4711-9AC0-1EA88728414F}"/>
    <cellStyle name="Total 2 9 6 2 10 3" xfId="30520" xr:uid="{461E3089-25CA-419D-A8C0-1B087983A7CB}"/>
    <cellStyle name="Total 2 9 6 2 11" xfId="14991" xr:uid="{457AD821-2A92-45BE-93E3-78F74437F131}"/>
    <cellStyle name="Total 2 9 6 2 11 2" xfId="37442" xr:uid="{98D4FF33-20E1-4D69-B9DA-748203AFD42C}"/>
    <cellStyle name="Total 2 9 6 2 11 3" xfId="28876" xr:uid="{22480F1D-8282-40CB-B916-4B3A4B85D638}"/>
    <cellStyle name="Total 2 9 6 2 12" xfId="20507" xr:uid="{0E0CBAF3-21D9-44E0-A830-886C057EE2EF}"/>
    <cellStyle name="Total 2 9 6 2 12 2" xfId="50076" xr:uid="{5A59AF45-757D-4EF1-9968-B23A5D040DEA}"/>
    <cellStyle name="Total 2 9 6 2 13" xfId="48980" xr:uid="{C17FF996-8D62-4667-B39A-90F88C166DAC}"/>
    <cellStyle name="Total 2 9 6 2 2" xfId="4211" xr:uid="{00000000-0005-0000-0000-0000CF080000}"/>
    <cellStyle name="Total 2 9 6 2 2 2" xfId="11115" xr:uid="{A2B7E0F3-EB9B-4157-86FE-69EB37099051}"/>
    <cellStyle name="Total 2 9 6 2 2 2 2" xfId="33601" xr:uid="{4748D216-D89B-4369-9359-777B734D6F3D}"/>
    <cellStyle name="Total 2 9 6 2 2 2 3" xfId="52033" xr:uid="{2CD8E417-CC63-4D87-B009-4CBD4F052942}"/>
    <cellStyle name="Total 2 9 6 2 2 3" xfId="16204" xr:uid="{95DF5C66-6A97-44D5-9DE4-505F77591C07}"/>
    <cellStyle name="Total 2 9 6 2 2 3 2" xfId="38603" xr:uid="{FCA139CC-55C0-45BE-B644-6BEF8AAAAA44}"/>
    <cellStyle name="Total 2 9 6 2 2 3 3" xfId="23826" xr:uid="{A6396F57-C0C7-49DD-A59E-C7F15C31E70D}"/>
    <cellStyle name="Total 2 9 6 2 2 4" xfId="19526" xr:uid="{092627DE-8187-4864-B759-FBDF3A956CB8}"/>
    <cellStyle name="Total 2 9 6 2 2 4 2" xfId="41886" xr:uid="{E1924F6E-413C-4FE1-A72F-17210D9E13B6}"/>
    <cellStyle name="Total 2 9 6 2 2 4 3" xfId="29117" xr:uid="{11C7321F-7EAD-44D6-ABBB-BB3236488797}"/>
    <cellStyle name="Total 2 9 6 2 2 5" xfId="19638" xr:uid="{86468BA7-6C4F-4859-9FE7-AD705C7B7AC1}"/>
    <cellStyle name="Total 2 9 6 2 2 5 2" xfId="30506" xr:uid="{45CEC1E6-FB1F-4F9F-9DC6-C802EC0D053C}"/>
    <cellStyle name="Total 2 9 6 2 2 6" xfId="48341" xr:uid="{6AEB3A03-89FA-499C-9F82-66929F9E2BD0}"/>
    <cellStyle name="Total 2 9 6 2 3" xfId="5537" xr:uid="{00000000-0005-0000-0000-0000CF080000}"/>
    <cellStyle name="Total 2 9 6 2 3 2" xfId="12426" xr:uid="{70B70230-244F-40A2-9853-772BE36D92D2}"/>
    <cellStyle name="Total 2 9 6 2 3 2 2" xfId="34911" xr:uid="{C9FDC9B8-FFD3-4D88-B00D-CABCB0E12570}"/>
    <cellStyle name="Total 2 9 6 2 3 2 3" xfId="43907" xr:uid="{E3D4ED0C-1053-4E21-9599-E6C7B1DDB1D3}"/>
    <cellStyle name="Total 2 9 6 2 3 3" xfId="17474" xr:uid="{1E321317-5BFF-47E1-AF2E-89A7D797B73F}"/>
    <cellStyle name="Total 2 9 6 2 3 3 2" xfId="39864" xr:uid="{7D97B2CB-ECD3-40C7-8C0E-E3C3A03D5698}"/>
    <cellStyle name="Total 2 9 6 2 3 3 3" xfId="42593" xr:uid="{BCF73F93-148A-474B-A93A-2E3AD80FA977}"/>
    <cellStyle name="Total 2 9 6 2 3 4" xfId="9162" xr:uid="{685BC00C-2F45-4510-B8D6-69AB5338BD96}"/>
    <cellStyle name="Total 2 9 6 2 3 4 2" xfId="31737" xr:uid="{82D87F55-6045-4ACD-B2E3-75FD17A4B1F9}"/>
    <cellStyle name="Total 2 9 6 2 3 4 3" xfId="43605" xr:uid="{358A5247-7DA2-4309-BF12-92074F3BB2E3}"/>
    <cellStyle name="Total 2 9 6 2 3 5" xfId="21898" xr:uid="{B25A4C6F-3BAB-4127-A0EA-59480E9D5FC8}"/>
    <cellStyle name="Total 2 9 6 2 3 5 2" xfId="52439" xr:uid="{54B3587E-96E7-44D9-A8D7-D4B40F66111E}"/>
    <cellStyle name="Total 2 9 6 2 3 6" xfId="50568" xr:uid="{6887B374-4982-4086-B8CE-32BAA395FACD}"/>
    <cellStyle name="Total 2 9 6 2 4" xfId="5959" xr:uid="{00000000-0005-0000-0000-0000CF080000}"/>
    <cellStyle name="Total 2 9 6 2 4 2" xfId="12840" xr:uid="{3D1CD09E-A0FA-4AA1-83F7-D6B935E54811}"/>
    <cellStyle name="Total 2 9 6 2 4 2 2" xfId="35324" xr:uid="{E1A2B395-7AFE-45D6-80CF-367976C428C9}"/>
    <cellStyle name="Total 2 9 6 2 4 2 3" xfId="27816" xr:uid="{D33A4307-828D-4AFC-B7AD-69C64CE3D5EB}"/>
    <cellStyle name="Total 2 9 6 2 4 3" xfId="17896" xr:uid="{491B2820-8C0D-4481-8B3E-C3B0552A3B55}"/>
    <cellStyle name="Total 2 9 6 2 4 3 2" xfId="40286" xr:uid="{26339B34-B157-40FC-AEAD-D42333E9CF1C}"/>
    <cellStyle name="Total 2 9 6 2 4 3 3" xfId="24258" xr:uid="{CC17C2E6-72BB-4C71-8230-F869130913A1}"/>
    <cellStyle name="Total 2 9 6 2 4 4" xfId="19244" xr:uid="{D56988C8-54F6-4A9E-82AD-5AEF6AC76E27}"/>
    <cellStyle name="Total 2 9 6 2 4 4 2" xfId="41628" xr:uid="{656945AF-F783-46A4-85AA-AC41386B8FD0}"/>
    <cellStyle name="Total 2 9 6 2 4 4 3" xfId="41866" xr:uid="{F646557C-34E6-48AD-86B0-E5A0FA19B78F}"/>
    <cellStyle name="Total 2 9 6 2 4 5" xfId="22320" xr:uid="{47EDA34F-AFFC-4EE4-B5E9-3FCDEF0EA247}"/>
    <cellStyle name="Total 2 9 6 2 4 5 2" xfId="49338" xr:uid="{F5880CCF-FB9F-4C06-AF94-1555B2306861}"/>
    <cellStyle name="Total 2 9 6 2 4 6" xfId="50959" xr:uid="{05FB3DEA-D073-4EFF-BBCB-95B9BFB019B0}"/>
    <cellStyle name="Total 2 9 6 2 5" xfId="6299" xr:uid="{00000000-0005-0000-0000-0000CF080000}"/>
    <cellStyle name="Total 2 9 6 2 5 2" xfId="13171" xr:uid="{5C07C596-8621-454C-93EA-6F51E2BCE446}"/>
    <cellStyle name="Total 2 9 6 2 5 2 2" xfId="35655" xr:uid="{D0B5F3A7-BDDC-4606-A0DB-4B02B98F6D50}"/>
    <cellStyle name="Total 2 9 6 2 5 2 3" xfId="45979" xr:uid="{C380A0AB-96A5-4EE3-874C-B41A9DD235C2}"/>
    <cellStyle name="Total 2 9 6 2 5 3" xfId="18236" xr:uid="{AC00C257-ED86-48DF-9408-2C1726E4D677}"/>
    <cellStyle name="Total 2 9 6 2 5 3 2" xfId="40626" xr:uid="{93BAA723-80CF-4D25-8E09-97196DD1B868}"/>
    <cellStyle name="Total 2 9 6 2 5 3 3" xfId="38330" xr:uid="{7418685D-D655-414B-8E76-71A671DF71C0}"/>
    <cellStyle name="Total 2 9 6 2 5 4" xfId="15758" xr:uid="{7B9E4AEC-CD6E-4E0D-BE5C-2AEA133BC1FD}"/>
    <cellStyle name="Total 2 9 6 2 5 4 2" xfId="38170" xr:uid="{C5835100-DE49-4C11-AA65-256ABB5F0855}"/>
    <cellStyle name="Total 2 9 6 2 5 4 3" xfId="43795" xr:uid="{F06524B2-4F50-451E-B537-FC037E6248D0}"/>
    <cellStyle name="Total 2 9 6 2 5 5" xfId="22660" xr:uid="{800BF0FE-B6D9-4A25-A294-0DD380510A70}"/>
    <cellStyle name="Total 2 9 6 2 5 5 2" xfId="29202" xr:uid="{9C2F789A-972A-4116-92D7-B58AA93B06AF}"/>
    <cellStyle name="Total 2 9 6 2 5 6" xfId="37572" xr:uid="{0FC7B70E-4BDA-4E8B-AD29-C1A9F80940E3}"/>
    <cellStyle name="Total 2 9 6 2 6" xfId="6654" xr:uid="{00000000-0005-0000-0000-0000CF080000}"/>
    <cellStyle name="Total 2 9 6 2 6 2" xfId="13520" xr:uid="{367953F9-2096-4606-9733-075145A679E7}"/>
    <cellStyle name="Total 2 9 6 2 6 2 2" xfId="36004" xr:uid="{9D6C7C23-811D-4367-B7BF-B8ADDF9992F3}"/>
    <cellStyle name="Total 2 9 6 2 6 2 3" xfId="50098" xr:uid="{3EC091DB-3E7E-4E43-A8C0-8F95DECD6F0D}"/>
    <cellStyle name="Total 2 9 6 2 6 3" xfId="18591" xr:uid="{9AD3947A-FB52-461E-BC4F-17E5388E586E}"/>
    <cellStyle name="Total 2 9 6 2 6 3 2" xfId="40981" xr:uid="{6DFDF725-5087-42B6-A0C8-3CB6F6CBE308}"/>
    <cellStyle name="Total 2 9 6 2 6 3 3" xfId="44091" xr:uid="{BA705BB6-6D24-42C2-9FB9-2083F20337E1}"/>
    <cellStyle name="Total 2 9 6 2 6 4" xfId="20655" xr:uid="{FD4C9C3B-A235-4F65-AA52-F8E903CE953B}"/>
    <cellStyle name="Total 2 9 6 2 6 4 2" xfId="42932" xr:uid="{CF6D23CA-13B7-4818-A953-AF5460D23437}"/>
    <cellStyle name="Total 2 9 6 2 6 4 3" xfId="44463" xr:uid="{5CED2F40-EAED-4937-9FFE-EB1EF502484B}"/>
    <cellStyle name="Total 2 9 6 2 6 5" xfId="23015" xr:uid="{8C218EA7-1AA7-412A-B667-3C817AF667CD}"/>
    <cellStyle name="Total 2 9 6 2 6 5 2" xfId="50428" xr:uid="{FFB5F15B-83AA-4BD7-AAE2-A830254E4100}"/>
    <cellStyle name="Total 2 9 6 2 6 6" xfId="48753" xr:uid="{4B1445DB-F071-4AAD-B92B-83797680A0A3}"/>
    <cellStyle name="Total 2 9 6 2 7" xfId="4596" xr:uid="{00000000-0005-0000-0000-0000CF080000}"/>
    <cellStyle name="Total 2 9 6 2 7 2" xfId="11497" xr:uid="{22F1025D-69B9-45DA-AE5E-4D6EA45AF5E2}"/>
    <cellStyle name="Total 2 9 6 2 7 2 2" xfId="33983" xr:uid="{5F1C6EA4-AC6F-4013-82F7-3CAF971DC677}"/>
    <cellStyle name="Total 2 9 6 2 7 2 3" xfId="30937" xr:uid="{2FC4C648-6C22-4C32-8DBF-8D9E7A6E2CC0}"/>
    <cellStyle name="Total 2 9 6 2 7 3" xfId="16533" xr:uid="{62F04DD0-538D-4958-B922-94B005225C3D}"/>
    <cellStyle name="Total 2 9 6 2 7 3 2" xfId="38923" xr:uid="{4B42E5BE-486D-4511-AEF8-87869E81BCBD}"/>
    <cellStyle name="Total 2 9 6 2 7 3 3" xfId="31969" xr:uid="{BE49D453-B4A8-4E91-8DE7-3CE8E0198FDE}"/>
    <cellStyle name="Total 2 9 6 2 7 4" xfId="14757" xr:uid="{53FD097E-7661-495B-B0E6-B17A8EB293AC}"/>
    <cellStyle name="Total 2 9 6 2 7 4 2" xfId="37215" xr:uid="{35FBCA4B-F46C-47CC-8BB1-53565CF42788}"/>
    <cellStyle name="Total 2 9 6 2 7 4 3" xfId="50484" xr:uid="{2BD6F288-E2CB-461A-B187-4BB08ACA744A}"/>
    <cellStyle name="Total 2 9 6 2 7 5" xfId="16007" xr:uid="{1AF75C3D-8133-447A-B249-232F9CC8B067}"/>
    <cellStyle name="Total 2 9 6 2 7 5 2" xfId="50672" xr:uid="{89537739-A655-40F6-9EC2-5F75715A8AC5}"/>
    <cellStyle name="Total 2 9 6 2 7 6" xfId="52358" xr:uid="{06C10F28-3C27-4DB7-A363-AB5D9738904C}"/>
    <cellStyle name="Total 2 9 6 2 8" xfId="7109" xr:uid="{00000000-0005-0000-0000-0000CF080000}"/>
    <cellStyle name="Total 2 9 6 2 8 2" xfId="13945" xr:uid="{01F14A8E-AFF2-4C84-AC61-59CC43414B31}"/>
    <cellStyle name="Total 2 9 6 2 8 2 2" xfId="36429" xr:uid="{51979149-8A13-49D4-9D08-5E9AAFE2A841}"/>
    <cellStyle name="Total 2 9 6 2 8 2 3" xfId="28225" xr:uid="{8A2E58F3-B7E6-4C34-8BCA-F7BD63C3D16B}"/>
    <cellStyle name="Total 2 9 6 2 8 3" xfId="19046" xr:uid="{0E42D5B2-6826-4B50-9C66-6711798A3F20}"/>
    <cellStyle name="Total 2 9 6 2 8 3 2" xfId="41436" xr:uid="{9B8C0569-8BE5-4071-9B53-8AAF25402DE6}"/>
    <cellStyle name="Total 2 9 6 2 8 3 3" xfId="30601" xr:uid="{C727509E-BCEB-4573-B612-852BC8E08FB4}"/>
    <cellStyle name="Total 2 9 6 2 8 4" xfId="19451" xr:uid="{9E12D096-623F-4071-9A81-FED08E53DDCC}"/>
    <cellStyle name="Total 2 9 6 2 8 4 2" xfId="41819" xr:uid="{FC770EC6-15BF-48FA-950E-CA01D1A0917A}"/>
    <cellStyle name="Total 2 9 6 2 8 4 3" xfId="24421" xr:uid="{831F541E-DE78-45E5-9E74-95AD24E321D0}"/>
    <cellStyle name="Total 2 9 6 2 8 5" xfId="23470" xr:uid="{48FB2B8A-F2A3-48BD-9C5A-83B3044B7FEA}"/>
    <cellStyle name="Total 2 9 6 2 8 5 2" xfId="26286" xr:uid="{2BA541AD-F1CA-4F84-9387-686A68C9B034}"/>
    <cellStyle name="Total 2 9 6 2 8 6" xfId="53884" xr:uid="{038AC1DC-06F4-454D-A88D-48C7B27EF413}"/>
    <cellStyle name="Total 2 9 6 2 9" xfId="7224" xr:uid="{00000000-0005-0000-0000-0000CF080000}"/>
    <cellStyle name="Total 2 9 6 2 9 2" xfId="19161" xr:uid="{1F7F12AF-B484-42B1-B206-696DA46A2AFA}"/>
    <cellStyle name="Total 2 9 6 2 9 2 2" xfId="41551" xr:uid="{CEBEB30A-E97D-447C-8FC2-C8AF993295A3}"/>
    <cellStyle name="Total 2 9 6 2 9 2 3" xfId="44316" xr:uid="{F64F5732-7D62-4722-A332-A9A0D1DA6EBD}"/>
    <cellStyle name="Total 2 9 6 2 9 3" xfId="15579" xr:uid="{376B66CF-C891-4B0D-A052-BBCD630A23E0}"/>
    <cellStyle name="Total 2 9 6 2 9 3 2" xfId="37998" xr:uid="{B67D7F93-5CDE-4964-A440-8249FDA724E9}"/>
    <cellStyle name="Total 2 9 6 2 9 3 3" xfId="48501" xr:uid="{1C149848-ED1E-4F42-85D6-8F1765A1A5D3}"/>
    <cellStyle name="Total 2 9 6 2 9 4" xfId="23585" xr:uid="{F22B4FD1-4429-4AD5-A366-50CE4DE7359E}"/>
    <cellStyle name="Total 2 9 6 2 9 4 2" xfId="43174" xr:uid="{E97B313F-0DE8-4020-A55C-0BF21AC268C0}"/>
    <cellStyle name="Total 2 9 6 2 9 5" xfId="28995" xr:uid="{875E9155-18BB-4FC1-8784-005C379E658E}"/>
    <cellStyle name="Total 2 9 6 3" xfId="3491" xr:uid="{00000000-0005-0000-0000-0000CE080000}"/>
    <cellStyle name="Total 2 9 6 3 2" xfId="10398" xr:uid="{70447897-5C8A-4ABF-B91D-EB2F7D64173C}"/>
    <cellStyle name="Total 2 9 6 3 2 2" xfId="32885" xr:uid="{DD25B5B8-1473-4E05-965B-D61E76C9BB6F}"/>
    <cellStyle name="Total 2 9 6 3 2 3" xfId="52387" xr:uid="{E116322F-7855-42E5-8AAA-293141431478}"/>
    <cellStyle name="Total 2 9 6 3 3" xfId="15669" xr:uid="{F6008C64-809A-45C4-A6DE-C68CE309C2B5}"/>
    <cellStyle name="Total 2 9 6 3 3 2" xfId="38085" xr:uid="{98342DAD-1C3A-4537-B338-7C505CA228EF}"/>
    <cellStyle name="Total 2 9 6 3 3 3" xfId="27276" xr:uid="{B3635AAE-9B80-4E06-9263-1A0A8165FA23}"/>
    <cellStyle name="Total 2 9 6 3 4" xfId="21077" xr:uid="{73388BB3-1287-4610-B497-0DA1AAF48070}"/>
    <cellStyle name="Total 2 9 6 3 4 2" xfId="43324" xr:uid="{C87721C0-00F8-4455-8B37-0BCF6531202F}"/>
    <cellStyle name="Total 2 9 6 3 4 3" xfId="50383" xr:uid="{B174F6A9-45FD-49B5-BE08-C2D4D5BD715B}"/>
    <cellStyle name="Total 2 9 6 3 5" xfId="21076" xr:uid="{C9C1F064-64B8-49A5-A724-544BCFA7DE91}"/>
    <cellStyle name="Total 2 9 6 3 5 2" xfId="53301" xr:uid="{2FB23407-932C-4332-A4C0-B627E1CC2CA0}"/>
    <cellStyle name="Total 2 9 6 3 6" xfId="24352" xr:uid="{E999E38E-7B3A-4413-89E2-E11400E3C36C}"/>
    <cellStyle name="Total 2 9 6 4" xfId="5026" xr:uid="{00000000-0005-0000-0000-0000CE080000}"/>
    <cellStyle name="Total 2 9 6 4 2" xfId="11920" xr:uid="{DE593809-9D49-4E09-B4BB-0428F9CD6811}"/>
    <cellStyle name="Total 2 9 6 4 2 2" xfId="34406" xr:uid="{408C76C5-7E83-4D10-B0CF-F4DB9DF8DD7F}"/>
    <cellStyle name="Total 2 9 6 4 2 3" xfId="26324" xr:uid="{369F4BE3-EE4E-48BD-9A9D-FDE2912D8DFE}"/>
    <cellStyle name="Total 2 9 6 4 3" xfId="16963" xr:uid="{0E105A47-8008-42FD-9961-34845D4E84B4}"/>
    <cellStyle name="Total 2 9 6 4 3 2" xfId="39353" xr:uid="{A6E35A7D-F4C4-4BC3-8AF1-C9F1948D7E2D}"/>
    <cellStyle name="Total 2 9 6 4 3 3" xfId="23612" xr:uid="{72601DAB-E2C0-4F2D-BDAB-72D7DCB4812B}"/>
    <cellStyle name="Total 2 9 6 4 4" xfId="15391" xr:uid="{159ACF8B-721E-4383-96CB-C2A5C7D83C46}"/>
    <cellStyle name="Total 2 9 6 4 4 2" xfId="37817" xr:uid="{580D0BB7-5D36-48A3-AD0F-B0EC64BB449E}"/>
    <cellStyle name="Total 2 9 6 4 4 3" xfId="46484" xr:uid="{7E012A6B-92E8-4A3B-878A-FFB224FFBFA4}"/>
    <cellStyle name="Total 2 9 6 4 5" xfId="21387" xr:uid="{8E6FE316-7CAD-4B48-A38E-539111763E9C}"/>
    <cellStyle name="Total 2 9 6 4 5 2" xfId="51326" xr:uid="{69C9AACC-84AD-4CD2-BB69-83ECA2DDA353}"/>
    <cellStyle name="Total 2 9 6 4 6" xfId="47224" xr:uid="{14A77015-FE59-419D-AF33-94132175031E}"/>
    <cellStyle name="Total 2 9 6 5" xfId="4364" xr:uid="{00000000-0005-0000-0000-0000CE080000}"/>
    <cellStyle name="Total 2 9 6 5 2" xfId="11267" xr:uid="{98894669-191C-4391-8DC6-DE6DD02B6C5E}"/>
    <cellStyle name="Total 2 9 6 5 2 2" xfId="33753" xr:uid="{C204F866-2CFC-4306-B3A6-33080C3997C8}"/>
    <cellStyle name="Total 2 9 6 5 2 3" xfId="45175" xr:uid="{3DAE2500-6F7D-4C60-900F-347033632647}"/>
    <cellStyle name="Total 2 9 6 5 3" xfId="16301" xr:uid="{91F8B1AA-39B3-4847-9DCB-A2B0B938DAF3}"/>
    <cellStyle name="Total 2 9 6 5 3 2" xfId="38691" xr:uid="{4E5D7CD6-9723-431A-8100-8CD05077AA60}"/>
    <cellStyle name="Total 2 9 6 5 3 3" xfId="26364" xr:uid="{4E03B1BF-A3F1-4B9E-B56A-7DBFF74E4C31}"/>
    <cellStyle name="Total 2 9 6 5 4" xfId="14032" xr:uid="{1A8EFF34-26B2-46E8-9DD0-0DCCFDBD9D06}"/>
    <cellStyle name="Total 2 9 6 5 4 2" xfId="36515" xr:uid="{64133690-13FE-4AFD-9023-072ADF053517}"/>
    <cellStyle name="Total 2 9 6 5 4 3" xfId="28129" xr:uid="{E6ABF3FE-6F92-4061-AD16-D92DF2E2578E}"/>
    <cellStyle name="Total 2 9 6 5 5" xfId="19478" xr:uid="{90A2F81E-B1E3-4D7C-88AE-BF2969D1D08C}"/>
    <cellStyle name="Total 2 9 6 5 5 2" xfId="28476" xr:uid="{5A48127B-5909-4063-9356-D3D70A6941A3}"/>
    <cellStyle name="Total 2 9 6 5 6" xfId="53631" xr:uid="{3C359A2C-B995-4AB5-8E03-767FA4C8AFED}"/>
    <cellStyle name="Total 2 9 6 6" xfId="2337" xr:uid="{00000000-0005-0000-0000-0000CE080000}"/>
    <cellStyle name="Total 2 9 6 6 2" xfId="9246" xr:uid="{06C82CEC-A307-4E8C-AF34-596A7BD3D00F}"/>
    <cellStyle name="Total 2 9 6 6 2 2" xfId="31821" xr:uid="{3190158F-4632-4963-9007-E7E869F0AE70}"/>
    <cellStyle name="Total 2 9 6 6 2 3" xfId="52861" xr:uid="{14547230-6B23-4B3D-8753-65F07AA48DCA}"/>
    <cellStyle name="Total 2 9 6 6 3" xfId="14897" xr:uid="{69C2B81B-9219-40E9-A042-12D4AB434A2E}"/>
    <cellStyle name="Total 2 9 6 6 3 2" xfId="37351" xr:uid="{982E3A2F-AE69-41D9-A821-4292D9AD0438}"/>
    <cellStyle name="Total 2 9 6 6 3 3" xfId="52071" xr:uid="{2A4F6E4E-C720-4551-BF34-FF2CF78EFB98}"/>
    <cellStyle name="Total 2 9 6 6 4" xfId="20487" xr:uid="{870EE486-0691-4343-B1A5-1E051941BCB9}"/>
    <cellStyle name="Total 2 9 6 6 4 2" xfId="42775" xr:uid="{4E6A695B-DC63-49F5-855D-3D7220A7554F}"/>
    <cellStyle name="Total 2 9 6 6 4 3" xfId="50573" xr:uid="{FD267CD7-246D-45B3-B6B3-78AC730AE0A1}"/>
    <cellStyle name="Total 2 9 6 6 5" xfId="20743" xr:uid="{C8986C3B-6754-458D-9C11-26F58B53F995}"/>
    <cellStyle name="Total 2 9 6 6 5 2" xfId="51193" xr:uid="{907AC1D0-B9C2-4FC4-91EF-8BDFDC1F1CE6}"/>
    <cellStyle name="Total 2 9 6 6 6" xfId="29060" xr:uid="{2F8E543F-4849-4B41-A968-81346AB4BA39}"/>
    <cellStyle name="Total 2 9 6 7" xfId="6696" xr:uid="{00000000-0005-0000-0000-0000CE080000}"/>
    <cellStyle name="Total 2 9 6 7 2" xfId="13562" xr:uid="{21EB1244-B4C2-4E1D-B949-3DCEC32E30BB}"/>
    <cellStyle name="Total 2 9 6 7 2 2" xfId="36046" xr:uid="{FC89D2A0-C731-4203-9534-99548519CCD1}"/>
    <cellStyle name="Total 2 9 6 7 2 3" xfId="51208" xr:uid="{935A53CA-947B-44A0-923A-8725275C3C34}"/>
    <cellStyle name="Total 2 9 6 7 3" xfId="18633" xr:uid="{C4026114-BA43-476E-A1E7-724A47601726}"/>
    <cellStyle name="Total 2 9 6 7 3 2" xfId="41023" xr:uid="{5AE73643-015F-4320-9829-675B7286AAD0}"/>
    <cellStyle name="Total 2 9 6 7 3 3" xfId="30542" xr:uid="{15C658D2-E7B2-4FC9-93C1-74B83E15E512}"/>
    <cellStyle name="Total 2 9 6 7 4" xfId="16164" xr:uid="{C84C831F-8C83-4D12-A5B9-55357020B7A3}"/>
    <cellStyle name="Total 2 9 6 7 4 2" xfId="38563" xr:uid="{6D59DA77-2A30-48C0-98A1-A0DBC4E0B886}"/>
    <cellStyle name="Total 2 9 6 7 4 3" xfId="26007" xr:uid="{47A74216-036C-457F-A534-BE832F6DDD7E}"/>
    <cellStyle name="Total 2 9 6 7 5" xfId="23057" xr:uid="{52360158-C71D-41E7-9442-7989A9E0ED22}"/>
    <cellStyle name="Total 2 9 6 7 5 2" xfId="28047" xr:uid="{F48D7A5D-1B5F-4E58-A148-6BA2F961C20F}"/>
    <cellStyle name="Total 2 9 6 7 6" xfId="28179" xr:uid="{26E69328-51C2-4535-8A5B-C2B671049443}"/>
    <cellStyle name="Total 2 9 6 8" xfId="14208" xr:uid="{83B624B6-093B-4465-9B0C-92FF9A0E4300}"/>
    <cellStyle name="Total 2 9 6 8 2" xfId="36683" xr:uid="{9BBAF42C-56FE-4545-8F5F-2997F1E58109}"/>
    <cellStyle name="Total 2 9 6 8 3" xfId="49075" xr:uid="{90427931-6350-48A7-B96A-E0170AFD0940}"/>
    <cellStyle name="Total 2 9 6 9" xfId="20872" xr:uid="{7B2DEB78-1304-4905-AF4F-748F595381BA}"/>
    <cellStyle name="Total 2 9 6 9 2" xfId="43137" xr:uid="{5217C32C-3EBD-407C-B7D4-1A6EB7203ABA}"/>
    <cellStyle name="Total 2 9 6 9 3" xfId="50705" xr:uid="{79E41974-BFEC-4D37-BAB8-CB0E802214E2}"/>
    <cellStyle name="Total 2 9 7" xfId="1661" xr:uid="{00000000-0005-0000-0000-0000D3080000}"/>
    <cellStyle name="Total 2 9 7 10" xfId="14375" xr:uid="{26A58B4A-8B3A-4F27-A3BB-66542B556F6A}"/>
    <cellStyle name="Total 2 9 7 10 2" xfId="36843" xr:uid="{5C463C5E-FEEE-463A-B519-DD4470767C55}"/>
    <cellStyle name="Total 2 9 7 10 3" xfId="52685" xr:uid="{8D2EE231-75ED-4C59-87DE-05D226BE86AB}"/>
    <cellStyle name="Total 2 9 7 11" xfId="21085" xr:uid="{E0644C21-86F0-4984-A8BF-73D6ADE0E31A}"/>
    <cellStyle name="Total 2 9 7 11 2" xfId="43332" xr:uid="{9354D97D-24FA-406E-9F5E-1E4CB1963255}"/>
    <cellStyle name="Total 2 9 7 11 3" xfId="50113" xr:uid="{110F4814-860E-4595-A8BA-926DD2AB53EA}"/>
    <cellStyle name="Total 2 9 7 12" xfId="12655" xr:uid="{AFFB131F-A884-4E52-ABB0-7B1442B169C7}"/>
    <cellStyle name="Total 2 9 7 12 2" xfId="29366" xr:uid="{C0BCD09E-0B3E-4C18-A8AC-9043F611CFD3}"/>
    <cellStyle name="Total 2 9 7 13" xfId="53792" xr:uid="{CE649206-FFE1-4807-B965-5F150DE0178A}"/>
    <cellStyle name="Total 2 9 7 2" xfId="3759" xr:uid="{00000000-0005-0000-0000-0000D0080000}"/>
    <cellStyle name="Total 2 9 7 2 2" xfId="10663" xr:uid="{4388DBD7-9AA4-4384-A653-0FE1208F68EE}"/>
    <cellStyle name="Total 2 9 7 2 2 2" xfId="33149" xr:uid="{C75B4B84-F8EA-4672-93CC-6DB77B8922D0}"/>
    <cellStyle name="Total 2 9 7 2 2 3" xfId="53351" xr:uid="{A8625700-52EA-4D30-AD1C-F14E10A9A7B5}"/>
    <cellStyle name="Total 2 9 7 2 3" xfId="15840" xr:uid="{8BB8BEB9-2535-41F3-8300-6E87567E1215}"/>
    <cellStyle name="Total 2 9 7 2 3 2" xfId="38248" xr:uid="{B5E9BA5C-DAD3-4E02-8AF4-A158D97BEDDE}"/>
    <cellStyle name="Total 2 9 7 2 3 3" xfId="43102" xr:uid="{CC9523C6-B0A6-486B-892D-50796B939778}"/>
    <cellStyle name="Total 2 9 7 2 4" xfId="8659" xr:uid="{013A1360-AB75-4AEA-A594-C9049B2B58D5}"/>
    <cellStyle name="Total 2 9 7 2 4 2" xfId="31245" xr:uid="{61D08876-4725-436E-A5DD-C49CEB02C585}"/>
    <cellStyle name="Total 2 9 7 2 4 3" xfId="44733" xr:uid="{3F548322-0BD9-4D5F-B5CF-7458A5606974}"/>
    <cellStyle name="Total 2 9 7 2 5" xfId="7733" xr:uid="{C7AE9FB8-2D69-4AEF-8AAC-5E7764DB37A2}"/>
    <cellStyle name="Total 2 9 7 2 5 2" xfId="52066" xr:uid="{4D19209D-818C-475C-9150-4BB3B6978C35}"/>
    <cellStyle name="Total 2 9 7 2 6" xfId="48722" xr:uid="{05481A4C-A146-4EE7-B4FE-B90F3DBC002D}"/>
    <cellStyle name="Total 2 9 7 3" xfId="5194" xr:uid="{00000000-0005-0000-0000-0000D0080000}"/>
    <cellStyle name="Total 2 9 7 3 2" xfId="12087" xr:uid="{8677CBB9-DC7F-4C82-AC02-6B710337E7EB}"/>
    <cellStyle name="Total 2 9 7 3 2 2" xfId="34573" xr:uid="{71D36585-9525-4AFA-94A6-A4E04DAB5DFB}"/>
    <cellStyle name="Total 2 9 7 3 2 3" xfId="26630" xr:uid="{E556023C-1451-42C1-B502-F8F639FAAD2D}"/>
    <cellStyle name="Total 2 9 7 3 3" xfId="17131" xr:uid="{546CBDBB-D12A-4DC6-89FB-78B18C81A79C}"/>
    <cellStyle name="Total 2 9 7 3 3 2" xfId="39521" xr:uid="{5DAD6890-9F36-4158-BD41-F78BBC93A2BF}"/>
    <cellStyle name="Total 2 9 7 3 3 3" xfId="29450" xr:uid="{E5F65404-E356-43BE-B6BE-73705E8F208C}"/>
    <cellStyle name="Total 2 9 7 3 4" xfId="15998" xr:uid="{DEE75BFE-4FF1-4870-B640-C463DEFA45F1}"/>
    <cellStyle name="Total 2 9 7 3 4 2" xfId="38401" xr:uid="{74C5E946-0057-490E-B082-CF338644CBAE}"/>
    <cellStyle name="Total 2 9 7 3 4 3" xfId="53933" xr:uid="{A404DBC7-DF99-4242-AD6A-EAB378AAF5D2}"/>
    <cellStyle name="Total 2 9 7 3 5" xfId="21555" xr:uid="{4313B4CF-E3E3-41A2-B476-EDFBBF5BAF64}"/>
    <cellStyle name="Total 2 9 7 3 5 2" xfId="44880" xr:uid="{171C3AEF-207E-426E-9894-FBFDD3A9A6C7}"/>
    <cellStyle name="Total 2 9 7 3 6" xfId="24667" xr:uid="{5701725E-06A6-4C2C-A017-F88F072581E2}"/>
    <cellStyle name="Total 2 9 7 4" xfId="3482" xr:uid="{00000000-0005-0000-0000-0000D0080000}"/>
    <cellStyle name="Total 2 9 7 4 2" xfId="10389" xr:uid="{4C552CDC-99EE-4CF0-946E-5A643AE192A8}"/>
    <cellStyle name="Total 2 9 7 4 2 2" xfId="32876" xr:uid="{4B1D4DF4-5A87-4101-A088-F2E54641588E}"/>
    <cellStyle name="Total 2 9 7 4 2 3" xfId="47854" xr:uid="{39EA3696-FC64-4A32-8C77-5F5990333551}"/>
    <cellStyle name="Total 2 9 7 4 3" xfId="15660" xr:uid="{2A54BE8C-1AC1-43F0-AF7F-E9567A67ECEF}"/>
    <cellStyle name="Total 2 9 7 4 3 2" xfId="38076" xr:uid="{CE579435-5395-4B0D-9F6B-D9F9D53499A4}"/>
    <cellStyle name="Total 2 9 7 4 3 3" xfId="46337" xr:uid="{C5BE12EB-0F55-4A52-840C-F5D9ECA21197}"/>
    <cellStyle name="Total 2 9 7 4 4" xfId="21215" xr:uid="{E643D12A-05BC-4668-A9CB-7D67F6576272}"/>
    <cellStyle name="Total 2 9 7 4 4 2" xfId="43454" xr:uid="{810D5467-8BAA-43D8-9CA8-AABA8EC86D3D}"/>
    <cellStyle name="Total 2 9 7 4 4 3" xfId="50889" xr:uid="{95C47468-3E73-4FAA-87A1-A4DFBA39DF6A}"/>
    <cellStyle name="Total 2 9 7 4 5" xfId="20792" xr:uid="{AD25B582-429C-4275-8D7B-8E0A6F3174E6}"/>
    <cellStyle name="Total 2 9 7 4 5 2" xfId="27812" xr:uid="{B884035D-0D53-483D-A3DB-7C70EF30A664}"/>
    <cellStyle name="Total 2 9 7 4 6" xfId="50602" xr:uid="{AB7F25BB-C167-49D4-8238-CCEF5FD22754}"/>
    <cellStyle name="Total 2 9 7 5" xfId="5053" xr:uid="{00000000-0005-0000-0000-0000D0080000}"/>
    <cellStyle name="Total 2 9 7 5 2" xfId="11946" xr:uid="{8F3CD64F-0B4D-49D9-A19F-FCCA450F9F1E}"/>
    <cellStyle name="Total 2 9 7 5 2 2" xfId="34432" xr:uid="{EE9FB7D6-6A52-4719-AC45-3A7B91B40D1A}"/>
    <cellStyle name="Total 2 9 7 5 2 3" xfId="41664" xr:uid="{3655990E-5AE7-4F7C-B39F-352F7BB719AE}"/>
    <cellStyle name="Total 2 9 7 5 3" xfId="16990" xr:uid="{290C2B84-C1D7-4446-804B-5CB3079E96CC}"/>
    <cellStyle name="Total 2 9 7 5 3 2" xfId="39380" xr:uid="{909CF02F-1E7F-4874-BFCD-FB7217E104B2}"/>
    <cellStyle name="Total 2 9 7 5 3 3" xfId="28953" xr:uid="{18982D30-5A44-4029-9398-B45E823B7A5D}"/>
    <cellStyle name="Total 2 9 7 5 4" xfId="15026" xr:uid="{0B84A467-C72D-42E8-BBCB-427CDBFBE136}"/>
    <cellStyle name="Total 2 9 7 5 4 2" xfId="37475" xr:uid="{314C0D5A-2D32-42A2-B7F6-433033FCB25D}"/>
    <cellStyle name="Total 2 9 7 5 4 3" xfId="46741" xr:uid="{BFC42C7D-D863-4FBD-815F-44221F6C3649}"/>
    <cellStyle name="Total 2 9 7 5 5" xfId="21414" xr:uid="{849D4EF8-A9D7-4361-96CD-5062D35F36AA}"/>
    <cellStyle name="Total 2 9 7 5 5 2" xfId="52967" xr:uid="{DA7CE829-9D69-46BD-ACD7-B23C83FCA6F2}"/>
    <cellStyle name="Total 2 9 7 5 6" xfId="52042" xr:uid="{73F00E93-269E-447B-8C51-0525EAAE628B}"/>
    <cellStyle name="Total 2 9 7 6" xfId="5550" xr:uid="{00000000-0005-0000-0000-0000D0080000}"/>
    <cellStyle name="Total 2 9 7 6 2" xfId="12438" xr:uid="{4430CA18-4EE9-43C1-AC11-6884B349D87F}"/>
    <cellStyle name="Total 2 9 7 6 2 2" xfId="34923" xr:uid="{4084F242-211E-4B7D-AFD1-6DA909200246}"/>
    <cellStyle name="Total 2 9 7 6 2 3" xfId="44132" xr:uid="{D8975D40-1517-4BC0-939F-D1994B797D77}"/>
    <cellStyle name="Total 2 9 7 6 3" xfId="17487" xr:uid="{6A262D18-D5A7-4474-8282-3E2E28780B82}"/>
    <cellStyle name="Total 2 9 7 6 3 2" xfId="39877" xr:uid="{ED120F81-4CED-4DFE-BF8F-8A74173A3A54}"/>
    <cellStyle name="Total 2 9 7 6 3 3" xfId="28068" xr:uid="{4F929600-38C7-4417-8A51-96C061386004}"/>
    <cellStyle name="Total 2 9 7 6 4" xfId="14799" xr:uid="{D73CD061-7FD6-4329-AFDA-B9ADD9526183}"/>
    <cellStyle name="Total 2 9 7 6 4 2" xfId="37255" xr:uid="{416F885E-A855-4D68-8314-AB93F5B39590}"/>
    <cellStyle name="Total 2 9 7 6 4 3" xfId="25901" xr:uid="{651E9D75-5BF0-433D-B614-43F081CF973F}"/>
    <cellStyle name="Total 2 9 7 6 5" xfId="21911" xr:uid="{5972025B-6421-4B70-8039-CAE84056ED25}"/>
    <cellStyle name="Total 2 9 7 6 5 2" xfId="49791" xr:uid="{897EF94E-5C46-41A6-B160-94FE900DBF20}"/>
    <cellStyle name="Total 2 9 7 6 6" xfId="48008" xr:uid="{1A6B15AA-9641-4CD0-8E07-ECF473673D68}"/>
    <cellStyle name="Total 2 9 7 7" xfId="6426" xr:uid="{00000000-0005-0000-0000-0000D0080000}"/>
    <cellStyle name="Total 2 9 7 7 2" xfId="13298" xr:uid="{565E3FD2-7069-4A91-9737-EA843321DD7F}"/>
    <cellStyle name="Total 2 9 7 7 2 2" xfId="35782" xr:uid="{B5629549-254F-47DB-956A-575AE971B1EA}"/>
    <cellStyle name="Total 2 9 7 7 2 3" xfId="52510" xr:uid="{CACE3021-6535-4E6A-9EAC-92FED279BCB7}"/>
    <cellStyle name="Total 2 9 7 7 3" xfId="18363" xr:uid="{2BF66E33-5B68-42AC-9D59-18DF0AEDA539}"/>
    <cellStyle name="Total 2 9 7 7 3 2" xfId="40753" xr:uid="{CE0F7BD5-15D3-4B8E-AF7E-8BC8E46D1968}"/>
    <cellStyle name="Total 2 9 7 7 3 3" xfId="44241" xr:uid="{51AFC35F-C2B5-48D6-BE3F-E3EDD2FFE846}"/>
    <cellStyle name="Total 2 9 7 7 4" xfId="16225" xr:uid="{FE8072EB-92B3-45FD-BA27-81B1EBAB0825}"/>
    <cellStyle name="Total 2 9 7 7 4 2" xfId="38622" xr:uid="{1AEC98E8-B837-409B-A021-989EDFFFDFDE}"/>
    <cellStyle name="Total 2 9 7 7 4 3" xfId="45074" xr:uid="{2BEC41B5-0740-4103-858F-5A812B2D9CB9}"/>
    <cellStyle name="Total 2 9 7 7 5" xfId="22787" xr:uid="{9A651E06-C89B-49CA-863E-1418C8EBECA9}"/>
    <cellStyle name="Total 2 9 7 7 5 2" xfId="29922" xr:uid="{047DAAFE-2A8E-4AE8-8EF1-4ECFCD79A001}"/>
    <cellStyle name="Total 2 9 7 7 6" xfId="47826" xr:uid="{F9856A69-0FBB-4F5A-AAA0-6EB3CE5D5E96}"/>
    <cellStyle name="Total 2 9 7 8" xfId="6350" xr:uid="{00000000-0005-0000-0000-0000D0080000}"/>
    <cellStyle name="Total 2 9 7 8 2" xfId="13222" xr:uid="{FDE89840-4C2F-4BAF-B3F2-17AEC40DFBD4}"/>
    <cellStyle name="Total 2 9 7 8 2 2" xfId="35706" xr:uid="{96CD8FD4-760E-4355-AA99-26FC45FD7B4C}"/>
    <cellStyle name="Total 2 9 7 8 2 3" xfId="53497" xr:uid="{8889A8A6-5E88-4CAD-93D9-D6CBC5873AA3}"/>
    <cellStyle name="Total 2 9 7 8 3" xfId="18287" xr:uid="{AD661E1D-1EAB-4850-83AE-3068C6355965}"/>
    <cellStyle name="Total 2 9 7 8 3 2" xfId="40677" xr:uid="{37A3F56D-A17F-48C0-9757-DBA5E916F5F5}"/>
    <cellStyle name="Total 2 9 7 8 3 3" xfId="26641" xr:uid="{869C17FC-2D37-467E-B635-53783467CB59}"/>
    <cellStyle name="Total 2 9 7 8 4" xfId="15485" xr:uid="{E6E0FEA1-1111-4C99-9443-416E5F411DA5}"/>
    <cellStyle name="Total 2 9 7 8 4 2" xfId="37908" xr:uid="{7AB3A403-A52B-4D5E-AFDA-9DBFFCF0DA1A}"/>
    <cellStyle name="Total 2 9 7 8 4 3" xfId="46867" xr:uid="{D02DB791-79B3-47F5-880B-45C7125225E7}"/>
    <cellStyle name="Total 2 9 7 8 5" xfId="22711" xr:uid="{FE7F0371-402A-4EB6-A5D0-FA320BDF49AF}"/>
    <cellStyle name="Total 2 9 7 8 5 2" xfId="27303" xr:uid="{158FB135-976B-4F2C-8D2F-AA11A86DD1E2}"/>
    <cellStyle name="Total 2 9 7 8 6" xfId="52180" xr:uid="{8F9A422C-3085-4C27-94B7-63A2C930A3D3}"/>
    <cellStyle name="Total 2 9 7 9" xfId="6758" xr:uid="{00000000-0005-0000-0000-0000D0080000}"/>
    <cellStyle name="Total 2 9 7 9 2" xfId="18695" xr:uid="{64357CFC-0D4C-4991-86D0-40FAA50580D4}"/>
    <cellStyle name="Total 2 9 7 9 2 2" xfId="41085" xr:uid="{260E70B1-B370-4A80-AE0F-D05757772694}"/>
    <cellStyle name="Total 2 9 7 9 2 3" xfId="26561" xr:uid="{A34EB6D6-406B-4CD6-A75E-C9347E8BC16E}"/>
    <cellStyle name="Total 2 9 7 9 3" xfId="15919" xr:uid="{2F122118-7FD5-4921-A571-7322BFDD017B}"/>
    <cellStyle name="Total 2 9 7 9 3 2" xfId="38325" xr:uid="{7D4D3015-5D59-46C1-A7FA-516A5BA4A553}"/>
    <cellStyle name="Total 2 9 7 9 3 3" xfId="44897" xr:uid="{E3F7755D-8637-4A1F-A7AF-996E641F3301}"/>
    <cellStyle name="Total 2 9 7 9 4" xfId="23119" xr:uid="{60466505-0227-43EC-A579-D63DDCF09AA9}"/>
    <cellStyle name="Total 2 9 7 9 4 2" xfId="53998" xr:uid="{38DADBA7-21F8-479A-828D-6CF0BEB41F98}"/>
    <cellStyle name="Total 2 9 7 9 5" xfId="50396" xr:uid="{180899F2-EC65-48A3-A949-D111586743C5}"/>
    <cellStyle name="Total 2 9 8" xfId="2608" xr:uid="{00000000-0005-0000-0000-0000C5080000}"/>
    <cellStyle name="Total 2 9 8 2" xfId="9517" xr:uid="{092179C0-1CF4-489E-A6AC-0D7CC2324A60}"/>
    <cellStyle name="Total 2 9 8 2 2" xfId="32069" xr:uid="{DC456506-5943-4ABF-A528-E9C8CCBFEA0F}"/>
    <cellStyle name="Total 2 9 8 2 3" xfId="42944" xr:uid="{AE4D1585-871C-4AE6-837C-D776048E5D98}"/>
    <cellStyle name="Total 2 9 8 3" xfId="15086" xr:uid="{4BBFE416-5544-4341-B135-3FB3D2DB86FF}"/>
    <cellStyle name="Total 2 9 8 3 2" xfId="37531" xr:uid="{542A18B7-974D-4B84-B6A4-D6987A3C5AF4}"/>
    <cellStyle name="Total 2 9 8 3 3" xfId="44243" xr:uid="{609F07CD-ADD8-4BD4-97D4-0D5676AB2E37}"/>
    <cellStyle name="Total 2 9 8 4" xfId="15005" xr:uid="{C7CD06CF-C3F0-4F59-9902-E82639AAF360}"/>
    <cellStyle name="Total 2 9 8 4 2" xfId="37455" xr:uid="{1FE84F24-A717-4C4B-ABA3-1CD3F597E8FD}"/>
    <cellStyle name="Total 2 9 8 4 3" xfId="49184" xr:uid="{A2DE8CBF-34A2-4180-9CD4-E4044540E3F5}"/>
    <cellStyle name="Total 2 9 8 5" xfId="19611" xr:uid="{E4103A12-B862-477F-BE1D-BC1F03CEC7FE}"/>
    <cellStyle name="Total 2 9 8 5 2" xfId="45174" xr:uid="{52AF41AD-13A6-4A60-86B5-B50AEE4F150D}"/>
    <cellStyle name="Total 2 9 8 6" xfId="48480" xr:uid="{1C927558-4577-4259-8A47-9AD8948E6335}"/>
    <cellStyle name="Total 2 9 9" xfId="4439" xr:uid="{00000000-0005-0000-0000-0000C5080000}"/>
    <cellStyle name="Total 2 9 9 2" xfId="11341" xr:uid="{BFA0DD81-CE0B-44C3-8BCD-093CE7090414}"/>
    <cellStyle name="Total 2 9 9 2 2" xfId="33827" xr:uid="{AD3D6D39-FC8B-4C81-8F33-A8FC1508C5BD}"/>
    <cellStyle name="Total 2 9 9 2 3" xfId="28366" xr:uid="{3C0793EB-A5F0-47CB-A782-163D6301F64D}"/>
    <cellStyle name="Total 2 9 9 3" xfId="16376" xr:uid="{EF6D1AE9-7FF0-4823-AACA-9AF274E7DB76}"/>
    <cellStyle name="Total 2 9 9 3 2" xfId="38766" xr:uid="{9182F0CC-EABC-4F4D-A2B3-974FB99B220B}"/>
    <cellStyle name="Total 2 9 9 3 3" xfId="26509" xr:uid="{97F9F767-4790-4022-94A6-B1C55594CCD6}"/>
    <cellStyle name="Total 2 9 9 4" xfId="14049" xr:uid="{ED798360-9E2A-44BF-ABE9-1008C048803B}"/>
    <cellStyle name="Total 2 9 9 4 2" xfId="36529" xr:uid="{E5E1C742-3D6D-4959-BAC0-4A0D85E7EC5E}"/>
    <cellStyle name="Total 2 9 9 4 3" xfId="50494" xr:uid="{5B4D62C6-6177-4D60-B2A4-3D9414E456AF}"/>
    <cellStyle name="Total 2 9 9 5" xfId="21102" xr:uid="{9056321C-10FB-4233-87A0-10814A7E8FA8}"/>
    <cellStyle name="Total 2 9 9 5 2" xfId="26597" xr:uid="{FB767FA6-E03D-4A11-AB49-D4B953357CE5}"/>
    <cellStyle name="Total 2 9 9 6" xfId="26285" xr:uid="{FAF4F58A-60DE-479A-9343-F9F58804F27D}"/>
    <cellStyle name="Warning Text 2" xfId="86" xr:uid="{00000000-0005-0000-0000-0000D4080000}"/>
  </cellStyles>
  <dxfs count="3730">
    <dxf>
      <font>
        <b val="0"/>
        <i val="0"/>
        <strike val="0"/>
        <condense val="0"/>
        <extend val="0"/>
        <outline val="0"/>
        <shadow val="0"/>
        <u val="none"/>
        <vertAlign val="baseline"/>
        <sz val="10"/>
        <color auto="1"/>
        <name val="Calibri"/>
        <family val="2"/>
        <scheme val="minor"/>
      </font>
      <numFmt numFmtId="177" formatCode="_([$$-409]* #,##0.00_);_([$$-409]* \(#,##0.00\);_([$$-409]*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2"/>
        <color auto="1"/>
        <name val="Calibri"/>
        <family val="2"/>
        <scheme val="minor"/>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theme="0"/>
        <name val="Calibri"/>
        <scheme val="minor"/>
      </font>
      <numFmt numFmtId="0" formatCode="General"/>
      <fill>
        <patternFill patternType="solid">
          <fgColor indexed="64"/>
          <bgColor theme="1"/>
        </patternFill>
      </fill>
      <alignment horizontal="general"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theme="0"/>
        <name val="Calibri"/>
        <scheme val="minor"/>
      </font>
      <numFmt numFmtId="0" formatCode="General"/>
      <fill>
        <patternFill patternType="solid">
          <fgColor indexed="64"/>
          <bgColor theme="1"/>
        </patternFill>
      </fill>
      <alignment horizontal="general"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fill>
        <patternFill patternType="none">
          <fgColor indexed="64"/>
          <bgColor auto="1"/>
        </patternFill>
      </fill>
    </dxf>
    <dxf>
      <font>
        <b val="0"/>
        <i val="0"/>
        <strike val="0"/>
        <outline val="0"/>
        <shadow val="0"/>
        <vertAlign val="baseline"/>
        <sz val="10"/>
        <color auto="1"/>
        <name val="Calibri"/>
        <scheme val="minor"/>
      </font>
      <fill>
        <patternFill patternType="none">
          <fgColor indexed="64"/>
          <bgColor auto="1"/>
        </patternFill>
      </fill>
    </dxf>
    <dxf>
      <border outline="0">
        <right style="medium">
          <color indexed="64"/>
        </right>
      </border>
    </dxf>
    <dxf>
      <font>
        <b val="0"/>
        <i val="0"/>
        <strike val="0"/>
        <outline val="0"/>
        <shadow val="0"/>
        <vertAlign val="baseline"/>
        <sz val="10"/>
        <color auto="1"/>
        <name val="Calibri"/>
        <scheme val="minor"/>
      </font>
      <fill>
        <patternFill patternType="none">
          <fgColor indexed="64"/>
          <bgColor auto="1"/>
        </patternFill>
      </fill>
    </dxf>
    <dxf>
      <font>
        <b val="0"/>
        <i val="0"/>
        <strike val="0"/>
        <outline val="0"/>
        <shadow val="0"/>
        <vertAlign val="baseline"/>
        <sz val="10"/>
        <color auto="1"/>
        <name val="Calibri"/>
        <scheme val="minor"/>
      </font>
      <fill>
        <patternFill patternType="none">
          <fgColor indexed="64"/>
          <bgColor auto="1"/>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2"/>
        <color auto="1"/>
        <name val="Calibri"/>
        <family val="2"/>
        <scheme val="minor"/>
      </font>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2"/>
        <color auto="1"/>
        <name val="Calibri"/>
        <family val="2"/>
        <scheme val="minor"/>
      </font>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i val="0"/>
        <strike val="0"/>
        <condense val="0"/>
        <extend val="0"/>
        <outline val="0"/>
        <shadow val="0"/>
        <u val="none"/>
        <vertAlign val="baseline"/>
        <sz val="10"/>
        <color theme="0"/>
        <name val="Calibri"/>
        <scheme val="minor"/>
      </font>
      <numFmt numFmtId="0" formatCode="General"/>
      <fill>
        <patternFill patternType="solid">
          <fgColor indexed="64"/>
          <bgColor theme="1"/>
        </patternFill>
      </fill>
      <alignment horizontal="general"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Calibri"/>
        <family val="2"/>
        <scheme val="minor"/>
      </font>
    </dxf>
    <dxf>
      <font>
        <b val="0"/>
        <i val="0"/>
        <strike val="0"/>
        <condense val="0"/>
        <extend val="0"/>
        <outline val="0"/>
        <shadow val="0"/>
        <u val="none"/>
        <vertAlign val="baseline"/>
        <sz val="12"/>
        <color auto="1"/>
        <name val="Calibri"/>
        <family val="2"/>
        <scheme val="minor"/>
      </font>
    </dxf>
    <dxf>
      <font>
        <b val="0"/>
        <i val="0"/>
        <strike val="0"/>
        <condense val="0"/>
        <extend val="0"/>
        <outline val="0"/>
        <shadow val="0"/>
        <u val="none"/>
        <vertAlign val="baseline"/>
        <sz val="12"/>
        <color auto="1"/>
        <name val="Calibri"/>
        <family val="2"/>
        <scheme val="minor"/>
      </font>
      <numFmt numFmtId="34" formatCode="_-&quot;$&quot;* #,##0.00_-;\-&quot;$&quot;* #,##0.00_-;_-&quot;$&quot;* &quot;-&quot;??_-;_-@_-"/>
    </dxf>
    <dxf>
      <font>
        <b val="0"/>
        <i val="0"/>
        <strike val="0"/>
        <condense val="0"/>
        <extend val="0"/>
        <outline val="0"/>
        <shadow val="0"/>
        <u val="none"/>
        <vertAlign val="baseline"/>
        <sz val="12"/>
        <color auto="1"/>
        <name val="Calibri"/>
        <family val="2"/>
        <scheme val="minor"/>
      </font>
    </dxf>
    <dxf>
      <font>
        <b val="0"/>
        <i val="0"/>
        <strike val="0"/>
        <condense val="0"/>
        <extend val="0"/>
        <outline val="0"/>
        <shadow val="0"/>
        <u val="none"/>
        <vertAlign val="baseline"/>
        <sz val="12"/>
        <color auto="1"/>
        <name val="Calibri"/>
        <family val="2"/>
        <scheme val="minor"/>
      </font>
      <numFmt numFmtId="34" formatCode="_-&quot;$&quot;* #,##0.00_-;\-&quot;$&quot;* #,##0.00_-;_-&quot;$&quot;* &quot;-&quot;??_-;_-@_-"/>
    </dxf>
    <dxf>
      <font>
        <b val="0"/>
        <i val="0"/>
        <strike val="0"/>
        <condense val="0"/>
        <extend val="0"/>
        <outline val="0"/>
        <shadow val="0"/>
        <u val="none"/>
        <vertAlign val="baseline"/>
        <sz val="12"/>
        <color auto="1"/>
        <name val="Calibri"/>
        <family val="2"/>
        <scheme val="minor"/>
      </font>
    </dxf>
    <dxf>
      <font>
        <b val="0"/>
        <i val="0"/>
        <strike val="0"/>
        <condense val="0"/>
        <extend val="0"/>
        <outline val="0"/>
        <shadow val="0"/>
        <u val="none"/>
        <vertAlign val="baseline"/>
        <sz val="12"/>
        <color auto="1"/>
        <name val="Calibri"/>
        <family val="2"/>
        <scheme val="minor"/>
      </font>
      <numFmt numFmtId="34" formatCode="_-&quot;$&quot;* #,##0.00_-;\-&quot;$&quot;* #,##0.00_-;_-&quot;$&quot;* &quot;-&quot;??_-;_-@_-"/>
    </dxf>
    <dxf>
      <font>
        <b val="0"/>
        <i val="0"/>
        <strike val="0"/>
        <condense val="0"/>
        <extend val="0"/>
        <outline val="0"/>
        <shadow val="0"/>
        <u val="none"/>
        <vertAlign val="baseline"/>
        <sz val="12"/>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theme="0"/>
        <name val="Calibri"/>
        <scheme val="minor"/>
      </font>
      <numFmt numFmtId="0" formatCode="General"/>
      <fill>
        <patternFill patternType="solid">
          <fgColor indexed="64"/>
          <bgColor theme="1"/>
        </patternFill>
      </fill>
      <alignment horizontal="general"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numFmt numFmtId="167" formatCode="_(&quot;$&quot;* #,##0.00_);_(&quot;$&quot;* \(#,##0.00\);_(&quot;$&quot;* &quot;-&quot;??_);_(@_)"/>
    </dxf>
    <dxf>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2"/>
        <color auto="1"/>
        <name val="Calibri"/>
        <family val="2"/>
        <scheme val="minor"/>
      </font>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2"/>
        <color auto="1"/>
        <name val="Calibri"/>
        <family val="2"/>
        <scheme val="minor"/>
      </font>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theme="0"/>
        <name val="Calibri"/>
        <scheme val="minor"/>
      </font>
      <numFmt numFmtId="0" formatCode="General"/>
      <fill>
        <patternFill patternType="solid">
          <fgColor indexed="64"/>
          <bgColor theme="1"/>
        </patternFill>
      </fill>
      <alignment horizontal="general"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2"/>
        <color auto="1"/>
        <name val="Calibri"/>
        <family val="2"/>
        <scheme val="minor"/>
      </font>
      <numFmt numFmtId="34" formatCode="_-&quot;$&quot;* #,##0.00_-;\-&quot;$&quot;* #,##0.00_-;_-&quot;$&quot;* &quot;-&quot;??_-;_-@_-"/>
    </dxf>
    <dxf>
      <font>
        <b val="0"/>
        <i val="0"/>
        <strike val="0"/>
        <condense val="0"/>
        <extend val="0"/>
        <outline val="0"/>
        <shadow val="0"/>
        <u val="none"/>
        <vertAlign val="baseline"/>
        <sz val="12"/>
        <color auto="1"/>
        <name val="Calibri"/>
        <family val="2"/>
        <scheme val="minor"/>
      </font>
    </dxf>
    <dxf>
      <font>
        <b val="0"/>
        <i val="0"/>
        <strike val="0"/>
        <condense val="0"/>
        <extend val="0"/>
        <outline val="0"/>
        <shadow val="0"/>
        <u val="none"/>
        <vertAlign val="baseline"/>
        <sz val="12"/>
        <color auto="1"/>
        <name val="Calibri"/>
        <family val="2"/>
        <scheme val="minor"/>
      </font>
      <numFmt numFmtId="34" formatCode="_-&quot;$&quot;* #,##0.00_-;\-&quot;$&quot;* #,##0.00_-;_-&quot;$&quot;* &quot;-&quot;??_-;_-@_-"/>
    </dxf>
    <dxf>
      <font>
        <b val="0"/>
        <i val="0"/>
        <strike val="0"/>
        <condense val="0"/>
        <extend val="0"/>
        <outline val="0"/>
        <shadow val="0"/>
        <u val="none"/>
        <vertAlign val="baseline"/>
        <sz val="12"/>
        <color auto="1"/>
        <name val="Calibri"/>
        <family val="2"/>
        <scheme val="minor"/>
      </font>
    </dxf>
    <dxf>
      <font>
        <b val="0"/>
        <i val="0"/>
        <strike val="0"/>
        <condense val="0"/>
        <extend val="0"/>
        <outline val="0"/>
        <shadow val="0"/>
        <u val="none"/>
        <vertAlign val="baseline"/>
        <sz val="12"/>
        <color auto="1"/>
        <name val="Calibri"/>
        <family val="2"/>
        <scheme val="minor"/>
      </font>
      <numFmt numFmtId="34" formatCode="_-&quot;$&quot;* #,##0.00_-;\-&quot;$&quot;* #,##0.00_-;_-&quot;$&quot;* &quot;-&quot;??_-;_-@_-"/>
    </dxf>
    <dxf>
      <font>
        <b val="0"/>
        <i val="0"/>
        <strike val="0"/>
        <condense val="0"/>
        <extend val="0"/>
        <outline val="0"/>
        <shadow val="0"/>
        <u val="none"/>
        <vertAlign val="baseline"/>
        <sz val="12"/>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theme="0"/>
        <name val="Calibri"/>
        <scheme val="minor"/>
      </font>
      <numFmt numFmtId="0" formatCode="General"/>
      <fill>
        <patternFill patternType="solid">
          <fgColor indexed="64"/>
          <bgColor theme="1"/>
        </patternFill>
      </fill>
      <alignment horizontal="general"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2"/>
        <color auto="1"/>
        <name val="Calibri"/>
        <family val="2"/>
        <scheme val="minor"/>
      </font>
    </dxf>
    <dxf>
      <font>
        <b val="0"/>
        <i val="0"/>
        <strike val="0"/>
        <condense val="0"/>
        <extend val="0"/>
        <outline val="0"/>
        <shadow val="0"/>
        <u val="none"/>
        <vertAlign val="baseline"/>
        <sz val="10"/>
        <color auto="1"/>
        <name val="Calibri"/>
        <family val="2"/>
        <scheme val="minor"/>
      </font>
      <numFmt numFmtId="167" formatCode="_(&quot;$&quot;* #,##0.00_);_(&quot;$&quot;* \(#,##0.00\);_(&quot;$&quot;* &quot;-&quot;??_);_(@_)"/>
    </dxf>
    <dxf>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theme="0"/>
        <name val="Calibri"/>
        <scheme val="minor"/>
      </font>
      <numFmt numFmtId="0" formatCode="General"/>
      <fill>
        <patternFill patternType="solid">
          <fgColor indexed="64"/>
          <bgColor theme="1"/>
        </patternFill>
      </fill>
      <alignment horizontal="general"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ill>
        <patternFill patternType="solid">
          <fgColor indexed="64"/>
          <bgColor rgb="FFFFFF00"/>
        </patternFill>
      </fill>
    </dxf>
    <dxf>
      <font>
        <b val="0"/>
        <i val="0"/>
        <strike val="0"/>
        <condense val="0"/>
        <extend val="0"/>
        <outline val="0"/>
        <shadow val="0"/>
        <u val="none"/>
        <vertAlign val="baseline"/>
        <sz val="10"/>
        <color auto="1"/>
        <name val="Calibri"/>
        <family val="2"/>
        <scheme val="minor"/>
      </font>
    </dxf>
    <dxf>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2"/>
        <color auto="1"/>
        <name val="Calibri"/>
        <family val="2"/>
        <scheme val="minor"/>
      </font>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ill>
        <patternFill patternType="solid">
          <fgColor indexed="64"/>
          <bgColor theme="0"/>
        </patternFill>
      </fill>
      <border diagonalUp="0" diagonalDown="0">
        <left style="medium">
          <color indexed="64"/>
        </left>
        <right style="medium">
          <color indexed="64"/>
        </right>
        <top style="medium">
          <color indexed="64"/>
        </top>
        <bottom style="medium">
          <color indexed="64"/>
        </bottom>
        <vertical/>
        <horizontal/>
      </border>
    </dxf>
    <dxf>
      <font>
        <b val="0"/>
        <i val="0"/>
        <strike val="0"/>
        <condense val="0"/>
        <extend val="0"/>
        <outline val="0"/>
        <shadow val="0"/>
        <u val="none"/>
        <vertAlign val="baseline"/>
        <sz val="10"/>
        <color auto="1"/>
        <name val="Calibri"/>
        <family val="2"/>
        <scheme val="minor"/>
      </font>
      <numFmt numFmtId="34" formatCode="_-&quot;$&quot;* #,##0.00_-;\-&quot;$&quot;* #,##0.00_-;_-&quot;$&quot;* &quot;-&quot;??_-;_-@_-"/>
    </dxf>
    <dxf>
      <fill>
        <patternFill patternType="solid">
          <fgColor indexed="64"/>
          <bgColor theme="0"/>
        </patternFill>
      </fill>
      <border diagonalUp="0" diagonalDown="0">
        <left style="medium">
          <color indexed="64"/>
        </left>
        <right style="medium">
          <color indexed="64"/>
        </right>
        <top style="medium">
          <color indexed="64"/>
        </top>
        <bottom style="medium">
          <color indexed="64"/>
        </bottom>
        <vertical/>
        <horizontal/>
      </border>
    </dxf>
    <dxf>
      <font>
        <b val="0"/>
        <i val="0"/>
        <strike val="0"/>
        <condense val="0"/>
        <extend val="0"/>
        <outline val="0"/>
        <shadow val="0"/>
        <u val="none"/>
        <vertAlign val="baseline"/>
        <sz val="10"/>
        <color auto="1"/>
        <name val="Calibri"/>
        <family val="2"/>
        <scheme val="minor"/>
      </font>
      <numFmt numFmtId="34" formatCode="_-&quot;$&quot;* #,##0.00_-;\-&quot;$&quot;* #,##0.00_-;_-&quot;$&quot;* &quot;-&quot;??_-;_-@_-"/>
    </dxf>
    <dxf>
      <fill>
        <patternFill patternType="solid">
          <fgColor indexed="64"/>
          <bgColor theme="0"/>
        </patternFill>
      </fill>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theme="0"/>
        <name val="Calibri"/>
        <scheme val="minor"/>
      </font>
      <numFmt numFmtId="0" formatCode="General"/>
      <fill>
        <patternFill patternType="solid">
          <fgColor indexed="64"/>
          <bgColor theme="1"/>
        </patternFill>
      </fill>
      <alignment horizontal="general"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auto="1"/>
        <name val="Calibri"/>
        <family val="2"/>
        <scheme val="minor"/>
      </font>
      <numFmt numFmtId="177" formatCode="_([$$-409]* #,##0.00_);_([$$-409]* \(#,##0.00\);_([$$-409]* &quot;-&quot;??_);_(@_)"/>
    </dxf>
    <dxf>
      <numFmt numFmtId="177" formatCode="_([$$-409]* #,##0.00_);_([$$-409]* \(#,##0.00\);_([$$-409]* &quot;-&quot;??_);_(@_)"/>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Calibri"/>
        <family val="2"/>
        <scheme val="minor"/>
      </font>
      <numFmt numFmtId="167" formatCode="_(&quot;$&quot;* #,##0.00_);_(&quot;$&quot;* \(#,##0.00\);_(&quot;$&quot;* &quot;-&quot;??_);_(@_)"/>
    </dxf>
    <dxf>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Arial"/>
        <scheme val="none"/>
      </font>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Arial"/>
        <family val="2"/>
        <scheme val="none"/>
      </font>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theme="0"/>
        <name val="Calibri"/>
        <scheme val="minor"/>
      </font>
      <numFmt numFmtId="0" formatCode="General"/>
      <fill>
        <patternFill patternType="solid">
          <fgColor indexed="64"/>
          <bgColor theme="1"/>
        </patternFill>
      </fill>
      <alignment horizontal="general"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theme="0"/>
        <name val="Calibri"/>
        <scheme val="minor"/>
      </font>
      <numFmt numFmtId="0" formatCode="General"/>
      <fill>
        <patternFill patternType="solid">
          <fgColor indexed="64"/>
          <bgColor theme="1"/>
        </patternFill>
      </fill>
      <alignment horizontal="general"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name val="Calibri"/>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0"/>
        <color theme="0"/>
        <name val="Calibri"/>
        <scheme val="minor"/>
      </font>
      <numFmt numFmtId="0" formatCode="General"/>
      <fill>
        <patternFill patternType="solid">
          <fgColor indexed="64"/>
          <bgColor theme="1"/>
        </patternFill>
      </fill>
      <alignment horizontal="general"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0"/>
        <color theme="0"/>
        <name val="Calibri"/>
        <scheme val="minor"/>
      </font>
      <numFmt numFmtId="0" formatCode="General"/>
      <fill>
        <patternFill patternType="solid">
          <fgColor indexed="64"/>
          <bgColor theme="1"/>
        </patternFill>
      </fill>
      <alignment horizontal="general"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theme="0"/>
        <name val="Calibri"/>
        <scheme val="minor"/>
      </font>
      <numFmt numFmtId="0" formatCode="General"/>
      <fill>
        <patternFill patternType="solid">
          <fgColor indexed="64"/>
          <bgColor theme="1"/>
        </patternFill>
      </fill>
      <alignment horizontal="general"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family val="2"/>
        <scheme val="minor"/>
      </font>
      <numFmt numFmtId="12" formatCode="&quot;$&quot;#,##0.00;[Red]\-&quot;$&quot;#,##0.00"/>
      <fill>
        <patternFill patternType="none">
          <fgColor indexed="64"/>
          <bgColor indexed="65"/>
        </patternFill>
      </fill>
      <border diagonalUp="0" diagonalDown="0">
        <left style="thin">
          <color indexed="64"/>
        </left>
        <right style="thin">
          <color auto="1"/>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family val="2"/>
        <scheme val="minor"/>
      </font>
      <numFmt numFmtId="12" formatCode="&quot;$&quot;#,##0.00;[Red]\-&quot;$&quot;#,##0.00"/>
      <fill>
        <patternFill patternType="none">
          <fgColor indexed="64"/>
          <bgColor indexed="65"/>
        </patternFill>
      </fill>
      <border diagonalUp="0" diagonalDown="0">
        <left style="thin">
          <color indexed="64"/>
        </left>
        <right style="thin">
          <color auto="1"/>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family val="2"/>
        <scheme val="minor"/>
      </font>
      <numFmt numFmtId="12" formatCode="&quot;$&quot;#,##0.00;[Red]\-&quot;$&quot;#,##0.00"/>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family val="2"/>
        <scheme val="minor"/>
      </font>
      <numFmt numFmtId="12" formatCode="&quot;$&quot;#,##0.00;[Red]\-&quot;$&quot;#,##0.00"/>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12" formatCode="&quot;$&quot;#,##0.00;[Red]\-&quot;$&quot;#,##0.00"/>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12" formatCode="&quot;$&quot;#,##0.00;[Red]\-&quot;$&quot;#,##0.00"/>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12" formatCode="&quot;$&quot;#,##0.00;[Red]\-&quot;$&quot;#,##0.00"/>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12" formatCode="&quot;$&quot;#,##0.00;[Red]\-&quot;$&quot;#,##0.00"/>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12" formatCode="&quot;$&quot;#,##0.00;[Red]\-&quot;$&quot;#,##0.00"/>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12" formatCode="&quot;$&quot;#,##0.00;[Red]\-&quot;$&quot;#,##0.00"/>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12" formatCode="&quot;$&quot;#,##0.00;[Red]\-&quot;$&quot;#,##0.00"/>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name val="Calibri"/>
        <scheme val="minor"/>
      </font>
      <numFmt numFmtId="12" formatCode="&quot;$&quot;#,##0.00;[Red]\-&quot;$&quot;#,##0.00"/>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12" formatCode="&quot;$&quot;#,##0.00;[Red]\-&quot;$&quot;#,##0.00"/>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12" formatCode="&quot;$&quot;#,##0.00;[Red]\-&quot;$&quot;#,##0.00"/>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12" formatCode="&quot;$&quot;#,##0.00;[Red]\-&quot;$&quot;#,##0.00"/>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12" formatCode="&quot;$&quot;#,##0.00;[Red]\-&quot;$&quot;#,##0.00"/>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numFmt numFmtId="12" formatCode="&quot;$&quot;#,##0.00;[Red]\-&quot;$&quot;#,##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0"/>
        <color theme="0"/>
        <name val="Calibri"/>
        <scheme val="minor"/>
      </font>
      <numFmt numFmtId="0" formatCode="General"/>
      <fill>
        <patternFill patternType="solid">
          <fgColor indexed="64"/>
          <bgColor theme="1"/>
        </patternFill>
      </fill>
      <alignment horizontal="general"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4"/>
        <color auto="1"/>
        <name val="Calibri"/>
        <family val="2"/>
        <scheme val="minor"/>
      </font>
      <numFmt numFmtId="34" formatCode="_-&quot;$&quot;* #,##0.00_-;\-&quot;$&quot;* #,##0.00_-;_-&quot;$&quot;* &quot;-&quot;??_-;_-@_-"/>
    </dxf>
    <dxf>
      <font>
        <b val="0"/>
        <i val="0"/>
        <strike val="0"/>
        <condense val="0"/>
        <extend val="0"/>
        <outline val="0"/>
        <shadow val="0"/>
        <u val="none"/>
        <vertAlign val="baseline"/>
        <sz val="14"/>
        <color auto="1"/>
        <name val="Arial"/>
        <family val="2"/>
        <scheme val="none"/>
      </font>
      <fill>
        <patternFill patternType="solid">
          <fgColor indexed="64"/>
          <bgColor theme="0"/>
        </patternFill>
      </fill>
    </dxf>
    <dxf>
      <font>
        <b val="0"/>
        <i val="0"/>
        <strike val="0"/>
        <condense val="0"/>
        <extend val="0"/>
        <outline val="0"/>
        <shadow val="0"/>
        <u val="none"/>
        <vertAlign val="baseline"/>
        <sz val="14"/>
        <color auto="1"/>
        <name val="Calibri"/>
        <family val="2"/>
        <scheme val="minor"/>
      </font>
      <numFmt numFmtId="167" formatCode="_(&quot;$&quot;* #,##0.00_);_(&quot;$&quot;* \(#,##0.00\);_(&quot;$&quot;* &quot;-&quot;??_);_(@_)"/>
    </dxf>
    <dxf>
      <font>
        <b val="0"/>
        <i val="0"/>
        <strike val="0"/>
        <condense val="0"/>
        <extend val="0"/>
        <outline val="0"/>
        <shadow val="0"/>
        <u val="none"/>
        <vertAlign val="baseline"/>
        <sz val="12"/>
        <color theme="1"/>
        <name val="Calibri"/>
        <family val="2"/>
        <scheme val="minor"/>
      </font>
      <numFmt numFmtId="167" formatCode="_(&quot;$&quot;* #,##0.00_);_(&quot;$&quot;* \(#,##0.00\);_(&quot;$&quot;* &quot;-&quot;??_);_(@_)"/>
    </dxf>
    <dxf>
      <font>
        <b val="0"/>
        <i val="0"/>
        <strike val="0"/>
        <condense val="0"/>
        <extend val="0"/>
        <outline val="0"/>
        <shadow val="0"/>
        <u val="none"/>
        <vertAlign val="baseline"/>
        <sz val="14"/>
        <color auto="1"/>
        <name val="Calibri"/>
        <family val="2"/>
        <scheme val="minor"/>
      </font>
      <numFmt numFmtId="34" formatCode="_-&quot;$&quot;* #,##0.00_-;\-&quot;$&quot;* #,##0.00_-;_-&quot;$&quot;* &quot;-&quot;??_-;_-@_-"/>
    </dxf>
    <dxf>
      <font>
        <b val="0"/>
        <i val="0"/>
        <strike val="0"/>
        <condense val="0"/>
        <extend val="0"/>
        <outline val="0"/>
        <shadow val="0"/>
        <u val="none"/>
        <vertAlign val="baseline"/>
        <sz val="14"/>
        <color auto="1"/>
        <name val="Arial"/>
        <scheme val="none"/>
      </font>
      <fill>
        <patternFill patternType="solid">
          <fgColor indexed="64"/>
          <bgColor theme="0"/>
        </patternFill>
      </fill>
    </dxf>
    <dxf>
      <font>
        <b val="0"/>
        <i val="0"/>
        <strike val="0"/>
        <condense val="0"/>
        <extend val="0"/>
        <outline val="0"/>
        <shadow val="0"/>
        <u val="none"/>
        <vertAlign val="baseline"/>
        <sz val="14"/>
        <color theme="1"/>
        <name val="Calibri"/>
        <family val="2"/>
        <scheme val="minor"/>
      </font>
      <numFmt numFmtId="167" formatCode="_(&quot;$&quot;* #,##0.00_);_(&quot;$&quot;* \(#,##0.00\);_(&quot;$&quot;* &quot;-&quot;??_);_(@_)"/>
    </dxf>
    <dxf>
      <font>
        <b val="0"/>
        <i val="0"/>
        <strike val="0"/>
        <condense val="0"/>
        <extend val="0"/>
        <outline val="0"/>
        <shadow val="0"/>
        <u val="none"/>
        <vertAlign val="baseline"/>
        <sz val="14"/>
        <color auto="1"/>
        <name val="Arial"/>
        <family val="2"/>
        <scheme val="none"/>
      </font>
      <fill>
        <patternFill patternType="solid">
          <fgColor indexed="64"/>
          <bgColor theme="0"/>
        </patternFill>
      </fill>
    </dxf>
    <dxf>
      <font>
        <b val="0"/>
        <i val="0"/>
        <strike val="0"/>
        <condense val="0"/>
        <extend val="0"/>
        <outline val="0"/>
        <shadow val="0"/>
        <u val="none"/>
        <vertAlign val="baseline"/>
        <sz val="14"/>
        <color auto="1"/>
        <name val="Calibri"/>
        <family val="2"/>
        <scheme val="minor"/>
      </font>
      <numFmt numFmtId="34" formatCode="_-&quot;$&quot;* #,##0.00_-;\-&quot;$&quot;* #,##0.00_-;_-&quot;$&quot;* &quot;-&quot;??_-;_-@_-"/>
    </dxf>
    <dxf>
      <font>
        <strike val="0"/>
        <outline val="0"/>
        <shadow val="0"/>
        <u val="none"/>
        <vertAlign val="baseline"/>
        <sz val="14"/>
        <color auto="1"/>
        <name val="Arial"/>
        <family val="2"/>
        <scheme val="none"/>
      </font>
      <fill>
        <patternFill patternType="solid">
          <fgColor indexed="64"/>
          <bgColor theme="0"/>
        </patternFill>
      </fill>
    </dxf>
    <dxf>
      <font>
        <b val="0"/>
        <i val="0"/>
        <strike val="0"/>
        <condense val="0"/>
        <extend val="0"/>
        <outline val="0"/>
        <shadow val="0"/>
        <u val="none"/>
        <vertAlign val="baseline"/>
        <sz val="14"/>
        <color auto="1"/>
        <name val="Calibri"/>
        <family val="2"/>
        <scheme val="minor"/>
      </font>
      <numFmt numFmtId="34" formatCode="_-&quot;$&quot;* #,##0.00_-;\-&quot;$&quot;* #,##0.00_-;_-&quot;$&quot;* &quot;-&quot;??_-;_-@_-"/>
    </dxf>
    <dxf>
      <font>
        <b val="0"/>
        <i val="0"/>
        <strike val="0"/>
        <condense val="0"/>
        <extend val="0"/>
        <outline val="0"/>
        <shadow val="0"/>
        <u val="none"/>
        <vertAlign val="baseline"/>
        <sz val="14"/>
        <color auto="1"/>
        <name val="Arial"/>
        <scheme val="none"/>
      </font>
    </dxf>
    <dxf>
      <font>
        <b val="0"/>
        <i val="0"/>
        <strike val="0"/>
        <condense val="0"/>
        <extend val="0"/>
        <outline val="0"/>
        <shadow val="0"/>
        <u val="none"/>
        <vertAlign val="baseline"/>
        <sz val="14"/>
        <color auto="1"/>
        <name val="Calibri"/>
        <family val="2"/>
        <scheme val="minor"/>
      </font>
      <numFmt numFmtId="34" formatCode="_-&quot;$&quot;* #,##0.00_-;\-&quot;$&quot;* #,##0.00_-;_-&quot;$&quot;* &quot;-&quot;??_-;_-@_-"/>
    </dxf>
    <dxf>
      <font>
        <strike val="0"/>
        <outline val="0"/>
        <shadow val="0"/>
        <u val="none"/>
        <vertAlign val="baseline"/>
        <sz val="14"/>
      </font>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theme="0"/>
        <name val="Calibri"/>
        <scheme val="minor"/>
      </font>
      <numFmt numFmtId="0" formatCode="General"/>
      <fill>
        <patternFill patternType="solid">
          <fgColor indexed="64"/>
          <bgColor theme="1"/>
        </patternFill>
      </fill>
      <alignment horizontal="general"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4"/>
        <color auto="1"/>
        <name val="Calibri"/>
        <family val="2"/>
        <scheme val="minor"/>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4"/>
        <color auto="1"/>
        <name val="Calibri"/>
        <family val="2"/>
        <scheme val="minor"/>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4"/>
        <color auto="1"/>
        <name val="Calibri"/>
        <family val="2"/>
        <scheme val="minor"/>
      </font>
      <numFmt numFmtId="34" formatCode="_-&quot;$&quot;* #,##0.00_-;\-&quot;$&quot;* #,##0.00_-;_-&quot;$&quot;* &quot;-&quot;??_-;_-@_-"/>
    </dxf>
    <dxf>
      <font>
        <b val="0"/>
        <i val="0"/>
        <strike val="0"/>
        <condense val="0"/>
        <extend val="0"/>
        <outline val="0"/>
        <shadow val="0"/>
        <u val="none"/>
        <vertAlign val="baseline"/>
        <sz val="14"/>
        <color auto="1"/>
        <name val="Calibri"/>
        <family val="2"/>
        <scheme val="minor"/>
      </font>
      <numFmt numFmtId="167" formatCode="_(&quot;$&quot;* #,##0.00_);_(&quot;$&quot;* \(#,##0.00\);_(&quot;$&quot;* &quot;-&quot;??_);_(@_)"/>
    </dxf>
    <dxf>
      <numFmt numFmtId="167" formatCode="_(&quot;$&quot;* #,##0.00_);_(&quot;$&quot;* \(#,##0.00\);_(&quot;$&quot;* &quot;-&quot;??_);_(@_)"/>
    </dxf>
    <dxf>
      <font>
        <b val="0"/>
        <i val="0"/>
        <strike val="0"/>
        <condense val="0"/>
        <extend val="0"/>
        <outline val="0"/>
        <shadow val="0"/>
        <u val="none"/>
        <vertAlign val="baseline"/>
        <sz val="14"/>
        <color auto="1"/>
        <name val="Calibri"/>
        <family val="2"/>
        <scheme val="minor"/>
      </font>
      <numFmt numFmtId="34" formatCode="_-&quot;$&quot;* #,##0.00_-;\-&quot;$&quot;* #,##0.00_-;_-&quot;$&quot;* &quot;-&quot;??_-;_-@_-"/>
    </dxf>
    <dxf>
      <font>
        <strike val="0"/>
        <outline val="0"/>
        <shadow val="0"/>
        <u val="none"/>
        <vertAlign val="baseline"/>
        <sz val="14"/>
      </font>
    </dxf>
    <dxf>
      <font>
        <b val="0"/>
        <i val="0"/>
        <strike val="0"/>
        <condense val="0"/>
        <extend val="0"/>
        <outline val="0"/>
        <shadow val="0"/>
        <u val="none"/>
        <vertAlign val="baseline"/>
        <sz val="14"/>
        <color auto="1"/>
        <name val="Calibri"/>
        <family val="2"/>
        <scheme val="minor"/>
      </font>
      <numFmt numFmtId="34" formatCode="_-&quot;$&quot;* #,##0.00_-;\-&quot;$&quot;* #,##0.00_-;_-&quot;$&quot;* &quot;-&quot;??_-;_-@_-"/>
    </dxf>
    <dxf>
      <font>
        <strike val="0"/>
        <outline val="0"/>
        <shadow val="0"/>
        <u val="none"/>
        <vertAlign val="baseline"/>
        <sz val="14"/>
      </font>
    </dxf>
    <dxf>
      <font>
        <b val="0"/>
        <i val="0"/>
        <strike val="0"/>
        <condense val="0"/>
        <extend val="0"/>
        <outline val="0"/>
        <shadow val="0"/>
        <u val="none"/>
        <vertAlign val="baseline"/>
        <sz val="14"/>
        <color auto="1"/>
        <name val="Calibri"/>
        <family val="2"/>
        <scheme val="minor"/>
      </font>
      <numFmt numFmtId="34" formatCode="_-&quot;$&quot;* #,##0.00_-;\-&quot;$&quot;* #,##0.00_-;_-&quot;$&quot;* &quot;-&quot;??_-;_-@_-"/>
    </dxf>
    <dxf>
      <font>
        <strike val="0"/>
        <outline val="0"/>
        <shadow val="0"/>
        <u val="none"/>
        <vertAlign val="baseline"/>
        <sz val="14"/>
      </font>
    </dxf>
    <dxf>
      <font>
        <b val="0"/>
        <i val="0"/>
        <strike val="0"/>
        <condense val="0"/>
        <extend val="0"/>
        <outline val="0"/>
        <shadow val="0"/>
        <u val="none"/>
        <vertAlign val="baseline"/>
        <sz val="14"/>
        <color auto="1"/>
        <name val="Calibri"/>
        <family val="2"/>
        <scheme val="minor"/>
      </font>
      <numFmt numFmtId="34" formatCode="_-&quot;$&quot;* #,##0.00_-;\-&quot;$&quot;* #,##0.00_-;_-&quot;$&quot;* &quot;-&quot;??_-;_-@_-"/>
    </dxf>
    <dxf>
      <font>
        <b val="0"/>
        <i val="0"/>
        <strike val="0"/>
        <condense val="0"/>
        <extend val="0"/>
        <outline val="0"/>
        <shadow val="0"/>
        <u val="none"/>
        <vertAlign val="baseline"/>
        <sz val="14"/>
        <color auto="1"/>
        <name val="Arial"/>
        <scheme val="none"/>
      </font>
    </dxf>
    <dxf>
      <font>
        <b val="0"/>
        <i val="0"/>
        <strike val="0"/>
        <condense val="0"/>
        <extend val="0"/>
        <outline val="0"/>
        <shadow val="0"/>
        <u val="none"/>
        <vertAlign val="baseline"/>
        <sz val="14"/>
        <color auto="1"/>
        <name val="Calibri"/>
        <family val="2"/>
        <scheme val="minor"/>
      </font>
      <numFmt numFmtId="34" formatCode="_-&quot;$&quot;* #,##0.00_-;\-&quot;$&quot;* #,##0.00_-;_-&quot;$&quot;* &quot;-&quot;??_-;_-@_-"/>
    </dxf>
    <dxf>
      <font>
        <strike val="0"/>
        <outline val="0"/>
        <shadow val="0"/>
        <u val="none"/>
        <vertAlign val="baseline"/>
        <sz val="14"/>
      </font>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2" formatCode="&quot;$&quot;#,##0.00;[Red]\-&quot;$&quot;#,##0.00"/>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12" formatCode="&quot;$&quot;#,##0.00;[Red]\-&quot;$&quot;#,##0.00"/>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12" formatCode="&quot;$&quot;#,##0.00;[Red]\-&quot;$&quot;#,##0.00"/>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12" formatCode="&quot;$&quot;#,##0.00;[Red]\-&quot;$&quot;#,##0.00"/>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12" formatCode="&quot;$&quot;#,##0.00;[Red]\-&quot;$&quot;#,##0.00"/>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12" formatCode="&quot;$&quot;#,##0.00;[Red]\-&quot;$&quot;#,##0.00"/>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12" formatCode="&quot;$&quot;#,##0.00;[Red]\-&quot;$&quot;#,##0.00"/>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12" formatCode="&quot;$&quot;#,##0.00;[Red]\-&quot;$&quot;#,##0.00"/>
      <fill>
        <patternFill patternType="none">
          <fgColor indexed="64"/>
          <bgColor indexed="65"/>
        </patternFill>
      </fill>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theme="0"/>
        <name val="Calibri"/>
        <scheme val="minor"/>
      </font>
      <numFmt numFmtId="0" formatCode="General"/>
      <fill>
        <patternFill patternType="solid">
          <fgColor indexed="64"/>
          <bgColor theme="1"/>
        </patternFill>
      </fill>
      <alignment horizontal="general"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auto="1"/>
        <name val="Calibri"/>
        <family val="2"/>
        <scheme val="minor"/>
      </font>
      <border diagonalUp="0" diagonalDown="0"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Calibri"/>
        <family val="2"/>
        <scheme val="minor"/>
      </font>
      <numFmt numFmtId="167" formatCode="_(&quot;$&quot;* #,##0.00_);_(&quot;$&quot;* \(#,##0.00\);_(&quot;$&quot;* &quot;-&quot;??_);_(@_)"/>
      <border diagonalUp="0" diagonalDown="0" outline="0">
        <left style="medium">
          <color indexed="64"/>
        </left>
        <right style="medium">
          <color indexed="64"/>
        </right>
        <top style="medium">
          <color indexed="64"/>
        </top>
        <bottom style="medium">
          <color indexed="64"/>
        </bottom>
      </border>
    </dxf>
    <dxf>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border diagonalUp="0" diagonalDown="0"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Calibri"/>
        <family val="2"/>
        <scheme val="minor"/>
      </font>
      <numFmt numFmtId="179" formatCode="0.00_);[Red]\(0.00\)"/>
      <border diagonalUp="0" diagonalDown="0" outline="0">
        <left style="medium">
          <color indexed="64"/>
        </left>
        <right style="medium">
          <color indexed="64"/>
        </right>
        <top style="medium">
          <color indexed="64"/>
        </top>
        <bottom style="medium">
          <color indexed="64"/>
        </bottom>
      </border>
    </dxf>
    <dxf>
      <numFmt numFmtId="179" formatCode="0.00_);[Red]\(0.00\)"/>
    </dxf>
    <dxf>
      <font>
        <b val="0"/>
        <i val="0"/>
        <strike val="0"/>
        <condense val="0"/>
        <extend val="0"/>
        <outline val="0"/>
        <shadow val="0"/>
        <u val="none"/>
        <vertAlign val="baseline"/>
        <sz val="10"/>
        <color auto="1"/>
        <name val="Calibri"/>
        <family val="2"/>
        <scheme val="minor"/>
      </font>
      <numFmt numFmtId="34" formatCode="_-&quot;$&quot;* #,##0.00_-;\-&quot;$&quot;* #,##0.00_-;_-&quot;$&quot;* &quot;-&quot;??_-;_-@_-"/>
      <border diagonalUp="0" diagonalDown="0"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Calibri"/>
        <family val="2"/>
        <scheme val="minor"/>
      </font>
      <numFmt numFmtId="34" formatCode="_-&quot;$&quot;* #,##0.00_-;\-&quot;$&quot;* #,##0.00_-;_-&quot;$&quot;* &quot;-&quot;??_-;_-@_-"/>
      <border diagonalUp="0" diagonalDown="0"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border diagonalUp="0" diagonalDown="0" outline="0">
        <left style="medium">
          <color indexed="64"/>
        </left>
        <right style="medium">
          <color indexed="64"/>
        </right>
        <top style="medium">
          <color indexed="64"/>
        </top>
        <bottom style="medium">
          <color indexed="64"/>
        </bottom>
      </border>
    </dxf>
    <dxf>
      <font>
        <name val="Calibri"/>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border diagonalUp="0" diagonalDown="0"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border diagonalUp="0" diagonalDown="0" outline="0">
        <left style="medium">
          <color indexed="64"/>
        </left>
        <right style="medium">
          <color indexed="64"/>
        </right>
        <top style="medium">
          <color indexed="64"/>
        </top>
        <bottom style="medium">
          <color indexed="64"/>
        </bottom>
      </border>
    </dxf>
    <dxf>
      <font>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theme="0"/>
        <name val="Calibri"/>
        <scheme val="minor"/>
      </font>
      <numFmt numFmtId="0" formatCode="General"/>
      <fill>
        <patternFill patternType="solid">
          <fgColor indexed="64"/>
          <bgColor theme="1"/>
        </patternFill>
      </fill>
      <alignment horizontal="general"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numFmt numFmtId="168" formatCode="_(* #,##0.00_);_(* \(#,##0.00\);_(*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79" formatCode="0.00_);[Red]\(0.00\)"/>
    </dxf>
    <dxf>
      <numFmt numFmtId="179" formatCode="0.00_);[Red]\(0.00\)"/>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theme="0"/>
        <name val="Calibri"/>
        <scheme val="minor"/>
      </font>
      <numFmt numFmtId="0" formatCode="General"/>
      <fill>
        <patternFill patternType="solid">
          <fgColor indexed="64"/>
          <bgColor theme="1"/>
        </patternFill>
      </fill>
      <alignment horizontal="general"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auto="1"/>
        <name val="Calibri"/>
        <family val="2"/>
        <scheme val="minor"/>
      </font>
      <numFmt numFmtId="177" formatCode="_([$$-409]* #,##0.00_);_([$$-409]* \(#,##0.00\);_([$$-409]* &quot;-&quot;??_);_(@_)"/>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ill>
        <patternFill patternType="solid">
          <fgColor indexed="64"/>
          <bgColor rgb="FFFFFF0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theme="0"/>
        <name val="Calibri"/>
        <scheme val="minor"/>
      </font>
      <numFmt numFmtId="0" formatCode="General"/>
      <fill>
        <patternFill patternType="solid">
          <fgColor indexed="64"/>
          <bgColor theme="1"/>
        </patternFill>
      </fill>
      <alignment horizontal="general"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theme="0"/>
        <name val="Calibri"/>
        <scheme val="minor"/>
      </font>
      <numFmt numFmtId="0" formatCode="General"/>
      <fill>
        <patternFill patternType="solid">
          <fgColor indexed="64"/>
          <bgColor theme="1"/>
        </patternFill>
      </fill>
      <alignment horizontal="general"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4" formatCode="_-&quot;$&quot;* #,##0.00_-;\-&quot;$&quot;* #,##0.00_-;_-&quot;$&quot;* &quot;-&quot;??_-;_-@_-"/>
      <fill>
        <patternFill patternType="none">
          <fgColor rgb="FF000000"/>
          <bgColor rgb="FFFFFFFF"/>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4" formatCode="_-&quot;$&quot;* #,##0.00_-;\-&quot;$&quot;* #,##0.00_-;_-&quot;$&quot;* &quot;-&quot;??_-;_-@_-"/>
      <fill>
        <patternFill patternType="none">
          <fgColor rgb="FF000000"/>
          <bgColor rgb="FFFFFFFF"/>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2"/>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none"/>
      </font>
      <fill>
        <patternFill patternType="none">
          <fgColor rgb="FF000000"/>
          <bgColor rgb="FFFFFFFF"/>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numFmt numFmtId="167" formatCode="_(&quot;$&quot;* #,##0.00_);_(&quot;$&quot;* \(#,##0.00\);_(&quot;$&quot;* &quot;-&quot;??_);_(@_)"/>
    </dxf>
    <dxf>
      <font>
        <b val="0"/>
        <i val="0"/>
        <strike val="0"/>
        <condense val="0"/>
        <extend val="0"/>
        <outline val="0"/>
        <shadow val="0"/>
        <u val="none"/>
        <vertAlign val="baseline"/>
        <sz val="10"/>
        <color auto="1"/>
        <name val="Calibri"/>
        <scheme val="none"/>
      </font>
      <fill>
        <patternFill patternType="none">
          <fgColor rgb="FF000000"/>
          <bgColor rgb="FFFFFFFF"/>
        </patternFill>
      </fill>
    </dxf>
    <dxf>
      <numFmt numFmtId="167" formatCode="_(&quot;$&quot;* #,##0.00_);_(&quot;$&quot;* \(#,##0.00\);_(&quot;$&quot;* &quot;-&quot;??_);_(@_)"/>
    </dxf>
    <dxf>
      <font>
        <b val="0"/>
        <i val="0"/>
        <strike val="0"/>
        <condense val="0"/>
        <extend val="0"/>
        <outline val="0"/>
        <shadow val="0"/>
        <u val="none"/>
        <vertAlign val="baseline"/>
        <sz val="10"/>
        <color auto="1"/>
        <name val="Calibri"/>
        <scheme val="none"/>
      </font>
      <fill>
        <patternFill patternType="none">
          <fgColor rgb="FF000000"/>
          <bgColor rgb="FFFFFFFF"/>
        </patternFill>
      </fill>
    </dxf>
    <dxf>
      <font>
        <b val="0"/>
        <i val="0"/>
        <strike val="0"/>
        <condense val="0"/>
        <extend val="0"/>
        <outline val="0"/>
        <shadow val="0"/>
        <u val="none"/>
        <vertAlign val="baseline"/>
        <sz val="10"/>
        <color auto="1"/>
        <name val="Calibri"/>
        <scheme val="none"/>
      </font>
      <fill>
        <patternFill patternType="none">
          <fgColor rgb="FF000000"/>
          <bgColor rgb="FFFFFFFF"/>
        </patternFill>
      </fill>
    </dxf>
    <dxf>
      <font>
        <b val="0"/>
        <i val="0"/>
        <strike val="0"/>
        <condense val="0"/>
        <extend val="0"/>
        <outline val="0"/>
        <shadow val="0"/>
        <u val="none"/>
        <vertAlign val="baseline"/>
        <sz val="10"/>
        <color auto="1"/>
        <name val="Calibri"/>
        <scheme val="none"/>
      </font>
      <fill>
        <patternFill patternType="none">
          <fgColor rgb="FF000000"/>
          <bgColor rgb="FFFFFFFF"/>
        </patternFill>
      </fill>
    </dxf>
    <dxf>
      <font>
        <b val="0"/>
        <i val="0"/>
        <strike val="0"/>
        <condense val="0"/>
        <extend val="0"/>
        <outline val="0"/>
        <shadow val="0"/>
        <u val="none"/>
        <vertAlign val="baseline"/>
        <sz val="10"/>
        <color auto="1"/>
        <name val="Calibri"/>
        <scheme val="none"/>
      </font>
      <fill>
        <patternFill patternType="none">
          <fgColor rgb="FF000000"/>
          <bgColor rgb="FFFFFFFF"/>
        </patternFill>
      </fill>
    </dxf>
    <dxf>
      <font>
        <b val="0"/>
        <i val="0"/>
        <strike val="0"/>
        <condense val="0"/>
        <extend val="0"/>
        <outline val="0"/>
        <shadow val="0"/>
        <u val="none"/>
        <vertAlign val="baseline"/>
        <sz val="10"/>
        <color auto="1"/>
        <name val="Calibri"/>
        <family val="2"/>
        <scheme val="none"/>
      </font>
      <fill>
        <patternFill patternType="none">
          <fgColor indexed="64"/>
          <bgColor indexed="65"/>
        </patternFill>
      </fill>
    </dxf>
    <dxf>
      <font>
        <b val="0"/>
        <i val="0"/>
        <strike val="0"/>
        <condense val="0"/>
        <extend val="0"/>
        <outline val="0"/>
        <shadow val="0"/>
        <u val="none"/>
        <vertAlign val="baseline"/>
        <sz val="10"/>
        <color auto="1"/>
        <name val="Calibri"/>
        <scheme val="none"/>
      </font>
      <fill>
        <patternFill patternType="none">
          <fgColor rgb="FF000000"/>
          <bgColor rgb="FFFFFFFF"/>
        </patternFill>
      </fill>
    </dxf>
    <dxf>
      <font>
        <b val="0"/>
        <i val="0"/>
        <strike val="0"/>
        <condense val="0"/>
        <extend val="0"/>
        <outline val="0"/>
        <shadow val="0"/>
        <u val="none"/>
        <vertAlign val="baseline"/>
        <sz val="10"/>
        <color auto="1"/>
        <name val="Calibri"/>
        <scheme val="none"/>
      </font>
      <fill>
        <patternFill patternType="none">
          <fgColor indexed="64"/>
          <bgColor indexed="65"/>
        </patternFill>
      </fill>
    </dxf>
    <dxf>
      <font>
        <b val="0"/>
        <i val="0"/>
        <strike val="0"/>
        <condense val="0"/>
        <extend val="0"/>
        <outline val="0"/>
        <shadow val="0"/>
        <u val="none"/>
        <vertAlign val="baseline"/>
        <sz val="10"/>
        <color auto="1"/>
        <name val="Calibri"/>
        <scheme val="none"/>
      </font>
      <fill>
        <patternFill patternType="none">
          <fgColor rgb="FF000000"/>
          <bgColor rgb="FFFFFFFF"/>
        </patternFill>
      </fill>
    </dxf>
    <dxf>
      <font>
        <b val="0"/>
        <i val="0"/>
        <strike val="0"/>
        <condense val="0"/>
        <extend val="0"/>
        <outline val="0"/>
        <shadow val="0"/>
        <u val="none"/>
        <vertAlign val="baseline"/>
        <sz val="10"/>
        <color auto="1"/>
        <name val="Calibri"/>
        <scheme val="none"/>
      </font>
      <fill>
        <patternFill patternType="none">
          <fgColor rgb="FF000000"/>
          <bgColor rgb="FFFFFFFF"/>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none"/>
      </font>
      <numFmt numFmtId="34" formatCode="_-&quot;$&quot;* #,##0.00_-;\-&quot;$&quot;* #,##0.00_-;_-&quot;$&quot;* &quot;-&quot;??_-;_-@_-"/>
      <fill>
        <patternFill patternType="none">
          <fgColor rgb="FF000000"/>
          <bgColor rgb="FFFFFFFF"/>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none"/>
      </font>
      <numFmt numFmtId="34" formatCode="_-&quot;$&quot;* #,##0.00_-;\-&quot;$&quot;* #,##0.00_-;_-&quot;$&quot;* &quot;-&quot;??_-;_-@_-"/>
      <fill>
        <patternFill patternType="none">
          <fgColor rgb="FF000000"/>
          <bgColor rgb="FFFFFFFF"/>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2"/>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none"/>
      </font>
      <fill>
        <patternFill patternType="none">
          <fgColor rgb="FF000000"/>
          <bgColor rgb="FFFFFFFF"/>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theme="1"/>
        <name val="Calibri"/>
        <family val="2"/>
        <scheme val="minor"/>
      </font>
      <numFmt numFmtId="178" formatCode="_-&quot;$&quot;* #,##0.00_-;\-&quot;$&quot;* #,##0.00_-;_-&quot;$&quot;* &quot;-&quot;??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tint="-0.1499984740745262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tint="-0.1499984740745262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border diagonalUp="0" diagonalDown="0" outline="0">
        <left/>
        <right/>
        <top style="thin">
          <color auto="1"/>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border diagonalUp="0" diagonalDown="0" outline="0">
        <left/>
        <right/>
        <top style="thin">
          <color auto="1"/>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border diagonalUp="0" diagonalDown="0" outline="0">
        <left/>
        <right/>
        <top style="thin">
          <color auto="1"/>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border diagonalUp="0" diagonalDown="0" outline="0">
        <left/>
        <right/>
        <top style="thin">
          <color auto="1"/>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border diagonalUp="0" diagonalDown="0" outline="0">
        <left/>
        <right/>
        <top style="thin">
          <color auto="1"/>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border diagonalUp="0" diagonalDown="0" outline="0">
        <left/>
        <right/>
        <top style="thin">
          <color auto="1"/>
        </top>
        <bottom/>
      </border>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border diagonalUp="0" diagonalDown="0" outline="0">
        <left/>
        <right/>
        <top style="thin">
          <color auto="1"/>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border diagonalUp="0" diagonalDown="0" outline="0">
        <left/>
        <right/>
        <top style="thin">
          <color auto="1"/>
        </top>
        <bottom/>
      </border>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border diagonalUp="0" diagonalDown="0" outline="0">
        <left/>
        <right/>
        <top style="thin">
          <color auto="1"/>
        </top>
        <bottom/>
      </border>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border diagonalUp="0" diagonalDown="0" outline="0">
        <left/>
        <right/>
        <top style="thin">
          <color auto="1"/>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dxf>
    <dxf>
      <border outline="0">
        <top style="thin">
          <color auto="1"/>
        </top>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border outline="0">
        <right style="medium">
          <color indexed="64"/>
        </right>
        <bottom style="double">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border outline="0">
        <bottom style="thin">
          <color auto="1"/>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5" tint="0.59999389629810485"/>
        </patternFill>
      </fill>
    </dxf>
    <dxf>
      <font>
        <b val="0"/>
        <i val="0"/>
        <strike val="0"/>
        <condense val="0"/>
        <extend val="0"/>
        <outline val="0"/>
        <shadow val="0"/>
        <u val="none"/>
        <vertAlign val="baseline"/>
        <sz val="10"/>
        <color auto="1"/>
        <name val="Calibri"/>
        <scheme val="minor"/>
      </font>
      <fill>
        <patternFill patternType="none">
          <fgColor indexed="64"/>
          <bgColor theme="5" tint="0.5999938962981048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5" tint="0.5999938962981048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theme="5" tint="0.5999938962981048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none"/>
      </font>
      <numFmt numFmtId="34" formatCode="_-&quot;$&quot;* #,##0.00_-;\-&quot;$&quot;* #,##0.00_-;_-&quot;$&quot;* &quot;-&quot;??_-;_-@_-"/>
      <fill>
        <patternFill patternType="none">
          <fgColor rgb="FF000000"/>
          <bgColor rgb="FFFFFFFF"/>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none"/>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none"/>
      </font>
      <numFmt numFmtId="34" formatCode="_-&quot;$&quot;* #,##0.00_-;\-&quot;$&quot;* #,##0.00_-;_-&quot;$&quot;* &quot;-&quot;??_-;_-@_-"/>
      <fill>
        <patternFill patternType="none">
          <fgColor rgb="FF000000"/>
          <bgColor rgb="FFFFFFFF"/>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none"/>
      </font>
      <numFmt numFmtId="34" formatCode="_-&quot;$&quot;* #,##0.00_-;\-&quot;$&quot;* #,##0.00_-;_-&quot;$&quot;* &quot;-&quot;??_-;_-@_-"/>
      <fill>
        <patternFill patternType="none">
          <fgColor rgb="FF000000"/>
          <bgColor rgb="FFFFFFFF"/>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none"/>
      </font>
      <numFmt numFmtId="34" formatCode="_-&quot;$&quot;* #,##0.00_-;\-&quot;$&quot;* #,##0.00_-;_-&quot;$&quot;* &quot;-&quot;??_-;_-@_-"/>
      <fill>
        <patternFill patternType="none">
          <fgColor rgb="FF000000"/>
          <bgColor rgb="FFFFFFFF"/>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none"/>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none"/>
      </font>
      <numFmt numFmtId="34" formatCode="_-&quot;$&quot;* #,##0.00_-;\-&quot;$&quot;* #,##0.00_-;_-&quot;$&quot;* &quot;-&quot;??_-;_-@_-"/>
      <fill>
        <patternFill patternType="none">
          <fgColor rgb="FF000000"/>
          <bgColor rgb="FFFFFFFF"/>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none"/>
      </font>
      <numFmt numFmtId="34" formatCode="_-&quot;$&quot;* #,##0.00_-;\-&quot;$&quot;* #,##0.00_-;_-&quot;$&quot;* &quot;-&quot;??_-;_-@_-"/>
      <fill>
        <patternFill patternType="none">
          <fgColor rgb="FF000000"/>
          <bgColor rgb="FFFFFFFF"/>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none"/>
      </font>
      <numFmt numFmtId="34" formatCode="_-&quot;$&quot;* #,##0.00_-;\-&quot;$&quot;* #,##0.00_-;_-&quot;$&quot;* &quot;-&quot;??_-;_-@_-"/>
      <fill>
        <patternFill patternType="none">
          <fgColor rgb="FF000000"/>
          <bgColor rgb="FFFFFFFF"/>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5" tint="0.5999938962981048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theme="5" tint="0.5999938962981048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none"/>
      </font>
      <fill>
        <patternFill patternType="none">
          <fgColor rgb="FF000000"/>
          <bgColor rgb="FFFFFFFF"/>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scheme val="none"/>
      </font>
      <fill>
        <patternFill patternType="none">
          <fgColor rgb="FF000000"/>
          <bgColor rgb="FFFFFFFF"/>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scheme val="none"/>
      </font>
      <fill>
        <patternFill patternType="none">
          <fgColor rgb="FF000000"/>
          <bgColor rgb="FFFFFFFF"/>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none"/>
      </font>
      <fill>
        <patternFill patternType="none">
          <fgColor rgb="FF000000"/>
          <bgColor rgb="FFFFFFFF"/>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none"/>
      </font>
      <fill>
        <patternFill patternType="none">
          <fgColor rgb="FF000000"/>
          <bgColor rgb="FFFFFFFF"/>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none"/>
      </font>
      <fill>
        <patternFill patternType="none">
          <fgColor rgb="FF000000"/>
          <bgColor rgb="FFFFFFFF"/>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none"/>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none"/>
      </font>
      <fill>
        <patternFill patternType="none">
          <fgColor rgb="FF000000"/>
          <bgColor rgb="FFFFFFFF"/>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none"/>
      </font>
      <fill>
        <patternFill patternType="none">
          <fgColor rgb="FF000000"/>
          <bgColor rgb="FFFFFFFF"/>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none"/>
      </font>
      <numFmt numFmtId="34" formatCode="_-&quot;$&quot;* #,##0.00_-;\-&quot;$&quot;* #,##0.00_-;_-&quot;$&quot;* &quot;-&quot;??_-;_-@_-"/>
      <fill>
        <patternFill patternType="none">
          <fgColor rgb="FF000000"/>
          <bgColor rgb="FFFFFFFF"/>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5" tint="0.5999938962981048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theme="5" tint="0.5999938962981048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none"/>
      </font>
      <fill>
        <patternFill patternType="none">
          <fgColor rgb="FF000000"/>
          <bgColor rgb="FFFFFFFF"/>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solid">
          <fgColor indexed="64"/>
          <bgColor theme="5" tint="0.5999938962981048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theme="5" tint="0.5999938962981048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5" tint="0.5999938962981048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theme="5" tint="0.5999938962981048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dxf>
    <dxf>
      <font>
        <b val="0"/>
        <i val="0"/>
        <strike val="0"/>
        <condense val="0"/>
        <extend val="0"/>
        <outline val="0"/>
        <shadow val="0"/>
        <u val="none"/>
        <vertAlign val="baseline"/>
        <sz val="10"/>
        <color indexed="8"/>
        <name val="Calibri"/>
        <family val="2"/>
        <scheme val="minor"/>
      </font>
    </dxf>
    <dxf>
      <font>
        <b val="0"/>
        <i val="0"/>
        <strike val="0"/>
        <condense val="0"/>
        <extend val="0"/>
        <outline val="0"/>
        <shadow val="0"/>
        <u val="none"/>
        <vertAlign val="baseline"/>
        <sz val="10"/>
        <color indexed="8"/>
        <name val="Calibri"/>
        <family val="2"/>
        <scheme val="minor"/>
      </font>
    </dxf>
    <dxf>
      <font>
        <b val="0"/>
        <i val="0"/>
        <strike val="0"/>
        <condense val="0"/>
        <extend val="0"/>
        <outline val="0"/>
        <shadow val="0"/>
        <u val="none"/>
        <vertAlign val="baseline"/>
        <sz val="10"/>
        <color indexed="8"/>
        <name val="Calibri"/>
        <family val="2"/>
        <scheme val="minor"/>
      </font>
      <numFmt numFmtId="167"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indexed="8"/>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167" formatCode="_(&quot;$&quot;* #,##0.00_);_(&quot;$&quot;* \(#,##0.00\);_(&quot;$&quot;* &quot;-&quot;??_);_(@_)"/>
    </dxf>
    <dxf>
      <font>
        <b val="0"/>
        <i val="0"/>
        <strike val="0"/>
        <condense val="0"/>
        <extend val="0"/>
        <outline val="0"/>
        <shadow val="0"/>
        <u val="none"/>
        <vertAlign val="baseline"/>
        <sz val="10"/>
        <color indexed="8"/>
        <name val="Calibri"/>
        <scheme val="minor"/>
      </font>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167" formatCode="_(&quot;$&quot;* #,##0.00_);_(&quot;$&quot;* \(#,##0.00\);_(&quot;$&quot;* &quot;-&quot;??_);_(@_)"/>
    </dxf>
    <dxf>
      <font>
        <b val="0"/>
        <i val="0"/>
        <strike val="0"/>
        <condense val="0"/>
        <extend val="0"/>
        <outline val="0"/>
        <shadow val="0"/>
        <u val="none"/>
        <vertAlign val="baseline"/>
        <sz val="10"/>
        <color indexed="8"/>
        <name val="Calibri"/>
        <scheme val="minor"/>
      </font>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167" formatCode="_(&quot;$&quot;* #,##0.00_);_(&quot;$&quot;* \(#,##0.00\);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167" formatCode="_(&quot;$&quot;* #,##0.00_);_(&quot;$&quot;* \(#,##0.00\);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numFmt numFmtId="34" formatCode="_-&quot;$&quot;* #,##0.00_-;\-&quot;$&quot;* #,##0.00_-;_-&quot;$&quot;* &quot;-&quot;??_-;_-@_-"/>
    </dxf>
    <dxf>
      <font>
        <b val="0"/>
        <i val="0"/>
        <strike val="0"/>
        <condense val="0"/>
        <extend val="0"/>
        <outline val="0"/>
        <shadow val="0"/>
        <u val="none"/>
        <vertAlign val="baseline"/>
        <sz val="10"/>
        <color indexed="8"/>
        <name val="Calibri"/>
        <family val="2"/>
        <scheme val="minor"/>
      </font>
      <numFmt numFmtId="167" formatCode="_(&quot;$&quot;* #,##0.00_);_(&quot;$&quot;* \(#,##0.00\);_(&quot;$&quot;* &quot;-&quot;??_);_(@_)"/>
    </dxf>
    <dxf>
      <numFmt numFmtId="167" formatCode="_(&quot;$&quot;* #,##0.00_);_(&quot;$&quot;* \(#,##0.00\);_(&quot;$&quot;* &quot;-&quot;??_);_(@_)"/>
    </dxf>
    <dxf>
      <font>
        <b val="0"/>
        <i val="0"/>
        <strike val="0"/>
        <condense val="0"/>
        <extend val="0"/>
        <outline val="0"/>
        <shadow val="0"/>
        <u val="none"/>
        <vertAlign val="baseline"/>
        <sz val="10"/>
        <color indexed="8"/>
        <name val="Calibri"/>
        <family val="2"/>
        <scheme val="minor"/>
      </font>
      <numFmt numFmtId="167" formatCode="_(&quot;$&quot;* #,##0.00_);_(&quot;$&quot;* \(#,##0.00\);_(&quot;$&quot;* &quot;-&quot;??_);_(@_)"/>
    </dxf>
    <dxf>
      <numFmt numFmtId="34" formatCode="_-&quot;$&quot;* #,##0.00_-;\-&quot;$&quot;* #,##0.00_-;_-&quot;$&quot;* &quot;-&quot;??_-;_-@_-"/>
    </dxf>
    <dxf>
      <font>
        <b val="0"/>
        <i val="0"/>
        <strike val="0"/>
        <condense val="0"/>
        <extend val="0"/>
        <outline val="0"/>
        <shadow val="0"/>
        <u val="none"/>
        <vertAlign val="baseline"/>
        <sz val="10"/>
        <color indexed="8"/>
        <name val="Calibri"/>
        <family val="2"/>
        <scheme val="minor"/>
      </font>
      <numFmt numFmtId="167" formatCode="_(&quot;$&quot;* #,##0.00_);_(&quot;$&quot;* \(#,##0.00\);_(&quot;$&quot;* &quot;-&quot;??_);_(@_)"/>
    </dxf>
    <dxf>
      <font>
        <b val="0"/>
        <i val="0"/>
        <strike val="0"/>
        <condense val="0"/>
        <extend val="0"/>
        <outline val="0"/>
        <shadow val="0"/>
        <u val="none"/>
        <vertAlign val="baseline"/>
        <sz val="10"/>
        <color indexed="8"/>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167" formatCode="_(&quot;$&quot;* #,##0.00_);_(&quot;$&quot;* \(#,##0.00\);_(&quot;$&quot;* &quot;-&quot;??_);_(@_)"/>
    </dxf>
    <dxf>
      <font>
        <b val="0"/>
        <i val="0"/>
        <strike val="0"/>
        <condense val="0"/>
        <extend val="0"/>
        <outline val="0"/>
        <shadow val="0"/>
        <u val="none"/>
        <vertAlign val="baseline"/>
        <sz val="10"/>
        <color indexed="8"/>
        <name val="Calibri"/>
        <scheme val="minor"/>
      </font>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167" formatCode="_(&quot;$&quot;* #,##0.00_);_(&quot;$&quot;* \(#,##0.00\);_(&quot;$&quot;* &quot;-&quot;??_);_(@_)"/>
    </dxf>
    <dxf>
      <font>
        <b val="0"/>
        <i val="0"/>
        <strike val="0"/>
        <condense val="0"/>
        <extend val="0"/>
        <outline val="0"/>
        <shadow val="0"/>
        <u val="none"/>
        <vertAlign val="baseline"/>
        <sz val="10"/>
        <color indexed="8"/>
        <name val="Calibri"/>
        <scheme val="minor"/>
      </font>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167" formatCode="_(&quot;$&quot;* #,##0.00_);_(&quot;$&quot;* \(#,##0.00\);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167" formatCode="_(&quot;$&quot;* #,##0.00_);_(&quot;$&quot;* \(#,##0.00\);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indexed="8"/>
        <name val="Calibri"/>
        <family val="2"/>
        <scheme val="minor"/>
      </font>
      <numFmt numFmtId="34" formatCode="_-&quot;$&quot;* #,##0.00_-;\-&quot;$&quot;* #,##0.00_-;_-&quot;$&quot;* &quot;-&quot;??_-;_-@_-"/>
    </dxf>
    <dxf>
      <font>
        <b val="0"/>
        <i val="0"/>
        <strike val="0"/>
        <condense val="0"/>
        <extend val="0"/>
        <outline val="0"/>
        <shadow val="0"/>
        <u val="none"/>
        <vertAlign val="baseline"/>
        <sz val="10"/>
        <color indexed="8"/>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theme="0"/>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theme="0"/>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rgb="FFFF0000"/>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theme="0"/>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numFmt numFmtId="167" formatCode="_(&quot;$&quot;* #,##0.00_);_(&quot;$&quot;* \(#,##0.00\);_(&quot;$&quot;* &quot;-&quot;??_);_(@_)"/>
    </dxf>
    <dxf>
      <font>
        <b val="0"/>
        <i val="0"/>
        <strike val="0"/>
        <condense val="0"/>
        <extend val="0"/>
        <outline val="0"/>
        <shadow val="0"/>
        <u val="none"/>
        <vertAlign val="baseline"/>
        <sz val="10"/>
        <color auto="1"/>
        <name val="Calibri"/>
        <family val="2"/>
        <scheme val="minor"/>
      </font>
    </dxf>
    <dxf>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theme="1"/>
        <name val="Calibri"/>
        <family val="2"/>
        <scheme val="minor"/>
      </font>
      <fill>
        <patternFill patternType="solid">
          <fgColor indexed="64"/>
          <bgColor rgb="FFD9D9D9"/>
        </patternFill>
      </fill>
      <alignment horizontal="general" vertical="bottom" textRotation="0" wrapText="1" indent="0" justifyLastLine="0" shrinkToFit="0" readingOrder="0"/>
      <border diagonalUp="0" diagonalDown="0">
        <left style="medium">
          <color rgb="FFCCCCCC"/>
        </left>
        <right/>
        <top style="medium">
          <color rgb="FFCCCCCC"/>
        </top>
        <bottom style="medium">
          <color rgb="FF000000"/>
        </bottom>
        <vertical/>
        <horizontal/>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6" formatCode="&quot;$&quot;#,##0.00_);[Red]\(&quot;$&quot;#,##0.00\)"/>
    </dxf>
    <dxf>
      <font>
        <b val="0"/>
        <i val="0"/>
        <strike val="0"/>
        <condense val="0"/>
        <extend val="0"/>
        <outline val="0"/>
        <shadow val="0"/>
        <u val="none"/>
        <vertAlign val="baseline"/>
        <sz val="10"/>
        <color theme="1"/>
        <name val="Calibri"/>
        <scheme val="none"/>
      </font>
      <numFmt numFmtId="167" formatCode="_(&quot;$&quot;* #,##0.00_);_(&quot;$&quot;* \(#,##0.00\);_(&quot;$&quot;* &quot;-&quot;??_);_(@_)"/>
    </dxf>
    <dxf>
      <font>
        <b val="0"/>
        <i val="0"/>
        <strike val="0"/>
        <condense val="0"/>
        <extend val="0"/>
        <outline val="0"/>
        <shadow val="0"/>
        <u val="none"/>
        <vertAlign val="baseline"/>
        <sz val="10"/>
        <color auto="1"/>
        <name val="Calibri"/>
        <family val="2"/>
        <scheme val="none"/>
      </font>
      <numFmt numFmtId="167" formatCode="_(&quot;$&quot;* #,##0.00_);_(&quot;$&quot;* \(#,##0.00\);_(&quot;$&quot;* &quot;-&quot;??_);_(@_)"/>
    </dxf>
    <dxf>
      <font>
        <strike val="0"/>
        <outline val="0"/>
        <shadow val="0"/>
        <u val="none"/>
        <vertAlign val="baseline"/>
        <sz val="10"/>
        <color auto="1"/>
        <name val="Calibri"/>
        <family val="2"/>
        <scheme val="none"/>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theme="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fill>
        <patternFill patternType="none">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2" formatCode="&quot;$&quot;#,##0.00;[Red]\-&quot;$&quot;#,##0.0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theme="5" tint="0.5999938962981048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theme="5" tint="0.5999938962981048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theme="5" tint="0.5999938962981048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theme="5" tint="0.5999938962981048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theme="5" tint="0.5999938962981048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theme="5" tint="0.5999938962981048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theme="5" tint="0.5999938962981048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theme="5" tint="0.5999938962981048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theme="5" tint="0.5999938962981048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0" formatCode="&quot;$&quot;#,##0;[Red]\-&quot;$&quot;#,##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10" formatCode="&quot;$&quot;#,##0;[Red]\-&quot;$&quot;#,##0"/>
      <fill>
        <patternFill patternType="none">
          <fgColor indexed="64"/>
          <bgColor indexed="65"/>
        </patternFill>
      </fill>
      <border diagonalUp="0" diagonalDown="0">
        <left style="thin">
          <color indexed="64"/>
        </left>
        <right style="thin">
          <color auto="1"/>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0" formatCode="&quot;$&quot;#,##0;[Red]\-&quot;$&quot;#,##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rgb="FFFFFF00"/>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0" formatCode="&quot;$&quot;#,##0;[Red]\-&quot;$&quot;#,##0"/>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0" formatCode="&quot;$&quot;#,##0;[Red]\-&quot;$&quot;#,##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6" formatCode="&quot;$&quot;#,##0.00_);[Red]\(&quot;$&quot;#,##0.00\)"/>
      <alignment horizontal="righ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77" formatCode="_([$$-409]* #,##0.00_);_([$$-409]* \(#,##0.00\);_([$$-409]* &quot;-&quot;??_);_(@_)"/>
    </dxf>
    <dxf>
      <font>
        <b val="0"/>
        <i val="0"/>
        <strike val="0"/>
        <condense val="0"/>
        <extend val="0"/>
        <outline val="0"/>
        <shadow val="0"/>
        <u val="none"/>
        <vertAlign val="baseline"/>
        <sz val="10"/>
        <color auto="1"/>
        <name val="Calibri"/>
        <scheme val="minor"/>
      </font>
      <numFmt numFmtId="177" formatCode="_([$$-409]* #,##0.00_);_([$$-409]* \(#,##0.00\);_([$$-409]*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solid">
          <fgColor indexed="64"/>
          <bgColor theme="0"/>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77" formatCode="_([$$-409]* #,##0.00_);_([$$-409]* \(#,##0.00\);_([$$-409]*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177" formatCode="_([$$-409]* #,##0.00_);_([$$-409]* \(#,##0.00\);_([$$-409]*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9" formatCode="&quot;$&quot;#,##0.00"/>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9" formatCode="&quot;$&quot;#,##0.00"/>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numFmt numFmtId="167" formatCode="_(&quot;$&quot;* #,##0.00_);_(&quot;$&quot;* \(#,##0.00\);_(&quot;$&quot;* &quot;-&quot;??_);_(@_)"/>
    </dxf>
    <dxf>
      <font>
        <b val="0"/>
        <i val="0"/>
        <strike val="0"/>
        <condense val="0"/>
        <extend val="0"/>
        <outline val="0"/>
        <shadow val="0"/>
        <u val="none"/>
        <vertAlign val="baseline"/>
        <sz val="10"/>
        <color theme="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numFmt numFmtId="34" formatCode="_-&quot;$&quot;* #,##0.00_-;\-&quot;$&quot;* #,##0.00_-;_-&quot;$&quot;* &quot;-&quot;??_-;_-@_-"/>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172" formatCode="[&gt;=0]#,##0.0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none"/>
      </font>
      <numFmt numFmtId="168" formatCode="_(* #,##0.00_);_(* \(#,##0.00\);_(* &quot;-&quot;??_);_(@_)"/>
    </dxf>
    <dxf>
      <font>
        <b val="0"/>
        <i val="0"/>
        <strike val="0"/>
        <condense val="0"/>
        <extend val="0"/>
        <outline val="0"/>
        <shadow val="0"/>
        <u val="none"/>
        <vertAlign val="baseline"/>
        <sz val="10"/>
        <color auto="1"/>
        <name val="Calibri"/>
        <scheme val="none"/>
      </font>
      <fill>
        <patternFill patternType="none">
          <fgColor rgb="FF000000"/>
          <bgColor rgb="FFFFFFFF"/>
        </patternFill>
      </fill>
    </dxf>
    <dxf>
      <font>
        <b val="0"/>
        <i val="0"/>
        <strike val="0"/>
        <condense val="0"/>
        <extend val="0"/>
        <outline val="0"/>
        <shadow val="0"/>
        <u val="none"/>
        <vertAlign val="baseline"/>
        <sz val="10"/>
        <color auto="1"/>
        <name val="Calibri"/>
        <family val="2"/>
        <scheme val="none"/>
      </font>
    </dxf>
    <dxf>
      <font>
        <b val="0"/>
        <i val="0"/>
        <strike val="0"/>
        <condense val="0"/>
        <extend val="0"/>
        <outline val="0"/>
        <shadow val="0"/>
        <u val="none"/>
        <vertAlign val="baseline"/>
        <sz val="10"/>
        <color auto="1"/>
        <name val="Calibri"/>
        <scheme val="none"/>
      </font>
      <fill>
        <patternFill patternType="none">
          <fgColor rgb="FF000000"/>
          <bgColor rgb="FFFFFFFF"/>
        </patternFill>
      </fill>
    </dxf>
    <dxf>
      <font>
        <b val="0"/>
        <i val="0"/>
        <strike val="0"/>
        <condense val="0"/>
        <extend val="0"/>
        <outline val="0"/>
        <shadow val="0"/>
        <u val="none"/>
        <vertAlign val="baseline"/>
        <sz val="10"/>
        <color auto="1"/>
        <name val="Calibri"/>
        <family val="2"/>
        <scheme val="none"/>
      </font>
      <numFmt numFmtId="167" formatCode="_(&quot;$&quot;* #,##0.00_);_(&quot;$&quot;* \(#,##0.00\);_(&quot;$&quot;* &quot;-&quot;??_);_(@_)"/>
    </dxf>
    <dxf>
      <font>
        <b val="0"/>
        <i val="0"/>
        <strike val="0"/>
        <condense val="0"/>
        <extend val="0"/>
        <outline val="0"/>
        <shadow val="0"/>
        <u val="none"/>
        <vertAlign val="baseline"/>
        <sz val="10"/>
        <color auto="1"/>
        <name val="Calibri"/>
        <scheme val="none"/>
      </font>
      <fill>
        <patternFill patternType="none">
          <fgColor rgb="FF000000"/>
          <bgColor rgb="FFFFFFFF"/>
        </patternFill>
      </fill>
    </dxf>
    <dxf>
      <font>
        <b val="0"/>
        <i val="0"/>
        <strike val="0"/>
        <condense val="0"/>
        <extend val="0"/>
        <outline val="0"/>
        <shadow val="0"/>
        <u val="none"/>
        <vertAlign val="baseline"/>
        <sz val="10"/>
        <color auto="1"/>
        <name val="Calibri"/>
        <family val="2"/>
        <scheme val="none"/>
      </font>
      <numFmt numFmtId="167" formatCode="_(&quot;$&quot;* #,##0.00_);_(&quot;$&quot;* \(#,##0.00\);_(&quot;$&quot;* &quot;-&quot;??_);_(@_)"/>
    </dxf>
    <dxf>
      <font>
        <b val="0"/>
        <i val="0"/>
        <strike val="0"/>
        <condense val="0"/>
        <extend val="0"/>
        <outline val="0"/>
        <shadow val="0"/>
        <u val="none"/>
        <vertAlign val="baseline"/>
        <sz val="10"/>
        <color auto="1"/>
        <name val="Calibri"/>
        <scheme val="none"/>
      </font>
      <fill>
        <patternFill patternType="none">
          <fgColor rgb="FF000000"/>
          <bgColor rgb="FFFFFFFF"/>
        </patternFill>
      </fill>
    </dxf>
    <dxf>
      <font>
        <b val="0"/>
        <i val="0"/>
        <strike val="0"/>
        <condense val="0"/>
        <extend val="0"/>
        <outline val="0"/>
        <shadow val="0"/>
        <u val="none"/>
        <vertAlign val="baseline"/>
        <sz val="10"/>
        <color auto="1"/>
        <name val="Calibri"/>
        <family val="2"/>
        <scheme val="none"/>
      </font>
      <numFmt numFmtId="167" formatCode="_(&quot;$&quot;* #,##0.00_);_(&quot;$&quot;* \(#,##0.00\);_(&quot;$&quot;* &quot;-&quot;??_);_(@_)"/>
    </dxf>
    <dxf>
      <font>
        <b val="0"/>
        <i val="0"/>
        <strike val="0"/>
        <condense val="0"/>
        <extend val="0"/>
        <outline val="0"/>
        <shadow val="0"/>
        <u val="none"/>
        <vertAlign val="baseline"/>
        <sz val="10"/>
        <color auto="1"/>
        <name val="Calibri"/>
        <scheme val="none"/>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none"/>
      </font>
      <numFmt numFmtId="167" formatCode="_(&quot;$&quot;* #,##0.00_);_(&quot;$&quot;* \(#,##0.00\);_(&quot;$&quot;* &quot;-&quot;??_);_(@_)"/>
    </dxf>
    <dxf>
      <font>
        <b val="0"/>
        <i val="0"/>
        <strike val="0"/>
        <condense val="0"/>
        <extend val="0"/>
        <outline val="0"/>
        <shadow val="0"/>
        <u val="none"/>
        <vertAlign val="baseline"/>
        <sz val="10"/>
        <color auto="1"/>
        <name val="Calibri"/>
        <family val="2"/>
        <scheme val="none"/>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none"/>
      </font>
      <numFmt numFmtId="167" formatCode="_(&quot;$&quot;* #,##0.00_);_(&quot;$&quot;* \(#,##0.00\);_(&quot;$&quot;* &quot;-&quot;??_);_(@_)"/>
    </dxf>
    <dxf>
      <font>
        <b val="0"/>
        <i val="0"/>
        <strike val="0"/>
        <condense val="0"/>
        <extend val="0"/>
        <outline val="0"/>
        <shadow val="0"/>
        <u val="none"/>
        <vertAlign val="baseline"/>
        <sz val="10"/>
        <color auto="1"/>
        <name val="Calibri"/>
        <scheme val="none"/>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none"/>
      </font>
      <numFmt numFmtId="167" formatCode="_(&quot;$&quot;* #,##0.00_);_(&quot;$&quot;* \(#,##0.00\);_(&quot;$&quot;* &quot;-&quot;??_);_(@_)"/>
    </dxf>
    <dxf>
      <font>
        <b val="0"/>
        <i val="0"/>
        <strike val="0"/>
        <condense val="0"/>
        <extend val="0"/>
        <outline val="0"/>
        <shadow val="0"/>
        <u val="none"/>
        <vertAlign val="baseline"/>
        <sz val="10"/>
        <color auto="1"/>
        <name val="Calibri"/>
        <scheme val="none"/>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none"/>
      </font>
      <numFmt numFmtId="167" formatCode="_(&quot;$&quot;* #,##0.00_);_(&quot;$&quot;* \(#,##0.00\);_(&quot;$&quot;* &quot;-&quot;??_);_(@_)"/>
    </dxf>
    <dxf>
      <font>
        <b val="0"/>
        <i val="0"/>
        <strike val="0"/>
        <condense val="0"/>
        <extend val="0"/>
        <outline val="0"/>
        <shadow val="0"/>
        <u val="none"/>
        <vertAlign val="baseline"/>
        <sz val="10"/>
        <color auto="1"/>
        <name val="Calibri"/>
        <scheme val="none"/>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none"/>
      </font>
      <numFmt numFmtId="167" formatCode="_(&quot;$&quot;* #,##0.00_);_(&quot;$&quot;* \(#,##0.00\);_(&quot;$&quot;* &quot;-&quot;??_);_(@_)"/>
    </dxf>
    <dxf>
      <font>
        <b val="0"/>
        <i val="0"/>
        <strike val="0"/>
        <condense val="0"/>
        <extend val="0"/>
        <outline val="0"/>
        <shadow val="0"/>
        <u val="none"/>
        <vertAlign val="baseline"/>
        <sz val="10"/>
        <color auto="1"/>
        <name val="Calibri"/>
        <scheme val="none"/>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none"/>
      </font>
      <numFmt numFmtId="167" formatCode="_(&quot;$&quot;* #,##0.00_);_(&quot;$&quot;* \(#,##0.00\);_(&quot;$&quot;* &quot;-&quot;??_);_(@_)"/>
    </dxf>
    <dxf>
      <font>
        <b val="0"/>
        <i val="0"/>
        <strike val="0"/>
        <condense val="0"/>
        <extend val="0"/>
        <outline val="0"/>
        <shadow val="0"/>
        <u val="none"/>
        <vertAlign val="baseline"/>
        <sz val="10"/>
        <color auto="1"/>
        <name val="Calibri"/>
        <scheme val="none"/>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none"/>
      </font>
      <numFmt numFmtId="167" formatCode="_(&quot;$&quot;* #,##0.00_);_(&quot;$&quot;* \(#,##0.00\);_(&quot;$&quot;* &quot;-&quot;??_);_(@_)"/>
    </dxf>
    <dxf>
      <font>
        <b val="0"/>
        <i val="0"/>
        <strike val="0"/>
        <condense val="0"/>
        <extend val="0"/>
        <outline val="0"/>
        <shadow val="0"/>
        <u val="none"/>
        <vertAlign val="baseline"/>
        <sz val="10"/>
        <color auto="1"/>
        <name val="Calibri"/>
        <scheme val="none"/>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none"/>
      </font>
      <numFmt numFmtId="167" formatCode="_(&quot;$&quot;* #,##0.00_);_(&quot;$&quot;* \(#,##0.00\);_(&quot;$&quot;* &quot;-&quot;??_);_(@_)"/>
    </dxf>
    <dxf>
      <font>
        <b val="0"/>
        <i val="0"/>
        <strike val="0"/>
        <condense val="0"/>
        <extend val="0"/>
        <outline val="0"/>
        <shadow val="0"/>
        <u val="none"/>
        <vertAlign val="baseline"/>
        <sz val="10"/>
        <color auto="1"/>
        <name val="Calibri"/>
        <scheme val="none"/>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none"/>
      </font>
      <numFmt numFmtId="167" formatCode="_(&quot;$&quot;* #,##0.00_);_(&quot;$&quot;* \(#,##0.00\);_(&quot;$&quot;* &quot;-&quot;??_);_(@_)"/>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7" formatCode="_(&quot;$&quot;* #,##0.00_);_(&quot;$&quot;* \(#,##0.00\);_(&quot;$&quot;* &quot;-&quot;??_);_(@_)"/>
      <fill>
        <patternFill patternType="none">
          <fgColor indexed="64"/>
          <bgColor theme="0"/>
        </patternFill>
      </fill>
    </dxf>
    <dxf>
      <font>
        <b val="0"/>
        <i val="0"/>
        <strike val="0"/>
        <condense val="0"/>
        <extend val="0"/>
        <outline val="0"/>
        <shadow val="0"/>
        <u val="none"/>
        <vertAlign val="baseline"/>
        <sz val="10"/>
        <color auto="1"/>
        <name val="Calibri"/>
        <family val="2"/>
        <scheme val="none"/>
      </font>
      <numFmt numFmtId="167" formatCode="_(&quot;$&quot;* #,##0.00_);_(&quot;$&quot;* \(#,##0.00\);_(&quot;$&quot;* &quot;-&quot;??_);_(@_)"/>
    </dxf>
    <dxf>
      <font>
        <b val="0"/>
        <i val="0"/>
        <strike val="0"/>
        <condense val="0"/>
        <extend val="0"/>
        <outline val="0"/>
        <shadow val="0"/>
        <u val="none"/>
        <vertAlign val="baseline"/>
        <sz val="10"/>
        <color auto="1"/>
        <name val="Calibri"/>
        <scheme val="none"/>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none"/>
      </font>
      <numFmt numFmtId="167" formatCode="_(&quot;$&quot;* #,##0.00_);_(&quot;$&quot;* \(#,##0.00\);_(&quot;$&quot;* &quot;-&quot;??_);_(@_)"/>
    </dxf>
    <dxf>
      <font>
        <b val="0"/>
        <i val="0"/>
        <strike val="0"/>
        <condense val="0"/>
        <extend val="0"/>
        <outline val="0"/>
        <shadow val="0"/>
        <u val="none"/>
        <vertAlign val="baseline"/>
        <sz val="10"/>
        <color auto="1"/>
        <name val="Calibri"/>
        <scheme val="none"/>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none"/>
      </font>
      <numFmt numFmtId="167" formatCode="_(&quot;$&quot;* #,##0.00_);_(&quot;$&quot;* \(#,##0.00\);_(&quot;$&quot;* &quot;-&quot;??_);_(@_)"/>
    </dxf>
    <dxf>
      <font>
        <b val="0"/>
        <i val="0"/>
        <strike val="0"/>
        <condense val="0"/>
        <extend val="0"/>
        <outline val="0"/>
        <shadow val="0"/>
        <u val="none"/>
        <vertAlign val="baseline"/>
        <sz val="10"/>
        <color auto="1"/>
        <name val="Calibri"/>
        <scheme val="none"/>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none"/>
      </font>
      <numFmt numFmtId="167" formatCode="_(&quot;$&quot;* #,##0.00_);_(&quot;$&quot;* \(#,##0.00\);_(&quot;$&quot;* &quot;-&quot;??_);_(@_)"/>
    </dxf>
    <dxf>
      <font>
        <b val="0"/>
        <i val="0"/>
        <strike val="0"/>
        <condense val="0"/>
        <extend val="0"/>
        <outline val="0"/>
        <shadow val="0"/>
        <u val="none"/>
        <vertAlign val="baseline"/>
        <sz val="10"/>
        <color auto="1"/>
        <name val="Calibri"/>
        <scheme val="none"/>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none"/>
      </font>
      <numFmt numFmtId="167" formatCode="_(&quot;$&quot;* #,##0.00_);_(&quot;$&quot;* \(#,##0.00\);_(&quot;$&quot;* &quot;-&quot;??_);_(@_)"/>
    </dxf>
    <dxf>
      <font>
        <b val="0"/>
        <i val="0"/>
        <strike val="0"/>
        <condense val="0"/>
        <extend val="0"/>
        <outline val="0"/>
        <shadow val="0"/>
        <u val="none"/>
        <vertAlign val="baseline"/>
        <sz val="10"/>
        <color auto="1"/>
        <name val="Calibri"/>
        <scheme val="none"/>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none"/>
      </font>
      <numFmt numFmtId="167" formatCode="_(&quot;$&quot;* #,##0.00_);_(&quot;$&quot;* \(#,##0.00\);_(&quot;$&quot;* &quot;-&quot;??_);_(@_)"/>
    </dxf>
    <dxf>
      <font>
        <b val="0"/>
        <i val="0"/>
        <strike val="0"/>
        <condense val="0"/>
        <extend val="0"/>
        <outline val="0"/>
        <shadow val="0"/>
        <u val="none"/>
        <vertAlign val="baseline"/>
        <sz val="10"/>
        <color auto="1"/>
        <name val="Calibri"/>
        <scheme val="none"/>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none"/>
      </font>
      <numFmt numFmtId="167" formatCode="_(&quot;$&quot;* #,##0.00_);_(&quot;$&quot;* \(#,##0.00\);_(&quot;$&quot;* &quot;-&quot;??_);_(@_)"/>
    </dxf>
    <dxf>
      <font>
        <b val="0"/>
        <i val="0"/>
        <strike val="0"/>
        <condense val="0"/>
        <extend val="0"/>
        <outline val="0"/>
        <shadow val="0"/>
        <u val="none"/>
        <vertAlign val="baseline"/>
        <sz val="10"/>
        <color auto="1"/>
        <name val="Calibri"/>
        <scheme val="none"/>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none"/>
      </font>
      <numFmt numFmtId="167" formatCode="_(&quot;$&quot;* #,##0.00_);_(&quot;$&quot;* \(#,##0.00\);_(&quot;$&quot;* &quot;-&quot;??_);_(@_)"/>
    </dxf>
    <dxf>
      <font>
        <b val="0"/>
        <i val="0"/>
        <strike val="0"/>
        <condense val="0"/>
        <extend val="0"/>
        <outline val="0"/>
        <shadow val="0"/>
        <u val="none"/>
        <vertAlign val="baseline"/>
        <sz val="10"/>
        <color auto="1"/>
        <name val="Calibri"/>
        <scheme val="none"/>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none"/>
      </font>
      <numFmt numFmtId="167" formatCode="_(&quot;$&quot;* #,##0.00_);_(&quot;$&quot;* \(#,##0.00\);_(&quot;$&quot;* &quot;-&quot;??_);_(@_)"/>
    </dxf>
    <dxf>
      <font>
        <b val="0"/>
        <i val="0"/>
        <strike val="0"/>
        <condense val="0"/>
        <extend val="0"/>
        <outline val="0"/>
        <shadow val="0"/>
        <u val="none"/>
        <vertAlign val="baseline"/>
        <sz val="10"/>
        <color auto="1"/>
        <name val="Calibri"/>
        <scheme val="none"/>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none"/>
      </font>
      <numFmt numFmtId="167" formatCode="_(&quot;$&quot;* #,##0.00_);_(&quot;$&quot;* \(#,##0.00\);_(&quot;$&quot;* &quot;-&quot;??_);_(@_)"/>
    </dxf>
    <dxf>
      <font>
        <b val="0"/>
        <i val="0"/>
        <strike val="0"/>
        <condense val="0"/>
        <extend val="0"/>
        <outline val="0"/>
        <shadow val="0"/>
        <u val="none"/>
        <vertAlign val="baseline"/>
        <sz val="10"/>
        <color auto="1"/>
        <name val="Calibri"/>
        <scheme val="none"/>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none"/>
      </font>
      <numFmt numFmtId="167" formatCode="_(&quot;$&quot;* #,##0.00_);_(&quot;$&quot;* \(#,##0.00\);_(&quot;$&quot;* &quot;-&quot;??_);_(@_)"/>
    </dxf>
    <dxf>
      <font>
        <b val="0"/>
        <i val="0"/>
        <strike val="0"/>
        <condense val="0"/>
        <extend val="0"/>
        <outline val="0"/>
        <shadow val="0"/>
        <u val="none"/>
        <vertAlign val="baseline"/>
        <sz val="10"/>
        <color auto="1"/>
        <name val="Calibri"/>
        <scheme val="none"/>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none"/>
      </font>
    </dxf>
    <dxf>
      <font>
        <b val="0"/>
        <i val="0"/>
        <strike val="0"/>
        <condense val="0"/>
        <extend val="0"/>
        <outline val="0"/>
        <shadow val="0"/>
        <u val="none"/>
        <vertAlign val="baseline"/>
        <sz val="10"/>
        <color auto="1"/>
        <name val="Calibri"/>
        <scheme val="none"/>
      </font>
      <fill>
        <patternFill patternType="none">
          <fgColor indexed="64"/>
          <bgColor indexed="65"/>
        </patternFill>
      </fill>
    </dxf>
    <dxf>
      <font>
        <b val="0"/>
        <i val="0"/>
        <strike val="0"/>
        <condense val="0"/>
        <extend val="0"/>
        <outline val="0"/>
        <shadow val="0"/>
        <u val="none"/>
        <vertAlign val="baseline"/>
        <sz val="10"/>
        <color auto="1"/>
        <name val="Calibri"/>
        <scheme val="none"/>
      </font>
      <fill>
        <patternFill patternType="none">
          <fgColor rgb="FF000000"/>
          <bgColor rgb="FFFFFFFF"/>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4" formatCode="_-&quot;$&quot;* #,##0.00_-;\-&quot;$&quot;* #,##0.00_-;_-&quot;$&quot;* &quot;-&quot;??_-;_-@_-"/>
      <fill>
        <patternFill patternType="none">
          <fgColor rgb="FF000000"/>
          <bgColor rgb="FFFFFFFF"/>
        </patternFill>
      </fill>
    </dxf>
    <dxf>
      <font>
        <b val="0"/>
        <i val="0"/>
        <strike val="0"/>
        <condense val="0"/>
        <extend val="0"/>
        <outline val="0"/>
        <shadow val="0"/>
        <u val="none"/>
        <vertAlign val="baseline"/>
        <sz val="10"/>
        <color auto="1"/>
        <name val="Calibri"/>
        <scheme val="none"/>
      </font>
      <numFmt numFmtId="34" formatCode="_-&quot;$&quot;* #,##0.00_-;\-&quot;$&quot;* #,##0.00_-;_-&quot;$&quot;* &quot;-&quot;??_-;_-@_-"/>
      <fill>
        <patternFill patternType="none">
          <fgColor rgb="FF000000"/>
          <bgColor rgb="FFFFFFFF"/>
        </patternFill>
      </fill>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none"/>
      </font>
      <numFmt numFmtId="34" formatCode="_-&quot;$&quot;* #,##0.00_-;\-&quot;$&quot;* #,##0.00_-;_-&quot;$&quot;* &quot;-&quot;??_-;_-@_-"/>
      <fill>
        <patternFill patternType="none">
          <fgColor rgb="FF000000"/>
          <bgColor rgb="FFFFFFFF"/>
        </patternFill>
      </fill>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none"/>
      </font>
      <numFmt numFmtId="34" formatCode="_-&quot;$&quot;* #,##0.00_-;\-&quot;$&quot;* #,##0.00_-;_-&quot;$&quot;* &quot;-&quot;??_-;_-@_-"/>
      <fill>
        <patternFill patternType="none">
          <fgColor rgb="FF000000"/>
          <bgColor rgb="FFFFFFFF"/>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none"/>
      </font>
      <numFmt numFmtId="34" formatCode="_-&quot;$&quot;* #,##0.00_-;\-&quot;$&quot;* #,##0.00_-;_-&quot;$&quot;* &quot;-&quot;??_-;_-@_-"/>
      <fill>
        <patternFill patternType="none">
          <fgColor rgb="FF000000"/>
          <bgColor rgb="FFFFFFFF"/>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none"/>
      </font>
      <fill>
        <patternFill patternType="none">
          <fgColor rgb="FF000000"/>
          <bgColor rgb="FFFFFFFF"/>
        </patternFill>
      </fill>
    </dxf>
    <dxf>
      <font>
        <b val="0"/>
        <i val="0"/>
        <strike val="0"/>
        <condense val="0"/>
        <extend val="0"/>
        <outline val="0"/>
        <shadow val="0"/>
        <u val="none"/>
        <vertAlign val="baseline"/>
        <sz val="10"/>
        <color auto="1"/>
        <name val="Calibri"/>
        <scheme val="minor"/>
      </font>
      <numFmt numFmtId="170" formatCode="_(* #,##0_);_(* \(#,##0\);_(*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8" formatCode="_(* #,##0.00_);_(* \(#,##0.00\);_(* &quot;-&quot;??_);_(@_)"/>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style="double">
          <color indexed="64"/>
        </top>
        <bottom/>
      </border>
    </dxf>
    <dxf>
      <font>
        <b val="0"/>
        <i val="0"/>
        <strike val="0"/>
        <outline val="0"/>
        <shadow val="0"/>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style="double">
          <color indexed="64"/>
        </top>
        <bottom/>
      </border>
    </dxf>
    <dxf>
      <font>
        <b val="0"/>
        <i val="0"/>
        <strike val="0"/>
        <outline val="0"/>
        <shadow val="0"/>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border diagonalUp="0" diagonalDown="0" outline="0">
        <left/>
        <right/>
        <top style="double">
          <color indexed="64"/>
        </top>
        <bottom/>
      </border>
    </dxf>
    <dxf>
      <font>
        <b val="0"/>
        <i val="0"/>
        <strike val="0"/>
        <outline val="0"/>
        <shadow val="0"/>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border diagonalUp="0" diagonalDown="0" outline="0">
        <left/>
        <right/>
        <top style="double">
          <color indexed="64"/>
        </top>
        <bottom/>
      </border>
    </dxf>
    <dxf>
      <font>
        <b val="0"/>
        <i val="0"/>
        <strike val="0"/>
        <outline val="0"/>
        <shadow val="0"/>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border diagonalUp="0" diagonalDown="0" outline="0">
        <left/>
        <right/>
        <top style="double">
          <color indexed="64"/>
        </top>
        <bottom/>
      </border>
    </dxf>
    <dxf>
      <font>
        <b val="0"/>
        <i val="0"/>
        <strike val="0"/>
        <outline val="0"/>
        <shadow val="0"/>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border diagonalUp="0" diagonalDown="0" outline="0">
        <left/>
        <right/>
        <top style="double">
          <color indexed="64"/>
        </top>
        <bottom/>
      </border>
    </dxf>
    <dxf>
      <font>
        <b val="0"/>
        <i val="0"/>
        <strike val="0"/>
        <outline val="0"/>
        <shadow val="0"/>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border diagonalUp="0" diagonalDown="0" outline="0">
        <left/>
        <right/>
        <top style="double">
          <color indexed="64"/>
        </top>
        <bottom/>
      </border>
    </dxf>
    <dxf>
      <font>
        <b val="0"/>
        <i val="0"/>
        <strike val="0"/>
        <outline val="0"/>
        <shadow val="0"/>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border diagonalUp="0" diagonalDown="0" outline="0">
        <left/>
        <right/>
        <top style="double">
          <color indexed="64"/>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border diagonalUp="0" diagonalDown="0" outline="0">
        <left/>
        <right/>
        <top style="double">
          <color indexed="64"/>
        </top>
        <bottom/>
      </border>
    </dxf>
    <dxf>
      <font>
        <b val="0"/>
        <i val="0"/>
        <strike val="0"/>
        <outline val="0"/>
        <shadow val="0"/>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border diagonalUp="0" diagonalDown="0" outline="0">
        <left/>
        <right/>
        <top style="double">
          <color indexed="64"/>
        </top>
        <bottom/>
      </border>
    </dxf>
    <dxf>
      <font>
        <b val="0"/>
        <i val="0"/>
        <strike val="0"/>
        <outline val="0"/>
        <shadow val="0"/>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border diagonalUp="0" diagonalDown="0" outline="0">
        <left/>
        <right/>
        <top style="double">
          <color indexed="64"/>
        </top>
        <bottom/>
      </border>
    </dxf>
    <dxf>
      <font>
        <b val="0"/>
        <i val="0"/>
        <strike val="0"/>
        <outline val="0"/>
        <shadow val="0"/>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border diagonalUp="0" diagonalDown="0" outline="0">
        <left/>
        <right/>
        <top style="double">
          <color indexed="64"/>
        </top>
        <bottom/>
      </border>
    </dxf>
    <dxf>
      <font>
        <b val="0"/>
        <i val="0"/>
        <strike val="0"/>
        <outline val="0"/>
        <shadow val="0"/>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outline val="0"/>
        <shadow val="0"/>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outline val="0"/>
        <shadow val="0"/>
        <vertAlign val="baseline"/>
        <sz val="10"/>
        <color auto="1"/>
        <name val="Calibri"/>
        <scheme val="minor"/>
      </font>
      <numFmt numFmtId="34" formatCode="_-&quot;$&quot;* #,##0.00_-;\-&quot;$&quot;* #,##0.00_-;_-&quot;$&quot;* &quot;-&quot;??_-;_-@_-"/>
      <fill>
        <patternFill patternType="none">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outline val="0"/>
        <shadow val="0"/>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outline val="0"/>
        <shadow val="0"/>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outline val="0"/>
        <shadow val="0"/>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outline val="0"/>
        <shadow val="0"/>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outline val="0"/>
        <shadow val="0"/>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outline val="0"/>
        <shadow val="0"/>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outline val="0"/>
        <shadow val="0"/>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outline val="0"/>
        <shadow val="0"/>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outline val="0"/>
        <shadow val="0"/>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outline val="0"/>
        <shadow val="0"/>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alignment horizontal="right" vertical="bottom" textRotation="0" wrapText="0" indent="0" justifyLastLine="0" shrinkToFit="0" readingOrder="0"/>
    </dxf>
    <dxf>
      <font>
        <b val="0"/>
        <i val="0"/>
        <strike val="0"/>
        <outline val="0"/>
        <shadow val="0"/>
        <vertAlign val="baseline"/>
        <sz val="10"/>
        <color auto="1"/>
        <name val="Calibri"/>
        <scheme val="minor"/>
      </font>
      <fill>
        <patternFill patternType="none">
          <fgColor indexed="64"/>
          <bgColor auto="1"/>
        </patternFill>
      </fill>
    </dxf>
    <dxf>
      <border>
        <top style="double">
          <color indexed="64"/>
        </top>
      </border>
    </dxf>
    <dxf>
      <font>
        <b val="0"/>
        <i val="0"/>
        <strike val="0"/>
        <outline val="0"/>
        <shadow val="0"/>
        <vertAlign val="baseline"/>
        <sz val="10"/>
        <color auto="1"/>
        <name val="Calibri"/>
        <scheme val="minor"/>
      </font>
      <fill>
        <patternFill patternType="none">
          <fgColor indexed="64"/>
          <bgColor auto="1"/>
        </patternFill>
      </fill>
    </dxf>
    <dxf>
      <font>
        <b val="0"/>
        <i val="0"/>
        <strike val="0"/>
        <outline val="0"/>
        <shadow val="0"/>
        <vertAlign val="baseline"/>
        <sz val="10"/>
        <color auto="1"/>
        <name val="Calibri"/>
        <scheme val="minor"/>
      </font>
      <fill>
        <patternFill patternType="none">
          <fgColor indexed="64"/>
          <bgColor auto="1"/>
        </patternFill>
      </fill>
    </dxf>
    <dxf>
      <font>
        <b val="0"/>
        <i val="0"/>
        <strike val="0"/>
        <condense val="0"/>
        <extend val="0"/>
        <outline val="0"/>
        <shadow val="0"/>
        <u val="none"/>
        <vertAlign val="baseline"/>
        <sz val="10"/>
        <color auto="1"/>
        <name val="Calibri"/>
        <scheme val="minor"/>
      </font>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style="thin">
          <color auto="1"/>
        </left>
        <right style="thin">
          <color auto="1"/>
        </right>
        <top style="medium">
          <color indexed="64"/>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style="thin">
          <color auto="1"/>
        </left>
        <right style="thin">
          <color auto="1"/>
        </right>
        <top style="medium">
          <color indexed="64"/>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style="thin">
          <color auto="1"/>
        </left>
        <right style="thin">
          <color indexed="64"/>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style="thin">
          <color auto="1"/>
        </left>
        <right style="thin">
          <color indexed="64"/>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style="thin">
          <color auto="1"/>
        </left>
        <right style="thin">
          <color indexed="64"/>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style="thin">
          <color auto="1"/>
        </left>
        <right style="thin">
          <color indexed="64"/>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strike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strike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strike val="0"/>
        <outline val="0"/>
        <shadow val="0"/>
        <u val="none"/>
        <vertAlign val="baseline"/>
        <sz val="10"/>
        <color auto="1"/>
        <name val="Calibri"/>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strike val="0"/>
        <outline val="0"/>
        <shadow val="0"/>
        <u val="none"/>
        <vertAlign val="baseline"/>
        <sz val="10"/>
        <color auto="1"/>
        <name val="Calibri"/>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strike val="0"/>
        <outline val="0"/>
        <shadow val="0"/>
        <u val="none"/>
        <vertAlign val="baseline"/>
        <sz val="10"/>
        <color auto="1"/>
        <name val="Calibri"/>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strike val="0"/>
        <outline val="0"/>
        <shadow val="0"/>
        <u val="none"/>
        <vertAlign val="baseline"/>
        <sz val="10"/>
        <color auto="1"/>
        <name val="Calibri"/>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strike val="0"/>
        <outline val="0"/>
        <shadow val="0"/>
        <u val="none"/>
        <vertAlign val="baseline"/>
        <sz val="10"/>
        <color auto="1"/>
        <name val="Calibri"/>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alignment horizontal="right" vertical="bottom" textRotation="0" wrapText="0" indent="0" justifyLastLine="0" shrinkToFit="0" readingOrder="0"/>
      <border diagonalUp="0" diagonalDown="0" outline="0">
        <left style="medium">
          <color auto="1"/>
        </left>
        <right/>
        <top style="medium">
          <color auto="1"/>
        </top>
        <bottom style="medium">
          <color auto="1"/>
        </bottom>
      </border>
    </dxf>
    <dxf>
      <font>
        <b val="0"/>
        <strike val="0"/>
        <outline val="0"/>
        <shadow val="0"/>
        <u val="none"/>
        <vertAlign val="baseline"/>
        <sz val="10"/>
        <color auto="1"/>
        <name val="Calibri"/>
        <scheme val="minor"/>
      </font>
      <fill>
        <patternFill patternType="none">
          <fgColor indexed="64"/>
          <bgColor auto="1"/>
        </patternFill>
      </fill>
    </dxf>
    <dxf>
      <border>
        <top style="medium">
          <color indexed="64"/>
        </top>
      </border>
    </dxf>
    <dxf>
      <font>
        <b val="0"/>
        <strike val="0"/>
        <outline val="0"/>
        <shadow val="0"/>
        <u val="none"/>
        <vertAlign val="baseline"/>
        <sz val="10"/>
        <color auto="1"/>
        <name val="Calibri"/>
        <scheme val="minor"/>
      </font>
      <fill>
        <patternFill patternType="none">
          <fgColor indexed="64"/>
          <bgColor auto="1"/>
        </patternFill>
      </fill>
      <border diagonalUp="0" diagonalDown="0" outline="0">
        <left style="thin">
          <color auto="1"/>
        </left>
        <right style="thin">
          <color auto="1"/>
        </right>
        <top/>
        <bottom/>
      </border>
    </dxf>
    <dxf>
      <font>
        <b val="0"/>
        <i val="0"/>
        <strike val="0"/>
        <condense val="0"/>
        <extend val="0"/>
        <outline val="0"/>
        <shadow val="0"/>
        <u val="none"/>
        <vertAlign val="baseline"/>
        <sz val="10"/>
        <color auto="1"/>
        <name val="Calibri"/>
        <scheme val="minor"/>
      </font>
      <fill>
        <patternFill patternType="none">
          <fgColor indexed="64"/>
          <bgColor auto="1"/>
        </patternFill>
      </fill>
    </dxf>
    <dxf>
      <border>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style="thin">
          <color auto="1"/>
        </left>
        <right style="thin">
          <color auto="1"/>
        </right>
        <top style="medium">
          <color indexed="64"/>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style="thin">
          <color auto="1"/>
        </left>
        <right style="thin">
          <color indexed="64"/>
        </right>
        <top style="medium">
          <color indexed="64"/>
        </top>
        <bottom style="medium">
          <color indexed="64"/>
        </bottom>
      </border>
    </dxf>
    <dxf>
      <font>
        <b val="0"/>
        <i val="0"/>
        <strike val="0"/>
        <condense val="0"/>
        <extend val="0"/>
        <outline val="0"/>
        <shadow val="0"/>
        <u val="none"/>
        <vertAlign val="baseline"/>
        <sz val="10"/>
        <color auto="1"/>
        <name val="Calibri"/>
        <family val="2"/>
        <scheme val="minor"/>
      </font>
      <numFmt numFmtId="167" formatCode="_(&quot;$&quot;* #,##0.00_);_(&quot;$&quot;* \(#,##0.00\);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style="thin">
          <color auto="1"/>
        </left>
        <right style="thin">
          <color indexed="64"/>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style="thin">
          <color auto="1"/>
        </left>
        <right style="thin">
          <color indexed="64"/>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style="thin">
          <color auto="1"/>
        </left>
        <right style="thin">
          <color indexed="64"/>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style="thin">
          <color auto="1"/>
        </left>
        <right style="thin">
          <color indexed="64"/>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strike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strike val="0"/>
        <outline val="0"/>
        <shadow val="0"/>
        <u val="none"/>
        <vertAlign val="baseline"/>
        <sz val="10"/>
        <color auto="1"/>
        <name val="Calibri"/>
        <scheme val="minor"/>
      </font>
      <numFmt numFmtId="167" formatCode="_(&quot;$&quot;* #,##0.00_);_(&quot;$&quot;* \(#,##0.00\);_(&quot;$&quot;* &quot;-&quot;??_);_(@_)"/>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strike val="0"/>
        <outline val="0"/>
        <shadow val="0"/>
        <u val="none"/>
        <vertAlign val="baseline"/>
        <sz val="10"/>
        <color auto="1"/>
        <name val="Calibri"/>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strike val="0"/>
        <outline val="0"/>
        <shadow val="0"/>
        <u val="none"/>
        <vertAlign val="baseline"/>
        <sz val="10"/>
        <color auto="1"/>
        <name val="Calibri"/>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strike val="0"/>
        <outline val="0"/>
        <shadow val="0"/>
        <u val="none"/>
        <vertAlign val="baseline"/>
        <sz val="10"/>
        <color auto="1"/>
        <name val="Calibri"/>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strike val="0"/>
        <outline val="0"/>
        <shadow val="0"/>
        <u val="none"/>
        <vertAlign val="baseline"/>
        <sz val="10"/>
        <color auto="1"/>
        <name val="Calibri"/>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167" formatCode="_(&quot;$&quot;* #,##0.00_);_(&quot;$&quot;* \(#,##0.00\);_(&quot;$&quot;* &quot;-&quot;??_);_(@_)"/>
      <alignment horizontal="left" vertical="bottom" textRotation="0" wrapText="0" indent="0" justifyLastLine="0" shrinkToFit="0" readingOrder="0"/>
      <border diagonalUp="0" diagonalDown="0" outline="0">
        <left/>
        <right/>
        <top style="medium">
          <color indexed="64"/>
        </top>
        <bottom style="medium">
          <color indexed="64"/>
        </bottom>
      </border>
    </dxf>
    <dxf>
      <font>
        <b val="0"/>
        <strike val="0"/>
        <outline val="0"/>
        <shadow val="0"/>
        <u val="none"/>
        <vertAlign val="baseline"/>
        <sz val="10"/>
        <color auto="1"/>
        <name val="Calibri"/>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alignment horizontal="right" vertical="bottom" textRotation="0" wrapText="0" indent="0" justifyLastLine="0" shrinkToFit="0" readingOrder="0"/>
      <border diagonalUp="0" diagonalDown="0" outline="0">
        <left style="medium">
          <color auto="1"/>
        </left>
        <right/>
        <top style="medium">
          <color auto="1"/>
        </top>
        <bottom style="medium">
          <color auto="1"/>
        </bottom>
      </border>
    </dxf>
    <dxf>
      <font>
        <b val="0"/>
        <strike val="0"/>
        <outline val="0"/>
        <shadow val="0"/>
        <u val="none"/>
        <vertAlign val="baseline"/>
        <sz val="10"/>
        <color auto="1"/>
        <name val="Calibri"/>
        <scheme val="minor"/>
      </font>
      <fill>
        <patternFill patternType="none">
          <fgColor indexed="64"/>
          <bgColor auto="1"/>
        </patternFill>
      </fill>
    </dxf>
    <dxf>
      <border>
        <top style="medium">
          <color indexed="64"/>
        </top>
      </border>
    </dxf>
    <dxf>
      <font>
        <b val="0"/>
        <strike val="0"/>
        <outline val="0"/>
        <shadow val="0"/>
        <u val="none"/>
        <vertAlign val="baseline"/>
        <sz val="10"/>
        <color auto="1"/>
        <name val="Calibri"/>
        <scheme val="minor"/>
      </font>
      <fill>
        <patternFill patternType="none">
          <fgColor indexed="64"/>
          <bgColor auto="1"/>
        </patternFill>
      </fill>
      <border diagonalUp="0" diagonalDown="0" outline="0">
        <left style="thin">
          <color auto="1"/>
        </left>
        <right style="thin">
          <color auto="1"/>
        </right>
        <top/>
        <bottom/>
      </border>
    </dxf>
    <dxf>
      <font>
        <b val="0"/>
        <i val="0"/>
        <strike val="0"/>
        <condense val="0"/>
        <extend val="0"/>
        <outline val="0"/>
        <shadow val="0"/>
        <u val="none"/>
        <vertAlign val="baseline"/>
        <sz val="10"/>
        <color auto="1"/>
        <name val="Calibri"/>
        <scheme val="minor"/>
      </font>
      <fill>
        <patternFill patternType="none">
          <fgColor indexed="64"/>
          <bgColor auto="1"/>
        </patternFill>
      </fill>
    </dxf>
    <dxf>
      <border>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5" tint="0.3999755851924192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tint="-0.1499984740745262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tint="-0.1499984740745262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tint="-0.1499984740745262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border diagonalUp="0" diagonalDown="0">
        <left/>
        <right/>
        <top style="thin">
          <color auto="1"/>
        </top>
        <bottom/>
      </border>
    </dxf>
    <dxf>
      <font>
        <b val="0"/>
        <i val="0"/>
        <strike val="0"/>
        <condense val="0"/>
        <extend val="0"/>
        <outline val="0"/>
        <shadow val="0"/>
        <u val="none"/>
        <vertAlign val="baseline"/>
        <sz val="10"/>
        <color auto="1"/>
        <name val="Calibri"/>
        <scheme val="minor"/>
      </font>
      <numFmt numFmtId="170" formatCode="_(* #,##0_);_(* \(#,##0\);_(*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border diagonalUp="0" diagonalDown="0" outline="0">
        <left/>
        <right/>
        <top style="thin">
          <color auto="1"/>
        </top>
        <bottom/>
      </border>
    </dxf>
    <dxf>
      <font>
        <b val="0"/>
        <i val="0"/>
        <strike val="0"/>
        <condense val="0"/>
        <extend val="0"/>
        <outline val="0"/>
        <shadow val="0"/>
        <u val="none"/>
        <vertAlign val="baseline"/>
        <sz val="10"/>
        <color auto="1"/>
        <name val="Calibri"/>
        <scheme val="minor"/>
      </font>
      <numFmt numFmtId="170" formatCode="_(* #,##0_);_(* \(#,##0\);_(*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border diagonalUp="0" diagonalDown="0" outline="0">
        <left/>
        <right/>
        <top style="thin">
          <color auto="1"/>
        </top>
        <bottom/>
      </border>
    </dxf>
    <dxf>
      <font>
        <b val="0"/>
        <i val="0"/>
        <strike val="0"/>
        <condense val="0"/>
        <extend val="0"/>
        <outline val="0"/>
        <shadow val="0"/>
        <u val="none"/>
        <vertAlign val="baseline"/>
        <sz val="10"/>
        <color auto="1"/>
        <name val="Calibri"/>
        <scheme val="minor"/>
      </font>
      <numFmt numFmtId="170" formatCode="_(* #,##0_);_(* \(#,##0\);_(* &quot;-&quot;??_);_(@_)"/>
      <fill>
        <patternFill patternType="none">
          <fgColor indexed="64"/>
          <bgColor auto="1"/>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style="thin">
          <color auto="1"/>
        </top>
        <bottom/>
      </border>
    </dxf>
    <dxf>
      <font>
        <b val="0"/>
        <i val="0"/>
        <strike val="0"/>
        <condense val="0"/>
        <extend val="0"/>
        <outline val="0"/>
        <shadow val="0"/>
        <u val="none"/>
        <vertAlign val="baseline"/>
        <sz val="10"/>
        <color auto="1"/>
        <name val="Calibri"/>
        <family val="2"/>
        <scheme val="minor"/>
      </font>
      <numFmt numFmtId="170" formatCode="_(* #,##0_);_(* \(#,##0\);_(*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border diagonalUp="0" diagonalDown="0" outline="0">
        <left/>
        <right/>
        <top style="thin">
          <color auto="1"/>
        </top>
        <bottom/>
      </border>
    </dxf>
    <dxf>
      <font>
        <b val="0"/>
        <i val="0"/>
        <strike val="0"/>
        <condense val="0"/>
        <extend val="0"/>
        <outline val="0"/>
        <shadow val="0"/>
        <u val="none"/>
        <vertAlign val="baseline"/>
        <sz val="10"/>
        <color auto="1"/>
        <name val="Calibri"/>
        <scheme val="minor"/>
      </font>
      <numFmt numFmtId="170" formatCode="_(* #,##0_);_(* \(#,##0\);_(*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border diagonalUp="0" diagonalDown="0" outline="0">
        <left/>
        <right/>
        <top style="thin">
          <color auto="1"/>
        </top>
        <bottom/>
      </border>
    </dxf>
    <dxf>
      <font>
        <b val="0"/>
        <i val="0"/>
        <strike val="0"/>
        <condense val="0"/>
        <extend val="0"/>
        <outline val="0"/>
        <shadow val="0"/>
        <u val="none"/>
        <vertAlign val="baseline"/>
        <sz val="10"/>
        <color auto="1"/>
        <name val="Calibri"/>
        <scheme val="minor"/>
      </font>
      <numFmt numFmtId="170" formatCode="_(* #,##0_);_(* \(#,##0\);_(*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border diagonalUp="0" diagonalDown="0" outline="0">
        <left/>
        <right/>
        <top style="thin">
          <color auto="1"/>
        </top>
        <bottom/>
      </border>
    </dxf>
    <dxf>
      <font>
        <b val="0"/>
        <i val="0"/>
        <strike val="0"/>
        <condense val="0"/>
        <extend val="0"/>
        <outline val="0"/>
        <shadow val="0"/>
        <u val="none"/>
        <vertAlign val="baseline"/>
        <sz val="10"/>
        <color auto="1"/>
        <name val="Calibri"/>
        <scheme val="minor"/>
      </font>
      <numFmt numFmtId="170" formatCode="_(* #,##0_);_(* \(#,##0\);_(*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thin">
          <color auto="1"/>
        </top>
        <bottom/>
      </border>
    </dxf>
    <dxf>
      <font>
        <b val="0"/>
        <i val="0"/>
        <strike val="0"/>
        <condense val="0"/>
        <extend val="0"/>
        <outline val="0"/>
        <shadow val="0"/>
        <u val="none"/>
        <vertAlign val="baseline"/>
        <sz val="10"/>
        <color auto="1"/>
        <name val="Calibri"/>
        <scheme val="minor"/>
      </font>
      <numFmt numFmtId="170" formatCode="_(* #,##0_);_(* \(#,##0\);_(*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thin">
          <color auto="1"/>
        </top>
        <bottom/>
      </border>
    </dxf>
    <dxf>
      <font>
        <b val="0"/>
        <i val="0"/>
        <strike val="0"/>
        <condense val="0"/>
        <extend val="0"/>
        <outline val="0"/>
        <shadow val="0"/>
        <u val="none"/>
        <vertAlign val="baseline"/>
        <sz val="10"/>
        <color auto="1"/>
        <name val="Calibri"/>
        <scheme val="minor"/>
      </font>
      <numFmt numFmtId="170" formatCode="_(* #,##0_);_(* \(#,##0\);_(* &quot;-&quot;??_);_(@_)"/>
      <fill>
        <patternFill patternType="none">
          <fgColor indexed="64"/>
          <bgColor auto="1"/>
        </patternFill>
      </fill>
      <border diagonalUp="0" diagonalDown="0">
        <left/>
        <right/>
        <top style="thin">
          <color auto="1"/>
        </top>
        <bottom style="thin">
          <color auto="1"/>
        </bottom>
      </border>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thin">
          <color auto="1"/>
        </top>
        <bottom/>
      </border>
    </dxf>
    <dxf>
      <font>
        <b val="0"/>
        <i val="0"/>
        <strike val="0"/>
        <condense val="0"/>
        <extend val="0"/>
        <outline val="0"/>
        <shadow val="0"/>
        <u val="none"/>
        <vertAlign val="baseline"/>
        <sz val="10"/>
        <color auto="1"/>
        <name val="Calibri"/>
        <scheme val="minor"/>
      </font>
      <numFmt numFmtId="170" formatCode="_(* #,##0_);_(* \(#,##0\);_(* &quot;-&quot;??_);_(@_)"/>
      <fill>
        <patternFill patternType="none">
          <fgColor indexed="64"/>
          <bgColor auto="1"/>
        </patternFill>
      </fill>
      <border diagonalUp="0" diagonalDown="0" outline="0">
        <left/>
        <right/>
        <top style="thin">
          <color auto="1"/>
        </top>
        <bottom style="thin">
          <color auto="1"/>
        </bottom>
      </border>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border diagonalUp="0" diagonalDown="0" outline="0">
        <left/>
        <right/>
        <top style="thin">
          <color auto="1"/>
        </top>
        <bottom/>
      </border>
    </dxf>
    <dxf>
      <font>
        <b val="0"/>
        <i val="0"/>
        <strike val="0"/>
        <condense val="0"/>
        <extend val="0"/>
        <outline val="0"/>
        <shadow val="0"/>
        <u val="none"/>
        <vertAlign val="baseline"/>
        <sz val="10"/>
        <color auto="1"/>
        <name val="Calibri"/>
        <scheme val="minor"/>
      </font>
      <numFmt numFmtId="170" formatCode="_(* #,##0_);_(* \(#,##0\);_(* &quot;-&quot;??_);_(@_)"/>
      <fill>
        <patternFill patternType="solid">
          <fgColor indexed="64"/>
          <bgColor theme="0" tint="-0.14999847407452621"/>
        </patternFill>
      </fill>
      <border diagonalUp="0" diagonalDown="0" outline="0">
        <left/>
        <right/>
        <top style="thin">
          <color auto="1"/>
        </top>
        <bottom style="thin">
          <color auto="1"/>
        </bottom>
      </border>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thin">
          <color auto="1"/>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border diagonalUp="0" diagonalDown="0" outline="0">
        <left/>
        <right/>
        <top style="thin">
          <color auto="1"/>
        </top>
        <bottom style="thin">
          <color auto="1"/>
        </bottom>
      </border>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thin">
          <color auto="1"/>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border diagonalUp="0" diagonalDown="0" outline="0">
        <left/>
        <right/>
        <top style="thin">
          <color auto="1"/>
        </top>
        <bottom style="thin">
          <color auto="1"/>
        </bottom>
      </border>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thin">
          <color auto="1"/>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border diagonalUp="0" diagonalDown="0" outline="0">
        <left/>
        <right/>
        <top style="thin">
          <color auto="1"/>
        </top>
        <bottom style="thin">
          <color auto="1"/>
        </bottom>
      </border>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thin">
          <color auto="1"/>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border diagonalUp="0" diagonalDown="0" outline="0">
        <left/>
        <right/>
        <top style="thin">
          <color auto="1"/>
        </top>
        <bottom style="thin">
          <color auto="1"/>
        </bottom>
      </border>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thin">
          <color auto="1"/>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border diagonalUp="0" diagonalDown="0" outline="0">
        <left/>
        <right/>
        <top style="thin">
          <color auto="1"/>
        </top>
        <bottom style="thin">
          <color auto="1"/>
        </bottom>
      </border>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thin">
          <color auto="1"/>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border diagonalUp="0" diagonalDown="0" outline="0">
        <left/>
        <right/>
        <top style="thin">
          <color auto="1"/>
        </top>
        <bottom style="thin">
          <color auto="1"/>
        </bottom>
      </border>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thin">
          <color auto="1"/>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border diagonalUp="0" diagonalDown="0" outline="0">
        <left/>
        <right/>
        <top style="thin">
          <color auto="1"/>
        </top>
        <bottom style="thin">
          <color auto="1"/>
        </bottom>
      </border>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thin">
          <color auto="1"/>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border diagonalUp="0" diagonalDown="0" outline="0">
        <left/>
        <right/>
        <top style="thin">
          <color auto="1"/>
        </top>
        <bottom style="thin">
          <color auto="1"/>
        </bottom>
      </border>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thin">
          <color auto="1"/>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border diagonalUp="0" diagonalDown="0" outline="0">
        <left/>
        <right/>
        <top style="thin">
          <color auto="1"/>
        </top>
        <bottom style="thin">
          <color auto="1"/>
        </bottom>
      </border>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thin">
          <color auto="1"/>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border diagonalUp="0" diagonalDown="0" outline="0">
        <left/>
        <right/>
        <top style="thin">
          <color auto="1"/>
        </top>
        <bottom style="thin">
          <color auto="1"/>
        </bottom>
      </border>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thin">
          <color auto="1"/>
        </top>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border diagonalUp="0" diagonalDown="0" outline="0">
        <left/>
        <right/>
        <top style="thin">
          <color auto="1"/>
        </top>
        <bottom style="thin">
          <color auto="1"/>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border diagonalUp="0" diagonalDown="0" outline="0">
        <left/>
        <right style="thin">
          <color indexed="64"/>
        </right>
        <top style="thin">
          <color indexed="64"/>
        </top>
        <bottom/>
      </border>
    </dxf>
    <dxf>
      <font>
        <b val="0"/>
        <i val="0"/>
        <strike val="0"/>
        <condense val="0"/>
        <extend val="0"/>
        <outline val="0"/>
        <shadow val="0"/>
        <u val="none"/>
        <vertAlign val="baseline"/>
        <sz val="10"/>
        <color auto="1"/>
        <name val="Calibri"/>
        <scheme val="minor"/>
      </font>
      <fill>
        <patternFill patternType="none">
          <fgColor indexed="64"/>
          <bgColor auto="1"/>
        </patternFill>
      </fill>
      <border diagonalUp="0" diagonalDown="0" outline="0">
        <left/>
        <right style="thin">
          <color auto="1"/>
        </right>
        <top style="thin">
          <color auto="1"/>
        </top>
        <bottom style="thin">
          <color auto="1"/>
        </bottom>
      </border>
    </dxf>
    <dxf>
      <border outline="0">
        <top style="thin">
          <color auto="1"/>
        </top>
      </border>
    </dxf>
    <dxf>
      <border outline="0">
        <right style="medium">
          <color indexed="64"/>
        </right>
        <bottom style="double">
          <color auto="1"/>
        </bottom>
      </border>
    </dxf>
    <dxf>
      <font>
        <b val="0"/>
        <i val="0"/>
        <strike val="0"/>
        <condense val="0"/>
        <extend val="0"/>
        <outline val="0"/>
        <shadow val="0"/>
        <u val="none"/>
        <vertAlign val="baseline"/>
        <sz val="10"/>
        <color auto="1"/>
        <name val="Calibri"/>
        <scheme val="minor"/>
      </font>
      <numFmt numFmtId="170" formatCode="_(* #,##0_);_(* \(#,##0\);_(* &quot;-&quot;??_);_(@_)"/>
      <fill>
        <patternFill patternType="none">
          <fgColor indexed="64"/>
          <bgColor auto="1"/>
        </patternFill>
      </fill>
    </dxf>
    <dxf>
      <border outline="0">
        <bottom style="thin">
          <color auto="1"/>
        </bottom>
      </border>
    </dxf>
    <dxf>
      <font>
        <b val="0"/>
        <i val="0"/>
        <strike val="0"/>
        <condense val="0"/>
        <extend val="0"/>
        <outline val="0"/>
        <shadow val="0"/>
        <u val="none"/>
        <vertAlign val="baseline"/>
        <sz val="10"/>
        <color auto="1"/>
        <name val="Calibri"/>
        <scheme val="minor"/>
      </font>
      <numFmt numFmtId="170" formatCode="_(* #,##0_);_(* \(#,##0\);_(*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174" formatCode="_-[$$-1009]* #,##0.00_-;\-[$$-1009]* #,##0.00_-;_-[$$-1009]*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border diagonalUp="0" diagonalDown="0" outline="0">
        <left style="medium">
          <color auto="1"/>
        </left>
        <right/>
        <top style="medium">
          <color auto="1"/>
        </top>
        <bottom style="medium">
          <color auto="1"/>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border>
        <top style="medium">
          <color indexed="64"/>
        </top>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border diagonalUp="0" diagonalDown="0" outline="0">
        <left style="thin">
          <color indexed="64"/>
        </left>
        <right style="medium">
          <color indexed="64"/>
        </right>
        <top style="medium">
          <color auto="1"/>
        </top>
        <bottom style="medium">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border diagonalUp="0" diagonalDown="0" outline="0">
        <left style="thin">
          <color indexed="64"/>
        </left>
        <right style="medium">
          <color indexed="64"/>
        </right>
        <top style="medium">
          <color auto="1"/>
        </top>
        <bottom style="medium">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167" formatCode="_(&quot;$&quot;* #,##0.00_);_(&quot;$&quot;* \(#,##0.00\);_(&quot;$&quot;* &quot;-&quot;??_);_(@_)"/>
      <border diagonalUp="0" diagonalDown="0" outline="0">
        <left style="thin">
          <color indexed="64"/>
        </left>
        <right style="medium">
          <color indexed="64"/>
        </right>
        <top style="medium">
          <color auto="1"/>
        </top>
        <bottom style="medium">
          <color indexed="64"/>
        </bottom>
      </border>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167" formatCode="_(&quot;$&quot;* #,##0.00_);_(&quot;$&quot;* \(#,##0.00\);_(&quot;$&quot;* &quot;-&quot;??_);_(@_)"/>
      <border diagonalUp="0" diagonalDown="0" outline="0">
        <left style="thin">
          <color indexed="64"/>
        </left>
        <right style="medium">
          <color indexed="64"/>
        </right>
        <top style="medium">
          <color auto="1"/>
        </top>
        <bottom style="medium">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167" formatCode="_(&quot;$&quot;* #,##0.00_);_(&quot;$&quot;* \(#,##0.00\);_(&quot;$&quot;* &quot;-&quot;??_);_(@_)"/>
      <border diagonalUp="0" diagonalDown="0" outline="0">
        <left style="thin">
          <color indexed="64"/>
        </left>
        <right style="medium">
          <color indexed="64"/>
        </right>
        <top style="medium">
          <color auto="1"/>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167" formatCode="_(&quot;$&quot;* #,##0.00_);_(&quot;$&quot;* \(#,##0.00\);_(&quot;$&quot;* &quot;-&quot;??_);_(@_)"/>
      <border diagonalUp="0" diagonalDown="0" outline="0">
        <left style="thin">
          <color indexed="64"/>
        </left>
        <right style="medium">
          <color indexed="64"/>
        </right>
        <top style="medium">
          <color auto="1"/>
        </top>
        <bottom style="medium">
          <color indexed="64"/>
        </bottom>
      </border>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167" formatCode="_(&quot;$&quot;* #,##0.00_);_(&quot;$&quot;* \(#,##0.00\);_(&quot;$&quot;* &quot;-&quot;??_);_(@_)"/>
      <border diagonalUp="0" diagonalDown="0" outline="0">
        <left style="thin">
          <color indexed="64"/>
        </left>
        <right style="medium">
          <color indexed="64"/>
        </right>
        <top style="medium">
          <color auto="1"/>
        </top>
        <bottom style="medium">
          <color indexed="64"/>
        </bottom>
      </border>
    </dxf>
    <dxf>
      <border diagonalUp="0" diagonalDown="0" outline="0">
        <left style="thin">
          <color auto="1"/>
        </left>
        <right style="thin">
          <color indexed="64"/>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border diagonalUp="0" diagonalDown="0" outline="0">
        <left style="thin">
          <color auto="1"/>
        </left>
        <right style="thin">
          <color indexed="64"/>
        </right>
        <top style="medium">
          <color indexed="64"/>
        </top>
        <bottom style="medium">
          <color indexed="64"/>
        </bottom>
      </border>
    </dxf>
    <dxf>
      <border diagonalUp="0" diagonalDown="0" outline="0">
        <left style="thin">
          <color auto="1"/>
        </left>
        <right style="thin">
          <color indexed="64"/>
        </right>
        <top style="medium">
          <color indexed="64"/>
        </top>
        <bottom style="medium">
          <color indexed="64"/>
        </bottom>
      </border>
    </dxf>
    <dxf>
      <font>
        <b val="0"/>
        <i val="0"/>
        <strike val="0"/>
        <condense val="0"/>
        <extend val="0"/>
        <outline val="0"/>
        <shadow val="0"/>
        <u val="none"/>
        <vertAlign val="baseline"/>
        <sz val="10"/>
        <color auto="1"/>
        <name val="Calibri"/>
        <family val="2"/>
        <scheme val="minor"/>
      </font>
      <border diagonalUp="0" diagonalDown="0" outline="0">
        <left style="medium">
          <color indexed="64"/>
        </left>
        <right style="thin">
          <color auto="1"/>
        </right>
        <top style="medium">
          <color indexed="64"/>
        </top>
        <bottom style="medium">
          <color indexed="64"/>
        </bottom>
      </border>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border diagonalUp="0" diagonalDown="0" outline="0">
        <left style="medium">
          <color indexed="64"/>
        </left>
        <right style="thin">
          <color auto="1"/>
        </right>
        <top style="medium">
          <color indexed="64"/>
        </top>
        <bottom style="medium">
          <color indexed="64"/>
        </bottom>
      </border>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auto="1"/>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auto="1"/>
        </patternFill>
      </fill>
    </dxf>
    <dxf>
      <font>
        <b val="0"/>
        <i val="0"/>
        <strike val="0"/>
        <condense val="0"/>
        <extend val="0"/>
        <outline val="0"/>
        <shadow val="0"/>
        <u val="none"/>
        <vertAlign val="baseline"/>
        <sz val="10"/>
        <color auto="1"/>
        <name val="Calibri"/>
        <scheme val="minor"/>
      </font>
      <fill>
        <patternFill patternType="none">
          <fgColor indexed="64"/>
          <bgColor auto="1"/>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solid">
          <fgColor indexed="64"/>
          <bgColor theme="0"/>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34" formatCode="_-&quot;$&quot;* #,##0.00_-;\-&quot;$&quot;* #,##0.00_-;_-&quot;$&quot;* &quot;-&quot;??_-;_-@_-"/>
    </dxf>
    <dxf>
      <font>
        <b val="0"/>
        <i val="0"/>
        <strike val="0"/>
        <condense val="0"/>
        <extend val="0"/>
        <outline val="0"/>
        <shadow val="0"/>
        <u val="none"/>
        <vertAlign val="baseline"/>
        <sz val="10"/>
        <color auto="1"/>
        <name val="Calibri"/>
        <scheme val="minor"/>
      </font>
      <numFmt numFmtId="34" formatCode="_-&quot;$&quot;* #,##0.00_-;\-&quot;$&quot;* #,##0.00_-;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scheme val="minor"/>
      </font>
      <numFmt numFmtId="168" formatCode="_(* #,##0.00_);_(* \(#,##0.00\);_(* &quot;-&quot;??_);_(@_)"/>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i val="0"/>
        <strike val="0"/>
        <condense val="0"/>
        <extend val="0"/>
        <outline val="0"/>
        <shadow val="0"/>
        <u val="none"/>
        <vertAlign val="baseline"/>
        <sz val="12"/>
        <color auto="1"/>
        <name val="Calibri"/>
        <family val="2"/>
        <scheme val="minor"/>
      </font>
      <border diagonalUp="0" diagonalDown="0" outline="0">
        <left style="thin">
          <color indexed="64"/>
        </left>
        <right style="medium">
          <color indexed="64"/>
        </right>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left style="thin">
          <color indexed="64"/>
        </left>
        <right style="medium">
          <color indexed="64"/>
        </right>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style="medium">
          <color indexed="64"/>
        </right>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style="medium">
          <color indexed="64"/>
        </right>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style="medium">
          <color indexed="64"/>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style="medium">
          <color indexed="64"/>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style="medium">
          <color indexed="64"/>
        </right>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style="medium">
          <color indexed="64"/>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style="medium">
          <color indexed="64"/>
        </right>
        <top/>
        <bottom style="medium">
          <color indexed="64"/>
        </bottom>
      </border>
    </dxf>
    <dxf>
      <font>
        <b val="0"/>
        <i val="0"/>
        <strike val="0"/>
        <condense val="0"/>
        <extend val="0"/>
        <outline val="0"/>
        <shadow val="0"/>
        <u val="none"/>
        <vertAlign val="baseline"/>
        <sz val="10"/>
        <color rgb="FFFF0000"/>
        <name val="Calibri"/>
        <scheme val="minor"/>
      </font>
      <numFmt numFmtId="167" formatCode="_(&quot;$&quot;* #,##0.00_);_(&quot;$&quot;* \(#,##0.00\);_(&quot;$&quot;* &quot;-&quot;??_);_(@_)"/>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style="medium">
          <color indexed="64"/>
        </right>
        <top/>
        <bottom style="medium">
          <color indexed="64"/>
        </bottom>
      </border>
    </dxf>
    <dxf>
      <font>
        <b val="0"/>
        <i val="0"/>
        <strike val="0"/>
        <condense val="0"/>
        <extend val="0"/>
        <outline val="0"/>
        <shadow val="0"/>
        <u val="none"/>
        <vertAlign val="baseline"/>
        <sz val="10"/>
        <color auto="1"/>
        <name val="Calibri"/>
        <scheme val="minor"/>
      </font>
      <border outline="0">
        <right style="thin">
          <color indexed="64"/>
        </right>
      </border>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style="medium">
          <color indexed="64"/>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style="medium">
          <color indexed="64"/>
        </right>
        <top/>
        <bottom style="medium">
          <color indexed="64"/>
        </bottom>
      </border>
    </dxf>
    <dxf>
      <font>
        <b val="0"/>
        <i val="0"/>
        <strike val="0"/>
        <condense val="0"/>
        <extend val="0"/>
        <outline val="0"/>
        <shadow val="0"/>
        <u val="none"/>
        <vertAlign val="baseline"/>
        <sz val="10"/>
        <color auto="1"/>
        <name val="Calibri"/>
        <scheme val="minor"/>
      </font>
      <border diagonalUp="0" diagonalDown="0">
        <left style="thin">
          <color indexed="64"/>
        </left>
        <right style="medium">
          <color indexed="64"/>
        </right>
        <top style="thin">
          <color indexed="64"/>
        </top>
        <bottom style="thin">
          <color indexed="64"/>
        </bottom>
        <vertical/>
        <horizontal/>
      </border>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style="medium">
          <color indexed="64"/>
        </right>
        <top/>
        <bottom style="medium">
          <color indexed="64"/>
        </bottom>
      </border>
    </dxf>
    <dxf>
      <font>
        <b val="0"/>
        <i val="0"/>
        <strike val="0"/>
        <condense val="0"/>
        <extend val="0"/>
        <outline val="0"/>
        <shadow val="0"/>
        <u val="none"/>
        <vertAlign val="baseline"/>
        <sz val="10"/>
        <color auto="1"/>
        <name val="Calibri"/>
        <scheme val="minor"/>
      </font>
      <border diagonalUp="0" diagonalDown="0">
        <left style="thin">
          <color indexed="64"/>
        </left>
        <right style="medium">
          <color indexed="64"/>
        </right>
        <top style="thin">
          <color indexed="64"/>
        </top>
        <bottom style="thin">
          <color indexed="64"/>
        </bottom>
        <vertical/>
        <horizontal/>
      </border>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style="medium">
          <color indexed="64"/>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alignment horizontal="right" vertical="bottom" textRotation="0" wrapText="0" indent="0" justifyLastLine="0" shrinkToFit="0" readingOrder="0"/>
      <border diagonalUp="0" diagonalDown="0" outline="0">
        <left style="medium">
          <color indexed="64"/>
        </left>
        <right/>
        <top/>
        <bottom style="medium">
          <color indexed="64"/>
        </bottom>
      </border>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0"/>
        <color auto="1"/>
        <name val="Calibri"/>
        <scheme val="minor"/>
      </font>
    </dxf>
    <dxf>
      <border outline="0">
        <bottom style="thin">
          <color indexed="64"/>
        </bottom>
      </border>
    </dxf>
    <dxf>
      <font>
        <b/>
        <i val="0"/>
        <strike val="0"/>
        <condense val="0"/>
        <extend val="0"/>
        <outline val="0"/>
        <shadow val="0"/>
        <u val="none"/>
        <vertAlign val="baseline"/>
        <sz val="10"/>
        <color auto="1"/>
        <name val="Humanst521 BT"/>
        <scheme val="none"/>
      </font>
      <fill>
        <patternFill patternType="none">
          <fgColor indexed="64"/>
          <bgColor indexed="65"/>
        </patternFill>
      </fill>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style="medium">
          <color indexed="64"/>
        </right>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left style="thin">
          <color indexed="64"/>
        </left>
        <right style="medium">
          <color indexed="64"/>
        </right>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style="medium">
          <color indexed="64"/>
        </right>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style="medium">
          <color indexed="64"/>
        </right>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style="medium">
          <color indexed="64"/>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style="medium">
          <color indexed="64"/>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style="medium">
          <color indexed="64"/>
        </right>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style="medium">
          <color indexed="64"/>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style="medium">
          <color indexed="64"/>
        </right>
        <top/>
        <bottom style="medium">
          <color indexed="64"/>
        </bottom>
      </border>
    </dxf>
    <dxf>
      <font>
        <b val="0"/>
        <i val="0"/>
        <strike val="0"/>
        <condense val="0"/>
        <extend val="0"/>
        <outline val="0"/>
        <shadow val="0"/>
        <u val="none"/>
        <vertAlign val="baseline"/>
        <sz val="10"/>
        <color rgb="FFFF0000"/>
        <name val="Calibri"/>
        <scheme val="minor"/>
      </font>
      <numFmt numFmtId="167" formatCode="_(&quot;$&quot;* #,##0.00_);_(&quot;$&quot;* \(#,##0.00\);_(&quot;$&quot;* &quot;-&quot;??_);_(@_)"/>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style="medium">
          <color indexed="64"/>
        </right>
        <top/>
        <bottom style="medium">
          <color indexed="64"/>
        </bottom>
      </border>
    </dxf>
    <dxf>
      <font>
        <b val="0"/>
        <i val="0"/>
        <strike val="0"/>
        <condense val="0"/>
        <extend val="0"/>
        <outline val="0"/>
        <shadow val="0"/>
        <u val="none"/>
        <vertAlign val="baseline"/>
        <sz val="10"/>
        <color auto="1"/>
        <name val="Calibri"/>
        <scheme val="minor"/>
      </font>
      <border outline="0">
        <right style="thin">
          <color indexed="64"/>
        </right>
      </border>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style="medium">
          <color indexed="64"/>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style="medium">
          <color indexed="64"/>
        </right>
        <top/>
        <bottom style="medium">
          <color indexed="64"/>
        </bottom>
      </border>
    </dxf>
    <dxf>
      <font>
        <b val="0"/>
        <i val="0"/>
        <strike val="0"/>
        <condense val="0"/>
        <extend val="0"/>
        <outline val="0"/>
        <shadow val="0"/>
        <u val="none"/>
        <vertAlign val="baseline"/>
        <sz val="10"/>
        <color auto="1"/>
        <name val="Calibri"/>
        <scheme val="minor"/>
      </font>
      <border diagonalUp="0" diagonalDown="0">
        <left style="thin">
          <color indexed="64"/>
        </left>
        <right style="medium">
          <color indexed="64"/>
        </right>
        <top style="thin">
          <color indexed="64"/>
        </top>
        <bottom style="thin">
          <color indexed="64"/>
        </bottom>
        <vertical/>
        <horizontal/>
      </border>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style="medium">
          <color indexed="64"/>
        </right>
        <top/>
        <bottom style="medium">
          <color indexed="64"/>
        </bottom>
      </border>
    </dxf>
    <dxf>
      <font>
        <b val="0"/>
        <i val="0"/>
        <strike val="0"/>
        <condense val="0"/>
        <extend val="0"/>
        <outline val="0"/>
        <shadow val="0"/>
        <u val="none"/>
        <vertAlign val="baseline"/>
        <sz val="10"/>
        <color auto="1"/>
        <name val="Calibri"/>
        <scheme val="minor"/>
      </font>
      <border diagonalUp="0" diagonalDown="0">
        <left style="thin">
          <color indexed="64"/>
        </left>
        <right style="medium">
          <color indexed="64"/>
        </right>
        <top style="thin">
          <color indexed="64"/>
        </top>
        <bottom style="thin">
          <color indexed="64"/>
        </bottom>
        <vertical/>
        <horizontal/>
      </border>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style="medium">
          <color indexed="64"/>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top/>
        <bottom style="medium">
          <color indexed="64"/>
        </bottom>
      </border>
    </dxf>
    <dxf>
      <font>
        <b val="0"/>
        <i val="0"/>
        <strike val="0"/>
        <condense val="0"/>
        <extend val="0"/>
        <outline val="0"/>
        <shadow val="0"/>
        <u val="none"/>
        <vertAlign val="baseline"/>
        <sz val="10"/>
        <color auto="1"/>
        <name val="Calibri"/>
        <scheme val="minor"/>
      </font>
      <numFmt numFmtId="167" formatCode="_(&quot;$&quot;* #,##0.00_);_(&quot;$&quot;* \(#,##0.00\);_(&quot;$&quot;* &quot;-&quot;??_);_(@_)"/>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numFmt numFmtId="167" formatCode="_(&quot;$&quot;* #,##0.00_);_(&quot;$&quot;* \(#,##0.00\);_(&quot;$&quot;* &quot;-&quot;??_);_(@_)"/>
      <border diagonalUp="0" diagonalDown="0" outline="0">
        <left style="thin">
          <color indexed="64"/>
        </left>
        <right/>
        <top/>
        <bottom style="medium">
          <color indexed="64"/>
        </bottom>
      </border>
    </dxf>
    <dxf>
      <font>
        <b val="0"/>
        <i val="0"/>
        <strike val="0"/>
        <condense val="0"/>
        <extend val="0"/>
        <outline val="0"/>
        <shadow val="0"/>
        <u val="none"/>
        <vertAlign val="baseline"/>
        <sz val="10"/>
        <color auto="1"/>
        <name val="Calibri"/>
        <scheme val="minor"/>
      </font>
    </dxf>
    <dxf>
      <font>
        <b/>
        <i val="0"/>
        <strike val="0"/>
        <condense val="0"/>
        <extend val="0"/>
        <outline val="0"/>
        <shadow val="0"/>
        <u val="none"/>
        <vertAlign val="baseline"/>
        <sz val="12"/>
        <color auto="1"/>
        <name val="Calibri"/>
        <family val="2"/>
        <scheme val="minor"/>
      </font>
      <alignment horizontal="right" vertical="bottom" textRotation="0" wrapText="0" indent="0" justifyLastLine="0" shrinkToFit="0" readingOrder="0"/>
      <border diagonalUp="0" diagonalDown="0" outline="0">
        <left style="medium">
          <color indexed="64"/>
        </left>
        <right/>
        <top/>
        <bottom style="medium">
          <color indexed="64"/>
        </bottom>
      </border>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0"/>
        <color auto="1"/>
        <name val="Calibri"/>
        <scheme val="minor"/>
      </font>
    </dxf>
    <dxf>
      <border outline="0">
        <bottom style="thin">
          <color indexed="64"/>
        </bottom>
      </border>
    </dxf>
    <dxf>
      <font>
        <b/>
        <i val="0"/>
        <strike val="0"/>
        <condense val="0"/>
        <extend val="0"/>
        <outline val="0"/>
        <shadow val="0"/>
        <u val="none"/>
        <vertAlign val="baseline"/>
        <sz val="10"/>
        <color auto="1"/>
        <name val="Humanst521 BT"/>
        <scheme val="none"/>
      </font>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Arial"/>
        <family val="2"/>
        <scheme val="none"/>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family val="2"/>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family val="2"/>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rgb="FFFF0000"/>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alignment horizontal="right" vertical="bottom"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indexed="64"/>
          <bgColor theme="1"/>
        </patternFill>
      </fill>
      <border diagonalUp="0" diagonalDown="0" outline="0">
        <left style="thin">
          <color auto="1"/>
        </left>
        <right style="thin">
          <color auto="1"/>
        </right>
        <top/>
        <bottom/>
      </border>
    </dxf>
    <dxf>
      <font>
        <b val="0"/>
        <i val="0"/>
        <strike val="0"/>
        <condense val="0"/>
        <extend val="0"/>
        <outline val="0"/>
        <shadow val="0"/>
        <u val="none"/>
        <vertAlign val="baseline"/>
        <sz val="10"/>
        <color auto="1"/>
        <name val="Calibri"/>
        <family val="2"/>
        <scheme val="minor"/>
      </font>
      <numFmt numFmtId="167" formatCode="_(&quot;$&quot;* #,##0.00_);_(&quot;$&quot;* \(#,##0.00\);_(&quot;$&quot;* &quot;-&quot;??_);_(@_)"/>
    </dxf>
    <dxf>
      <numFmt numFmtId="167" formatCode="_(&quot;$&quot;* #,##0.00_);_(&quot;$&quot;* \(#,##0.00\);_(&quot;$&quot;* &quot;-&quot;??_);_(@_)"/>
    </dxf>
    <dxf>
      <font>
        <b val="0"/>
        <i val="0"/>
        <strike val="0"/>
        <condense val="0"/>
        <extend val="0"/>
        <outline val="0"/>
        <shadow val="0"/>
        <u val="none"/>
        <vertAlign val="baseline"/>
        <sz val="10"/>
        <color auto="1"/>
        <name val="Calibri"/>
        <family val="2"/>
        <scheme val="minor"/>
      </font>
    </dxf>
    <dxf>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rgb="FFFF0000"/>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family val="2"/>
        <scheme val="minor"/>
      </font>
      <numFmt numFmtId="167" formatCode="_(&quot;$&quot;* #,##0.00_);_(&quot;$&quot;* \(#,##0.00\);_(&quot;$&quot;* &quot;-&quot;??_);_(@_)"/>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rgb="FFFF0000"/>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alignment horizontal="right" vertical="bottom"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indexed="64"/>
          <bgColor theme="1"/>
        </patternFill>
      </fill>
      <border diagonalUp="0" diagonalDown="0" outline="0">
        <left style="thin">
          <color auto="1"/>
        </left>
        <right style="thin">
          <color auto="1"/>
        </right>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rgb="FFFF0000"/>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alignment horizontal="right" vertical="bottom"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indexed="64"/>
          <bgColor theme="1"/>
        </patternFill>
      </fill>
      <border diagonalUp="0" diagonalDown="0" outline="0">
        <left style="thin">
          <color auto="1"/>
        </left>
        <right style="thin">
          <color auto="1"/>
        </right>
        <top/>
        <bottom/>
      </border>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rgb="FFFF0000"/>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Calibri"/>
        <scheme val="minor"/>
      </font>
      <numFmt numFmtId="167" formatCode="_(&quot;$&quot;* #,##0.00_);_(&quot;$&quot;* \(#,##0.00\);_(&quot;$&quot;* &quot;-&quot;??_);_(@_)"/>
      <fill>
        <patternFill patternType="none">
          <fgColor indexed="64"/>
          <bgColor indexed="65"/>
        </patternFill>
      </fill>
    </dxf>
    <dxf>
      <font>
        <b val="0"/>
        <i val="0"/>
        <strike val="0"/>
        <condense val="0"/>
        <extend val="0"/>
        <outline val="0"/>
        <shadow val="0"/>
        <u val="none"/>
        <vertAlign val="baseline"/>
        <sz val="10"/>
        <color auto="1"/>
        <name val="Arial"/>
        <scheme val="none"/>
      </font>
    </dxf>
    <dxf>
      <font>
        <b/>
        <i val="0"/>
        <color theme="0"/>
      </font>
      <fill>
        <patternFill>
          <bgColor theme="0" tint="-0.499984740745262"/>
        </patternFill>
      </fill>
      <border>
        <left style="double">
          <color auto="1"/>
        </left>
        <right style="double">
          <color auto="1"/>
        </right>
        <top style="double">
          <color auto="1"/>
        </top>
        <bottom style="double">
          <color auto="1"/>
        </bottom>
        <vertical/>
        <horizontal/>
      </border>
    </dxf>
    <dxf>
      <fill>
        <patternFill>
          <bgColor theme="0" tint="-0.14996795556505021"/>
        </patternFill>
      </fill>
    </dxf>
    <dxf>
      <font>
        <b val="0"/>
        <i val="0"/>
        <u val="none"/>
        <color theme="0"/>
      </font>
    </dxf>
    <dxf>
      <font>
        <color theme="0"/>
      </font>
      <fill>
        <patternFill>
          <bgColor theme="1"/>
        </patternFill>
      </fill>
      <border diagonalUp="0" diagonalDown="0">
        <left style="medium">
          <color auto="1"/>
        </left>
        <right style="medium">
          <color auto="1"/>
        </right>
        <top style="medium">
          <color auto="1"/>
        </top>
        <bottom style="medium">
          <color auto="1"/>
        </bottom>
        <vertical style="medium">
          <color theme="0"/>
        </vertical>
        <horizontal style="medium">
          <color theme="0"/>
        </horizontal>
      </border>
    </dxf>
    <dxf>
      <font>
        <strike val="0"/>
        <u val="none"/>
        <color theme="0"/>
      </font>
      <fill>
        <patternFill>
          <bgColor theme="1" tint="0.499984740745262"/>
        </patternFill>
      </fill>
    </dxf>
    <dxf>
      <font>
        <b/>
        <i val="0"/>
      </font>
      <border diagonalUp="0" diagonalDown="0">
        <left style="medium">
          <color auto="1"/>
        </left>
        <right style="medium">
          <color auto="1"/>
        </right>
        <top style="medium">
          <color auto="1"/>
        </top>
        <bottom style="medium">
          <color auto="1"/>
        </bottom>
        <vertical/>
        <horizontal/>
      </border>
    </dxf>
    <dxf>
      <font>
        <b/>
        <i val="0"/>
        <color theme="0"/>
      </font>
      <fill>
        <patternFill>
          <bgColor theme="1"/>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2" defaultTableStyle="TableStyleMedium2" defaultPivotStyle="PivotStyleLight16">
    <tableStyle name="Feds Budget" pivot="0" count="8" xr9:uid="{00000000-0011-0000-FFFF-FFFF00000000}">
      <tableStyleElement type="wholeTable" dxfId="3729"/>
      <tableStyleElement type="headerRow" dxfId="3728"/>
      <tableStyleElement type="totalRow" dxfId="3727"/>
      <tableStyleElement type="firstColumn" dxfId="3726"/>
      <tableStyleElement type="lastColumn" dxfId="3725"/>
      <tableStyleElement type="firstRowStripe" dxfId="3724"/>
      <tableStyleElement type="firstColumnStripe" dxfId="3723"/>
      <tableStyleElement type="lastTotalCell" dxfId="3722"/>
    </tableStyle>
    <tableStyle name="Table Style 1" pivot="0" count="0" xr9:uid="{00000000-0011-0000-FFFF-FFFF01000000}"/>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7C80"/>
      <color rgb="FFE6B121"/>
      <color rgb="FFFF505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eetMetadata" Target="metadata.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1</c:v>
              </c:pt>
            </c:numLit>
          </c:val>
          <c:smooth val="0"/>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0-A8BF-4E05-94ED-FC1D600C2BB3}"/>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Lit>
              <c:formatCode>General</c:formatCode>
              <c:ptCount val="1"/>
              <c:pt idx="0">
                <c:v>1</c:v>
              </c:pt>
            </c:numLit>
          </c:val>
          <c:smooth val="0"/>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1-A8BF-4E05-94ED-FC1D600C2BB3}"/>
            </c:ext>
          </c:extLst>
        </c:ser>
        <c:dLbls>
          <c:showLegendKey val="0"/>
          <c:showVal val="0"/>
          <c:showCatName val="0"/>
          <c:showSerName val="0"/>
          <c:showPercent val="0"/>
          <c:showBubbleSize val="0"/>
        </c:dLbls>
        <c:marker val="1"/>
        <c:smooth val="0"/>
        <c:axId val="128628224"/>
        <c:axId val="128630144"/>
      </c:lineChart>
      <c:catAx>
        <c:axId val="12862822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28630144"/>
        <c:crosses val="autoZero"/>
        <c:auto val="1"/>
        <c:lblAlgn val="ctr"/>
        <c:lblOffset val="100"/>
        <c:tickLblSkip val="5"/>
        <c:tickMarkSkip val="1"/>
        <c:noMultiLvlLbl val="0"/>
      </c:catAx>
      <c:valAx>
        <c:axId val="12863014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2862822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50</xdr:row>
      <xdr:rowOff>0</xdr:rowOff>
    </xdr:from>
    <xdr:to>
      <xdr:col>0</xdr:col>
      <xdr:colOff>0</xdr:colOff>
      <xdr:row>68</xdr:row>
      <xdr:rowOff>133350</xdr:rowOff>
    </xdr:to>
    <xdr:graphicFrame macro="">
      <xdr:nvGraphicFramePr>
        <xdr:cNvPr id="2597903" name="Chart 3">
          <a:extLst>
            <a:ext uri="{FF2B5EF4-FFF2-40B4-BE49-F238E27FC236}">
              <a16:creationId xmlns:a16="http://schemas.microsoft.com/office/drawing/2014/main" id="{00000000-0008-0000-2600-00000FA42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tth\Downloads\FY2022%20Budget%20Working%20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ds 2020-21"/>
      <sheetName val="Summary of Operations"/>
      <sheetName val="Gen. Operating Budget Summary"/>
      <sheetName val="Governance Portfolio"/>
      <sheetName val="President (30100)"/>
      <sheetName val="Student Gov (31100)"/>
      <sheetName val="RPO (31200)"/>
      <sheetName val="Elections (31300)"/>
      <sheetName val="Student Life Portfolio"/>
      <sheetName val="VP Student Life (20100)"/>
      <sheetName val="Equity Commissioner (20200)"/>
      <sheetName val="Orientation (32101)"/>
      <sheetName val="Director of Campus Life (21100)"/>
      <sheetName val="Services Manager (24100)"/>
      <sheetName val="Clubs (23100)"/>
      <sheetName val="CRT (24300)"/>
      <sheetName val="FoodBank (24500)"/>
      <sheetName val="Glow (24600)"/>
      <sheetName val="WSP (24900)"/>
      <sheetName val="Off Campus Community (24800)"/>
      <sheetName val="Womens Centre (25100)"/>
      <sheetName val="Bike Centre (24200)"/>
      <sheetName val="ICSN (24700)"/>
      <sheetName val="Co-op Connection (24400)"/>
      <sheetName val="Volunteer Centre (25000)"/>
      <sheetName val="Warrior Tribe (25200)"/>
      <sheetName val="Mates (25300)"/>
      <sheetName val="RAISE (25400)"/>
      <sheetName val="CAPS (TBD)"/>
      <sheetName val="Special Events (22000)"/>
      <sheetName val="Education &amp; Advocacy Portfolio"/>
      <sheetName val="VP Education (40100)"/>
      <sheetName val="Academic Affairs (41100)"/>
      <sheetName val="Government Affairs (41200)"/>
      <sheetName val="Local Affairs (41300)"/>
      <sheetName val="OUSA (41400)"/>
      <sheetName val="SRO (41500)"/>
      <sheetName val="Operations &amp; Finance Portfolio"/>
      <sheetName val="VP Ops &amp; Finance (10100)"/>
      <sheetName val="Dir Ops &amp; Dev (11100)"/>
      <sheetName val="Summary of Ops &amp; Facilities"/>
      <sheetName val="FUB Budget (11200)"/>
      <sheetName val="INews (11300)"/>
      <sheetName val="Caffeine Dispensary (11400)"/>
      <sheetName val="Makers Kitchen (11600)"/>
      <sheetName val="SLC (15000)"/>
      <sheetName val="General Office (13000)"/>
      <sheetName val="General Office (OLD)"/>
      <sheetName val="IT (14000)"/>
      <sheetName val="IT Repair &amp; Maintenance"/>
      <sheetName val="IT Subscription &amp; Support"/>
      <sheetName val="IT Capital Assets"/>
      <sheetName val="Summary of Comms &amp; SR"/>
      <sheetName val="Director of Comms &amp; SR (TBD)"/>
      <sheetName val="Marketing General (16100)"/>
      <sheetName val="Communications (16200)"/>
      <sheetName val="Handbook (16300)"/>
      <sheetName val="Marketing - Advocacy (16400)"/>
      <sheetName val="Marketing -CL (16500)"/>
      <sheetName val="Marketing - Ops &amp; Fac (16600)"/>
      <sheetName val="Stakeholder Relations (41500)"/>
      <sheetName val="Research (31200)"/>
      <sheetName val="VPOF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1">
          <cell r="W11">
            <v>50060.76</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persons/person.xml><?xml version="1.0" encoding="utf-8"?>
<personList xmlns="http://schemas.microsoft.com/office/spreadsheetml/2018/threadedcomments" xmlns:x="http://schemas.openxmlformats.org/spreadsheetml/2006/main">
  <person displayName="Kanan Sharma" id="{642D14E0-D04F-4E08-8DE0-D0CF0097112C}" userId="0ce37277fc0aae0e" providerId="Windows Live"/>
  <person displayName="Matthew Schwarze" id="{730E81F1-2E7C-4D15-9CDE-B3809FDC8FBC}" userId="Matthew Schwarze" providerId="None"/>
  <person displayName="Matthew Schwarze" id="{5AF42EDC-456C-42C7-A455-2D429DCBEF09}" userId="a00e8f5ab53ed364" providerId="Windows Live"/>
  <person displayName="Alana Christi Guevara" id="{B29B5E18-B520-4424-B336-5BEEF884B1DE}" userId="Alana Christi Guevara" providerId="None"/>
  <person displayName="WUSA Sustainability Project" id="{E72885B1-6139-4B8F-BE6D-B3BF3C51CAF7}" userId="S::wsp@wusa.ca::80e3e223-5162-44a0-a0c6-83496ce2243b" providerId="AD"/>
  <person displayName="Lauren Ewen" id="{E5F38187-0B36-4B0F-829E-B395C1C77CC2}" userId="S::laewen@wusa.ca::d448c107-7a9c-4f75-a2d6-cbe1fe03b265" providerId="AD"/>
  <person displayName="Catherine Dong" id="{5CC599DE-3599-4F8D-96E7-FA57DA3C5A49}" userId="S::c36dong@wusa.ca::01b506be-7968-4bb4-986c-9e8bd6fd4614" providerId="AD"/>
  <person displayName="Stephanie Ye-Mowe" id="{51A6900A-60F6-400C-BE33-ACA3DEBBFA84}" userId="S::syemowe@wusa.ca::9ace3e18-116d-4027-854f-bb18d398bb77" providerId="AD"/>
  <person displayName="Alana Guevara" id="{F3639006-9480-48D9-8513-9C0DEAF27A68}" userId="S::acguevar@wusa.ca::36844bb8-939b-49ca-8184-e346228b744b" providerId="AD"/>
  <person displayName="Jill Knight" id="{04AC0C54-6C17-4FC3-9999-FEC6EC5E4D42}" userId="S::jlknight@wusa.ca::c6961f78-e51d-4816-9bfd-e9a84e9df20e" providerId="AD"/>
  <person displayName="Kierra Young" id="{E4966502-1DB9-4B7E-A58F-9AA9522E0B26}" userId="S::k23young@wusa.ca::51b50fb1-e500-4b2c-8afc-8f6ead840264" providerId="AD"/>
  <person displayName="Karl Kliewer" id="{F52E28C9-39AB-4644-BEB4-9016592CA751}" userId="S::kkliewer@wusa.ca::863dfe65-f6bf-43e9-b694-bde8f34e5002" providerId="AD"/>
  <person displayName="Michael Cimetta" id="{D40A569D-7686-4FE9-9841-37BC57376F13}" userId="S::mcimetta@wusa.ca::203f976e-35d9-4c6c-a0b5-396e60071e92" providerId="AD"/>
  <person displayName="Matthew Schwarze" id="{32E913AF-5B0C-4376-B751-B7F8BC8D21F0}" userId="S::mnschwar@wusa.ca::9ebeabdf-2eb8-49a2-970e-650cdb245233" providerId="AD"/>
  <person displayName="Suzanne Burdett" id="{3453AA76-169F-493D-9F82-486F7EC1AEE3}" userId="S::sburdett@wusa.ca::71eaddaa-b4b7-4502-bbe7-663e789c6152" providerId="AD"/>
  <person displayName="Women's Centre - Jennifer" id="{2CD19FEC-726B-48C2-849B-C73F59134AC7}" userId="S::womenscentre2@wusa.ca::257d7cff-1d8e-4457-8177-b106a04bf442" providerId="AD"/>
  <person displayName="Services Support" id="{3B015A8A-4B6A-495F-AACC-12D25313F00E}" userId="S::services.support@wusa.ca::f8e50be0-6f60-4469-b72b-f3436689606e"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00000000}" name="SummaryRevenues" displayName="SummaryRevenues" ref="A3:N7" totalsRowCount="1" headerRowDxfId="3721">
  <tableColumns count="14">
    <tableColumn id="1" xr3:uid="{00000000-0010-0000-0000-000001000000}" name="Revenues (Feds Fee)" totalsRowLabel="Total"/>
    <tableColumn id="2" xr3:uid="{00000000-0010-0000-0000-000002000000}" name="Budget 13/14" totalsRowFunction="sum" dataDxfId="3720" dataCellStyle="Currency 2"/>
    <tableColumn id="3" xr3:uid="{00000000-0010-0000-0000-000003000000}" name="Actual 13/14" totalsRowFunction="sum" dataDxfId="3719" dataCellStyle="Currency 2"/>
    <tableColumn id="4" xr3:uid="{00000000-0010-0000-0000-000004000000}" name="Budget 14/15" totalsRowFunction="sum" dataDxfId="3718" dataCellStyle="Currency 2"/>
    <tableColumn id="5" xr3:uid="{00000000-0010-0000-0000-000005000000}" name="Actual 14/15" totalsRowFunction="sum" dataDxfId="3717" dataCellStyle="Currency 2"/>
    <tableColumn id="6" xr3:uid="{00000000-0010-0000-0000-000006000000}" name="Budget 15/16" totalsRowFunction="sum" dataDxfId="3716" dataCellStyle="Currency 2"/>
    <tableColumn id="7" xr3:uid="{00000000-0010-0000-0000-000007000000}" name="Actual 15/16" totalsRowFunction="sum" dataDxfId="3715" dataCellStyle="Currency 2"/>
    <tableColumn id="8" xr3:uid="{00000000-0010-0000-0000-000008000000}" name="Budget 16/17" totalsRowFunction="sum" dataDxfId="3714" dataCellStyle="Currency 2"/>
    <tableColumn id="9" xr3:uid="{00000000-0010-0000-0000-000009000000}" name="Actual 16/17" totalsRowFunction="sum" dataDxfId="3713" dataCellStyle="Currency 2"/>
    <tableColumn id="10" xr3:uid="{00000000-0010-0000-0000-00000A000000}" name="Budget 17/18" totalsRowFunction="sum" dataDxfId="3712" dataCellStyle="Currency 2"/>
    <tableColumn id="11" xr3:uid="{00000000-0010-0000-0000-00000B000000}" name="Actual 17/18" totalsRowFunction="sum" dataDxfId="3711" dataCellStyle="Currency 2"/>
    <tableColumn id="12" xr3:uid="{00000000-0010-0000-0000-00000C000000}" name="Budget 18/19" totalsRowFunction="custom" dataDxfId="3710" dataCellStyle="Currency 2">
      <totalsRowFormula>L4+L6</totalsRowFormula>
    </tableColumn>
    <tableColumn id="13" xr3:uid="{00000000-0010-0000-0000-00000D000000}" name="Budget 19/20" dataDxfId="3709" dataCellStyle="Currency"/>
    <tableColumn id="14" xr3:uid="{00000000-0010-0000-0000-00000E000000}" name="Budget 20/21" dataDxfId="3708" dataCellStyle="Currency"/>
  </tableColumns>
  <tableStyleInfo name="Feds Budget" showFirstColumn="0" showLastColumn="0" showRowStripes="0" showColumnStripes="1"/>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A000000}" name="StudentGovernmentRevenues" displayName="StudentGovernmentRevenues" ref="B4:AA6" totalsRowCount="1" headerRowDxfId="3422" dataDxfId="3421" dataCellStyle="Currency 2">
  <tableColumns count="26">
    <tableColumn id="1" xr3:uid="{00000000-0010-0000-0A00-000001000000}" name="Revenues" totalsRowLabel="Total" totalsRowDxfId="3420"/>
    <tableColumn id="2" xr3:uid="{00000000-0010-0000-0A00-000002000000}" name="Budget 10/11" totalsRowFunction="sum" totalsRowDxfId="3419" dataCellStyle="Currency 2"/>
    <tableColumn id="3" xr3:uid="{00000000-0010-0000-0A00-000003000000}" name="Actual 10/11" totalsRowFunction="sum" totalsRowDxfId="3418" dataCellStyle="Currency 2"/>
    <tableColumn id="4" xr3:uid="{00000000-0010-0000-0A00-000004000000}" name="Budget 11/12" totalsRowFunction="sum" totalsRowDxfId="3417" dataCellStyle="Currency 2"/>
    <tableColumn id="5" xr3:uid="{00000000-0010-0000-0A00-000005000000}" name="Actual 11/12" totalsRowFunction="sum" totalsRowDxfId="3416" dataCellStyle="Currency 2"/>
    <tableColumn id="6" xr3:uid="{00000000-0010-0000-0A00-000006000000}" name="Budget 12/13" totalsRowFunction="sum" totalsRowDxfId="3415" dataCellStyle="Currency 2"/>
    <tableColumn id="7" xr3:uid="{00000000-0010-0000-0A00-000007000000}" name="Actual 12/13" totalsRowFunction="sum" totalsRowDxfId="3414" dataCellStyle="Currency 2"/>
    <tableColumn id="8" xr3:uid="{00000000-0010-0000-0A00-000008000000}" name="Budget 13/14" totalsRowFunction="sum" totalsRowDxfId="3413" dataCellStyle="Currency 2"/>
    <tableColumn id="9" xr3:uid="{00000000-0010-0000-0A00-000009000000}" name="Actual 13/14" totalsRowFunction="sum" totalsRowDxfId="3412" dataCellStyle="Currency 2"/>
    <tableColumn id="10" xr3:uid="{00000000-0010-0000-0A00-00000A000000}" name="Budget 14/15" totalsRowFunction="sum" totalsRowDxfId="3411" dataCellStyle="Currency 2"/>
    <tableColumn id="11" xr3:uid="{00000000-0010-0000-0A00-00000B000000}" name="Actual 14/15" totalsRowFunction="sum" totalsRowDxfId="3410" dataCellStyle="Currency 2"/>
    <tableColumn id="12" xr3:uid="{00000000-0010-0000-0A00-00000C000000}" name="Budget 15/16" totalsRowFunction="sum" totalsRowDxfId="3409" dataCellStyle="Currency 2"/>
    <tableColumn id="13" xr3:uid="{00000000-0010-0000-0A00-00000D000000}" name="Actual 15/16" totalsRowFunction="sum" totalsRowDxfId="3408" dataCellStyle="Currency 2"/>
    <tableColumn id="14" xr3:uid="{00000000-0010-0000-0A00-00000E000000}" name="Budget 16/17" totalsRowFunction="sum" totalsRowDxfId="3407" dataCellStyle="Currency 2"/>
    <tableColumn id="15" xr3:uid="{00000000-0010-0000-0A00-00000F000000}" name="Actual 16/17" totalsRowDxfId="3406" dataCellStyle="Currency 2"/>
    <tableColumn id="16" xr3:uid="{00000000-0010-0000-0A00-000010000000}" name="Budget 17/18" totalsRowDxfId="3405" dataCellStyle="Currency 2"/>
    <tableColumn id="17" xr3:uid="{00000000-0010-0000-0A00-000011000000}" name="Actual 17/18" totalsRowDxfId="3404" dataCellStyle="Currency 2"/>
    <tableColumn id="18" xr3:uid="{00000000-0010-0000-0A00-000012000000}" name="Budget 18/19" totalsRowDxfId="3403" dataCellStyle="Currency 2"/>
    <tableColumn id="21" xr3:uid="{00000000-0010-0000-0A00-000015000000}" name="Actual 18/19" dataDxfId="3402" totalsRowDxfId="3401" dataCellStyle="Currency 2"/>
    <tableColumn id="19" xr3:uid="{00000000-0010-0000-0A00-000013000000}" name="Budget 19/20" totalsRowFunction="custom" totalsRowDxfId="3400" dataCellStyle="Currency">
      <totalsRowFormula>StudentGovernmentRevenues[Budget 19/20]</totalsRowFormula>
    </tableColumn>
    <tableColumn id="22" xr3:uid="{8C8D07C1-6467-4F73-B5DC-DC7BB2975E49}" name="Actual P12 19/20" dataDxfId="3399" totalsRowDxfId="3398" dataCellStyle="Currency 2"/>
    <tableColumn id="20" xr3:uid="{00000000-0010-0000-0A00-000014000000}" name="Budget 20/21" totalsRowFunction="custom" dataDxfId="3397" totalsRowDxfId="3396" dataCellStyle="Currency 2">
      <totalsRowFormula>StudentGovernmentRevenues[Budget 20/21]</totalsRowFormula>
    </tableColumn>
    <tableColumn id="23" xr3:uid="{64E2DE1C-502E-48D2-A8AC-ED3E855A0ED3}" name="Actual 20/21" totalsRowFunction="custom" dataDxfId="3395" totalsRowDxfId="3394" dataCellStyle="Currency 2">
      <totalsRowFormula>StudentGovernmentRevenues[Actual 20/21]</totalsRowFormula>
    </tableColumn>
    <tableColumn id="24" xr3:uid="{352C0228-11EE-42E0-9822-28FCF1BF06ED}" name="Budget 21/22" totalsRowFunction="custom" dataDxfId="3393" totalsRowDxfId="3392" dataCellStyle="Currency 2">
      <totalsRowFormula>StudentGovernmentRevenues[Budget 21/22]</totalsRowFormula>
    </tableColumn>
    <tableColumn id="25" xr3:uid="{9109E13F-206A-4009-911B-5A3B72F0640A}" name="Actual 21/22" dataDxfId="3391" totalsRowDxfId="3390" dataCellStyle="Currency 2"/>
    <tableColumn id="26" xr3:uid="{3B9822A9-6B4B-4A0F-B6D5-460CA82052A4}" name="Budget 22/23" dataDxfId="3389" totalsRowDxfId="3388" dataCellStyle="Currency 2"/>
  </tableColumns>
  <tableStyleInfo name="Feds Budget" showFirstColumn="0" showLastColumn="0" showRowStripes="0" showColumnStripes="1"/>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4000000}" name="SocietyRelationsExpenses" displayName="SocietyRelationsExpenses" ref="B8:H15" totalsRowCount="1" headerRowDxfId="55" dataDxfId="54" totalsRowDxfId="52" tableBorderDxfId="53">
  <tableColumns count="7">
    <tableColumn id="1" xr3:uid="{00000000-0010-0000-1400-000001000000}" name="Expenses" totalsRowLabel="Total" dataDxfId="51" totalsRowDxfId="50" dataCellStyle="Normal 2 2"/>
    <tableColumn id="2" xr3:uid="{00000000-0010-0000-1400-000002000000}" name="Budget 15/16" totalsRowFunction="sum" dataDxfId="49" totalsRowDxfId="48" dataCellStyle="Currency 2 2 2"/>
    <tableColumn id="3" xr3:uid="{00000000-0010-0000-1400-000003000000}" name="Actual 15/16" totalsRowFunction="sum" dataDxfId="47" totalsRowDxfId="46" dataCellStyle="Currency 2 2 2"/>
    <tableColumn id="4" xr3:uid="{00000000-0010-0000-1400-000004000000}" name="Budget 16/17" totalsRowFunction="sum" dataDxfId="45" totalsRowDxfId="44" dataCellStyle="Currency 2 2 2"/>
    <tableColumn id="5" xr3:uid="{00000000-0010-0000-1400-000005000000}" name="Actual 16/17" totalsRowFunction="sum" dataDxfId="43" totalsRowDxfId="42" dataCellStyle="Currency 2 2 2"/>
    <tableColumn id="6" xr3:uid="{00000000-0010-0000-1400-000006000000}" name="Budget 17/18" totalsRowFunction="sum" dataDxfId="41" totalsRowDxfId="40" dataCellStyle="Currency 2 2 2"/>
    <tableColumn id="7" xr3:uid="{00000000-0010-0000-1400-000007000000}" name="Actual 17/18" totalsRowFunction="sum" dataDxfId="39" totalsRowDxfId="38" dataCellStyle="Currency 2 2 2"/>
  </tableColumns>
  <tableStyleInfo name="Feds Budget" showFirstColumn="0" showLastColumn="0" showRowStripes="0" showColumnStripes="1"/>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5000000}" name="SocietyRelationsRevenues" displayName="SocietyRelationsRevenues" ref="B4:P6" totalsRowCount="1" headerRowDxfId="37" headerRowCellStyle="Normal 2 2">
  <tableColumns count="15">
    <tableColumn id="1" xr3:uid="{00000000-0010-0000-1500-000001000000}" name="Revenues" totalsRowLabel="Total" dataDxfId="36" totalsRowDxfId="35" dataCellStyle="Normal 2 2"/>
    <tableColumn id="2" xr3:uid="{00000000-0010-0000-1500-000002000000}" name="Budget 15/16" totalsRowFunction="sum" dataDxfId="34" totalsRowDxfId="33" dataCellStyle="Normal 2 2"/>
    <tableColumn id="3" xr3:uid="{00000000-0010-0000-1500-000003000000}" name="Actual 15/16" totalsRowFunction="sum" dataDxfId="32" totalsRowDxfId="31" dataCellStyle="Normal 2 2"/>
    <tableColumn id="4" xr3:uid="{00000000-0010-0000-1500-000004000000}" name="Budget 16/17" totalsRowFunction="sum" dataDxfId="30" totalsRowDxfId="29" dataCellStyle="Normal 2 2"/>
    <tableColumn id="5" xr3:uid="{00000000-0010-0000-1500-000005000000}" name="Actual 16/17" dataDxfId="28" dataCellStyle="Normal 2 2"/>
    <tableColumn id="6" xr3:uid="{00000000-0010-0000-1500-000006000000}" name="Budget 17/18" dataDxfId="27" dataCellStyle="Normal 2 2"/>
    <tableColumn id="7" xr3:uid="{00000000-0010-0000-1500-000007000000}" name="Actual 17/18" dataDxfId="26" dataCellStyle="Normal 2 2"/>
    <tableColumn id="8" xr3:uid="{00000000-0010-0000-1500-000008000000}" name="Budget 18/19" dataDxfId="25" dataCellStyle="Normal 2 2"/>
    <tableColumn id="9" xr3:uid="{00000000-0010-0000-1500-000009000000}" name="Budget 19/20" dataDxfId="24" dataCellStyle="Normal 2 2"/>
    <tableColumn id="11" xr3:uid="{7CC15062-EEA8-473E-BC92-D7CAF83BBB67}" name="Actual P12 19/20" dataDxfId="23" dataCellStyle="Normal 2 2"/>
    <tableColumn id="10" xr3:uid="{00000000-0010-0000-1500-00000A000000}" name="Budget 20/21" dataDxfId="22" dataCellStyle="Normal 2 2"/>
    <tableColumn id="12" xr3:uid="{69A31E6C-97D5-4B83-B91D-79258DBDB03E}" name="Actual 20/21" dataDxfId="21" dataCellStyle="Normal 2 2"/>
    <tableColumn id="13" xr3:uid="{D46225F0-BBAE-469A-A36E-D518D9D646E1}" name="Budget 21/22" dataDxfId="20" dataCellStyle="Normal 2 2"/>
    <tableColumn id="14" xr3:uid="{75B9F63F-AF22-483E-B04F-2FF9661CBACE}" name="Actual 21/22" dataDxfId="19" dataCellStyle="Normal 2 2"/>
    <tableColumn id="15" xr3:uid="{06517809-1BB2-4205-B69B-4855B5B84D4F}" name="Budget 22/23" dataDxfId="18" dataCellStyle="Normal 2 2"/>
  </tableColumns>
  <tableStyleInfo name="Feds Budget" showFirstColumn="0" showLastColumn="0" showRowStripes="0" showColumnStripes="1"/>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63000000}" name="MarketingGeneralRevenues71801466" displayName="MarketingGeneralRevenues71801466" ref="B3:G5" totalsRowCount="1" headerRowDxfId="17" headerRowCellStyle="Normal 3">
  <tableColumns count="6">
    <tableColumn id="1" xr3:uid="{00000000-0010-0000-6300-000001000000}" name="Revenues" totalsRowLabel="Total" totalsRowDxfId="16" dataCellStyle="Normal 22"/>
    <tableColumn id="3" xr3:uid="{00000000-0010-0000-6300-000003000000}" name="Budget 20/21" totalsRowFunction="sum" dataDxfId="15" totalsRowDxfId="14" dataCellStyle="Normal 22"/>
    <tableColumn id="2" xr3:uid="{F5E64D28-07EC-468F-ACD4-BDB2C0E1F315}" name="Actuals 20/21" totalsRowFunction="sum" totalsRowDxfId="13" dataCellStyle="Normal 2 2"/>
    <tableColumn id="4" xr3:uid="{9291D7B5-8968-47DB-A46C-23F2742D84B3}" name="Budget 21/22" totalsRowFunction="sum" totalsRowDxfId="12" dataCellStyle="Normal 2 2"/>
    <tableColumn id="5" xr3:uid="{19B19E8F-25DA-4982-9E8E-4573034B828E}" name="Actuals 21/22" totalsRowDxfId="11" dataCellStyle="Normal 2 2"/>
    <tableColumn id="6" xr3:uid="{02E59D09-33E6-4633-BB8F-F9021661C0BE}" name="Budget 22/23" totalsRowDxfId="10" dataCellStyle="Normal 2 2"/>
  </tableColumns>
  <tableStyleInfo name="Feds Budget" showFirstColumn="0" showLastColumn="0" showRowStripes="0" showColumnStripes="1"/>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64000000}" name="MarketingGeneralExpenses75811568" displayName="MarketingGeneralExpenses75811568" ref="B7:G20" totalsRowCount="1" headerRowDxfId="9" headerRowCellStyle="Normal 3">
  <tableColumns count="6">
    <tableColumn id="1" xr3:uid="{00000000-0010-0000-6400-000001000000}" name="Expenses" totalsRowLabel="Total" totalsRowDxfId="8" dataCellStyle="Normal 22"/>
    <tableColumn id="2" xr3:uid="{00000000-0010-0000-6400-000002000000}" name="Budget 20/21" totalsRowFunction="sum" dataDxfId="7" totalsRowDxfId="6" dataCellStyle="Normal 22"/>
    <tableColumn id="3" xr3:uid="{37848427-FA99-44A9-BF5F-8E5DC4961CB6}" name="Actuals 20/21" totalsRowFunction="sum" totalsRowDxfId="5" dataCellStyle="Normal 2 2"/>
    <tableColumn id="4" xr3:uid="{68A54C1E-ECAF-44D4-9EDD-64E2504F7CAC}" name="Budget 21/22" totalsRowFunction="sum" dataDxfId="4" totalsRowDxfId="3" dataCellStyle="Currency"/>
    <tableColumn id="5" xr3:uid="{D9B18C45-8AE3-4602-8C2C-DED657694D68}" name="Actuals 21/22" totalsRowFunction="sum" dataDxfId="2" totalsRowDxfId="1" dataCellStyle="Normal 2 2"/>
    <tableColumn id="6" xr3:uid="{E2DFB8D9-C2AE-457C-8944-2DB1D41AFD81}" name="Budget 22/23" totalsRowFunction="custom" totalsRowDxfId="0" dataCellStyle="Normal 2 2">
      <totalsRowFormula>SUM(MarketingGeneralExpenses75811568[Budget 22/23])</totalsRowFormula>
    </tableColumn>
  </tableColumns>
  <tableStyleInfo name="Feds Budget" showFirstColumn="0" showLastColumn="0" showRowStripes="0" showColumnStripes="1"/>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B000000}" name="StudentGovernmentExpenses" displayName="StudentGovernmentExpenses" ref="B9:Q37" totalsRowCount="1" headerRowDxfId="3387" dataDxfId="3386" totalsRowBorderDxfId="3385" dataCellStyle="Currency 2">
  <tableColumns count="16">
    <tableColumn id="1" xr3:uid="{00000000-0010-0000-0B00-000001000000}" name="Expenses" totalsRowLabel="Total" dataDxfId="3384" totalsRowDxfId="3383"/>
    <tableColumn id="2" xr3:uid="{00000000-0010-0000-0B00-000002000000}" name="Budget 10/11" totalsRowFunction="sum" dataDxfId="3382" totalsRowDxfId="3381" dataCellStyle="Currency 2"/>
    <tableColumn id="3" xr3:uid="{00000000-0010-0000-0B00-000003000000}" name="Actual 10/11" totalsRowFunction="sum" dataDxfId="3380" totalsRowDxfId="3379" dataCellStyle="Currency 2"/>
    <tableColumn id="4" xr3:uid="{00000000-0010-0000-0B00-000004000000}" name="Budget 11/12" totalsRowFunction="sum" dataDxfId="3378" totalsRowDxfId="3377" dataCellStyle="Currency 2"/>
    <tableColumn id="5" xr3:uid="{00000000-0010-0000-0B00-000005000000}" name="Actual 11/12" totalsRowFunction="sum" dataDxfId="3376" totalsRowDxfId="3375" dataCellStyle="Currency 2"/>
    <tableColumn id="6" xr3:uid="{00000000-0010-0000-0B00-000006000000}" name="Budget 12/13" totalsRowFunction="sum" dataDxfId="3374" totalsRowDxfId="3373" dataCellStyle="Currency 2"/>
    <tableColumn id="7" xr3:uid="{00000000-0010-0000-0B00-000007000000}" name="Actual 12/13" totalsRowFunction="sum" dataDxfId="3372" totalsRowDxfId="3371" dataCellStyle="Currency 2"/>
    <tableColumn id="8" xr3:uid="{00000000-0010-0000-0B00-000008000000}" name="Budget 13/14" totalsRowFunction="sum" dataDxfId="3370" totalsRowDxfId="3369" dataCellStyle="Currency 2"/>
    <tableColumn id="9" xr3:uid="{00000000-0010-0000-0B00-000009000000}" name="Actual 13/14" totalsRowFunction="sum" dataDxfId="3368" totalsRowDxfId="3367" dataCellStyle="Currency 2"/>
    <tableColumn id="10" xr3:uid="{00000000-0010-0000-0B00-00000A000000}" name="Budget 14/15" totalsRowFunction="sum" dataDxfId="3366" totalsRowDxfId="3365" dataCellStyle="Currency 2"/>
    <tableColumn id="11" xr3:uid="{00000000-0010-0000-0B00-00000B000000}" name="Actual 14/15" totalsRowFunction="sum" dataDxfId="3364" totalsRowDxfId="3363" dataCellStyle="Currency 2"/>
    <tableColumn id="12" xr3:uid="{00000000-0010-0000-0B00-00000C000000}" name="Budget 15/16" totalsRowFunction="sum" dataDxfId="3362" totalsRowDxfId="3361" dataCellStyle="Currency 2"/>
    <tableColumn id="13" xr3:uid="{00000000-0010-0000-0B00-00000D000000}" name="Actual 15/16" totalsRowFunction="sum" dataDxfId="3360" totalsRowDxfId="3359" dataCellStyle="Currency 2"/>
    <tableColumn id="14" xr3:uid="{00000000-0010-0000-0B00-00000E000000}" name="Budget 16/17" totalsRowFunction="sum" dataDxfId="3358" totalsRowDxfId="3357" dataCellStyle="Currency 2"/>
    <tableColumn id="15" xr3:uid="{00000000-0010-0000-0B00-00000F000000}" name="Actual 16/17" totalsRowFunction="custom" dataDxfId="3356" totalsRowDxfId="3355" dataCellStyle="Currency 2">
      <totalsRowFormula>SUM(StudentGovernmentExpenses[Actual 16/17])</totalsRowFormula>
    </tableColumn>
    <tableColumn id="16" xr3:uid="{00000000-0010-0000-0B00-000010000000}" name="Budget 17/18" totalsRowFunction="sum" dataDxfId="3354" totalsRowDxfId="3353" dataCellStyle="Currency 2"/>
  </tableColumns>
  <tableStyleInfo name="Feds Budget" showFirstColumn="0" showLastColumn="0" showRowStripes="0" showColumnStripes="1"/>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0C000000}" name="RPORevenues" displayName="RPORevenues" ref="B4:X6" totalsRowCount="1" headerRowDxfId="3352" dataDxfId="3350" headerRowBorderDxfId="3351" tableBorderDxfId="3349" totalsRowBorderDxfId="3348" headerRowCellStyle="Comma">
  <tableColumns count="23">
    <tableColumn id="1" xr3:uid="{00000000-0010-0000-0C00-000001000000}" name="Revenues" totalsRowLabel="Total" dataDxfId="3347" totalsRowDxfId="3346"/>
    <tableColumn id="2" xr3:uid="{00000000-0010-0000-0C00-000002000000}" name="Budget 10/11" totalsRowFunction="sum" dataDxfId="3345" totalsRowDxfId="3344"/>
    <tableColumn id="3" xr3:uid="{00000000-0010-0000-0C00-000003000000}" name="Actual 10/11" totalsRowFunction="sum" dataDxfId="3343" totalsRowDxfId="3342"/>
    <tableColumn id="4" xr3:uid="{00000000-0010-0000-0C00-000004000000}" name="Budget 11/12" totalsRowFunction="sum" dataDxfId="3341" totalsRowDxfId="3340"/>
    <tableColumn id="5" xr3:uid="{00000000-0010-0000-0C00-000005000000}" name="Actual 11/12" totalsRowFunction="sum" dataDxfId="3339" totalsRowDxfId="3338"/>
    <tableColumn id="6" xr3:uid="{00000000-0010-0000-0C00-000006000000}" name="Budget 12/13" totalsRowFunction="sum" dataDxfId="3337" totalsRowDxfId="3336"/>
    <tableColumn id="7" xr3:uid="{00000000-0010-0000-0C00-000007000000}" name="Actual 12/13" totalsRowFunction="sum" dataDxfId="3335" totalsRowDxfId="3334"/>
    <tableColumn id="8" xr3:uid="{00000000-0010-0000-0C00-000008000000}" name="Budget 13/14" totalsRowFunction="sum" dataDxfId="3333" totalsRowDxfId="3332"/>
    <tableColumn id="9" xr3:uid="{00000000-0010-0000-0C00-000009000000}" name="Actual 13/14" totalsRowFunction="sum" dataDxfId="3331" totalsRowDxfId="3330"/>
    <tableColumn id="10" xr3:uid="{00000000-0010-0000-0C00-00000A000000}" name="Budget 14/15" totalsRowFunction="sum" dataDxfId="3329" totalsRowDxfId="3328"/>
    <tableColumn id="11" xr3:uid="{00000000-0010-0000-0C00-00000B000000}" name="Actual 14/15" totalsRowFunction="sum" dataDxfId="3327" totalsRowDxfId="3326"/>
    <tableColumn id="12" xr3:uid="{00000000-0010-0000-0C00-00000C000000}" name="Budget 15/16" totalsRowFunction="sum" dataDxfId="3325" totalsRowDxfId="3324"/>
    <tableColumn id="13" xr3:uid="{00000000-0010-0000-0C00-00000D000000}" name="Actual 15/16" totalsRowFunction="sum" dataDxfId="3323" totalsRowDxfId="3322"/>
    <tableColumn id="14" xr3:uid="{00000000-0010-0000-0C00-00000E000000}" name="Budget 16/17" totalsRowFunction="sum" dataDxfId="3321" totalsRowDxfId="3320"/>
    <tableColumn id="15" xr3:uid="{00000000-0010-0000-0C00-00000F000000}" name="Actual 16/17" totalsRowFunction="sum" dataDxfId="3319" totalsRowDxfId="3318"/>
    <tableColumn id="16" xr3:uid="{00000000-0010-0000-0C00-000010000000}" name="Budget 17/18" totalsRowFunction="sum" dataDxfId="3317" totalsRowDxfId="3316"/>
    <tableColumn id="17" xr3:uid="{00000000-0010-0000-0C00-000011000000}" name="Actual 17/18" dataDxfId="3315" totalsRowDxfId="3314"/>
    <tableColumn id="18" xr3:uid="{00000000-0010-0000-0C00-000012000000}" name="Budget 18/19" dataDxfId="3313" totalsRowDxfId="3312"/>
    <tableColumn id="21" xr3:uid="{00000000-0010-0000-0C00-000015000000}" name="Actual 18/19" dataDxfId="3311" totalsRowDxfId="3310" dataCellStyle="Currency 2"/>
    <tableColumn id="25" xr3:uid="{8E09B098-2C18-436E-8079-9BE191864D77}" name="Budget 19/20" dataDxfId="3309" totalsRowDxfId="3308" dataCellStyle="Currency 2"/>
    <tableColumn id="19" xr3:uid="{00000000-0010-0000-0C00-000013000000}" name="Actual P12 19/20" dataDxfId="3307" totalsRowDxfId="3306"/>
    <tableColumn id="20" xr3:uid="{00000000-0010-0000-0C00-000014000000}" name="Budget 20/21" dataDxfId="3305" totalsRowDxfId="3304"/>
    <tableColumn id="22" xr3:uid="{4FEB25E9-CF77-4BB0-AEDB-1BD02B9FCAFB}" name="Actual P12 19/202" dataDxfId="3303" totalsRowDxfId="3302"/>
  </tableColumns>
  <tableStyleInfo name="Feds Budget" showFirstColumn="0" showLastColumn="0" showRowStripes="0" showColumnStripes="1"/>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D000000}" name="RPOExpenses" displayName="RPOExpenses" ref="B8:W22" totalsRowCount="1" headerRowDxfId="3301" dataDxfId="3300" dataCellStyle="Currency 2">
  <sortState xmlns:xlrd2="http://schemas.microsoft.com/office/spreadsheetml/2017/richdata2" ref="A9:O19">
    <sortCondition ref="A9:A19"/>
  </sortState>
  <tableColumns count="22">
    <tableColumn id="1" xr3:uid="{00000000-0010-0000-0D00-000001000000}" name="Expenses" totalsRowLabel="Total" dataDxfId="3299" totalsRowDxfId="3298"/>
    <tableColumn id="2" xr3:uid="{00000000-0010-0000-0D00-000002000000}" name="Budget 10/11" totalsRowFunction="sum" dataDxfId="3297" totalsRowDxfId="3296" dataCellStyle="Currency 2"/>
    <tableColumn id="3" xr3:uid="{00000000-0010-0000-0D00-000003000000}" name="Actual 10/11" totalsRowFunction="sum" dataDxfId="3295" totalsRowDxfId="3294" dataCellStyle="Currency 2"/>
    <tableColumn id="4" xr3:uid="{00000000-0010-0000-0D00-000004000000}" name="Budget 11/12" totalsRowFunction="sum" dataDxfId="3293" totalsRowDxfId="3292" dataCellStyle="Currency 2"/>
    <tableColumn id="5" xr3:uid="{00000000-0010-0000-0D00-000005000000}" name="Actual 11/12" totalsRowFunction="sum" dataDxfId="3291" totalsRowDxfId="3290" dataCellStyle="Currency 2"/>
    <tableColumn id="6" xr3:uid="{00000000-0010-0000-0D00-000006000000}" name="Budget 12/13" totalsRowFunction="sum" dataDxfId="3289" totalsRowDxfId="3288" dataCellStyle="Currency 2"/>
    <tableColumn id="7" xr3:uid="{00000000-0010-0000-0D00-000007000000}" name="Actual 12/13" totalsRowFunction="sum" dataDxfId="3287" totalsRowDxfId="3286" dataCellStyle="Currency 2"/>
    <tableColumn id="8" xr3:uid="{00000000-0010-0000-0D00-000008000000}" name="Budget 13/14" totalsRowFunction="sum" dataDxfId="3285" totalsRowDxfId="3284" dataCellStyle="Currency 2"/>
    <tableColumn id="9" xr3:uid="{00000000-0010-0000-0D00-000009000000}" name="Actual 13/14" totalsRowFunction="sum" dataDxfId="3283" totalsRowDxfId="3282" dataCellStyle="Currency 2"/>
    <tableColumn id="10" xr3:uid="{00000000-0010-0000-0D00-00000A000000}" name="Budget 14/15" totalsRowFunction="sum" dataDxfId="3281" totalsRowDxfId="3280" dataCellStyle="Currency 2"/>
    <tableColumn id="11" xr3:uid="{00000000-0010-0000-0D00-00000B000000}" name="Actual 14/15" totalsRowFunction="sum" dataDxfId="3279" totalsRowDxfId="3278" dataCellStyle="Currency 2"/>
    <tableColumn id="12" xr3:uid="{00000000-0010-0000-0D00-00000C000000}" name="Budget 15/16" totalsRowFunction="sum" dataDxfId="3277" totalsRowDxfId="3276" dataCellStyle="Currency 2"/>
    <tableColumn id="13" xr3:uid="{00000000-0010-0000-0D00-00000D000000}" name="Actual 15/16" totalsRowFunction="sum" dataDxfId="3275" totalsRowDxfId="3274" dataCellStyle="Currency 2"/>
    <tableColumn id="14" xr3:uid="{00000000-0010-0000-0D00-00000E000000}" name="Budget 16/17" totalsRowFunction="sum" dataDxfId="3273" totalsRowDxfId="3272" dataCellStyle="Currency 2"/>
    <tableColumn id="15" xr3:uid="{00000000-0010-0000-0D00-00000F000000}" name="Actual 16/17" totalsRowFunction="sum" dataDxfId="3271" totalsRowDxfId="3270" dataCellStyle="Currency 2"/>
    <tableColumn id="16" xr3:uid="{00000000-0010-0000-0D00-000010000000}" name="Budget 17/18" totalsRowFunction="sum" dataDxfId="3269" totalsRowDxfId="3268" dataCellStyle="Currency 2"/>
    <tableColumn id="17" xr3:uid="{00000000-0010-0000-0D00-000011000000}" name="Actual 17/18" totalsRowFunction="sum" dataDxfId="3267" totalsRowDxfId="3266" dataCellStyle="Currency"/>
    <tableColumn id="18" xr3:uid="{00000000-0010-0000-0D00-000012000000}" name="Budget 18/19" totalsRowFunction="custom" dataDxfId="3265" totalsRowDxfId="3264" dataCellStyle="Currency">
      <totalsRowFormula>SUM(RPOExpenses[Budget 18/19])</totalsRowFormula>
    </tableColumn>
    <tableColumn id="21" xr3:uid="{00000000-0010-0000-0D00-000015000000}" name="Actual 18/19" totalsRowFunction="custom" dataDxfId="3263" totalsRowDxfId="3262" dataCellStyle="Currency">
      <totalsRowFormula>SUM(RPOExpenses[Actual 18/19])</totalsRowFormula>
    </tableColumn>
    <tableColumn id="19" xr3:uid="{00000000-0010-0000-0D00-000013000000}" name="Budget 19/20" totalsRowFunction="custom" dataDxfId="3261" totalsRowDxfId="3260" dataCellStyle="Currency">
      <totalsRowFormula>SUM(RPOExpenses[Budget 19/20])</totalsRowFormula>
    </tableColumn>
    <tableColumn id="23" xr3:uid="{04DE3FCD-6DCE-4082-8498-A1F89F5360A7}" name="Actual P12 19/20" totalsRowFunction="custom" dataDxfId="3259" totalsRowDxfId="3258" dataCellStyle="Currency 2">
      <totalsRowFormula>SUM(RPOExpenses[Actual P12 19/20])</totalsRowFormula>
    </tableColumn>
    <tableColumn id="20" xr3:uid="{00000000-0010-0000-0D00-000014000000}" name="Budget 19/21" totalsRowFunction="custom" dataDxfId="3257" totalsRowDxfId="3256" dataCellStyle="Currency">
      <totalsRowFormula>SUM(RPOExpenses[Budget 19/21])</totalsRowFormula>
    </tableColumn>
  </tableColumns>
  <tableStyleInfo name="Feds Budget" showFirstColumn="0" showLastColumn="0" showRowStripes="0" showColumnStripes="1"/>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E000000}" name="ElectionsRevenues" displayName="ElectionsRevenues" ref="B4:AA6" totalsRowCount="1" headerRowDxfId="3255" dataDxfId="3254" dataCellStyle="Currency 2">
  <tableColumns count="26">
    <tableColumn id="1" xr3:uid="{00000000-0010-0000-0E00-000001000000}" name="Revenues" totalsRowLabel="Total" dataDxfId="3253" totalsRowDxfId="3252"/>
    <tableColumn id="2" xr3:uid="{00000000-0010-0000-0E00-000002000000}" name="Budget 10/11" totalsRowFunction="sum" dataDxfId="3251" totalsRowDxfId="3250" dataCellStyle="Currency 2"/>
    <tableColumn id="3" xr3:uid="{00000000-0010-0000-0E00-000003000000}" name="Actual 10/11" totalsRowFunction="sum" dataDxfId="3249" totalsRowDxfId="3248" dataCellStyle="Currency 2"/>
    <tableColumn id="4" xr3:uid="{00000000-0010-0000-0E00-000004000000}" name="Budget 11/12" totalsRowFunction="sum" dataDxfId="3247" totalsRowDxfId="3246" dataCellStyle="Currency 2"/>
    <tableColumn id="5" xr3:uid="{00000000-0010-0000-0E00-000005000000}" name="Actual 11/12" totalsRowFunction="sum" dataDxfId="3245" totalsRowDxfId="3244" dataCellStyle="Currency 2"/>
    <tableColumn id="6" xr3:uid="{00000000-0010-0000-0E00-000006000000}" name="Budget 12/13" totalsRowFunction="sum" dataDxfId="3243" totalsRowDxfId="3242" dataCellStyle="Currency 2"/>
    <tableColumn id="7" xr3:uid="{00000000-0010-0000-0E00-000007000000}" name="Actual 12/13" totalsRowFunction="sum" dataDxfId="3241" totalsRowDxfId="3240" dataCellStyle="Currency 2"/>
    <tableColumn id="8" xr3:uid="{00000000-0010-0000-0E00-000008000000}" name="Budget 13/14" totalsRowFunction="sum" dataDxfId="3239" totalsRowDxfId="3238" dataCellStyle="Currency 2"/>
    <tableColumn id="9" xr3:uid="{00000000-0010-0000-0E00-000009000000}" name="Actual 13/14" totalsRowFunction="sum" dataDxfId="3237" totalsRowDxfId="3236" dataCellStyle="Currency 2"/>
    <tableColumn id="10" xr3:uid="{00000000-0010-0000-0E00-00000A000000}" name="Budget 14/15" totalsRowFunction="sum" dataDxfId="3235" totalsRowDxfId="3234" dataCellStyle="Currency 2"/>
    <tableColumn id="11" xr3:uid="{00000000-0010-0000-0E00-00000B000000}" name="Actuals 14/15" totalsRowFunction="sum" dataDxfId="3233" totalsRowDxfId="3232" dataCellStyle="Currency 2"/>
    <tableColumn id="12" xr3:uid="{00000000-0010-0000-0E00-00000C000000}" name="Budget 15/16" totalsRowFunction="sum" dataDxfId="3231" totalsRowDxfId="3230" dataCellStyle="Currency 2"/>
    <tableColumn id="13" xr3:uid="{00000000-0010-0000-0E00-00000D000000}" name="Actual 15/16" totalsRowFunction="sum" dataDxfId="3229" totalsRowDxfId="3228" dataCellStyle="Currency 2"/>
    <tableColumn id="14" xr3:uid="{00000000-0010-0000-0E00-00000E000000}" name="Budget 16/17" totalsRowFunction="sum" dataDxfId="3227" totalsRowDxfId="3226" dataCellStyle="Currency 2"/>
    <tableColumn id="15" xr3:uid="{00000000-0010-0000-0E00-00000F000000}" name="Actual 16/17" totalsRowFunction="sum" dataDxfId="3225" totalsRowDxfId="3224" dataCellStyle="Currency 2"/>
    <tableColumn id="16" xr3:uid="{00000000-0010-0000-0E00-000010000000}" name="Budget 17/18" totalsRowFunction="sum" dataDxfId="3223" totalsRowDxfId="3222" dataCellStyle="Currency 2"/>
    <tableColumn id="17" xr3:uid="{00000000-0010-0000-0E00-000011000000}" name="Actual 17/18" totalsRowFunction="custom" dataDxfId="3221" totalsRowDxfId="3220" dataCellStyle="Currency 2">
      <totalsRowFormula>SUBTOTAL(109,ElectionsRevenues[Revenues])</totalsRowFormula>
    </tableColumn>
    <tableColumn id="18" xr3:uid="{00000000-0010-0000-0E00-000012000000}" name="Budget 18/19" totalsRowFunction="custom" dataDxfId="3219" totalsRowDxfId="3218" dataCellStyle="Currency 2">
      <totalsRowFormula>SUBTOTAL(109,ElectionsRevenues[Budget 10/11])</totalsRowFormula>
    </tableColumn>
    <tableColumn id="21" xr3:uid="{00000000-0010-0000-0E00-000015000000}" name="Actual 18/19" dataDxfId="3217" totalsRowDxfId="3216" dataCellStyle="Currency 2"/>
    <tableColumn id="19" xr3:uid="{00000000-0010-0000-0E00-000013000000}" name="Budget 19/20" totalsRowFunction="custom" dataDxfId="3215" totalsRowDxfId="3214" dataCellStyle="Currency 2">
      <totalsRowFormula>SUBTOTAL(109,ElectionsRevenues[Actual 10/11])</totalsRowFormula>
    </tableColumn>
    <tableColumn id="20" xr3:uid="{00000000-0010-0000-0E00-000014000000}" name="Actual P12 19/20" dataDxfId="3213" totalsRowDxfId="3212" dataCellStyle="Currency 2"/>
    <tableColumn id="22" xr3:uid="{BB6E3A66-6364-42A9-9BAC-BB41A0ACB538}" name="Budget 19/21" dataDxfId="3211" totalsRowDxfId="3210" dataCellStyle="Currency 2"/>
    <tableColumn id="23" xr3:uid="{32A44013-D8B4-4953-A7A3-6A8CE23326B7}" name="Actual 20/21" dataDxfId="3209" totalsRowDxfId="3208" dataCellStyle="Currency 2"/>
    <tableColumn id="24" xr3:uid="{DBC49E67-F1D3-4D7F-9928-8533FA2A094B}" name="Budget 21/22" dataDxfId="3207" totalsRowDxfId="3206" dataCellStyle="Currency 2"/>
    <tableColumn id="25" xr3:uid="{9A3DA958-8E76-425E-AD6B-B08ADB2117A7}" name="Actual 21/22" dataDxfId="3205" totalsRowDxfId="3204" dataCellStyle="Currency 2"/>
    <tableColumn id="26" xr3:uid="{B89B6ABF-1C3B-43BB-8AA2-229220458D37}" name="Budget 22/23" dataDxfId="3203" totalsRowDxfId="3202" dataCellStyle="Currency 2"/>
  </tableColumns>
  <tableStyleInfo name="Feds Budget" showFirstColumn="0" showLastColumn="0" showRowStripes="0" showColumnStripes="1"/>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F000000}" name="ElectionsExpenses" displayName="ElectionsExpenses" ref="B8:AA24" totalsRowCount="1" headerRowDxfId="3201" dataDxfId="3200" dataCellStyle="Currency 2">
  <tableColumns count="26">
    <tableColumn id="1" xr3:uid="{00000000-0010-0000-0F00-000001000000}" name="Expenses" totalsRowLabel="Total" dataDxfId="3199" totalsRowDxfId="3198"/>
    <tableColumn id="2" xr3:uid="{00000000-0010-0000-0F00-000002000000}" name="Budget 10/11" totalsRowFunction="sum" dataDxfId="3197" totalsRowDxfId="3196" dataCellStyle="Currency 2"/>
    <tableColumn id="3" xr3:uid="{00000000-0010-0000-0F00-000003000000}" name="Actual 10/11" totalsRowFunction="sum" dataDxfId="3195" totalsRowDxfId="3194" dataCellStyle="Currency 2"/>
    <tableColumn id="4" xr3:uid="{00000000-0010-0000-0F00-000004000000}" name="Budget 11/12" totalsRowFunction="sum" dataDxfId="3193" totalsRowDxfId="3192" dataCellStyle="Currency 2"/>
    <tableColumn id="5" xr3:uid="{00000000-0010-0000-0F00-000005000000}" name="Actual 11/12" totalsRowFunction="sum" dataDxfId="3191" totalsRowDxfId="3190" dataCellStyle="Currency 2"/>
    <tableColumn id="6" xr3:uid="{00000000-0010-0000-0F00-000006000000}" name="Budget 12/13" totalsRowFunction="sum" dataDxfId="3189" totalsRowDxfId="3188" dataCellStyle="Currency 2"/>
    <tableColumn id="7" xr3:uid="{00000000-0010-0000-0F00-000007000000}" name="Actual 12/13" totalsRowFunction="sum" dataDxfId="3187" totalsRowDxfId="3186" dataCellStyle="Currency 2"/>
    <tableColumn id="8" xr3:uid="{00000000-0010-0000-0F00-000008000000}" name="Budget 13/14" totalsRowFunction="sum" dataDxfId="3185" totalsRowDxfId="3184" dataCellStyle="Currency 2"/>
    <tableColumn id="9" xr3:uid="{00000000-0010-0000-0F00-000009000000}" name="Actual 13/14" totalsRowFunction="sum" dataDxfId="3183" totalsRowDxfId="3182" dataCellStyle="Currency 2"/>
    <tableColumn id="10" xr3:uid="{00000000-0010-0000-0F00-00000A000000}" name="Budget 14/15" totalsRowFunction="sum" dataDxfId="3181" totalsRowDxfId="3180" dataCellStyle="Currency 2"/>
    <tableColumn id="11" xr3:uid="{00000000-0010-0000-0F00-00000B000000}" name="Actuals 14/15" totalsRowFunction="sum" dataDxfId="3179" totalsRowDxfId="3178" dataCellStyle="Currency 2"/>
    <tableColumn id="12" xr3:uid="{00000000-0010-0000-0F00-00000C000000}" name="Budget 15/16" totalsRowFunction="sum" dataDxfId="3177" totalsRowDxfId="3176" dataCellStyle="Currency 2"/>
    <tableColumn id="13" xr3:uid="{00000000-0010-0000-0F00-00000D000000}" name="Actual 15/16" totalsRowFunction="sum" dataDxfId="3175" totalsRowDxfId="3174" dataCellStyle="Currency 2"/>
    <tableColumn id="14" xr3:uid="{00000000-0010-0000-0F00-00000E000000}" name="Budget 16/17" totalsRowFunction="sum" dataDxfId="3173" totalsRowDxfId="3172" dataCellStyle="Currency 2"/>
    <tableColumn id="15" xr3:uid="{00000000-0010-0000-0F00-00000F000000}" name="Actual 16/17" totalsRowFunction="sum" dataDxfId="3171" totalsRowDxfId="3170" dataCellStyle="Currency 2"/>
    <tableColumn id="16" xr3:uid="{00000000-0010-0000-0F00-000010000000}" name="Budget 17/18" totalsRowFunction="sum" dataDxfId="3169" totalsRowDxfId="3168" dataCellStyle="Currency 2"/>
    <tableColumn id="17" xr3:uid="{00000000-0010-0000-0F00-000011000000}" name="Actual 17/18" totalsRowFunction="sum" dataDxfId="3167" totalsRowDxfId="3166" dataCellStyle="Currency"/>
    <tableColumn id="18" xr3:uid="{00000000-0010-0000-0F00-000012000000}" name="Budget 18/19" totalsRowFunction="custom" dataDxfId="3165" totalsRowDxfId="3164" dataCellStyle="Currency">
      <totalsRowFormula>SUM(ElectionsExpenses[Budget 18/19])</totalsRowFormula>
    </tableColumn>
    <tableColumn id="21" xr3:uid="{00000000-0010-0000-0F00-000015000000}" name="Actual 18/19" totalsRowFunction="custom" dataDxfId="3163" totalsRowDxfId="3162" dataCellStyle="Currency 2">
      <totalsRowFormula>SUM(ElectionsExpenses[Actual 18/19])</totalsRowFormula>
    </tableColumn>
    <tableColumn id="19" xr3:uid="{00000000-0010-0000-0F00-000013000000}" name="Budget 19/20" totalsRowFunction="custom" dataDxfId="3161" totalsRowDxfId="3160" dataCellStyle="Currency">
      <totalsRowFormula>SUM(ElectionsExpenses[Budget 19/20])</totalsRowFormula>
    </tableColumn>
    <tableColumn id="23" xr3:uid="{5633D875-F262-47C5-BBD3-DFDF61757F98}" name="Actual P12 19/20" totalsRowFunction="custom" dataDxfId="3159" totalsRowDxfId="3158" dataCellStyle="Currency 2">
      <totalsRowFormula>SUM(ElectionsExpenses[Actual P12 19/20])</totalsRowFormula>
    </tableColumn>
    <tableColumn id="20" xr3:uid="{00000000-0010-0000-0F00-000014000000}" name="Budget 20/21" totalsRowFunction="custom" dataDxfId="3157" totalsRowDxfId="3156" dataCellStyle="Currency">
      <totalsRowFormula>SUM(ElectionsExpenses[Budget 20/21])</totalsRowFormula>
    </tableColumn>
    <tableColumn id="22" xr3:uid="{F625A967-E993-4538-804F-B569E5F0207A}" name="Actual 20/21" totalsRowFunction="custom" dataDxfId="3155" totalsRowDxfId="3154" dataCellStyle="Currency 2">
      <totalsRowFormula>SUM(ElectionsExpenses[Actual 20/21])</totalsRowFormula>
    </tableColumn>
    <tableColumn id="24" xr3:uid="{D4546C25-3929-4CA9-9488-55579A8883AE}" name="Budget 21/22" totalsRowFunction="custom" dataDxfId="3153" totalsRowDxfId="3152" dataCellStyle="Currency 2">
      <totalsRowFormula>SUM(ElectionsExpenses[Budget 21/22])</totalsRowFormula>
    </tableColumn>
    <tableColumn id="25" xr3:uid="{C86FC282-C765-486E-9523-9E21CF706A19}" name="Actual 21/22" totalsRowFunction="sum" dataDxfId="3151" totalsRowDxfId="3150" dataCellStyle="Currency 2"/>
    <tableColumn id="26" xr3:uid="{5430EE98-E16A-4B68-9789-D8E2CAEA4545}" name="Budget 22/23" totalsRowFunction="custom" dataDxfId="3149" totalsRowDxfId="3148" dataCellStyle="Currency 2">
      <totalsRowFormula>SUM(ElectionsExpenses[Budget 22/23])</totalsRowFormula>
    </tableColumn>
  </tableColumns>
  <tableStyleInfo name="Feds Budget" showFirstColumn="0" showLastColumn="0" showRowStripes="0" showColumnStripes="1"/>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0000000}" name="VPINSummary" displayName="VPINSummary" ref="A30:Y53" totalsRowCount="1" headerRowDxfId="3147" dataDxfId="3145" totalsRowDxfId="3144" headerRowBorderDxfId="3146" totalsRowBorderDxfId="3143">
  <tableColumns count="25">
    <tableColumn id="1" xr3:uid="{00000000-0010-0000-1000-000001000000}" name="Summary of Expenses" totalsRowLabel="Total" dataDxfId="3142" totalsRowDxfId="3141"/>
    <tableColumn id="2" xr3:uid="{00000000-0010-0000-1000-000002000000}" name="Budget 10/11" totalsRowFunction="sum" dataDxfId="3140" totalsRowDxfId="3139" dataCellStyle="Currency"/>
    <tableColumn id="3" xr3:uid="{00000000-0010-0000-1000-000003000000}" name="Actual 10/11" totalsRowFunction="sum" dataDxfId="3138" totalsRowDxfId="3137" dataCellStyle="Currency"/>
    <tableColumn id="4" xr3:uid="{00000000-0010-0000-1000-000004000000}" name="Budget 11/12" totalsRowFunction="sum" dataDxfId="3136" totalsRowDxfId="3135" dataCellStyle="Currency"/>
    <tableColumn id="5" xr3:uid="{00000000-0010-0000-1000-000005000000}" name="Actual 11/12" totalsRowFunction="sum" dataDxfId="3134" totalsRowDxfId="3133" dataCellStyle="Currency"/>
    <tableColumn id="6" xr3:uid="{00000000-0010-0000-1000-000006000000}" name="Budget 12/13" totalsRowFunction="sum" dataDxfId="3132" totalsRowDxfId="3131" dataCellStyle="Currency"/>
    <tableColumn id="7" xr3:uid="{00000000-0010-0000-1000-000007000000}" name="Actual 12/13" totalsRowFunction="sum" dataDxfId="3130" totalsRowDxfId="3129" dataCellStyle="Currency"/>
    <tableColumn id="8" xr3:uid="{00000000-0010-0000-1000-000008000000}" name="Budget 13/14" totalsRowFunction="sum" dataDxfId="3128" totalsRowDxfId="3127" dataCellStyle="Currency"/>
    <tableColumn id="9" xr3:uid="{00000000-0010-0000-1000-000009000000}" name="Actual 13/14" totalsRowFunction="sum" dataDxfId="3126" totalsRowDxfId="3125" dataCellStyle="Currency"/>
    <tableColumn id="10" xr3:uid="{00000000-0010-0000-1000-00000A000000}" name="Budget 14/15" totalsRowFunction="sum" dataDxfId="3124" totalsRowDxfId="3123" dataCellStyle="Currency"/>
    <tableColumn id="11" xr3:uid="{00000000-0010-0000-1000-00000B000000}" name="Actual 14/15" totalsRowFunction="sum" dataDxfId="3122" totalsRowDxfId="3121" dataCellStyle="Currency"/>
    <tableColumn id="12" xr3:uid="{00000000-0010-0000-1000-00000C000000}" name="Budget 15/16" totalsRowFunction="sum" dataDxfId="3120" totalsRowDxfId="3119" dataCellStyle="Currency"/>
    <tableColumn id="13" xr3:uid="{00000000-0010-0000-1000-00000D000000}" name="Actual 15/16" totalsRowFunction="sum" dataDxfId="3118" totalsRowDxfId="3117" dataCellStyle="Currency"/>
    <tableColumn id="14" xr3:uid="{00000000-0010-0000-1000-00000E000000}" name="Budget 16/17" totalsRowFunction="sum" dataDxfId="3116" totalsRowDxfId="3115" dataCellStyle="Currency"/>
    <tableColumn id="15" xr3:uid="{00000000-0010-0000-1000-00000F000000}" name="Actual 16/17" totalsRowFunction="sum" dataDxfId="3114" totalsRowDxfId="3113" dataCellStyle="Currency"/>
    <tableColumn id="16" xr3:uid="{00000000-0010-0000-1000-000010000000}" name="Budget 17/18" totalsRowFunction="sum" dataDxfId="3112" totalsRowDxfId="3111" dataCellStyle="Currency"/>
    <tableColumn id="17" xr3:uid="{00000000-0010-0000-1000-000011000000}" name="Actual 17/18" totalsRowFunction="sum" dataDxfId="3110" totalsRowDxfId="3109" dataCellStyle="Currency"/>
    <tableColumn id="18" xr3:uid="{00000000-0010-0000-1000-000012000000}" name="Budget 18/19" totalsRowFunction="sum" dataDxfId="3108" totalsRowDxfId="3107" dataCellStyle="Currency"/>
    <tableColumn id="21" xr3:uid="{00000000-0010-0000-1000-000015000000}" name="Actual 18/19" totalsRowFunction="sum" dataDxfId="3106" totalsRowDxfId="3105" dataCellStyle="Currency"/>
    <tableColumn id="19" xr3:uid="{00000000-0010-0000-1000-000013000000}" name="Budget 19/20" totalsRowFunction="sum" dataDxfId="3104" totalsRowDxfId="3103" dataCellStyle="Currency"/>
    <tableColumn id="20" xr3:uid="{00000000-0010-0000-1000-000014000000}" name="Budget 20/21" totalsRowFunction="sum" dataDxfId="3102" totalsRowDxfId="3101" dataCellStyle="Currency"/>
    <tableColumn id="22" xr3:uid="{DE731F48-3A06-426C-BAEC-7FD0905C339C}" name="Actual 20/21" totalsRowFunction="sum" dataDxfId="3100" totalsRowDxfId="3099" dataCellStyle="Currency">
      <calculatedColumnFormula>'Orientation (32100)'!X22</calculatedColumnFormula>
    </tableColumn>
    <tableColumn id="23" xr3:uid="{14E7D987-3AA7-4537-AEF1-25328F2069FF}" name="Budget 21/22" totalsRowFunction="sum" dataDxfId="3098" totalsRowDxfId="3097" dataCellStyle="Currency">
      <calculatedColumnFormula>VPINExpenses[[#Totals],[Budget 21/22]]</calculatedColumnFormula>
    </tableColumn>
    <tableColumn id="24" xr3:uid="{3471C104-1B8A-49EE-B5A2-0FDE8FAEE78E}" name="Actual 21/22" totalsRowFunction="sum" dataDxfId="3096" totalsRowDxfId="3095" dataCellStyle="Currency">
      <calculatedColumnFormula>VPINExpenses[[#Totals],[Budget 21/22]]</calculatedColumnFormula>
    </tableColumn>
    <tableColumn id="25" xr3:uid="{1CF85F97-905B-430E-BE15-8A1148CBBC84}" name="Budget 22/23" totalsRowFunction="custom" dataDxfId="3094" totalsRowDxfId="3093" dataCellStyle="Currency">
      <totalsRowFormula>SUM(VPINSummary[Budget 22/23])</totalsRowFormula>
    </tableColumn>
  </tableColumns>
  <tableStyleInfo name="Feds Budget" showFirstColumn="0" showLastColumn="0" showRowStripes="0" showColumnStripes="1"/>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11000000}" name="VPINSummary71" displayName="VPINSummary71" ref="A4:Y28" totalsRowCount="1" headerRowDxfId="3092" dataDxfId="3090" totalsRowDxfId="3089" headerRowBorderDxfId="3091" totalsRowBorderDxfId="3088">
  <tableColumns count="25">
    <tableColumn id="1" xr3:uid="{00000000-0010-0000-1100-000001000000}" name="Summary of Revenues/Gross Income" totalsRowLabel="Total" dataDxfId="3087" totalsRowDxfId="3086"/>
    <tableColumn id="2" xr3:uid="{00000000-0010-0000-1100-000002000000}" name="Budget 10/11" dataDxfId="3085" totalsRowDxfId="3084" dataCellStyle="Currency"/>
    <tableColumn id="3" xr3:uid="{00000000-0010-0000-1100-000003000000}" name="Actual 10/11" dataDxfId="3083" totalsRowDxfId="3082" dataCellStyle="Currency"/>
    <tableColumn id="4" xr3:uid="{00000000-0010-0000-1100-000004000000}" name="Budget 11/12" dataDxfId="3081" totalsRowDxfId="3080" dataCellStyle="Currency"/>
    <tableColumn id="5" xr3:uid="{00000000-0010-0000-1100-000005000000}" name="Actual 11/12" dataDxfId="3079" totalsRowDxfId="3078" dataCellStyle="Currency"/>
    <tableColumn id="6" xr3:uid="{00000000-0010-0000-1100-000006000000}" name="Budget 12/13" dataDxfId="3077" totalsRowDxfId="3076" dataCellStyle="Currency"/>
    <tableColumn id="7" xr3:uid="{00000000-0010-0000-1100-000007000000}" name="Actual 12/13" dataDxfId="3075" totalsRowDxfId="3074" dataCellStyle="Currency"/>
    <tableColumn id="8" xr3:uid="{00000000-0010-0000-1100-000008000000}" name="Budget 13/14" dataDxfId="3073" totalsRowDxfId="3072" dataCellStyle="Currency"/>
    <tableColumn id="9" xr3:uid="{00000000-0010-0000-1100-000009000000}" name="Actual 13/14" dataDxfId="3071" totalsRowDxfId="3070" dataCellStyle="Currency"/>
    <tableColumn id="10" xr3:uid="{00000000-0010-0000-1100-00000A000000}" name="Budget 14/15" dataDxfId="3069" totalsRowDxfId="3068" dataCellStyle="Currency"/>
    <tableColumn id="11" xr3:uid="{00000000-0010-0000-1100-00000B000000}" name="Actual 14/15" dataDxfId="3067" totalsRowDxfId="3066" dataCellStyle="Currency"/>
    <tableColumn id="12" xr3:uid="{00000000-0010-0000-1100-00000C000000}" name="Budget 15/16" dataDxfId="3065" totalsRowDxfId="3064" dataCellStyle="Currency"/>
    <tableColumn id="13" xr3:uid="{00000000-0010-0000-1100-00000D000000}" name="Actual 15/16" dataDxfId="3063" totalsRowDxfId="3062" dataCellStyle="Currency"/>
    <tableColumn id="14" xr3:uid="{00000000-0010-0000-1100-00000E000000}" name="Budget 16/17" dataDxfId="3061" totalsRowDxfId="3060" dataCellStyle="Currency"/>
    <tableColumn id="15" xr3:uid="{00000000-0010-0000-1100-00000F000000}" name="Actual 16/17" dataDxfId="3059" totalsRowDxfId="3058" dataCellStyle="Currency"/>
    <tableColumn id="16" xr3:uid="{00000000-0010-0000-1100-000010000000}" name="Budget 17/18" dataDxfId="3057" totalsRowDxfId="3056" dataCellStyle="Currency"/>
    <tableColumn id="17" xr3:uid="{00000000-0010-0000-1100-000011000000}" name="Actual 17/18" dataDxfId="3055" totalsRowDxfId="3054" dataCellStyle="Currency"/>
    <tableColumn id="18" xr3:uid="{00000000-0010-0000-1100-000012000000}" name="Budget 18/19" totalsRowFunction="sum" dataDxfId="3053" totalsRowDxfId="3052" dataCellStyle="Currency"/>
    <tableColumn id="21" xr3:uid="{00000000-0010-0000-1100-000015000000}" name="Actual 18/19" totalsRowFunction="sum" dataDxfId="3051" totalsRowDxfId="3050" dataCellStyle="Currency"/>
    <tableColumn id="19" xr3:uid="{00000000-0010-0000-1100-000013000000}" name="Budget 19/20" totalsRowFunction="sum" dataDxfId="3049" totalsRowDxfId="3048" dataCellStyle="Currency"/>
    <tableColumn id="20" xr3:uid="{00000000-0010-0000-1100-000014000000}" name="Budget 20/21" totalsRowFunction="sum" dataDxfId="3047" totalsRowDxfId="3046" dataCellStyle="Currency"/>
    <tableColumn id="22" xr3:uid="{1C4D264E-A2B7-4540-B01A-13A399FB4F1B}" name="Actual 20/21" totalsRowFunction="sum" dataDxfId="3045" totalsRowDxfId="3044" dataCellStyle="Currency">
      <calculatedColumnFormula>VPINRevenues[[#Totals],[Budget 21/22]]</calculatedColumnFormula>
    </tableColumn>
    <tableColumn id="23" xr3:uid="{31FA28CD-ED0E-479D-A977-43EC4A2F5A35}" name="Budget 21/22" totalsRowFunction="sum" dataDxfId="3043" totalsRowDxfId="3042" dataCellStyle="Currency">
      <calculatedColumnFormula>VPINRevenues[[#Totals],[Budget 21/22]]</calculatedColumnFormula>
    </tableColumn>
    <tableColumn id="24" xr3:uid="{0C085EBC-F00F-458F-9196-11334C77B535}" name="Actual 21/22" totalsRowFunction="sum" dataDxfId="3041" totalsRowDxfId="3040" dataCellStyle="Currency">
      <calculatedColumnFormula>CRTRevenues[[#Totals],[Actual 21/22]]</calculatedColumnFormula>
    </tableColumn>
    <tableColumn id="25" xr3:uid="{CF3059DB-D0C5-4339-8453-584E9299B2C3}" name="j" totalsRowFunction="custom" dataDxfId="3039" totalsRowDxfId="3038" dataCellStyle="Currency">
      <totalsRowFormula>SUM(VPINSummary71[j])</totalsRowFormula>
    </tableColumn>
  </tableColumns>
  <tableStyleInfo name="Feds Budget" showFirstColumn="0" showLastColumn="0" showRowStripes="0" showColumnStripes="1"/>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VPINRevenues" displayName="VPINRevenues" ref="B4:AA6" totalsRowCount="1" headerRowDxfId="3037" dataDxfId="3036" totalsRowDxfId="3035" totalsRowBorderDxfId="3034">
  <tableColumns count="26">
    <tableColumn id="1" xr3:uid="{00000000-0010-0000-1200-000001000000}" name="Revenues" totalsRowLabel="Total" dataDxfId="3033" totalsRowDxfId="3032"/>
    <tableColumn id="2" xr3:uid="{00000000-0010-0000-1200-000002000000}" name="Budget 10/11" totalsRowFunction="sum" dataDxfId="3031" totalsRowDxfId="3030"/>
    <tableColumn id="3" xr3:uid="{00000000-0010-0000-1200-000003000000}" name="Actual 10/11" totalsRowFunction="sum" dataDxfId="3029" totalsRowDxfId="3028"/>
    <tableColumn id="4" xr3:uid="{00000000-0010-0000-1200-000004000000}" name="Budget 11/12" totalsRowFunction="sum" dataDxfId="3027" totalsRowDxfId="3026"/>
    <tableColumn id="5" xr3:uid="{00000000-0010-0000-1200-000005000000}" name="Actual 11/12" totalsRowFunction="sum" dataDxfId="3025" totalsRowDxfId="3024"/>
    <tableColumn id="6" xr3:uid="{00000000-0010-0000-1200-000006000000}" name="Budget 12/13" totalsRowFunction="sum" dataDxfId="3023" totalsRowDxfId="3022"/>
    <tableColumn id="8" xr3:uid="{00000000-0010-0000-1200-000008000000}" name="Actual 12/13" totalsRowFunction="sum" dataDxfId="3021" totalsRowDxfId="3020"/>
    <tableColumn id="7" xr3:uid="{00000000-0010-0000-1200-000007000000}" name="Budget 13/14" totalsRowFunction="sum" dataDxfId="3019" totalsRowDxfId="3018"/>
    <tableColumn id="9" xr3:uid="{00000000-0010-0000-1200-000009000000}" name="Actual 13/14" totalsRowFunction="sum" dataDxfId="3017" totalsRowDxfId="3016"/>
    <tableColumn id="10" xr3:uid="{00000000-0010-0000-1200-00000A000000}" name="Budget 14/15" totalsRowFunction="sum" dataDxfId="3015" totalsRowDxfId="3014"/>
    <tableColumn id="11" xr3:uid="{00000000-0010-0000-1200-00000B000000}" name="Actual 14/15" totalsRowFunction="sum" dataDxfId="3013" totalsRowDxfId="3012"/>
    <tableColumn id="12" xr3:uid="{00000000-0010-0000-1200-00000C000000}" name="Budget 15/16" totalsRowFunction="sum" dataDxfId="3011" totalsRowDxfId="3010"/>
    <tableColumn id="13" xr3:uid="{00000000-0010-0000-1200-00000D000000}" name="Actual 15/16" totalsRowFunction="sum" dataDxfId="3009" totalsRowDxfId="3008"/>
    <tableColumn id="14" xr3:uid="{00000000-0010-0000-1200-00000E000000}" name="Budget 16/17" totalsRowFunction="sum" dataDxfId="3007" totalsRowDxfId="3006"/>
    <tableColumn id="15" xr3:uid="{00000000-0010-0000-1200-00000F000000}" name="Actual 16/17" dataDxfId="3005" totalsRowDxfId="3004"/>
    <tableColumn id="16" xr3:uid="{00000000-0010-0000-1200-000010000000}" name="Budget 17/18" dataDxfId="3003" totalsRowDxfId="3002"/>
    <tableColumn id="17" xr3:uid="{00000000-0010-0000-1200-000011000000}" name="Actual 17/18" dataDxfId="3001" totalsRowDxfId="3000"/>
    <tableColumn id="18" xr3:uid="{00000000-0010-0000-1200-000012000000}" name="Budget 18/19" dataDxfId="2999" totalsRowDxfId="2998"/>
    <tableColumn id="21" xr3:uid="{00000000-0010-0000-1200-000015000000}" name="Actual 18/19" dataDxfId="2997" totalsRowDxfId="2996"/>
    <tableColumn id="19" xr3:uid="{00000000-0010-0000-1200-000013000000}" name="Budget 19/20" dataDxfId="2995" totalsRowDxfId="2994"/>
    <tableColumn id="20" xr3:uid="{00000000-0010-0000-1200-000014000000}" name="Actual P12 19/20" dataDxfId="2993" totalsRowDxfId="2992"/>
    <tableColumn id="22" xr3:uid="{16371923-C9F9-404F-A2E7-15F245B09B8D}" name="Budget 20/21" dataDxfId="2991" totalsRowDxfId="2990"/>
    <tableColumn id="23" xr3:uid="{D1726871-F7A5-4ED9-918D-66D9E46ACF47}" name="Actual 20/21" dataDxfId="2989" totalsRowDxfId="2988"/>
    <tableColumn id="24" xr3:uid="{A9A7B9C0-3838-42DA-9603-B5A9610B9B9D}" name="Budget 21/22" dataDxfId="2987" totalsRowDxfId="2986"/>
    <tableColumn id="25" xr3:uid="{BD28E5C5-7181-4702-8911-5FF28312D489}" name="Actual 21/22" dataDxfId="2985" totalsRowDxfId="2984"/>
    <tableColumn id="26" xr3:uid="{E4B47281-C4C3-4751-A2BF-E00C2CA6D7E9}" name="Budget 22/23" dataDxfId="2983" totalsRowDxfId="2982"/>
  </tableColumns>
  <tableStyleInfo name="Feds Budget" showFirstColumn="0" showLastColumn="0" showRowStripes="0" showColumnStripes="1"/>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VPINExpenses" displayName="VPINExpenses" ref="B8:AA34" totalsRowCount="1" headerRowDxfId="2981" dataDxfId="2980" dataCellStyle="Currency">
  <sortState xmlns:xlrd2="http://schemas.microsoft.com/office/spreadsheetml/2017/richdata2" ref="A9:O32">
    <sortCondition ref="A8"/>
  </sortState>
  <tableColumns count="26">
    <tableColumn id="1" xr3:uid="{00000000-0010-0000-1300-000001000000}" name="Expenses" totalsRowLabel="Total" dataDxfId="2979" totalsRowDxfId="2978"/>
    <tableColumn id="2" xr3:uid="{00000000-0010-0000-1300-000002000000}" name="Budget 10/11" totalsRowFunction="sum" dataDxfId="2977" totalsRowDxfId="2976" dataCellStyle="Currency"/>
    <tableColumn id="3" xr3:uid="{00000000-0010-0000-1300-000003000000}" name="Actual 10/11" totalsRowFunction="sum" dataDxfId="2975" totalsRowDxfId="2974" dataCellStyle="Currency"/>
    <tableColumn id="4" xr3:uid="{00000000-0010-0000-1300-000004000000}" name="Budget 11/12" totalsRowFunction="sum" dataDxfId="2973" totalsRowDxfId="2972" dataCellStyle="Currency"/>
    <tableColumn id="5" xr3:uid="{00000000-0010-0000-1300-000005000000}" name="Actual 11/12" totalsRowFunction="sum" dataDxfId="2971" totalsRowDxfId="2970" dataCellStyle="Currency"/>
    <tableColumn id="6" xr3:uid="{00000000-0010-0000-1300-000006000000}" name="Budget 12/13" totalsRowFunction="sum" dataDxfId="2969" totalsRowDxfId="2968" dataCellStyle="Currency"/>
    <tableColumn id="7" xr3:uid="{00000000-0010-0000-1300-000007000000}" name="Actual 12/13" totalsRowFunction="sum" dataDxfId="2967" totalsRowDxfId="2966" dataCellStyle="Currency"/>
    <tableColumn id="8" xr3:uid="{00000000-0010-0000-1300-000008000000}" name="Budget 13/14" totalsRowFunction="sum" dataDxfId="2965" totalsRowDxfId="2964" dataCellStyle="Currency"/>
    <tableColumn id="9" xr3:uid="{00000000-0010-0000-1300-000009000000}" name="Actual 13/14" totalsRowFunction="sum" dataDxfId="2963" totalsRowDxfId="2962" dataCellStyle="Currency"/>
    <tableColumn id="10" xr3:uid="{00000000-0010-0000-1300-00000A000000}" name="Budget 14/15" totalsRowFunction="sum" dataDxfId="2961" totalsRowDxfId="2960" dataCellStyle="Currency"/>
    <tableColumn id="11" xr3:uid="{00000000-0010-0000-1300-00000B000000}" name="Actual 14/15" totalsRowFunction="sum" dataDxfId="2959" totalsRowDxfId="2958" dataCellStyle="Currency"/>
    <tableColumn id="12" xr3:uid="{00000000-0010-0000-1300-00000C000000}" name="Budget 15/16" totalsRowFunction="sum" dataDxfId="2957" totalsRowDxfId="2956" dataCellStyle="Currency"/>
    <tableColumn id="13" xr3:uid="{00000000-0010-0000-1300-00000D000000}" name="Actual 15/16" totalsRowFunction="sum" dataDxfId="2955" totalsRowDxfId="2954" dataCellStyle="Currency"/>
    <tableColumn id="14" xr3:uid="{00000000-0010-0000-1300-00000E000000}" name="Budget 16/17" totalsRowFunction="sum" dataDxfId="2953" totalsRowDxfId="2952" dataCellStyle="Currency"/>
    <tableColumn id="15" xr3:uid="{00000000-0010-0000-1300-00000F000000}" name="Actual 16/17" totalsRowFunction="sum" dataDxfId="2951" totalsRowDxfId="2950" dataCellStyle="Currency"/>
    <tableColumn id="16" xr3:uid="{00000000-0010-0000-1300-000010000000}" name="Budget 17/18" totalsRowFunction="sum" dataDxfId="2949" totalsRowDxfId="2948" dataCellStyle="Currency"/>
    <tableColumn id="17" xr3:uid="{00000000-0010-0000-1300-000011000000}" name="Actual 17/18" totalsRowFunction="custom" dataDxfId="2947" totalsRowDxfId="2946" dataCellStyle="Currency">
      <totalsRowFormula>SUM(VPINExpenses[Actual 17/18])</totalsRowFormula>
    </tableColumn>
    <tableColumn id="18" xr3:uid="{00000000-0010-0000-1300-000012000000}" name="Budget 18/19" totalsRowFunction="custom" dataDxfId="2945" totalsRowDxfId="2944" dataCellStyle="Currency">
      <totalsRowFormula>SUM(VPINExpenses[Budget 18/19]) - S23</totalsRowFormula>
    </tableColumn>
    <tableColumn id="21" xr3:uid="{00000000-0010-0000-1300-000015000000}" name="Actual 18/19" totalsRowFunction="custom" dataDxfId="2943" totalsRowDxfId="2942" dataCellStyle="Currency">
      <totalsRowFormula>SUM(VPINExpenses[Actual 18/19]) - T23</totalsRowFormula>
    </tableColumn>
    <tableColumn id="19" xr3:uid="{00000000-0010-0000-1300-000013000000}" name="Budget 19/20" totalsRowFunction="custom" dataDxfId="2941" totalsRowDxfId="2940" dataCellStyle="Currency">
      <totalsRowFormula>SUM(VPINExpenses[Budget 19/20])</totalsRowFormula>
    </tableColumn>
    <tableColumn id="25" xr3:uid="{3DB8319A-7A1F-4B94-82C4-4BB3144C83B6}" name="Actual P12 19/20" totalsRowFunction="custom" dataDxfId="2939" totalsRowDxfId="2938" dataCellStyle="Currency">
      <totalsRowFormula>SUM(V9:V31)</totalsRowFormula>
    </tableColumn>
    <tableColumn id="20" xr3:uid="{00000000-0010-0000-1300-000014000000}" name="Budget 20/21" totalsRowFunction="custom" dataDxfId="2937" totalsRowDxfId="2936" dataCellStyle="Currency">
      <totalsRowFormula>SUM(VPINExpenses[Budget 20/21])</totalsRowFormula>
    </tableColumn>
    <tableColumn id="22" xr3:uid="{81B043A1-6662-4E83-BD4A-AD38F6F176DA}" name="Actual 20/21" totalsRowFunction="custom" dataDxfId="2935" totalsRowDxfId="2934" dataCellStyle="Currency">
      <totalsRowFormula>SUM(VPINExpenses[Actual 20/21])</totalsRowFormula>
    </tableColumn>
    <tableColumn id="23" xr3:uid="{E5EC97C2-041F-4F0D-8EF2-8D57C13E8716}" name="Budget 21/22" totalsRowFunction="custom" dataDxfId="2933" totalsRowDxfId="2932" dataCellStyle="Currency">
      <totalsRowFormula>SUM(VPINExpenses[Budget 21/22])</totalsRowFormula>
    </tableColumn>
    <tableColumn id="24" xr3:uid="{F37A4D41-0081-4F07-8CAA-6F1439AA8103}" name="Actual 21/22" totalsRowFunction="sum" dataDxfId="2931" totalsRowDxfId="2930" dataCellStyle="Currency"/>
    <tableColumn id="26" xr3:uid="{C6552E64-72B5-4B0C-ADEE-89BDAC8708A9}" name="Budget 22/23" totalsRowFunction="custom" dataDxfId="2929" totalsRowDxfId="2928" dataCellStyle="Currency">
      <totalsRowFormula>SUM(AA9:AA31)</totalsRowFormula>
    </tableColumn>
  </tableColumns>
  <tableStyleInfo name="Feds Budget" showFirstColumn="0" showLastColumn="0" showRowStripes="0" showColumnStripes="1"/>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01000000}" name="SummaryExpenses" displayName="SummaryExpenses" ref="A10:N20" totalsRowCount="1" headerRowDxfId="3707">
  <tableColumns count="14">
    <tableColumn id="1" xr3:uid="{00000000-0010-0000-0100-000001000000}" name="Expenses" totalsRowLabel="Total" totalsRowDxfId="3706"/>
    <tableColumn id="2" xr3:uid="{00000000-0010-0000-0100-000002000000}" name="Budget 13/14" totalsRowFunction="sum" dataDxfId="3705" totalsRowDxfId="3704" dataCellStyle="Currency 2"/>
    <tableColumn id="3" xr3:uid="{00000000-0010-0000-0100-000003000000}" name="Actual 13/14" totalsRowFunction="sum" dataDxfId="3703" totalsRowDxfId="3702" dataCellStyle="Currency 2"/>
    <tableColumn id="4" xr3:uid="{00000000-0010-0000-0100-000004000000}" name="Budget 14/15" totalsRowFunction="sum" dataDxfId="3701" totalsRowDxfId="3700" dataCellStyle="Currency 2"/>
    <tableColumn id="5" xr3:uid="{00000000-0010-0000-0100-000005000000}" name="Actual 14/15" totalsRowFunction="sum" dataDxfId="3699" totalsRowDxfId="3698" dataCellStyle="Currency 2"/>
    <tableColumn id="6" xr3:uid="{00000000-0010-0000-0100-000006000000}" name="Budget 15/16" totalsRowFunction="sum" dataDxfId="3697" totalsRowDxfId="3696" dataCellStyle="Currency 2"/>
    <tableColumn id="7" xr3:uid="{00000000-0010-0000-0100-000007000000}" name="Actual 15/16" totalsRowFunction="sum" dataDxfId="3695" totalsRowDxfId="3694" dataCellStyle="Currency 2"/>
    <tableColumn id="8" xr3:uid="{00000000-0010-0000-0100-000008000000}" name="Budget 16/17" totalsRowFunction="sum" dataDxfId="3693" totalsRowDxfId="3692" dataCellStyle="Currency 2"/>
    <tableColumn id="9" xr3:uid="{00000000-0010-0000-0100-000009000000}" name="Actual 16/17" totalsRowFunction="sum" dataDxfId="3691" totalsRowDxfId="3690" dataCellStyle="Currency 2"/>
    <tableColumn id="10" xr3:uid="{00000000-0010-0000-0100-00000A000000}" name="Budget 17/18" totalsRowFunction="sum" dataDxfId="3689" totalsRowDxfId="3688" dataCellStyle="Currency 2"/>
    <tableColumn id="11" xr3:uid="{00000000-0010-0000-0100-00000B000000}" name="Actual 17/18" totalsRowFunction="sum" dataDxfId="3687" totalsRowDxfId="3686" dataCellStyle="Currency 2"/>
    <tableColumn id="12" xr3:uid="{00000000-0010-0000-0100-00000C000000}" name="Budget 18/19" totalsRowFunction="sum" dataDxfId="3685" totalsRowDxfId="3684" dataCellStyle="Currency"/>
    <tableColumn id="13" xr3:uid="{00000000-0010-0000-0100-00000D000000}" name="Budget 19/20" totalsRowFunction="sum" dataDxfId="3683" totalsRowDxfId="3682" dataCellStyle="Currency 2"/>
    <tableColumn id="14" xr3:uid="{00000000-0010-0000-0100-00000E000000}" name="Budget 20/21" dataDxfId="3681" totalsRowDxfId="3680" dataCellStyle="Currency"/>
  </tableColumns>
  <tableStyleInfo name="Feds Budget" showFirstColumn="0" showLastColumn="0" showRowStripes="0" showColumnStripes="1"/>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6000000}" name="OrientationRevenues64" displayName="OrientationRevenues64" ref="B4:AA6" totalsRowCount="1" headerRowDxfId="2927" dataDxfId="2926" headerRowCellStyle="Comma">
  <tableColumns count="26">
    <tableColumn id="1" xr3:uid="{00000000-0010-0000-1600-000001000000}" name="Revenues" totalsRowLabel="Total" dataDxfId="2925" totalsRowDxfId="2924" dataCellStyle="Normal 2 14"/>
    <tableColumn id="2" xr3:uid="{00000000-0010-0000-1600-000002000000}" name="Budget 10/11" totalsRowFunction="sum" dataDxfId="2923" totalsRowDxfId="2922" dataCellStyle="Normal 2 14"/>
    <tableColumn id="3" xr3:uid="{00000000-0010-0000-1600-000003000000}" name="Actual 10/11" totalsRowFunction="sum" dataDxfId="2921" totalsRowDxfId="2920" dataCellStyle="Normal 2 14"/>
    <tableColumn id="4" xr3:uid="{00000000-0010-0000-1600-000004000000}" name="Budget 11/12" totalsRowFunction="sum" dataDxfId="2919" totalsRowDxfId="2918" dataCellStyle="Normal 2 14"/>
    <tableColumn id="5" xr3:uid="{00000000-0010-0000-1600-000005000000}" name="Actual 11/12" totalsRowFunction="sum" dataDxfId="2917" totalsRowDxfId="2916" dataCellStyle="Normal 2 14"/>
    <tableColumn id="6" xr3:uid="{00000000-0010-0000-1600-000006000000}" name="Budget 12/13" totalsRowFunction="sum" dataDxfId="2915" totalsRowDxfId="2914" dataCellStyle="Normal 2 14"/>
    <tableColumn id="7" xr3:uid="{00000000-0010-0000-1600-000007000000}" name="Actual 12/13" totalsRowFunction="sum" dataDxfId="2913" totalsRowDxfId="2912" dataCellStyle="Normal 2 14"/>
    <tableColumn id="8" xr3:uid="{00000000-0010-0000-1600-000008000000}" name="Budget 13/14" totalsRowFunction="sum" dataDxfId="2911" totalsRowDxfId="2910" dataCellStyle="Normal 2 14"/>
    <tableColumn id="9" xr3:uid="{00000000-0010-0000-1600-000009000000}" name="Actual 13/14" totalsRowFunction="sum" dataDxfId="2909" totalsRowDxfId="2908" dataCellStyle="Normal 2 14"/>
    <tableColumn id="10" xr3:uid="{00000000-0010-0000-1600-00000A000000}" name="Budget 14/15" totalsRowFunction="sum" dataDxfId="2907" totalsRowDxfId="2906" dataCellStyle="Normal 2 14"/>
    <tableColumn id="11" xr3:uid="{00000000-0010-0000-1600-00000B000000}" name="Actuals 14/15" totalsRowFunction="sum" dataDxfId="2905" totalsRowDxfId="2904" dataCellStyle="Normal 2 14"/>
    <tableColumn id="12" xr3:uid="{00000000-0010-0000-1600-00000C000000}" name="Budget 15/16" totalsRowFunction="sum" dataDxfId="2903" totalsRowDxfId="2902" dataCellStyle="Normal 2 14"/>
    <tableColumn id="13" xr3:uid="{00000000-0010-0000-1600-00000D000000}" name="Actuals 15/16" totalsRowFunction="sum" dataDxfId="2901" totalsRowDxfId="2900" dataCellStyle="Normal 2 14"/>
    <tableColumn id="14" xr3:uid="{00000000-0010-0000-1600-00000E000000}" name="Budget 16/17" totalsRowFunction="sum" dataDxfId="2899" totalsRowDxfId="2898" dataCellStyle="Normal 2 14"/>
    <tableColumn id="15" xr3:uid="{00000000-0010-0000-1600-00000F000000}" name="Actual 16/17" dataDxfId="2897" totalsRowDxfId="2896" dataCellStyle="Normal 2 14"/>
    <tableColumn id="16" xr3:uid="{00000000-0010-0000-1600-000010000000}" name="Budget 17/18" dataDxfId="2895" totalsRowDxfId="2894" dataCellStyle="Normal 2 14"/>
    <tableColumn id="17" xr3:uid="{00000000-0010-0000-1600-000011000000}" name="Actual 17/18" totalsRowFunction="sum" dataDxfId="2893" totalsRowDxfId="2892" dataCellStyle="Normal 2 14"/>
    <tableColumn id="18" xr3:uid="{00000000-0010-0000-1600-000012000000}" name="Budget 18/19" totalsRowFunction="custom" dataDxfId="2891" totalsRowDxfId="2890" dataCellStyle="Normal 2 14">
      <totalsRowFormula>SUBTOTAL(109,OrientationRevenues64[Revenues])</totalsRowFormula>
    </tableColumn>
    <tableColumn id="21" xr3:uid="{00000000-0010-0000-1600-000015000000}" name="Actual 18/19" dataDxfId="2889" totalsRowDxfId="2888" dataCellStyle="Normal 2 14"/>
    <tableColumn id="19" xr3:uid="{00000000-0010-0000-1600-000013000000}" name="Budget 19/20" totalsRowFunction="custom" dataDxfId="2887" totalsRowDxfId="2886" dataCellStyle="Normal 2 14">
      <totalsRowFormula>SUBTOTAL(109,OrientationRevenues64[Budget 10/11])</totalsRowFormula>
    </tableColumn>
    <tableColumn id="20" xr3:uid="{00000000-0010-0000-1600-000014000000}" name="Actual P12 19/20" totalsRowFunction="custom" dataDxfId="2885" totalsRowDxfId="2884" dataCellStyle="Normal 2 14">
      <totalsRowFormula>SUBTOTAL(109,OrientationRevenues64[Actual 10/11])</totalsRowFormula>
    </tableColumn>
    <tableColumn id="22" xr3:uid="{BE0102D4-A903-4CF5-9177-768FF0F00636}" name="Budget 20/21" dataDxfId="2883" totalsRowDxfId="2882" dataCellStyle="Normal 2 14"/>
    <tableColumn id="23" xr3:uid="{D77BE5FA-16C2-496F-8AA6-67EB04410091}" name="Actual 20/21" dataDxfId="2881" totalsRowDxfId="2880" dataCellStyle="Normal 2 14"/>
    <tableColumn id="24" xr3:uid="{DDCA84F3-1AB5-465E-AA7C-7D99784A265A}" name="Budget 21/22" dataDxfId="2879" totalsRowDxfId="2878" dataCellStyle="Normal 2 14"/>
    <tableColumn id="25" xr3:uid="{F370A0A6-E118-4E08-8788-498628C8147A}" name="Actual 21/22" dataDxfId="2877" dataCellStyle="Normal 2 14"/>
    <tableColumn id="26" xr3:uid="{8A81AA5D-C988-4774-AAD5-B67185CA6684}" name="Budget 22/23" dataDxfId="2876" dataCellStyle="Normal 2 14"/>
  </tableColumns>
  <tableStyleInfo name="Feds Budget" showFirstColumn="0" showLastColumn="0" showRowStripes="0" showColumnStripes="1"/>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7000000}" name="OrientationExpenses65" displayName="OrientationExpenses65" ref="B8:AA23" totalsRowCount="1" headerRowDxfId="2875" dataDxfId="2874" dataCellStyle="Comma">
  <tableColumns count="26">
    <tableColumn id="1" xr3:uid="{00000000-0010-0000-1700-000001000000}" name="Expenses" totalsRowLabel="Total" dataDxfId="2873" totalsRowDxfId="2872"/>
    <tableColumn id="2" xr3:uid="{00000000-0010-0000-1700-000002000000}" name="Budget 10/11" totalsRowFunction="sum" dataDxfId="2871" totalsRowDxfId="2870" dataCellStyle="Comma"/>
    <tableColumn id="3" xr3:uid="{00000000-0010-0000-1700-000003000000}" name="Actual 10/11" totalsRowFunction="sum" dataDxfId="2869" totalsRowDxfId="2868" dataCellStyle="Comma"/>
    <tableColumn id="4" xr3:uid="{00000000-0010-0000-1700-000004000000}" name="Budget 11/12" totalsRowFunction="sum" dataDxfId="2867" totalsRowDxfId="2866" dataCellStyle="Comma"/>
    <tableColumn id="5" xr3:uid="{00000000-0010-0000-1700-000005000000}" name="Actual 11/12" totalsRowFunction="sum" dataDxfId="2865" totalsRowDxfId="2864" dataCellStyle="Comma"/>
    <tableColumn id="6" xr3:uid="{00000000-0010-0000-1700-000006000000}" name="Budget 12/13" totalsRowFunction="sum" dataDxfId="2863" totalsRowDxfId="2862" dataCellStyle="Comma"/>
    <tableColumn id="7" xr3:uid="{00000000-0010-0000-1700-000007000000}" name="Actual 12/13" totalsRowFunction="sum" dataDxfId="2861" totalsRowDxfId="2860" dataCellStyle="Comma"/>
    <tableColumn id="8" xr3:uid="{00000000-0010-0000-1700-000008000000}" name="Budget 13/14" totalsRowFunction="sum" dataDxfId="2859" totalsRowDxfId="2858" dataCellStyle="Comma"/>
    <tableColumn id="9" xr3:uid="{00000000-0010-0000-1700-000009000000}" name="Actual 13/14" totalsRowFunction="sum" dataDxfId="2857" totalsRowDxfId="2856" dataCellStyle="Comma"/>
    <tableColumn id="10" xr3:uid="{00000000-0010-0000-1700-00000A000000}" name="Budget 14/15" totalsRowFunction="sum" dataDxfId="2855" totalsRowDxfId="2854" dataCellStyle="Comma"/>
    <tableColumn id="11" xr3:uid="{00000000-0010-0000-1700-00000B000000}" name="Actuals 14/15" totalsRowFunction="sum" dataDxfId="2853" totalsRowDxfId="2852" dataCellStyle="Comma"/>
    <tableColumn id="12" xr3:uid="{00000000-0010-0000-1700-00000C000000}" name="Budget 15/16" totalsRowFunction="sum" dataDxfId="2851" totalsRowDxfId="2850" dataCellStyle="Comma"/>
    <tableColumn id="13" xr3:uid="{00000000-0010-0000-1700-00000D000000}" name="Actuals 15/16" totalsRowFunction="sum" dataDxfId="2849" totalsRowDxfId="2848" dataCellStyle="Comma"/>
    <tableColumn id="14" xr3:uid="{00000000-0010-0000-1700-00000E000000}" name="Budget 16/17" totalsRowFunction="sum" dataDxfId="2847" totalsRowDxfId="2846" dataCellStyle="Comma"/>
    <tableColumn id="15" xr3:uid="{00000000-0010-0000-1700-00000F000000}" name="Actual 16/17" totalsRowFunction="sum" dataDxfId="2845" totalsRowDxfId="2844" dataCellStyle="Comma"/>
    <tableColumn id="16" xr3:uid="{00000000-0010-0000-1700-000010000000}" name="Budget 17/18" totalsRowFunction="sum" dataDxfId="2843" totalsRowDxfId="2842" dataCellStyle="Comma"/>
    <tableColumn id="17" xr3:uid="{00000000-0010-0000-1700-000011000000}" name="Actual 17/18" totalsRowFunction="sum" dataDxfId="2841" totalsRowDxfId="2840" dataCellStyle="Comma"/>
    <tableColumn id="18" xr3:uid="{00000000-0010-0000-1700-000012000000}" name="Budget 18/19" totalsRowFunction="custom" dataDxfId="2839" totalsRowDxfId="2838" dataCellStyle="Currency">
      <totalsRowFormula>SUM(OrientationExpenses65[Budget 18/19])</totalsRowFormula>
    </tableColumn>
    <tableColumn id="21" xr3:uid="{00000000-0010-0000-1700-000015000000}" name="Actual 18/19" totalsRowFunction="custom" dataDxfId="2837" totalsRowDxfId="2836" dataCellStyle="Comma 2 2">
      <totalsRowFormula>SUM(OrientationExpenses65[Actual 18/19])</totalsRowFormula>
    </tableColumn>
    <tableColumn id="19" xr3:uid="{00000000-0010-0000-1700-000013000000}" name="Budget 19/20" totalsRowFunction="custom" dataDxfId="2835" totalsRowDxfId="2834" dataCellStyle="Comma">
      <totalsRowFormula>SUM(U9:U20)</totalsRowFormula>
    </tableColumn>
    <tableColumn id="23" xr3:uid="{821195BB-1C62-4588-8634-B841E3B9A940}" name="Actual P12 19/20" totalsRowFunction="custom" dataDxfId="2833" totalsRowDxfId="2832" dataCellStyle="Comma 2 2">
      <totalsRowFormula>SUM(OrientationExpenses65[Actual P12 19/20])</totalsRowFormula>
    </tableColumn>
    <tableColumn id="20" xr3:uid="{00000000-0010-0000-1700-000014000000}" name="Budget 20/21" totalsRowFunction="custom" dataDxfId="2831" totalsRowDxfId="2830" dataCellStyle="Currency 2 2 2">
      <totalsRowFormula>SUM(W9:W20)</totalsRowFormula>
    </tableColumn>
    <tableColumn id="22" xr3:uid="{4051FFEC-396D-491D-80DF-B50DD307E742}" name="Actual 20/21" totalsRowFunction="custom" dataDxfId="2829" totalsRowDxfId="2828" dataCellStyle="Comma">
      <totalsRowFormula>SUM(X9:X20)</totalsRowFormula>
    </tableColumn>
    <tableColumn id="24" xr3:uid="{B52915D5-A1EB-4A5F-BC11-33BC5FB8F26F}" name="Budget 21/22" totalsRowFunction="custom" dataDxfId="2827" totalsRowDxfId="2826" dataCellStyle="Comma">
      <totalsRowFormula>SUM(Y9:Y20)</totalsRowFormula>
    </tableColumn>
    <tableColumn id="25" xr3:uid="{ECCC2B1B-F503-4D10-BFE9-3A246805A250}" name="Actual 21/22" totalsRowFunction="sum" dataDxfId="2825" totalsRowDxfId="2824" dataCellStyle="Comma"/>
    <tableColumn id="26" xr3:uid="{3C6EE4CD-D640-403C-877F-78C5297D2AF5}" name="Budget 22/23" totalsRowFunction="custom" dataDxfId="2823" totalsRowDxfId="2822" dataCellStyle="Comma">
      <totalsRowFormula>SUM(OrientationExpenses65[Budget 22/23])</totalsRowFormula>
    </tableColumn>
  </tableColumns>
  <tableStyleInfo name="Feds Budget" showFirstColumn="0" showLastColumn="0" showRowStripes="0" showColumnStripes="1"/>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8000000}" name="DirectorofCampusLifeRevenues" displayName="DirectorofCampusLifeRevenues" ref="B4:U7" totalsRowCount="1" headerRowDxfId="2821" dataDxfId="2820" headerRowCellStyle="Normal 3" dataCellStyle="Currency 2 2">
  <tableColumns count="20">
    <tableColumn id="1" xr3:uid="{00000000-0010-0000-1800-000001000000}" name="Revenues" totalsRowLabel="Total" dataDxfId="2819" totalsRowDxfId="2818" dataCellStyle="Normal 3"/>
    <tableColumn id="2" xr3:uid="{00000000-0010-0000-1800-000002000000}" name="Budget 13/14" totalsRowFunction="sum" dataDxfId="2817" totalsRowDxfId="2816" dataCellStyle="Currency 2 2"/>
    <tableColumn id="3" xr3:uid="{00000000-0010-0000-1800-000003000000}" name="Actual 13/14" totalsRowFunction="sum" dataDxfId="2815" totalsRowDxfId="2814" dataCellStyle="Currency 2 2"/>
    <tableColumn id="4" xr3:uid="{00000000-0010-0000-1800-000004000000}" name="Budget 14/15" totalsRowFunction="sum" dataDxfId="2813" totalsRowDxfId="2812" dataCellStyle="Currency 2 2"/>
    <tableColumn id="5" xr3:uid="{00000000-0010-0000-1800-000005000000}" name="Actual 14/15" totalsRowFunction="sum" dataDxfId="2811" totalsRowDxfId="2810" dataCellStyle="Currency 2 2"/>
    <tableColumn id="6" xr3:uid="{00000000-0010-0000-1800-000006000000}" name="Budget 15/16" totalsRowFunction="sum" dataDxfId="2809" totalsRowDxfId="2808" dataCellStyle="Currency 2 2"/>
    <tableColumn id="7" xr3:uid="{00000000-0010-0000-1800-000007000000}" name="Actual 15/16" totalsRowFunction="sum" dataDxfId="2807" totalsRowDxfId="2806" dataCellStyle="Currency 2 2"/>
    <tableColumn id="8" xr3:uid="{00000000-0010-0000-1800-000008000000}" name="Budget 16/17" totalsRowFunction="sum" dataDxfId="2805" totalsRowDxfId="2804" dataCellStyle="Currency 2 2"/>
    <tableColumn id="9" xr3:uid="{00000000-0010-0000-1800-000009000000}" name="Actual 16/17" totalsRowFunction="sum" dataDxfId="2803" totalsRowDxfId="2802" dataCellStyle="Currency 2 2"/>
    <tableColumn id="10" xr3:uid="{00000000-0010-0000-1800-00000A000000}" name="Budget 17/18" totalsRowFunction="sum" dataDxfId="2801" totalsRowDxfId="2800" dataCellStyle="Currency 2 2"/>
    <tableColumn id="11" xr3:uid="{00000000-0010-0000-1800-00000B000000}" name="Actual 17/18" totalsRowFunction="custom" dataDxfId="2799" totalsRowDxfId="2798" dataCellStyle="Currency 2 2">
      <totalsRowFormula>SUBTOTAL(109,DirectorofCampusLifeRevenues[Revenues])</totalsRowFormula>
    </tableColumn>
    <tableColumn id="12" xr3:uid="{00000000-0010-0000-1800-00000C000000}" name="Budget 18/19" totalsRowFunction="custom" dataDxfId="2797" totalsRowDxfId="2796" dataCellStyle="Currency 2 2">
      <totalsRowFormula>SUBTOTAL(109,DirectorofCampusLifeRevenues[Budget 13/14])</totalsRowFormula>
    </tableColumn>
    <tableColumn id="15" xr3:uid="{00000000-0010-0000-1800-00000F000000}" name="Actual 18/19" dataDxfId="2795" totalsRowDxfId="2794" dataCellStyle="Currency 2 2"/>
    <tableColumn id="13" xr3:uid="{00000000-0010-0000-1800-00000D000000}" name="Budget 18/20" totalsRowFunction="custom" dataDxfId="2793" totalsRowDxfId="2792" dataCellStyle="Currency 2 2">
      <totalsRowFormula>SUBTOTAL(109,DirectorofCampusLifeRevenues[Actual 13/14])</totalsRowFormula>
    </tableColumn>
    <tableColumn id="14" xr3:uid="{00000000-0010-0000-1800-00000E000000}" name="Actual P12 19/20" dataDxfId="2791" totalsRowDxfId="2790" dataCellStyle="Currency 2 2"/>
    <tableColumn id="16" xr3:uid="{46BF6D45-8C32-40EA-A896-89C225EC8D71}" name="Budget 20/21" dataDxfId="2789" totalsRowDxfId="2788" dataCellStyle="Currency 2 2"/>
    <tableColumn id="17" xr3:uid="{A5BADBA3-222F-4F2E-ACE0-C7B3308CB1B5}" name="Actuals 20/21" dataDxfId="2787" totalsRowDxfId="2786" dataCellStyle="Currency 2 2"/>
    <tableColumn id="18" xr3:uid="{678696E9-6261-410C-947A-0324A9BE0DE8}" name="Budget 21/22" dataDxfId="2785" totalsRowDxfId="2784" dataCellStyle="Currency 2 2"/>
    <tableColumn id="19" xr3:uid="{552B2921-91F2-49F5-B44A-71DB7B4B0B72}" name="Actual 21/22" dataDxfId="2783" dataCellStyle="Currency 2 2"/>
    <tableColumn id="20" xr3:uid="{C80A6F1C-5A1D-47D6-B728-F1FEE9051B27}" name="Budget 22/23" dataDxfId="2782" dataCellStyle="Currency 2 2"/>
  </tableColumns>
  <tableStyleInfo name="Feds Budget" showFirstColumn="0" showLastColumn="0" showRowStripes="0" showColumnStripes="1"/>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19000000}" name="DirectorofCampusLifeExpenses" displayName="DirectorofCampusLifeExpenses" ref="B9:U25" totalsRowCount="1" headerRowDxfId="2781" dataDxfId="2780" headerRowCellStyle="Normal 3" dataCellStyle="Currency 4">
  <tableColumns count="20">
    <tableColumn id="1" xr3:uid="{00000000-0010-0000-1900-000001000000}" name="Expenses" totalsRowLabel="Total" dataDxfId="2779" totalsRowDxfId="2778" dataCellStyle="Normal 3"/>
    <tableColumn id="2" xr3:uid="{00000000-0010-0000-1900-000002000000}" name="Budget 13/14" totalsRowFunction="sum" dataDxfId="2777" totalsRowDxfId="2776" dataCellStyle="Currency 4"/>
    <tableColumn id="3" xr3:uid="{00000000-0010-0000-1900-000003000000}" name="Actual 13/14" totalsRowFunction="sum" dataDxfId="2775" totalsRowDxfId="2774" dataCellStyle="Currency 4"/>
    <tableColumn id="4" xr3:uid="{00000000-0010-0000-1900-000004000000}" name="Budget 14/15" totalsRowFunction="sum" dataDxfId="2773" totalsRowDxfId="2772" dataCellStyle="Currency 4"/>
    <tableColumn id="5" xr3:uid="{00000000-0010-0000-1900-000005000000}" name="Actual 14/15" totalsRowFunction="sum" dataDxfId="2771" totalsRowDxfId="2770" dataCellStyle="Currency 4"/>
    <tableColumn id="6" xr3:uid="{00000000-0010-0000-1900-000006000000}" name="Budget 15/16" totalsRowFunction="sum" dataDxfId="2769" totalsRowDxfId="2768" dataCellStyle="Currency 4"/>
    <tableColumn id="7" xr3:uid="{00000000-0010-0000-1900-000007000000}" name="Actual 15/16" totalsRowFunction="sum" dataDxfId="2767" totalsRowDxfId="2766" dataCellStyle="Currency 4"/>
    <tableColumn id="8" xr3:uid="{00000000-0010-0000-1900-000008000000}" name="Budget 16/17" totalsRowFunction="sum" dataDxfId="2765" totalsRowDxfId="2764" dataCellStyle="Currency 4"/>
    <tableColumn id="9" xr3:uid="{00000000-0010-0000-1900-000009000000}" name="Actual 16/17" totalsRowFunction="sum" dataDxfId="2763" totalsRowDxfId="2762" dataCellStyle="Currency 4"/>
    <tableColumn id="10" xr3:uid="{00000000-0010-0000-1900-00000A000000}" name="Budget 17/18" totalsRowFunction="sum" dataDxfId="2761" totalsRowDxfId="2760" dataCellStyle="Currency 4"/>
    <tableColumn id="11" xr3:uid="{00000000-0010-0000-1900-00000B000000}" name="Actual 17/18" totalsRowFunction="custom" dataDxfId="2759" totalsRowDxfId="2758" dataCellStyle="Currency 4">
      <totalsRowFormula>SUM(DirectorofCampusLifeExpenses[Actual 17/18])</totalsRowFormula>
    </tableColumn>
    <tableColumn id="12" xr3:uid="{00000000-0010-0000-1900-00000C000000}" name="Budget 18/19" totalsRowFunction="custom" dataDxfId="2757" totalsRowDxfId="2756" dataCellStyle="Currency">
      <totalsRowFormula>SUM(DirectorofCampusLifeExpenses[Budget 18/19])</totalsRowFormula>
    </tableColumn>
    <tableColumn id="14" xr3:uid="{00000000-0010-0000-1900-00000E000000}" name="Actual 18/19" totalsRowFunction="custom" dataDxfId="2755" totalsRowDxfId="2754" dataCellStyle="Currency 4">
      <totalsRowFormula>SUM(DirectorofCampusLifeExpenses[Actual 18/19])</totalsRowFormula>
    </tableColumn>
    <tableColumn id="13" xr3:uid="{00000000-0010-0000-1900-00000D000000}" name="Budget 19/20" totalsRowFunction="custom" dataDxfId="2753" totalsRowDxfId="2752" dataCellStyle="Currency">
      <totalsRowFormula>SUM(DirectorofCampusLifeExpenses[Budget 19/20])</totalsRowFormula>
    </tableColumn>
    <tableColumn id="18" xr3:uid="{6A0123CC-143A-4E9B-8B5E-DEF0A05A0BED}" name="Actual P12 19/20" totalsRowFunction="custom" dataDxfId="2751" totalsRowDxfId="2750" dataCellStyle="Currency 4">
      <totalsRowFormula>SUM(DirectorofCampusLifeExpenses[Actual P12 19/20])</totalsRowFormula>
    </tableColumn>
    <tableColumn id="15" xr3:uid="{00000000-0010-0000-1900-00000F000000}" name="Budget 20/21" totalsRowFunction="custom" dataDxfId="2749" totalsRowDxfId="2748" dataCellStyle="Currency">
      <totalsRowFormula>SUM(DirectorofCampusLifeExpenses[Budget 20/21])</totalsRowFormula>
    </tableColumn>
    <tableColumn id="16" xr3:uid="{2F3EA428-B65A-4673-ACDD-78487E5F485C}" name="Actuals 20/21" totalsRowFunction="custom" dataDxfId="2747" totalsRowDxfId="2746" dataCellStyle="Currency 4">
      <totalsRowFormula>SUM(DirectorofCampusLifeExpenses[Actuals 20/21])</totalsRowFormula>
    </tableColumn>
    <tableColumn id="17" xr3:uid="{A1C12FCE-63F5-4180-90FF-603A403649A8}" name="Budget 21/22" totalsRowFunction="custom" dataDxfId="2745" totalsRowDxfId="2744" dataCellStyle="Currency 4">
      <totalsRowFormula>SUM(DirectorofCampusLifeExpenses[Budget 21/22])</totalsRowFormula>
    </tableColumn>
    <tableColumn id="19" xr3:uid="{C1D306C9-19CD-4138-A389-EB25F6C7E80E}" name="Actual 21/22" totalsRowFunction="sum" dataDxfId="2743" totalsRowDxfId="2742" dataCellStyle="Currency 4"/>
    <tableColumn id="20" xr3:uid="{0AD7A230-C8EA-4693-A859-CB27ECCB382C}" name="Budget 22/23" totalsRowFunction="custom" dataDxfId="2741" totalsRowDxfId="2740" dataCellStyle="Currency 4">
      <totalsRowFormula>SUM(DirectorofCampusLifeExpenses[Budget 22/23])</totalsRowFormula>
    </tableColumn>
  </tableColumns>
  <tableStyleInfo name="Feds Budget" showFirstColumn="0" showLastColumn="0" showRowStripes="0" showColumnStripes="1"/>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1A000000}" name="ServicesManagerRevenues" displayName="ServicesManagerRevenues" ref="B4:U8" totalsRowCount="1" headerRowDxfId="2739" dataDxfId="2738" headerRowCellStyle="Normal 3" dataCellStyle="Currency 2 2">
  <tableColumns count="20">
    <tableColumn id="1" xr3:uid="{00000000-0010-0000-1A00-000001000000}" name="Revenues" totalsRowLabel="Total" dataDxfId="2737" totalsRowDxfId="2736" dataCellStyle="Normal 3"/>
    <tableColumn id="2" xr3:uid="{00000000-0010-0000-1A00-000002000000}" name="Budget 13/14" totalsRowFunction="sum" dataDxfId="2735" totalsRowDxfId="2734" dataCellStyle="Currency 2 2"/>
    <tableColumn id="3" xr3:uid="{00000000-0010-0000-1A00-000003000000}" name="Actual 13/14" totalsRowFunction="sum" dataDxfId="2733" totalsRowDxfId="2732" dataCellStyle="Currency 2 2"/>
    <tableColumn id="4" xr3:uid="{00000000-0010-0000-1A00-000004000000}" name="Budget 14/15" totalsRowFunction="sum" dataDxfId="2731" totalsRowDxfId="2730" dataCellStyle="Currency 2 2"/>
    <tableColumn id="5" xr3:uid="{00000000-0010-0000-1A00-000005000000}" name="Actual 14/15" totalsRowFunction="sum" dataDxfId="2729" totalsRowDxfId="2728" dataCellStyle="Currency 2 2"/>
    <tableColumn id="6" xr3:uid="{00000000-0010-0000-1A00-000006000000}" name="Budget 15/16" totalsRowFunction="sum" dataDxfId="2727" totalsRowDxfId="2726" dataCellStyle="Currency 2 2"/>
    <tableColumn id="7" xr3:uid="{00000000-0010-0000-1A00-000007000000}" name="Actual 15/16" totalsRowFunction="sum" dataDxfId="2725" totalsRowDxfId="2724" dataCellStyle="Currency 2 2"/>
    <tableColumn id="8" xr3:uid="{00000000-0010-0000-1A00-000008000000}" name="Budget 16/17" totalsRowFunction="sum" dataDxfId="2723" totalsRowDxfId="2722" dataCellStyle="Currency 2 2"/>
    <tableColumn id="9" xr3:uid="{00000000-0010-0000-1A00-000009000000}" name="Actual 16/17" dataDxfId="2721" totalsRowDxfId="2720" dataCellStyle="Currency 2 2"/>
    <tableColumn id="10" xr3:uid="{00000000-0010-0000-1A00-00000A000000}" name="Budget 17/18" dataDxfId="2719" totalsRowDxfId="2718" dataCellStyle="Currency 2 2"/>
    <tableColumn id="11" xr3:uid="{00000000-0010-0000-1A00-00000B000000}" name="Actual 17/18" dataDxfId="2717" totalsRowDxfId="2716" dataCellStyle="Currency 2 2"/>
    <tableColumn id="12" xr3:uid="{00000000-0010-0000-1A00-00000C000000}" name="Budget 18/19" dataDxfId="2715" totalsRowDxfId="2714" dataCellStyle="Currency 2 2"/>
    <tableColumn id="15" xr3:uid="{00000000-0010-0000-1A00-00000F000000}" name="Actual 18/19" dataDxfId="2713" totalsRowDxfId="2712" dataCellStyle="Currency 2 2"/>
    <tableColumn id="13" xr3:uid="{00000000-0010-0000-1A00-00000D000000}" name="Budget 19/20" dataDxfId="2711" totalsRowDxfId="2710" dataCellStyle="Currency 2 2"/>
    <tableColumn id="14" xr3:uid="{00000000-0010-0000-1A00-00000E000000}" name="Actual P12 19/20" dataDxfId="2709" totalsRowDxfId="2708" dataCellStyle="Currency 2 2"/>
    <tableColumn id="16" xr3:uid="{7F67F392-86F0-4A3D-B1C8-EADF7D0A7536}" name="Budget 20/21" dataDxfId="2707" totalsRowDxfId="2706" dataCellStyle="Currency 2 2"/>
    <tableColumn id="17" xr3:uid="{7FB80915-D47B-46D7-B16F-4223A007D3B3}" name="Actual 20/21" totalsRowFunction="custom" dataDxfId="2705" totalsRowDxfId="2704" dataCellStyle="Currency 2 2">
      <totalsRowFormula>SUM(R5:R7)</totalsRowFormula>
    </tableColumn>
    <tableColumn id="18" xr3:uid="{460B978D-BF11-4077-AEC7-AC5BD565AD4F}" name="Budget 21/22" dataDxfId="2703" totalsRowDxfId="2702" dataCellStyle="Currency 2 2"/>
    <tableColumn id="19" xr3:uid="{69024A03-4970-4F34-8660-5055137A0496}" name="Actual 21/22" dataDxfId="2701" totalsRowDxfId="2700" dataCellStyle="Currency 2 2"/>
    <tableColumn id="20" xr3:uid="{A64A81B3-0873-40F2-BFDF-8624D0A50130}" name="Budget 22/23" dataDxfId="2699" totalsRowDxfId="2698" dataCellStyle="Currency 2 2"/>
  </tableColumns>
  <tableStyleInfo name="Feds Budget" showFirstColumn="0" showLastColumn="0" showRowStripes="0" showColumnStripes="1"/>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1B000000}" name="ServicesManagerExpenses" displayName="ServicesManagerExpenses" ref="B10:U26" totalsRowCount="1" headerRowDxfId="2697" dataDxfId="2696" dataCellStyle="Currency">
  <tableColumns count="20">
    <tableColumn id="1" xr3:uid="{00000000-0010-0000-1B00-000001000000}" name="Expenses" totalsRowLabel="Total" dataDxfId="2695" totalsRowDxfId="2694"/>
    <tableColumn id="2" xr3:uid="{00000000-0010-0000-1B00-000002000000}" name="Budget 13/14" totalsRowFunction="sum" dataDxfId="2693" totalsRowDxfId="2692" dataCellStyle="Currency"/>
    <tableColumn id="3" xr3:uid="{00000000-0010-0000-1B00-000003000000}" name="Actual 13/14" totalsRowFunction="sum" dataDxfId="2691" totalsRowDxfId="2690"/>
    <tableColumn id="4" xr3:uid="{00000000-0010-0000-1B00-000004000000}" name="Budget 14/15" totalsRowFunction="sum" dataDxfId="2689" totalsRowDxfId="2688" dataCellStyle="Currency"/>
    <tableColumn id="5" xr3:uid="{00000000-0010-0000-1B00-000005000000}" name="Actual 14/15" totalsRowFunction="sum" dataDxfId="2687" totalsRowDxfId="2686" dataCellStyle="Currency"/>
    <tableColumn id="6" xr3:uid="{00000000-0010-0000-1B00-000006000000}" name="Budget 15/16" totalsRowFunction="sum" dataDxfId="2685" totalsRowDxfId="2684" dataCellStyle="Currency 10"/>
    <tableColumn id="7" xr3:uid="{00000000-0010-0000-1B00-000007000000}" name="Actual 15/16" totalsRowFunction="sum" dataDxfId="2683" totalsRowDxfId="2682" dataCellStyle="Currency"/>
    <tableColumn id="8" xr3:uid="{00000000-0010-0000-1B00-000008000000}" name="Budget 16/17" totalsRowFunction="sum" dataDxfId="2681" totalsRowDxfId="2680" dataCellStyle="Currency"/>
    <tableColumn id="9" xr3:uid="{00000000-0010-0000-1B00-000009000000}" name="Actual 16/17" totalsRowFunction="sum" dataDxfId="2679" totalsRowDxfId="2678" dataCellStyle="Currency"/>
    <tableColumn id="10" xr3:uid="{00000000-0010-0000-1B00-00000A000000}" name="Budget 17/18" totalsRowFunction="sum" dataDxfId="2677" totalsRowDxfId="2676" dataCellStyle="Currency"/>
    <tableColumn id="11" xr3:uid="{00000000-0010-0000-1B00-00000B000000}" name="Actual 17/18" totalsRowFunction="custom" dataDxfId="2675" totalsRowDxfId="2674" dataCellStyle="Currency">
      <totalsRowFormula>SUM(ServicesManagerExpenses[Actual 17/18])</totalsRowFormula>
    </tableColumn>
    <tableColumn id="12" xr3:uid="{00000000-0010-0000-1B00-00000C000000}" name="Budget 18/19" totalsRowFunction="custom" dataDxfId="2673" totalsRowDxfId="2672" dataCellStyle="Currency">
      <totalsRowFormula>SUM(ServicesManagerExpenses[Budget 18/19])</totalsRowFormula>
    </tableColumn>
    <tableColumn id="15" xr3:uid="{00000000-0010-0000-1B00-00000F000000}" name="Actual 18/19" totalsRowFunction="custom" dataDxfId="2671" totalsRowDxfId="2670" dataCellStyle="Currency">
      <totalsRowFormula>SUM(ServicesManagerExpenses[Actual 18/19])</totalsRowFormula>
    </tableColumn>
    <tableColumn id="13" xr3:uid="{00000000-0010-0000-1B00-00000D000000}" name="Budget 19/20" totalsRowFunction="custom" dataDxfId="2669" totalsRowDxfId="2668" dataCellStyle="Currency">
      <totalsRowFormula>SUBTOTAL(109,O11:O25)</totalsRowFormula>
    </tableColumn>
    <tableColumn id="17" xr3:uid="{14A9FD12-75C4-4B89-89AC-13C90B7708A0}" name="Actual P12 19/20" totalsRowFunction="custom" dataDxfId="2667" totalsRowDxfId="2666" dataCellStyle="Currency">
      <totalsRowFormula>SUM(P11:P25)</totalsRowFormula>
    </tableColumn>
    <tableColumn id="14" xr3:uid="{00000000-0010-0000-1B00-00000E000000}" name="Budget 20/21" totalsRowFunction="custom" totalsRowDxfId="2665" dataCellStyle="Currency">
      <totalsRowFormula>SUBTOTAL(109,Q11:Q25)</totalsRowFormula>
    </tableColumn>
    <tableColumn id="16" xr3:uid="{4A4AABEF-9236-467F-87D5-6ADC80F4D26C}" name="Actual 20/21" totalsRowFunction="custom" dataDxfId="2664" totalsRowDxfId="2663" dataCellStyle="Currency">
      <totalsRowFormula>SUBTOTAL(109,R11:R25)</totalsRowFormula>
    </tableColumn>
    <tableColumn id="18" xr3:uid="{34C3AB47-9D83-494F-983D-9B8A91F687A3}" name="Budget 21/22" totalsRowFunction="custom" dataDxfId="2662" totalsRowDxfId="2661" dataCellStyle="Currency">
      <totalsRowFormula>SUBTOTAL(109,S11:S25)</totalsRowFormula>
    </tableColumn>
    <tableColumn id="19" xr3:uid="{5B631DB4-4006-4DBB-9FFE-8AA16E46B050}" name="Actual 21/22" totalsRowFunction="sum" dataDxfId="2660" totalsRowDxfId="2659" dataCellStyle="Currency"/>
    <tableColumn id="20" xr3:uid="{D36827BC-FC84-4FBB-A3CC-E72AB9B4EEA2}" name="Budget 22/23" totalsRowFunction="custom" dataDxfId="2658" totalsRowDxfId="2657" dataCellStyle="Currency">
      <totalsRowFormula>SUM(U11:U25)</totalsRowFormula>
    </tableColumn>
  </tableColumns>
  <tableStyleInfo name="Feds Budget" showFirstColumn="0" showLastColumn="0" showRowStripes="0" showColumnStripes="1"/>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C000000}" name="ClubsRevenues" displayName="ClubsRevenues" ref="B5:AA10" totalsRowCount="1" headerRowDxfId="2656" dataDxfId="2655">
  <tableColumns count="26">
    <tableColumn id="1" xr3:uid="{00000000-0010-0000-1C00-000001000000}" name="Revenues" totalsRowLabel="Total" dataDxfId="2654" totalsRowDxfId="2653" dataCellStyle="Normal 2 13"/>
    <tableColumn id="2" xr3:uid="{00000000-0010-0000-1C00-000002000000}" name="Budget 10/11" totalsRowFunction="sum" dataDxfId="2652" totalsRowDxfId="2651" dataCellStyle="Normal 2 13"/>
    <tableColumn id="3" xr3:uid="{00000000-0010-0000-1C00-000003000000}" name="Actual 10/11" totalsRowFunction="sum" dataDxfId="2650" totalsRowDxfId="2649" dataCellStyle="Normal 2 13"/>
    <tableColumn id="4" xr3:uid="{00000000-0010-0000-1C00-000004000000}" name="Budget 11/12" totalsRowFunction="sum" dataDxfId="2648" totalsRowDxfId="2647" dataCellStyle="Normal 2 13"/>
    <tableColumn id="5" xr3:uid="{00000000-0010-0000-1C00-000005000000}" name="Actual 11/12" totalsRowFunction="sum" dataDxfId="2646" totalsRowDxfId="2645" dataCellStyle="Normal 2 13"/>
    <tableColumn id="6" xr3:uid="{00000000-0010-0000-1C00-000006000000}" name="Budget 12/13" totalsRowFunction="sum" dataDxfId="2644" totalsRowDxfId="2643" dataCellStyle="Normal 2 13"/>
    <tableColumn id="7" xr3:uid="{00000000-0010-0000-1C00-000007000000}" name="Actual 12/13" totalsRowFunction="sum" dataDxfId="2642" totalsRowDxfId="2641" dataCellStyle="Normal 2 13"/>
    <tableColumn id="8" xr3:uid="{00000000-0010-0000-1C00-000008000000}" name="Budget 13/14" totalsRowFunction="sum" dataDxfId="2640" totalsRowDxfId="2639" dataCellStyle="Normal 2 13"/>
    <tableColumn id="9" xr3:uid="{00000000-0010-0000-1C00-000009000000}" name="Actual 13/14" totalsRowFunction="sum" dataDxfId="2638" totalsRowDxfId="2637" dataCellStyle="Normal 2 13"/>
    <tableColumn id="10" xr3:uid="{00000000-0010-0000-1C00-00000A000000}" name="Budget 14/15" totalsRowFunction="sum" dataDxfId="2636" totalsRowDxfId="2635" dataCellStyle="Normal 2 13"/>
    <tableColumn id="11" xr3:uid="{00000000-0010-0000-1C00-00000B000000}" name="Actual 14/15" totalsRowFunction="sum" dataDxfId="2634" totalsRowDxfId="2633" dataCellStyle="Normal 2 13"/>
    <tableColumn id="12" xr3:uid="{00000000-0010-0000-1C00-00000C000000}" name="Budget 15/16" totalsRowFunction="sum" dataDxfId="2632" totalsRowDxfId="2631" dataCellStyle="Normal 2 13"/>
    <tableColumn id="13" xr3:uid="{00000000-0010-0000-1C00-00000D000000}" name="Actual 15/16" totalsRowFunction="sum" dataDxfId="2630" totalsRowDxfId="2629" dataCellStyle="Normal 2 13"/>
    <tableColumn id="14" xr3:uid="{00000000-0010-0000-1C00-00000E000000}" name="Budget 16/17" totalsRowFunction="sum" dataDxfId="2628" totalsRowDxfId="2627" dataCellStyle="Normal 2 13"/>
    <tableColumn id="15" xr3:uid="{00000000-0010-0000-1C00-00000F000000}" name="Actual 16/17" totalsRowFunction="sum" dataDxfId="2626" totalsRowDxfId="2625" dataCellStyle="Normal 2 13"/>
    <tableColumn id="16" xr3:uid="{00000000-0010-0000-1C00-000010000000}" name="Budget 17/18" totalsRowFunction="sum" dataDxfId="2624" totalsRowDxfId="2623" dataCellStyle="Normal 2 13"/>
    <tableColumn id="17" xr3:uid="{00000000-0010-0000-1C00-000011000000}" name="Actual 17/18" totalsRowFunction="custom" dataDxfId="2622" totalsRowDxfId="2621" dataCellStyle="Currency">
      <totalsRowFormula>SUM(ClubsRevenues[Actual 17/18])</totalsRowFormula>
    </tableColumn>
    <tableColumn id="18" xr3:uid="{00000000-0010-0000-1C00-000012000000}" name="Budget 18/19" totalsRowFunction="custom" dataDxfId="2620" totalsRowDxfId="2619" dataCellStyle="Currency">
      <totalsRowFormula>SUM(ClubsRevenues[Budget 18/19])</totalsRowFormula>
    </tableColumn>
    <tableColumn id="21" xr3:uid="{00000000-0010-0000-1C00-000015000000}" name="Actual 18/19" totalsRowFunction="custom" dataDxfId="2618" totalsRowDxfId="2617" dataCellStyle="Normal 2 13">
      <totalsRowFormula>SUM(ClubsRevenues[Actual 18/19])</totalsRowFormula>
    </tableColumn>
    <tableColumn id="19" xr3:uid="{00000000-0010-0000-1C00-000013000000}" name="Budget 19/20" totalsRowFunction="custom" dataDxfId="2616" totalsRowDxfId="2615" dataCellStyle="Currency">
      <totalsRowFormula>SUM(ClubsRevenues[Budget 19/20])</totalsRowFormula>
    </tableColumn>
    <tableColumn id="22" xr3:uid="{11493CCC-A725-4C5A-9AC0-4BC7E87EF73D}" name="Actual P12 19/20" totalsRowFunction="custom" dataDxfId="2614" totalsRowDxfId="2613" dataCellStyle="Normal 2 13">
      <totalsRowFormula>SUM(ClubsRevenues[Actual P12 19/20])</totalsRowFormula>
    </tableColumn>
    <tableColumn id="20" xr3:uid="{00000000-0010-0000-1C00-000014000000}" name="Budget 20/21" totalsRowFunction="custom" totalsRowDxfId="2612" dataCellStyle="Currency">
      <totalsRowFormula>SUM(ClubsRevenues[Budget 20/21])</totalsRowFormula>
    </tableColumn>
    <tableColumn id="23" xr3:uid="{0872FEE2-8CC7-4730-8FE6-0DB0B3F4B8AA}" name="Actual 20/21" totalsRowFunction="custom" dataDxfId="2611" totalsRowDxfId="2610">
      <totalsRowFormula>SUM(ClubsRevenues[Actual 20/21])</totalsRowFormula>
    </tableColumn>
    <tableColumn id="24" xr3:uid="{9E5F56C0-8F46-4154-8E6E-84D1B8C79205}" name="Budget 21/22" totalsRowFunction="custom" dataDxfId="2609" totalsRowDxfId="2608">
      <totalsRowFormula>SUM(ClubsRevenues[Budget 21/22])</totalsRowFormula>
    </tableColumn>
    <tableColumn id="25" xr3:uid="{84A310FF-4E39-43AC-8B59-6BD758DBA796}" name="Actual 21/22" dataDxfId="2607" totalsRowDxfId="2606"/>
    <tableColumn id="26" xr3:uid="{9F138110-0EB1-41BC-BE4A-ACD4A7FDD71C}" name="Budget 22/23" dataDxfId="2605" totalsRowDxfId="2604"/>
  </tableColumns>
  <tableStyleInfo name="Feds Budget" showFirstColumn="0" showLastColumn="0" showRowStripes="0" showColumnStripes="1"/>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1D000000}" name="ClubsExpenses" displayName="ClubsExpenses" ref="B13:AA33" totalsRowCount="1" headerRowDxfId="2603" dataDxfId="2602" dataCellStyle="Currency">
  <tableColumns count="26">
    <tableColumn id="1" xr3:uid="{00000000-0010-0000-1D00-000001000000}" name="Expenses" totalsRowLabel="Total" dataDxfId="2601" totalsRowDxfId="2600" dataCellStyle="Normal 2 13"/>
    <tableColumn id="2" xr3:uid="{00000000-0010-0000-1D00-000002000000}" name="Budget 10/11" totalsRowFunction="sum" dataDxfId="2599" totalsRowDxfId="2598" dataCellStyle="Normal 2 13"/>
    <tableColumn id="3" xr3:uid="{00000000-0010-0000-1D00-000003000000}" name="Actual 10/11" totalsRowFunction="sum" dataDxfId="2597" totalsRowDxfId="2596" dataCellStyle="Normal 2 13"/>
    <tableColumn id="4" xr3:uid="{00000000-0010-0000-1D00-000004000000}" name="Budget 11/12" totalsRowFunction="sum" dataDxfId="2595" totalsRowDxfId="2594" dataCellStyle="Normal 2 13"/>
    <tableColumn id="5" xr3:uid="{00000000-0010-0000-1D00-000005000000}" name="Actual 11/12" totalsRowFunction="sum" dataDxfId="2593" totalsRowDxfId="2592" dataCellStyle="Normal 2 13"/>
    <tableColumn id="6" xr3:uid="{00000000-0010-0000-1D00-000006000000}" name="Budget 12/13" totalsRowFunction="sum" dataDxfId="2591" totalsRowDxfId="2590" dataCellStyle="Normal 2 13"/>
    <tableColumn id="7" xr3:uid="{00000000-0010-0000-1D00-000007000000}" name="Actual 12/13" totalsRowFunction="sum" dataDxfId="2589" totalsRowDxfId="2588" dataCellStyle="Normal 2 13"/>
    <tableColumn id="8" xr3:uid="{00000000-0010-0000-1D00-000008000000}" name="Budget 13/14" totalsRowFunction="sum" dataDxfId="2587" totalsRowDxfId="2586" dataCellStyle="Normal 2 13"/>
    <tableColumn id="9" xr3:uid="{00000000-0010-0000-1D00-000009000000}" name="Actual 13/14" totalsRowFunction="sum" dataDxfId="2585" totalsRowDxfId="2584" dataCellStyle="Normal 2 13"/>
    <tableColumn id="10" xr3:uid="{00000000-0010-0000-1D00-00000A000000}" name="Budget 14/15" totalsRowFunction="sum" dataDxfId="2583" totalsRowDxfId="2582" dataCellStyle="Normal 2 13"/>
    <tableColumn id="11" xr3:uid="{00000000-0010-0000-1D00-00000B000000}" name="Actual 14/15" totalsRowFunction="sum" dataDxfId="2581" totalsRowDxfId="2580" dataCellStyle="Normal 2 13"/>
    <tableColumn id="12" xr3:uid="{00000000-0010-0000-1D00-00000C000000}" name="Budget 15/16" totalsRowFunction="sum" dataDxfId="2579" totalsRowDxfId="2578" dataCellStyle="Normal 2 13"/>
    <tableColumn id="13" xr3:uid="{00000000-0010-0000-1D00-00000D000000}" name="Actual 15/16" totalsRowFunction="sum" dataDxfId="2577" totalsRowDxfId="2576" dataCellStyle="Normal 2 13"/>
    <tableColumn id="14" xr3:uid="{00000000-0010-0000-1D00-00000E000000}" name="Budget 16/17" totalsRowFunction="sum" dataDxfId="2575" totalsRowDxfId="2574" dataCellStyle="Normal 2 13"/>
    <tableColumn id="15" xr3:uid="{00000000-0010-0000-1D00-00000F000000}" name="Actual 16/17" totalsRowFunction="sum" dataDxfId="2573" totalsRowDxfId="2572" dataCellStyle="Normal 2 13"/>
    <tableColumn id="16" xr3:uid="{00000000-0010-0000-1D00-000010000000}" name="Budget 17/18" totalsRowFunction="sum" dataDxfId="2571" totalsRowDxfId="2570" dataCellStyle="Normal 2 13"/>
    <tableColumn id="17" xr3:uid="{00000000-0010-0000-1D00-000011000000}" name="Actual 17/18" totalsRowFunction="custom" dataDxfId="2569" totalsRowDxfId="2568" dataCellStyle="Currency">
      <totalsRowFormula>SUM(ClubsExpenses[Actual 17/18])</totalsRowFormula>
    </tableColumn>
    <tableColumn id="18" xr3:uid="{00000000-0010-0000-1D00-000012000000}" name="Budget 18/19" totalsRowFunction="custom" dataDxfId="2567" totalsRowDxfId="2566" dataCellStyle="Currency">
      <totalsRowFormula>SUM(ClubsExpenses[Budget 18/19])</totalsRowFormula>
    </tableColumn>
    <tableColumn id="21" xr3:uid="{00000000-0010-0000-1D00-000015000000}" name="Actual 18/19" totalsRowFunction="custom" dataDxfId="2565" totalsRowDxfId="2564" dataCellStyle="Currency">
      <totalsRowFormula>SUM(ClubsExpenses[Actual 18/19])</totalsRowFormula>
    </tableColumn>
    <tableColumn id="19" xr3:uid="{00000000-0010-0000-1D00-000013000000}" name="Budget 19/20" totalsRowFunction="custom" dataDxfId="2563" totalsRowDxfId="2562" dataCellStyle="Currency">
      <totalsRowFormula>SUM(ClubsExpenses[Budget 19/20])</totalsRowFormula>
    </tableColumn>
    <tableColumn id="22" xr3:uid="{1A90C21D-98E3-4BE8-90C1-50192FD79B19}" name="Actual P12 19/20" totalsRowFunction="custom" dataDxfId="2561" totalsRowDxfId="2560" dataCellStyle="Currency">
      <totalsRowFormula>SUM(ClubsExpenses[Actual P12 19/20])</totalsRowFormula>
    </tableColumn>
    <tableColumn id="20" xr3:uid="{00000000-0010-0000-1D00-000014000000}" name="Budget 20/21" totalsRowFunction="sum" totalsRowDxfId="2559" dataCellStyle="Currency"/>
    <tableColumn id="23" xr3:uid="{A8A40119-953C-43CE-90BD-0BA43D767E89}" name="Actual 20/21" totalsRowFunction="sum" dataDxfId="2558" totalsRowDxfId="2557" dataCellStyle="Currency"/>
    <tableColumn id="24" xr3:uid="{D4976133-A3B6-4DAB-8CD6-88F95D100C30}" name="Budget 21/22" totalsRowFunction="sum" dataDxfId="2556" totalsRowDxfId="2555" dataCellStyle="Currency"/>
    <tableColumn id="25" xr3:uid="{43D131FD-D285-4561-BB8E-816375AD1207}" name="Actual 21/22" totalsRowFunction="sum" dataDxfId="2554" totalsRowDxfId="2553" dataCellStyle="Currency"/>
    <tableColumn id="26" xr3:uid="{FC0B160A-0C96-4799-85D7-444C55D9E341}" name="Budget 22/23" totalsRowFunction="custom" dataDxfId="2552" totalsRowDxfId="2551" dataCellStyle="Currency">
      <totalsRowFormula>SUM(ClubsExpenses[Budget 22/23])</totalsRowFormula>
    </tableColumn>
  </tableColumns>
  <tableStyleInfo name="Feds Budget" showFirstColumn="0" showLastColumn="0" showRowStripes="0" showColumnStripes="1"/>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1E000000}" name="CRTRevenues" displayName="CRTRevenues" ref="B5:AA8" totalsRowCount="1" headerRowDxfId="2550" dataDxfId="2549">
  <tableColumns count="26">
    <tableColumn id="1" xr3:uid="{00000000-0010-0000-1E00-000001000000}" name="Revenues" totalsRowLabel="Total" dataDxfId="2548" totalsRowDxfId="2547"/>
    <tableColumn id="2" xr3:uid="{00000000-0010-0000-1E00-000002000000}" name="Budget10/11" totalsRowFunction="sum" dataDxfId="2546" totalsRowDxfId="2545"/>
    <tableColumn id="3" xr3:uid="{00000000-0010-0000-1E00-000003000000}" name="Actual 10/11" totalsRowFunction="sum" dataDxfId="2544" totalsRowDxfId="2543"/>
    <tableColumn id="4" xr3:uid="{00000000-0010-0000-1E00-000004000000}" name="Budget 11/12" totalsRowFunction="sum" dataDxfId="2542" totalsRowDxfId="2541"/>
    <tableColumn id="5" xr3:uid="{00000000-0010-0000-1E00-000005000000}" name="Actual 11/12" totalsRowFunction="sum" dataDxfId="2540" totalsRowDxfId="2539"/>
    <tableColumn id="6" xr3:uid="{00000000-0010-0000-1E00-000006000000}" name="Budget 12/13" totalsRowFunction="sum" dataDxfId="2538" totalsRowDxfId="2537"/>
    <tableColumn id="7" xr3:uid="{00000000-0010-0000-1E00-000007000000}" name="Actual 12/13" totalsRowFunction="sum" dataDxfId="2536" totalsRowDxfId="2535"/>
    <tableColumn id="8" xr3:uid="{00000000-0010-0000-1E00-000008000000}" name="Budget 13/14" totalsRowFunction="sum" dataDxfId="2534" totalsRowDxfId="2533"/>
    <tableColumn id="9" xr3:uid="{00000000-0010-0000-1E00-000009000000}" name="Actual 13/14" totalsRowFunction="sum" dataDxfId="2532" totalsRowDxfId="2531"/>
    <tableColumn id="10" xr3:uid="{00000000-0010-0000-1E00-00000A000000}" name="Budget 14/15" totalsRowFunction="sum" dataDxfId="2530" totalsRowDxfId="2529"/>
    <tableColumn id="11" xr3:uid="{00000000-0010-0000-1E00-00000B000000}" name="Actual 14/15" totalsRowFunction="sum" dataDxfId="2528" totalsRowDxfId="2527"/>
    <tableColumn id="12" xr3:uid="{00000000-0010-0000-1E00-00000C000000}" name="Budget 15/16" totalsRowFunction="sum" dataDxfId="2526" totalsRowDxfId="2525"/>
    <tableColumn id="13" xr3:uid="{00000000-0010-0000-1E00-00000D000000}" name="Actual 15/16" totalsRowFunction="sum" dataDxfId="2524" totalsRowDxfId="2523"/>
    <tableColumn id="14" xr3:uid="{00000000-0010-0000-1E00-00000E000000}" name="Budget 16/17" totalsRowFunction="sum" totalsRowDxfId="2522"/>
    <tableColumn id="15" xr3:uid="{00000000-0010-0000-1E00-00000F000000}" name="Actual 16/17" totalsRowFunction="sum" totalsRowDxfId="2521"/>
    <tableColumn id="16" xr3:uid="{00000000-0010-0000-1E00-000010000000}" name="Budget 17/18" totalsRowFunction="sum" totalsRowDxfId="2520"/>
    <tableColumn id="17" xr3:uid="{00000000-0010-0000-1E00-000011000000}" name="Acutal 17/18" totalsRowFunction="custom" dataDxfId="2519" totalsRowDxfId="2518" dataCellStyle="Currency">
      <totalsRowFormula>SUM(CRTRevenues[Acutal 17/18])</totalsRowFormula>
    </tableColumn>
    <tableColumn id="18" xr3:uid="{00000000-0010-0000-1E00-000012000000}" name="Budget 18/19" totalsRowFunction="custom" dataDxfId="2517" totalsRowDxfId="2516" dataCellStyle="Currency">
      <totalsRowFormula>SUM(CRTRevenues[Budget 18/19])</totalsRowFormula>
    </tableColumn>
    <tableColumn id="21" xr3:uid="{00000000-0010-0000-1E00-000015000000}" name="Budget 18/20" totalsRowFunction="custom" dataDxfId="2515" totalsRowDxfId="2514" dataCellStyle="Currency">
      <totalsRowFormula>SUM(CRTRevenues[Budget 18/20])</totalsRowFormula>
    </tableColumn>
    <tableColumn id="19" xr3:uid="{00000000-0010-0000-1E00-000013000000}" name="Budget 19/20" totalsRowFunction="custom" dataDxfId="2513" totalsRowDxfId="2512" dataCellStyle="Currency">
      <totalsRowFormula>SUM(CRTRevenues[Budget 19/20])</totalsRowFormula>
    </tableColumn>
    <tableColumn id="22" xr3:uid="{ECE5A739-2ADA-4FD1-9A3D-B2725FC6D9A3}" name="Actual P12 19/20" totalsRowFunction="custom" dataDxfId="2511" totalsRowDxfId="2510">
      <totalsRowFormula>SUM(CRTRevenues[Actual P12 19/20])</totalsRowFormula>
    </tableColumn>
    <tableColumn id="20" xr3:uid="{00000000-0010-0000-1E00-000014000000}" name="Budget 19/21" totalsRowFunction="custom" dataDxfId="2509" totalsRowDxfId="2508" dataCellStyle="Currency">
      <totalsRowFormula>SUM(CRTRevenues[Budget 19/21])</totalsRowFormula>
    </tableColumn>
    <tableColumn id="23" xr3:uid="{C8B31871-DB35-48A8-A18C-2AF8F0BEA24A}" name="Actual 20/21" totalsRowFunction="custom" dataDxfId="2507" totalsRowDxfId="2506" dataCellStyle="Currency">
      <totalsRowFormula>SUM(CRTRevenues[Actual 20/21])</totalsRowFormula>
    </tableColumn>
    <tableColumn id="24" xr3:uid="{28D2F2A9-0D77-4DC0-99BE-378847415594}" name="Budget 21/22" totalsRowFunction="custom" dataDxfId="2505" totalsRowDxfId="2504" dataCellStyle="Currency">
      <totalsRowFormula>SUM(CRTRevenues[Budget 21/22])</totalsRowFormula>
    </tableColumn>
    <tableColumn id="25" xr3:uid="{DFFC4570-7275-4EBC-8F1F-574E228ADC01}" name="Actual 21/22" totalsRowFunction="sum" dataDxfId="2503" totalsRowDxfId="2502" dataCellStyle="Currency"/>
    <tableColumn id="26" xr3:uid="{4536008B-7524-44B1-8091-EC909370B9D7}" name="Budget 22/23" dataDxfId="2501" totalsRowDxfId="2500" dataCellStyle="Currency"/>
  </tableColumns>
  <tableStyleInfo name="Feds Budget" showFirstColumn="0" showLastColumn="0" showRowStripes="0" showColumnStripes="1"/>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1F000000}" name="CRTExpenses" displayName="CRTExpenses" ref="B10:AA31" totalsRowCount="1" headerRowDxfId="2499" dataDxfId="2498">
  <tableColumns count="26">
    <tableColumn id="1" xr3:uid="{00000000-0010-0000-1F00-000001000000}" name="Expenses" totalsRowLabel="Total" dataDxfId="2497" totalsRowDxfId="2496"/>
    <tableColumn id="2" xr3:uid="{00000000-0010-0000-1F00-000002000000}" name="Budget 10/11" totalsRowFunction="sum" dataDxfId="2495" totalsRowDxfId="2494"/>
    <tableColumn id="3" xr3:uid="{00000000-0010-0000-1F00-000003000000}" name="Actual 10/11" totalsRowFunction="sum" dataDxfId="2493" totalsRowDxfId="2492"/>
    <tableColumn id="4" xr3:uid="{00000000-0010-0000-1F00-000004000000}" name="Budget 11/12" totalsRowFunction="sum" dataDxfId="2491" totalsRowDxfId="2490"/>
    <tableColumn id="5" xr3:uid="{00000000-0010-0000-1F00-000005000000}" name="Actual 11/12" totalsRowFunction="sum" dataDxfId="2489" totalsRowDxfId="2488"/>
    <tableColumn id="6" xr3:uid="{00000000-0010-0000-1F00-000006000000}" name="Budget 12/13" totalsRowFunction="sum" dataDxfId="2487" totalsRowDxfId="2486"/>
    <tableColumn id="7" xr3:uid="{00000000-0010-0000-1F00-000007000000}" name="Actual 12/13" totalsRowFunction="sum" dataDxfId="2485" totalsRowDxfId="2484"/>
    <tableColumn id="8" xr3:uid="{00000000-0010-0000-1F00-000008000000}" name="Budget 13/14" totalsRowFunction="sum" dataDxfId="2483" totalsRowDxfId="2482"/>
    <tableColumn id="9" xr3:uid="{00000000-0010-0000-1F00-000009000000}" name="Actual 13/14" totalsRowFunction="sum" dataDxfId="2481" totalsRowDxfId="2480"/>
    <tableColumn id="10" xr3:uid="{00000000-0010-0000-1F00-00000A000000}" name="Budget 14/15" totalsRowFunction="sum" dataDxfId="2479" totalsRowDxfId="2478"/>
    <tableColumn id="11" xr3:uid="{00000000-0010-0000-1F00-00000B000000}" name="Actual 14/15" totalsRowFunction="sum" dataDxfId="2477" totalsRowDxfId="2476"/>
    <tableColumn id="12" xr3:uid="{00000000-0010-0000-1F00-00000C000000}" name="Budget 15/16" totalsRowFunction="sum" dataDxfId="2475" totalsRowDxfId="2474"/>
    <tableColumn id="13" xr3:uid="{00000000-0010-0000-1F00-00000D000000}" name="Actual 15/16" totalsRowFunction="sum" dataDxfId="2473" totalsRowDxfId="2472"/>
    <tableColumn id="14" xr3:uid="{00000000-0010-0000-1F00-00000E000000}" name="Budget 16/17" totalsRowFunction="sum" dataDxfId="2471" totalsRowDxfId="2470"/>
    <tableColumn id="15" xr3:uid="{00000000-0010-0000-1F00-00000F000000}" name="Actual 16/17" totalsRowFunction="sum" dataDxfId="2469" totalsRowDxfId="2468"/>
    <tableColumn id="16" xr3:uid="{00000000-0010-0000-1F00-000010000000}" name="Budget 17/18" totalsRowFunction="sum" dataDxfId="2467" totalsRowDxfId="2466"/>
    <tableColumn id="17" xr3:uid="{00000000-0010-0000-1F00-000011000000}" name="Actual 17/18" totalsRowFunction="sum" dataDxfId="2465" totalsRowDxfId="2464" dataCellStyle="Currency"/>
    <tableColumn id="18" xr3:uid="{00000000-0010-0000-1F00-000012000000}" name="Budget 18/19" totalsRowFunction="sum" dataDxfId="2463" totalsRowDxfId="2462" dataCellStyle="Currency"/>
    <tableColumn id="21" xr3:uid="{00000000-0010-0000-1F00-000015000000}" name="Budget 18/20" totalsRowFunction="sum" totalsRowDxfId="2461"/>
    <tableColumn id="19" xr3:uid="{00000000-0010-0000-1F00-000013000000}" name="Budget 19/20" totalsRowFunction="sum" dataDxfId="2460" totalsRowDxfId="2459" dataCellStyle="Currency"/>
    <tableColumn id="22" xr3:uid="{E2521225-2F5F-4D70-9C59-AFCA61209676}" name="Actual P12 19/20" totalsRowFunction="custom" dataDxfId="2458" totalsRowDxfId="2457">
      <totalsRowFormula>SUM(CRTExpenses[Actual P12 19/20])</totalsRowFormula>
    </tableColumn>
    <tableColumn id="20" xr3:uid="{00000000-0010-0000-1F00-000014000000}" name="Budget 19/21" totalsRowFunction="sum" dataDxfId="2456" totalsRowDxfId="2455"/>
    <tableColumn id="23" xr3:uid="{99243245-724C-4AF3-868B-15BF5312687A}" name="Actual 20/21" totalsRowFunction="sum" dataDxfId="2454" totalsRowDxfId="2453"/>
    <tableColumn id="24" xr3:uid="{D3FD777A-5D3F-4FB5-8D82-59AEACA7106F}" name="Budget 21/22" totalsRowFunction="sum" dataDxfId="2452" totalsRowDxfId="2451" dataCellStyle="Currency"/>
    <tableColumn id="25" xr3:uid="{2483DA2A-1208-426F-A840-4C5D2BFCED9D}" name="Actual 21/22" totalsRowFunction="sum" dataDxfId="2450" totalsRowDxfId="2449"/>
    <tableColumn id="26" xr3:uid="{F487BB4B-DE7D-47C9-A06C-E5E0A80E375C}" name="Budget 22/23" dataDxfId="2448" totalsRowDxfId="2447"/>
  </tableColumns>
  <tableStyleInfo name="Feds Budget" showFirstColumn="0" showLastColumn="0" showRowStripes="0" showColumnStripes="1"/>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2000000}" name="SummaryExpenses7" displayName="SummaryExpenses7" ref="A25:N35" totalsRowCount="1" headerRowDxfId="3679">
  <tableColumns count="14">
    <tableColumn id="1" xr3:uid="{00000000-0010-0000-0200-000001000000}" name="Expenses" totalsRowLabel="Total" totalsRowDxfId="3678"/>
    <tableColumn id="2" xr3:uid="{00000000-0010-0000-0200-000002000000}" name="Budget 13/14" totalsRowFunction="sum" dataDxfId="3677" totalsRowDxfId="3676" dataCellStyle="Currency 2"/>
    <tableColumn id="3" xr3:uid="{00000000-0010-0000-0200-000003000000}" name="Actual 13/14" totalsRowFunction="sum" dataDxfId="3675" totalsRowDxfId="3674" dataCellStyle="Currency 2"/>
    <tableColumn id="4" xr3:uid="{00000000-0010-0000-0200-000004000000}" name="Budget 14/15" totalsRowFunction="sum" dataDxfId="3673" totalsRowDxfId="3672" dataCellStyle="Currency 2"/>
    <tableColumn id="5" xr3:uid="{00000000-0010-0000-0200-000005000000}" name="Actual 14/15" totalsRowFunction="sum" dataDxfId="3671" totalsRowDxfId="3670" dataCellStyle="Currency 2"/>
    <tableColumn id="6" xr3:uid="{00000000-0010-0000-0200-000006000000}" name="Budget 15/16" totalsRowFunction="sum" dataDxfId="3669" totalsRowDxfId="3668" dataCellStyle="Currency 2"/>
    <tableColumn id="7" xr3:uid="{00000000-0010-0000-0200-000007000000}" name="Actual 15/16" totalsRowFunction="sum" dataDxfId="3667" totalsRowDxfId="3666" dataCellStyle="Currency 2"/>
    <tableColumn id="8" xr3:uid="{00000000-0010-0000-0200-000008000000}" name="Budget 16/17" totalsRowFunction="sum" dataDxfId="3665" totalsRowDxfId="3664" dataCellStyle="Currency 2"/>
    <tableColumn id="9" xr3:uid="{00000000-0010-0000-0200-000009000000}" name="Actual 16/17" totalsRowFunction="sum" dataDxfId="3663" totalsRowDxfId="3662" dataCellStyle="Currency 2"/>
    <tableColumn id="10" xr3:uid="{00000000-0010-0000-0200-00000A000000}" name="Budget 17/18" totalsRowFunction="sum" dataDxfId="3661" totalsRowDxfId="3660" dataCellStyle="Currency 2"/>
    <tableColumn id="11" xr3:uid="{00000000-0010-0000-0200-00000B000000}" name="Actual 17/18" totalsRowFunction="sum" dataDxfId="3659" totalsRowDxfId="3658" dataCellStyle="Currency 2"/>
    <tableColumn id="12" xr3:uid="{00000000-0010-0000-0200-00000C000000}" name="Budget 18/19" totalsRowFunction="sum" dataDxfId="3657" totalsRowDxfId="3656" dataCellStyle="Currency"/>
    <tableColumn id="13" xr3:uid="{00000000-0010-0000-0200-00000D000000}" name="Budget 19/20" dataDxfId="3655" totalsRowDxfId="3654" dataCellStyle="Currency 2"/>
    <tableColumn id="14" xr3:uid="{00000000-0010-0000-0200-00000E000000}" name="Budget 20/21" dataDxfId="3653" totalsRowDxfId="3652" dataCellStyle="Currency">
      <calculatedColumnFormula>#REF!</calculatedColumnFormula>
    </tableColumn>
  </tableColumns>
  <tableStyleInfo name="Feds Budget" showFirstColumn="0" showLastColumn="0" showRowStripes="0" showColumnStripes="1"/>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20000000}" name="FoodbankRevenues" displayName="FoodbankRevenues" ref="B4:Z7" totalsRowCount="1" headerRowDxfId="2446" dataDxfId="2445">
  <tableColumns count="25">
    <tableColumn id="1" xr3:uid="{00000000-0010-0000-2000-000001000000}" name="Revenues" totalsRowLabel="Total" dataDxfId="2444" totalsRowDxfId="2443"/>
    <tableColumn id="2" xr3:uid="{00000000-0010-0000-2000-000002000000}" name="Budget 10/11" totalsRowFunction="sum" dataDxfId="2442" totalsRowDxfId="2441"/>
    <tableColumn id="3" xr3:uid="{00000000-0010-0000-2000-000003000000}" name="Actual 10/11" totalsRowFunction="sum" dataDxfId="2440" totalsRowDxfId="2439"/>
    <tableColumn id="4" xr3:uid="{00000000-0010-0000-2000-000004000000}" name="Budget 11/12" totalsRowFunction="sum" dataDxfId="2438" totalsRowDxfId="2437"/>
    <tableColumn id="5" xr3:uid="{00000000-0010-0000-2000-000005000000}" name="Actual 11/12" totalsRowFunction="sum" dataDxfId="2436" totalsRowDxfId="2435"/>
    <tableColumn id="6" xr3:uid="{00000000-0010-0000-2000-000006000000}" name="Budget 12/13" totalsRowFunction="sum" dataDxfId="2434" totalsRowDxfId="2433"/>
    <tableColumn id="7" xr3:uid="{00000000-0010-0000-2000-000007000000}" name="Actual 12/13" totalsRowFunction="sum" dataDxfId="2432" totalsRowDxfId="2431"/>
    <tableColumn id="8" xr3:uid="{00000000-0010-0000-2000-000008000000}" name="Budget 13/14" totalsRowFunction="sum" dataDxfId="2430" totalsRowDxfId="2429"/>
    <tableColumn id="9" xr3:uid="{00000000-0010-0000-2000-000009000000}" name="Actual 13/14" totalsRowFunction="sum" dataDxfId="2428" totalsRowDxfId="2427"/>
    <tableColumn id="10" xr3:uid="{00000000-0010-0000-2000-00000A000000}" name="Budget 14/15" totalsRowFunction="sum" dataDxfId="2426" totalsRowDxfId="2425"/>
    <tableColumn id="11" xr3:uid="{00000000-0010-0000-2000-00000B000000}" name="Actual 14/15" totalsRowFunction="sum" dataDxfId="2424" totalsRowDxfId="2423"/>
    <tableColumn id="12" xr3:uid="{00000000-0010-0000-2000-00000C000000}" name="Budget 15/16" totalsRowFunction="sum" dataDxfId="2422" totalsRowDxfId="2421"/>
    <tableColumn id="13" xr3:uid="{00000000-0010-0000-2000-00000D000000}" name="Actual 15/16" totalsRowFunction="sum" dataDxfId="2420" totalsRowDxfId="2419"/>
    <tableColumn id="14" xr3:uid="{00000000-0010-0000-2000-00000E000000}" name="Budget 16/17" totalsRowFunction="sum" dataDxfId="2418" totalsRowDxfId="2417"/>
    <tableColumn id="15" xr3:uid="{00000000-0010-0000-2000-00000F000000}" name="Actual 16/17" totalsRowFunction="sum" dataDxfId="2416" totalsRowDxfId="2415"/>
    <tableColumn id="16" xr3:uid="{00000000-0010-0000-2000-000010000000}" name="Budget 17/18" totalsRowFunction="sum" dataDxfId="2414" totalsRowDxfId="2413" dataCellStyle="Currency"/>
    <tableColumn id="17" xr3:uid="{00000000-0010-0000-2000-000011000000}" name="Actual 17/18" totalsRowFunction="sum" dataDxfId="2412" totalsRowDxfId="2411" dataCellStyle="Currency"/>
    <tableColumn id="18" xr3:uid="{00000000-0010-0000-2000-000012000000}" name="Budget 18/19" totalsRowFunction="sum" dataDxfId="2410" totalsRowDxfId="2409" dataCellStyle="Currency"/>
    <tableColumn id="19" xr3:uid="{00000000-0010-0000-2000-000013000000}" name="Budget 19/20" totalsRowFunction="sum" dataDxfId="2408" totalsRowDxfId="2407" dataCellStyle="Currency"/>
    <tableColumn id="21" xr3:uid="{52A2E1F0-2F71-4DFB-91FE-5FE12C64AA9B}" name="Actual P12 19/20" totalsRowFunction="custom" totalsRowDxfId="2406">
      <totalsRowFormula>SUM(FoodbankRevenues[Actual P12 19/20])</totalsRowFormula>
    </tableColumn>
    <tableColumn id="20" xr3:uid="{00000000-0010-0000-2000-000014000000}" name="Budget 20/21" totalsRowFunction="sum" dataDxfId="2405" totalsRowDxfId="2404" dataCellStyle="Currency"/>
    <tableColumn id="23" xr3:uid="{7E998255-9E51-41C3-955F-7B8CE32CB6D2}" name="Actual 20/21" totalsRowFunction="sum" dataDxfId="2403" totalsRowDxfId="2402" dataCellStyle="Currency"/>
    <tableColumn id="22" xr3:uid="{9EFF247B-212A-45A0-A8A1-659B2AB6D9E0}" name="Budget 21/22" totalsRowFunction="sum" dataDxfId="2401" totalsRowDxfId="2400" dataCellStyle="Currency"/>
    <tableColumn id="24" xr3:uid="{E6B5B052-C244-45C3-AFA8-5FBF4A4A368C}" name="Actual 21/22" totalsRowFunction="sum" dataDxfId="2399" totalsRowDxfId="2398" dataCellStyle="Currency"/>
    <tableColumn id="25" xr3:uid="{245B3796-10C8-4FA1-B6CA-12FBD0BFC473}" name="Budget 22/23" totalsRowFunction="custom" dataDxfId="2397" totalsRowDxfId="2396" dataCellStyle="Currency">
      <totalsRowFormula>SUM(FoodbankRevenues[Budget 22/23])</totalsRowFormula>
    </tableColumn>
  </tableColumns>
  <tableStyleInfo name="Feds Budget" showFirstColumn="0" showLastColumn="0" showRowStripes="0" showColumnStripes="1"/>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21000000}" name="FoodbankExpenses" displayName="FoodbankExpenses" ref="B10:Z27" totalsRowCount="1" headerRowDxfId="2395" dataDxfId="2394" dataCellStyle="Currency">
  <tableColumns count="25">
    <tableColumn id="1" xr3:uid="{00000000-0010-0000-2100-000001000000}" name="Expenses" totalsRowLabel="Total" dataDxfId="2393" totalsRowDxfId="2392"/>
    <tableColumn id="2" xr3:uid="{00000000-0010-0000-2100-000002000000}" name="Budget 10/11" totalsRowFunction="sum" dataDxfId="2391" totalsRowDxfId="2390" dataCellStyle="Currency"/>
    <tableColumn id="3" xr3:uid="{00000000-0010-0000-2100-000003000000}" name="Actual 10/11" totalsRowFunction="sum" dataDxfId="2389" totalsRowDxfId="2388" dataCellStyle="Currency"/>
    <tableColumn id="4" xr3:uid="{00000000-0010-0000-2100-000004000000}" name="Budget 11/12" totalsRowFunction="sum" dataDxfId="2387" totalsRowDxfId="2386" dataCellStyle="Currency"/>
    <tableColumn id="5" xr3:uid="{00000000-0010-0000-2100-000005000000}" name="Actual 11/12" totalsRowFunction="sum" dataDxfId="2385" totalsRowDxfId="2384" dataCellStyle="Currency"/>
    <tableColumn id="6" xr3:uid="{00000000-0010-0000-2100-000006000000}" name="Budget 12/13" totalsRowFunction="sum" dataDxfId="2383" totalsRowDxfId="2382" dataCellStyle="Currency"/>
    <tableColumn id="7" xr3:uid="{00000000-0010-0000-2100-000007000000}" name="Actual 12/13" totalsRowFunction="sum" dataDxfId="2381" totalsRowDxfId="2380" dataCellStyle="Currency"/>
    <tableColumn id="8" xr3:uid="{00000000-0010-0000-2100-000008000000}" name="Budget 13/14" totalsRowFunction="sum" dataDxfId="2379" totalsRowDxfId="2378" dataCellStyle="Currency"/>
    <tableColumn id="9" xr3:uid="{00000000-0010-0000-2100-000009000000}" name="Actual 13/14" totalsRowFunction="sum" dataDxfId="2377" totalsRowDxfId="2376" dataCellStyle="Currency"/>
    <tableColumn id="10" xr3:uid="{00000000-0010-0000-2100-00000A000000}" name="Budget 14/15" totalsRowFunction="sum" dataDxfId="2375" totalsRowDxfId="2374" dataCellStyle="Currency"/>
    <tableColumn id="11" xr3:uid="{00000000-0010-0000-2100-00000B000000}" name="Actual 14/15" totalsRowFunction="sum" dataDxfId="2373" totalsRowDxfId="2372" dataCellStyle="Currency"/>
    <tableColumn id="12" xr3:uid="{00000000-0010-0000-2100-00000C000000}" name="Budget 15/16" totalsRowFunction="sum" dataDxfId="2371" totalsRowDxfId="2370" dataCellStyle="Currency"/>
    <tableColumn id="13" xr3:uid="{00000000-0010-0000-2100-00000D000000}" name="Actual 15/16" totalsRowFunction="sum" dataDxfId="2369" totalsRowDxfId="2368" dataCellStyle="Currency"/>
    <tableColumn id="14" xr3:uid="{00000000-0010-0000-2100-00000E000000}" name="Budget 16/17" totalsRowFunction="sum" dataDxfId="2367" totalsRowDxfId="2366"/>
    <tableColumn id="15" xr3:uid="{00000000-0010-0000-2100-00000F000000}" name="Actual 16/17" totalsRowFunction="sum" dataDxfId="2365" totalsRowDxfId="2364" dataCellStyle="Currency"/>
    <tableColumn id="16" xr3:uid="{00000000-0010-0000-2100-000010000000}" name="Budget 17/18" totalsRowFunction="sum" dataDxfId="2363" totalsRowDxfId="2362" dataCellStyle="Currency"/>
    <tableColumn id="17" xr3:uid="{00000000-0010-0000-2100-000011000000}" name="Actual 17/18" totalsRowFunction="custom" dataDxfId="2361" totalsRowDxfId="2360" dataCellStyle="Currency">
      <totalsRowFormula>SUM(FoodbankExpenses[Actual 17/18])</totalsRowFormula>
    </tableColumn>
    <tableColumn id="18" xr3:uid="{00000000-0010-0000-2100-000012000000}" name="Budget 18/19" totalsRowFunction="custom" dataDxfId="2359" totalsRowDxfId="2358" dataCellStyle="Currency">
      <totalsRowFormula>SUM(FoodbankExpenses[Budget 18/19])</totalsRowFormula>
    </tableColumn>
    <tableColumn id="19" xr3:uid="{00000000-0010-0000-2100-000013000000}" name="Budget 19/20" totalsRowFunction="sum" dataDxfId="2357" totalsRowDxfId="2356" dataCellStyle="Currency"/>
    <tableColumn id="21" xr3:uid="{E2033DDB-29E5-427D-A435-15218F56ADA9}" name="Actual P12 19/20" totalsRowFunction="custom" dataDxfId="2355" totalsRowDxfId="2354" dataCellStyle="Currency">
      <totalsRowFormula>SUM(FoodbankExpenses[Actual P12 19/20])</totalsRowFormula>
    </tableColumn>
    <tableColumn id="20" xr3:uid="{00000000-0010-0000-2100-000014000000}" name="Budget 20/21" totalsRowFunction="sum" dataDxfId="2353" totalsRowDxfId="2352" dataCellStyle="Currency"/>
    <tableColumn id="23" xr3:uid="{7C992628-66F5-47D9-A122-F391F703F605}" name="Actual 20/21" totalsRowFunction="custom" dataDxfId="2351" totalsRowDxfId="2350" dataCellStyle="Currency">
      <totalsRowFormula>SUBTOTAL(109,FoodbankExpenses[Actual 20/21])</totalsRowFormula>
    </tableColumn>
    <tableColumn id="22" xr3:uid="{6781CE86-93B3-4946-87F0-E571063B4956}" name="Budget 21/22" totalsRowFunction="sum" dataDxfId="2349" totalsRowDxfId="2348" dataCellStyle="Currency"/>
    <tableColumn id="24" xr3:uid="{2B7DF257-29FD-45AC-81EB-39281FCA206C}" name="Actual 21/22" totalsRowFunction="sum" dataDxfId="2347" totalsRowDxfId="2346" dataCellStyle="Currency"/>
    <tableColumn id="25" xr3:uid="{B925D9DF-C70D-4B12-8337-A97D3DB611D5}" name="Budget 22/23" totalsRowFunction="custom" dataDxfId="2345" totalsRowDxfId="2344" dataCellStyle="Currency">
      <totalsRowFormula>SUM(FoodbankExpenses[Budget 22/23])</totalsRowFormula>
    </tableColumn>
  </tableColumns>
  <tableStyleInfo name="Feds Budget" showFirstColumn="0" showLastColumn="0" showRowStripes="0" showColumnStripes="1"/>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22000000}" name="GlowRevenues" displayName="GlowRevenues" ref="B5:Z9" totalsRowCount="1" headerRowDxfId="2343" dataDxfId="2342">
  <tableColumns count="25">
    <tableColumn id="1" xr3:uid="{00000000-0010-0000-2200-000001000000}" name="Revenues" totalsRowLabel="Total" dataDxfId="2341" totalsRowDxfId="2340"/>
    <tableColumn id="2" xr3:uid="{00000000-0010-0000-2200-000002000000}" name="Budget 10/11" totalsRowFunction="sum" dataDxfId="2339" totalsRowDxfId="2338"/>
    <tableColumn id="3" xr3:uid="{00000000-0010-0000-2200-000003000000}" name="Actual 10/11" totalsRowFunction="sum" dataDxfId="2337" totalsRowDxfId="2336"/>
    <tableColumn id="4" xr3:uid="{00000000-0010-0000-2200-000004000000}" name="Budget 11/12" totalsRowFunction="sum" dataDxfId="2335" totalsRowDxfId="2334"/>
    <tableColumn id="5" xr3:uid="{00000000-0010-0000-2200-000005000000}" name="Actual 11/12" totalsRowFunction="sum" dataDxfId="2333" totalsRowDxfId="2332"/>
    <tableColumn id="6" xr3:uid="{00000000-0010-0000-2200-000006000000}" name="Budget 12/13" totalsRowFunction="sum" dataDxfId="2331" totalsRowDxfId="2330"/>
    <tableColumn id="7" xr3:uid="{00000000-0010-0000-2200-000007000000}" name="Actual 12/13" totalsRowFunction="sum" dataDxfId="2329" totalsRowDxfId="2328"/>
    <tableColumn id="8" xr3:uid="{00000000-0010-0000-2200-000008000000}" name="Budget 13/14" totalsRowFunction="sum" dataDxfId="2327" totalsRowDxfId="2326"/>
    <tableColumn id="9" xr3:uid="{00000000-0010-0000-2200-000009000000}" name="Actual 13/14" totalsRowFunction="sum" dataDxfId="2325" totalsRowDxfId="2324"/>
    <tableColumn id="10" xr3:uid="{00000000-0010-0000-2200-00000A000000}" name="Budget 14/15" totalsRowFunction="sum" dataDxfId="2323" totalsRowDxfId="2322"/>
    <tableColumn id="11" xr3:uid="{00000000-0010-0000-2200-00000B000000}" name="Actual 14/15" totalsRowFunction="sum" dataDxfId="2321" totalsRowDxfId="2320"/>
    <tableColumn id="12" xr3:uid="{00000000-0010-0000-2200-00000C000000}" name="Budget 15/16" totalsRowFunction="sum" dataDxfId="2319" totalsRowDxfId="2318"/>
    <tableColumn id="13" xr3:uid="{00000000-0010-0000-2200-00000D000000}" name="Actual 15/16" totalsRowFunction="sum" dataDxfId="2317" totalsRowDxfId="2316"/>
    <tableColumn id="14" xr3:uid="{00000000-0010-0000-2200-00000E000000}" name="Budget 16/17" totalsRowFunction="sum" dataDxfId="2315" totalsRowDxfId="2314"/>
    <tableColumn id="15" xr3:uid="{00000000-0010-0000-2200-00000F000000}" name="Actual 16/17" totalsRowFunction="sum" dataDxfId="2313" totalsRowDxfId="2312"/>
    <tableColumn id="16" xr3:uid="{00000000-0010-0000-2200-000010000000}" name="Budget 17/18" totalsRowFunction="sum" dataDxfId="2311" totalsRowDxfId="2310"/>
    <tableColumn id="17" xr3:uid="{00000000-0010-0000-2200-000011000000}" name="Actual 17/18" totalsRowFunction="custom" dataDxfId="2309" totalsRowDxfId="2308">
      <totalsRowFormula>SUBTOTAL(109,GlowRevenues[Revenues])</totalsRowFormula>
    </tableColumn>
    <tableColumn id="18" xr3:uid="{00000000-0010-0000-2200-000012000000}" name="Budget 18/19" totalsRowFunction="sum" dataDxfId="2307" totalsRowDxfId="2306" dataCellStyle="Currency"/>
    <tableColumn id="19" xr3:uid="{00000000-0010-0000-2200-000013000000}" name="Budget 19/20" totalsRowFunction="sum" dataDxfId="2305" totalsRowDxfId="2304" dataCellStyle="Currency"/>
    <tableColumn id="21" xr3:uid="{54B609A9-34F9-42F7-BF84-4425E18FF4F6}" name="Actual P12 19/20" totalsRowFunction="custom" totalsRowDxfId="2303">
      <totalsRowFormula>SUM(GlowRevenues[Actual P12 19/20])</totalsRowFormula>
    </tableColumn>
    <tableColumn id="20" xr3:uid="{00000000-0010-0000-2200-000014000000}" name="Budget 19/21" totalsRowFunction="sum" dataDxfId="2302" totalsRowDxfId="2301"/>
    <tableColumn id="22" xr3:uid="{2E629DAB-58EC-4ED2-A7E3-1F9600C6BC40}" name="Budget 19/22" totalsRowFunction="custom" dataDxfId="2300" totalsRowDxfId="2299">
      <totalsRowFormula>SUBTOTAL(109,GlowRevenues[Budget 19/22])</totalsRowFormula>
    </tableColumn>
    <tableColumn id="23" xr3:uid="{BBB86EAC-BE2A-4806-B673-9FDCC64D388B}" name="Budget 21/22" dataDxfId="2298" totalsRowDxfId="2297"/>
    <tableColumn id="24" xr3:uid="{6D2ECEEE-AA21-4665-B280-DE5710A4EA35}" name="Actual 21/22" totalsRowFunction="sum" dataDxfId="2296" totalsRowDxfId="2295"/>
    <tableColumn id="25" xr3:uid="{42077AC1-FB60-4C6B-9540-E4F5720CB387}" name="Budget 22/23" dataDxfId="2294" totalsRowDxfId="2293"/>
  </tableColumns>
  <tableStyleInfo name="Feds Budget" showFirstColumn="0" showLastColumn="0" showRowStripes="0" showColumnStripes="1"/>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23000000}" name="GlowExpenses" displayName="GlowExpenses" ref="B11:Z31" totalsRowCount="1" headerRowDxfId="2292" dataDxfId="2291">
  <sortState xmlns:xlrd2="http://schemas.microsoft.com/office/spreadsheetml/2017/richdata2" ref="A12:O29">
    <sortCondition ref="A12:A29"/>
  </sortState>
  <tableColumns count="25">
    <tableColumn id="1" xr3:uid="{00000000-0010-0000-2300-000001000000}" name="Expenses" totalsRowLabel="Total" dataDxfId="2290" totalsRowDxfId="2289"/>
    <tableColumn id="2" xr3:uid="{00000000-0010-0000-2300-000002000000}" name="Budget 10/11" totalsRowFunction="sum" dataDxfId="2288" totalsRowDxfId="2287"/>
    <tableColumn id="3" xr3:uid="{00000000-0010-0000-2300-000003000000}" name="Actual 10/11" totalsRowFunction="sum" dataDxfId="2286" totalsRowDxfId="2285"/>
    <tableColumn id="4" xr3:uid="{00000000-0010-0000-2300-000004000000}" name="Budget 11/12" totalsRowFunction="sum" dataDxfId="2284" totalsRowDxfId="2283"/>
    <tableColumn id="5" xr3:uid="{00000000-0010-0000-2300-000005000000}" name="Actual 11/12" totalsRowFunction="sum" dataDxfId="2282" totalsRowDxfId="2281"/>
    <tableColumn id="6" xr3:uid="{00000000-0010-0000-2300-000006000000}" name="Budget 12/13" totalsRowFunction="sum" dataDxfId="2280" totalsRowDxfId="2279"/>
    <tableColumn id="7" xr3:uid="{00000000-0010-0000-2300-000007000000}" name="Actual 12/13" totalsRowFunction="sum" dataDxfId="2278" totalsRowDxfId="2277"/>
    <tableColumn id="8" xr3:uid="{00000000-0010-0000-2300-000008000000}" name="Budget 13/14" totalsRowFunction="sum" dataDxfId="2276" totalsRowDxfId="2275"/>
    <tableColumn id="9" xr3:uid="{00000000-0010-0000-2300-000009000000}" name="Actual 13/14" totalsRowFunction="sum" dataDxfId="2274" totalsRowDxfId="2273"/>
    <tableColumn id="10" xr3:uid="{00000000-0010-0000-2300-00000A000000}" name="Budget 14/15" totalsRowFunction="sum" dataDxfId="2272" totalsRowDxfId="2271"/>
    <tableColumn id="11" xr3:uid="{00000000-0010-0000-2300-00000B000000}" name="Actual 14/15" totalsRowFunction="sum" dataDxfId="2270" totalsRowDxfId="2269"/>
    <tableColumn id="12" xr3:uid="{00000000-0010-0000-2300-00000C000000}" name="Budget 15/16" totalsRowFunction="sum" dataDxfId="2268" totalsRowDxfId="2267"/>
    <tableColumn id="13" xr3:uid="{00000000-0010-0000-2300-00000D000000}" name="Actual 15/16" totalsRowFunction="sum" dataDxfId="2266" totalsRowDxfId="2265"/>
    <tableColumn id="14" xr3:uid="{00000000-0010-0000-2300-00000E000000}" name="Budget 16/17" totalsRowFunction="sum" dataDxfId="2264" totalsRowDxfId="2263"/>
    <tableColumn id="15" xr3:uid="{00000000-0010-0000-2300-00000F000000}" name="Actual 16/17" totalsRowFunction="sum" dataDxfId="2262" totalsRowDxfId="2261"/>
    <tableColumn id="16" xr3:uid="{00000000-0010-0000-2300-000010000000}" name="Budget 17/18" totalsRowFunction="sum" dataDxfId="2260" totalsRowDxfId="2259"/>
    <tableColumn id="17" xr3:uid="{00000000-0010-0000-2300-000011000000}" name="Actual 17/18" totalsRowFunction="custom" dataDxfId="2258" totalsRowDxfId="2257" dataCellStyle="Currency">
      <totalsRowFormula>SUM(GlowExpenses[Actual 17/18])</totalsRowFormula>
    </tableColumn>
    <tableColumn id="18" xr3:uid="{00000000-0010-0000-2300-000012000000}" name="Budget 18/19" totalsRowFunction="sum" dataDxfId="2256" totalsRowDxfId="2255" dataCellStyle="Currency"/>
    <tableColumn id="19" xr3:uid="{00000000-0010-0000-2300-000013000000}" name="Budget 19/20" totalsRowFunction="sum" dataDxfId="2254" totalsRowDxfId="2253" dataCellStyle="Currency"/>
    <tableColumn id="21" xr3:uid="{8511AAD4-8DEC-49F5-ADE3-412379CCF43D}" name="Actual P12 19/20" totalsRowFunction="custom" dataDxfId="2252" totalsRowDxfId="2251">
      <totalsRowFormula>SUM(GlowExpenses[Actual P12 19/20])</totalsRowFormula>
    </tableColumn>
    <tableColumn id="20" xr3:uid="{00000000-0010-0000-2300-000014000000}" name="Budget 19/21" totalsRowFunction="sum" dataDxfId="2250" totalsRowDxfId="2249" dataCellStyle="Currency"/>
    <tableColumn id="22" xr3:uid="{22980D7D-B0E5-41CB-A89E-668499160D1E}" name="Budget 19/22" totalsRowFunction="sum" dataDxfId="2248" totalsRowDxfId="2247" dataCellStyle="Currency"/>
    <tableColumn id="23" xr3:uid="{815BB78C-4AE9-46F9-A06A-13347FE037A1}" name="Budget 21/22" totalsRowFunction="sum" dataDxfId="2246" totalsRowDxfId="2245" dataCellStyle="Currency"/>
    <tableColumn id="24" xr3:uid="{D9B43B52-69E9-469C-BAB2-8199CED8654E}" name="Actual 21/22" totalsRowFunction="sum" dataDxfId="2244" totalsRowDxfId="2243" dataCellStyle="Currency"/>
    <tableColumn id="25" xr3:uid="{7A7691A4-A290-46DC-BB22-FF129ED48E76}" name="Budget 22/23" totalsRowFunction="custom" dataDxfId="2242" totalsRowDxfId="2241" dataCellStyle="Currency">
      <totalsRowFormula>SUM(GlowExpenses[Budget 22/23])</totalsRowFormula>
    </tableColumn>
  </tableColumns>
  <tableStyleInfo name="Feds Budget" showFirstColumn="0" showLastColumn="0" showRowStripes="0" showColumnStripes="1"/>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24000000}" name="SCIRevenues" displayName="SCIRevenues" ref="B4:Z9" totalsRowCount="1" headerRowDxfId="2240" dataDxfId="2239" dataCellStyle="Currency">
  <tableColumns count="25">
    <tableColumn id="1" xr3:uid="{00000000-0010-0000-2400-000001000000}" name="Revenues" totalsRowLabel="Total" dataDxfId="2238" totalsRowDxfId="2237"/>
    <tableColumn id="2" xr3:uid="{00000000-0010-0000-2400-000002000000}" name="Budget 10/11" totalsRowFunction="sum" dataDxfId="2236" totalsRowDxfId="2235" dataCellStyle="Currency"/>
    <tableColumn id="3" xr3:uid="{00000000-0010-0000-2400-000003000000}" name="Actual 10/11" totalsRowFunction="sum" dataDxfId="2234" totalsRowDxfId="2233" dataCellStyle="Currency"/>
    <tableColumn id="4" xr3:uid="{00000000-0010-0000-2400-000004000000}" name="Budget 11/12" totalsRowFunction="sum" dataDxfId="2232" totalsRowDxfId="2231" dataCellStyle="Currency"/>
    <tableColumn id="5" xr3:uid="{00000000-0010-0000-2400-000005000000}" name="Actual 11/12" totalsRowFunction="sum" dataDxfId="2230" totalsRowDxfId="2229" dataCellStyle="Currency"/>
    <tableColumn id="6" xr3:uid="{00000000-0010-0000-2400-000006000000}" name="Budget 12/13" totalsRowFunction="sum" dataDxfId="2228" totalsRowDxfId="2227" dataCellStyle="Currency"/>
    <tableColumn id="7" xr3:uid="{00000000-0010-0000-2400-000007000000}" name="Actual 12/13" totalsRowFunction="sum" dataDxfId="2226" totalsRowDxfId="2225" dataCellStyle="Currency"/>
    <tableColumn id="8" xr3:uid="{00000000-0010-0000-2400-000008000000}" name="Budget 13/14" totalsRowFunction="sum" dataDxfId="2224" totalsRowDxfId="2223" dataCellStyle="Currency"/>
    <tableColumn id="9" xr3:uid="{00000000-0010-0000-2400-000009000000}" name="Actual 13/14" totalsRowFunction="sum" dataDxfId="2222" totalsRowDxfId="2221" dataCellStyle="Currency"/>
    <tableColumn id="10" xr3:uid="{00000000-0010-0000-2400-00000A000000}" name="Budget 14/15" totalsRowFunction="sum" dataDxfId="2220" totalsRowDxfId="2219" dataCellStyle="Currency"/>
    <tableColumn id="11" xr3:uid="{00000000-0010-0000-2400-00000B000000}" name="Actual 14/15" totalsRowFunction="sum" dataDxfId="2218" totalsRowDxfId="2217" dataCellStyle="Currency"/>
    <tableColumn id="12" xr3:uid="{00000000-0010-0000-2400-00000C000000}" name="Budget 15/16" totalsRowFunction="sum" dataDxfId="2216" totalsRowDxfId="2215" dataCellStyle="Currency"/>
    <tableColumn id="13" xr3:uid="{00000000-0010-0000-2400-00000D000000}" name="Actual 15/16" totalsRowFunction="sum" dataDxfId="2214" totalsRowDxfId="2213" dataCellStyle="Currency"/>
    <tableColumn id="14" xr3:uid="{00000000-0010-0000-2400-00000E000000}" name="Budget 16/17" totalsRowFunction="sum" dataDxfId="2212" totalsRowDxfId="2211" dataCellStyle="Currency"/>
    <tableColumn id="15" xr3:uid="{00000000-0010-0000-2400-00000F000000}" name="Actual 16/17" totalsRowFunction="sum" dataDxfId="2210" totalsRowDxfId="2209" dataCellStyle="Currency"/>
    <tableColumn id="16" xr3:uid="{00000000-0010-0000-2400-000010000000}" name="Budget 17/18" totalsRowFunction="sum" dataDxfId="2208" totalsRowDxfId="2207" dataCellStyle="Currency"/>
    <tableColumn id="17" xr3:uid="{00000000-0010-0000-2400-000011000000}" name="Actual 17/18" totalsRowFunction="sum" dataDxfId="2206" totalsRowDxfId="2205" dataCellStyle="Currency"/>
    <tableColumn id="18" xr3:uid="{00000000-0010-0000-2400-000012000000}" name="Budget 18/19" totalsRowFunction="custom" dataDxfId="2204" totalsRowDxfId="2203" dataCellStyle="Currency">
      <totalsRowFormula>SUM(SCIRevenues[Budget 18/19])</totalsRowFormula>
    </tableColumn>
    <tableColumn id="19" xr3:uid="{00000000-0010-0000-2400-000013000000}" name="Budget 19/20" totalsRowFunction="custom" dataDxfId="2202" totalsRowDxfId="2201" dataCellStyle="Currency">
      <totalsRowFormula>SUM(SCIRevenues[Budget 19/20])</totalsRowFormula>
    </tableColumn>
    <tableColumn id="21" xr3:uid="{66EDEBB7-C964-4ED5-AEEE-489DBAA3BF16}" name="Actual P12 19/20" totalsRowFunction="custom" dataDxfId="2200" totalsRowDxfId="2199" dataCellStyle="Currency">
      <totalsRowFormula>SUM(SCIRevenues[Actual P12 19/20])</totalsRowFormula>
    </tableColumn>
    <tableColumn id="20" xr3:uid="{00000000-0010-0000-2400-000014000000}" name="Budget 20/21" totalsRowFunction="custom" dataDxfId="2198" totalsRowDxfId="2197" dataCellStyle="Currency">
      <totalsRowFormula>SUM(SCIRevenues[Budget 20/21])</totalsRowFormula>
    </tableColumn>
    <tableColumn id="22" xr3:uid="{01AC62D4-AC34-4713-A420-CF201637BCF8}" name="Actual 20/21" totalsRowFunction="custom" dataDxfId="2196" totalsRowDxfId="2195" dataCellStyle="Currency">
      <totalsRowFormula>SUM(SCIRevenues[Actual 20/21])</totalsRowFormula>
    </tableColumn>
    <tableColumn id="23" xr3:uid="{72900C30-E559-4AE2-8821-BAA8E51C4945}" name="Budget 21/22" totalsRowFunction="custom" dataDxfId="2194" totalsRowDxfId="2193" dataCellStyle="Currency">
      <totalsRowFormula>SUM(SCIRevenues[Budget 21/22])</totalsRowFormula>
    </tableColumn>
    <tableColumn id="24" xr3:uid="{3D7B58F8-2A50-4246-B2F7-9440BEC5F9D4}" name="Actual 21/22" totalsRowFunction="sum" dataDxfId="2192" totalsRowDxfId="2191" dataCellStyle="Currency"/>
    <tableColumn id="25" xr3:uid="{7A0269B6-29FB-45DF-9290-ED2CD09CA4F6}" name="Budget 22/23" dataDxfId="2190" totalsRowDxfId="2189" dataCellStyle="Currency"/>
  </tableColumns>
  <tableStyleInfo name="Feds Budget" showFirstColumn="0" showLastColumn="0" showRowStripes="0" showColumnStripes="1"/>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25000000}" name="SCIExpenses" displayName="SCIExpenses" ref="B12:Z54" totalsRowCount="1" headerRowDxfId="2188" dataDxfId="2187" dataCellStyle="Currency">
  <tableColumns count="25">
    <tableColumn id="1" xr3:uid="{00000000-0010-0000-2500-000001000000}" name="Expenses" totalsRowLabel="Total" dataDxfId="2186" totalsRowDxfId="2185"/>
    <tableColumn id="2" xr3:uid="{00000000-0010-0000-2500-000002000000}" name="Budget 10/11" totalsRowFunction="sum" dataDxfId="2184" totalsRowDxfId="2183" dataCellStyle="Currency"/>
    <tableColumn id="3" xr3:uid="{00000000-0010-0000-2500-000003000000}" name="Actual 10/11" totalsRowFunction="sum" dataDxfId="2182" totalsRowDxfId="2181" dataCellStyle="Currency"/>
    <tableColumn id="4" xr3:uid="{00000000-0010-0000-2500-000004000000}" name="Budget 11/12" totalsRowFunction="sum" dataDxfId="2180" totalsRowDxfId="2179" dataCellStyle="Currency"/>
    <tableColumn id="5" xr3:uid="{00000000-0010-0000-2500-000005000000}" name="Actual 11/12" totalsRowFunction="sum" dataDxfId="2178" totalsRowDxfId="2177" dataCellStyle="Currency"/>
    <tableColumn id="6" xr3:uid="{00000000-0010-0000-2500-000006000000}" name="Budget 12/13" totalsRowFunction="sum" dataDxfId="2176" totalsRowDxfId="2175" dataCellStyle="Currency"/>
    <tableColumn id="7" xr3:uid="{00000000-0010-0000-2500-000007000000}" name="Actual 12/13" totalsRowFunction="sum" dataDxfId="2174" totalsRowDxfId="2173" dataCellStyle="Currency"/>
    <tableColumn id="8" xr3:uid="{00000000-0010-0000-2500-000008000000}" name="Budget 13/14" totalsRowFunction="sum" dataDxfId="2172" totalsRowDxfId="2171" dataCellStyle="Currency"/>
    <tableColumn id="9" xr3:uid="{00000000-0010-0000-2500-000009000000}" name="Actual 13/14" totalsRowFunction="sum" dataDxfId="2170" totalsRowDxfId="2169" dataCellStyle="Currency"/>
    <tableColumn id="10" xr3:uid="{00000000-0010-0000-2500-00000A000000}" name="Budget 14/15" totalsRowFunction="sum" dataDxfId="2168" totalsRowDxfId="2167" dataCellStyle="Currency"/>
    <tableColumn id="11" xr3:uid="{00000000-0010-0000-2500-00000B000000}" name="Actual 14/15" totalsRowFunction="sum" dataDxfId="2166" totalsRowDxfId="2165" dataCellStyle="Currency"/>
    <tableColumn id="12" xr3:uid="{00000000-0010-0000-2500-00000C000000}" name="Budget 15/16" totalsRowFunction="sum" dataDxfId="2164" totalsRowDxfId="2163" dataCellStyle="Currency"/>
    <tableColumn id="13" xr3:uid="{00000000-0010-0000-2500-00000D000000}" name="Actual 15/16" totalsRowFunction="sum" dataDxfId="2162" totalsRowDxfId="2161" dataCellStyle="Currency"/>
    <tableColumn id="14" xr3:uid="{00000000-0010-0000-2500-00000E000000}" name="Budget 16/17" totalsRowFunction="sum" dataDxfId="2160" totalsRowDxfId="2159"/>
    <tableColumn id="15" xr3:uid="{00000000-0010-0000-2500-00000F000000}" name="Actual 16/17" totalsRowFunction="sum" dataDxfId="2158" totalsRowDxfId="2157" dataCellStyle="Currency"/>
    <tableColumn id="16" xr3:uid="{00000000-0010-0000-2500-000010000000}" name="Budget 17/18" totalsRowFunction="sum" dataDxfId="2156" totalsRowDxfId="2155" dataCellStyle="Currency"/>
    <tableColumn id="17" xr3:uid="{00000000-0010-0000-2500-000011000000}" name="Actual 17/18" totalsRowFunction="sum" dataDxfId="2154" totalsRowDxfId="2153" dataCellStyle="Currency"/>
    <tableColumn id="18" xr3:uid="{00000000-0010-0000-2500-000012000000}" name="Budget 18/19" totalsRowFunction="sum" dataDxfId="2152" totalsRowDxfId="2151" dataCellStyle="Currency"/>
    <tableColumn id="19" xr3:uid="{00000000-0010-0000-2500-000013000000}" name="Budget 19/20" totalsRowFunction="sum" dataDxfId="2150" totalsRowDxfId="2149" dataCellStyle="Currency"/>
    <tableColumn id="21" xr3:uid="{46BCA221-5685-44BC-80F0-A79A097C4B5F}" name="Actual P12 19/20" totalsRowFunction="custom" dataDxfId="2148" totalsRowDxfId="2147" dataCellStyle="Currency">
      <totalsRowFormula>SUM(SCIExpenses[Actual P12 19/20])</totalsRowFormula>
    </tableColumn>
    <tableColumn id="20" xr3:uid="{00000000-0010-0000-2500-000014000000}" name="Budget 20/21" totalsRowFunction="sum" dataDxfId="2146" totalsRowDxfId="2145" dataCellStyle="Currency"/>
    <tableColumn id="22" xr3:uid="{0B29F9BE-E7E1-41FD-B80E-166881839D4B}" name="Actual 20/21" totalsRowFunction="sum" dataDxfId="2144" totalsRowDxfId="2143" dataCellStyle="Currency"/>
    <tableColumn id="23" xr3:uid="{E709BAE8-2EC8-4949-BC8C-03593061924D}" name="Budget 21/22" totalsRowFunction="sum" dataDxfId="2142" totalsRowDxfId="2141" dataCellStyle="Currency"/>
    <tableColumn id="24" xr3:uid="{32A52A67-1DDF-454B-AECE-3C598C256D3F}" name="Actual 21/22" totalsRowFunction="sum" dataDxfId="2140" totalsRowDxfId="2139" dataCellStyle="Currency"/>
    <tableColumn id="25" xr3:uid="{29F7B3D8-A520-4749-9988-749657A30F93}" name="Budget 22/23" totalsRowFunction="custom" dataDxfId="2138" totalsRowDxfId="2137" dataCellStyle="Currency">
      <totalsRowFormula>SUM(SCIExpenses[Budget 22/23])</totalsRowFormula>
    </tableColumn>
  </tableColumns>
  <tableStyleInfo name="Feds Budget" showFirstColumn="0" showLastColumn="0" showRowStripes="0" showColumnStripes="1"/>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26000000}" name="OCCRevenues" displayName="OCCRevenues" ref="B5:Z10" totalsRowCount="1" headerRowDxfId="2136" dataDxfId="2135" dataCellStyle="Currency">
  <tableColumns count="25">
    <tableColumn id="1" xr3:uid="{00000000-0010-0000-2600-000001000000}" name="Revenues" totalsRowLabel="Total" dataDxfId="2134" totalsRowDxfId="2133"/>
    <tableColumn id="2" xr3:uid="{00000000-0010-0000-2600-000002000000}" name="Budget 10/11" totalsRowFunction="sum" dataDxfId="2132" totalsRowDxfId="2131" dataCellStyle="Currency"/>
    <tableColumn id="3" xr3:uid="{00000000-0010-0000-2600-000003000000}" name="Actual 10/11" totalsRowFunction="sum" dataDxfId="2130" totalsRowDxfId="2129" dataCellStyle="Currency"/>
    <tableColumn id="4" xr3:uid="{00000000-0010-0000-2600-000004000000}" name="Budget 11/12" totalsRowFunction="sum" dataDxfId="2128" totalsRowDxfId="2127" dataCellStyle="Currency"/>
    <tableColumn id="5" xr3:uid="{00000000-0010-0000-2600-000005000000}" name="Actual 11/12" totalsRowFunction="sum" dataDxfId="2126" totalsRowDxfId="2125" dataCellStyle="Currency"/>
    <tableColumn id="6" xr3:uid="{00000000-0010-0000-2600-000006000000}" name="Budget 12/13" totalsRowFunction="sum" dataDxfId="2124" totalsRowDxfId="2123" dataCellStyle="Currency"/>
    <tableColumn id="7" xr3:uid="{00000000-0010-0000-2600-000007000000}" name="Actual 12/13" totalsRowFunction="sum" dataDxfId="2122" totalsRowDxfId="2121" dataCellStyle="Currency"/>
    <tableColumn id="8" xr3:uid="{00000000-0010-0000-2600-000008000000}" name="Budget 13/14" totalsRowFunction="sum" dataDxfId="2120" totalsRowDxfId="2119" dataCellStyle="Currency"/>
    <tableColumn id="9" xr3:uid="{00000000-0010-0000-2600-000009000000}" name="Actual 13/14" totalsRowFunction="sum" dataDxfId="2118" totalsRowDxfId="2117" dataCellStyle="Currency"/>
    <tableColumn id="10" xr3:uid="{00000000-0010-0000-2600-00000A000000}" name="Budget 14/15" totalsRowFunction="sum" dataDxfId="2116" totalsRowDxfId="2115" dataCellStyle="Currency"/>
    <tableColumn id="11" xr3:uid="{00000000-0010-0000-2600-00000B000000}" name="Actual 14/15" totalsRowFunction="sum" dataDxfId="2114" totalsRowDxfId="2113" dataCellStyle="Currency"/>
    <tableColumn id="12" xr3:uid="{00000000-0010-0000-2600-00000C000000}" name="Budget 15/16" totalsRowFunction="sum" dataDxfId="2112" totalsRowDxfId="2111" dataCellStyle="Currency"/>
    <tableColumn id="13" xr3:uid="{00000000-0010-0000-2600-00000D000000}" name="Actual 15/16" totalsRowFunction="sum" dataDxfId="2110" totalsRowDxfId="2109" dataCellStyle="Currency"/>
    <tableColumn id="14" xr3:uid="{00000000-0010-0000-2600-00000E000000}" name="Budget 16/17" totalsRowFunction="sum" dataDxfId="2108" totalsRowDxfId="2107" dataCellStyle="Currency"/>
    <tableColumn id="15" xr3:uid="{00000000-0010-0000-2600-00000F000000}" name="Actual 16/17" totalsRowFunction="sum" dataDxfId="2106" totalsRowDxfId="2105" dataCellStyle="Currency"/>
    <tableColumn id="16" xr3:uid="{00000000-0010-0000-2600-000010000000}" name="Budget 17/18" totalsRowFunction="sum" dataDxfId="2104" totalsRowDxfId="2103" dataCellStyle="Currency"/>
    <tableColumn id="17" xr3:uid="{00000000-0010-0000-2600-000011000000}" name="Actual 17/18" totalsRowFunction="custom" dataDxfId="2102" totalsRowDxfId="2101" dataCellStyle="Currency">
      <totalsRowFormula>SUM(OCCRevenues[Actual 17/18])</totalsRowFormula>
    </tableColumn>
    <tableColumn id="18" xr3:uid="{00000000-0010-0000-2600-000012000000}" name="Budget 18/19" totalsRowFunction="sum" dataDxfId="2100" totalsRowDxfId="2099" dataCellStyle="Currency"/>
    <tableColumn id="19" xr3:uid="{00000000-0010-0000-2600-000013000000}" name="Budget 19/20" totalsRowFunction="sum" dataDxfId="2098" totalsRowDxfId="2097" dataCellStyle="Currency"/>
    <tableColumn id="21" xr3:uid="{565940BD-DD6F-4208-8850-AC33B22BC9C2}" name="Actual P12 19/20" totalsRowFunction="custom" dataDxfId="2096" totalsRowDxfId="2095" dataCellStyle="Currency">
      <totalsRowFormula>SUM(OCCRevenues[Actual P12 19/20])</totalsRowFormula>
    </tableColumn>
    <tableColumn id="20" xr3:uid="{00000000-0010-0000-2600-000014000000}" name="Budget 20/21" totalsRowFunction="sum" dataDxfId="2094" totalsRowDxfId="2093" dataCellStyle="Currency"/>
    <tableColumn id="22" xr3:uid="{31C2191E-BF99-4E04-9AF9-1159776DAD33}" name="Actual 20/21" totalsRowFunction="sum" dataDxfId="2092" totalsRowDxfId="2091" dataCellStyle="Currency"/>
    <tableColumn id="23" xr3:uid="{329B643F-A4D5-4E29-BC2E-3AE9DAE64828}" name="Budget 21/22" totalsRowFunction="sum" dataDxfId="2090" totalsRowDxfId="2089" dataCellStyle="Currency"/>
    <tableColumn id="24" xr3:uid="{EC5D0E36-6C69-4841-A302-EAEFB2286E9D}" name="Actual 21/22" totalsRowFunction="sum" dataDxfId="2088" totalsRowDxfId="2087" dataCellStyle="Currency"/>
    <tableColumn id="25" xr3:uid="{730B3455-89A3-46E5-B06D-A68A16031A17}" name="Budget 22/23" dataDxfId="2086" totalsRowDxfId="2085" dataCellStyle="Currency"/>
  </tableColumns>
  <tableStyleInfo name="Feds Budget" showFirstColumn="0" showLastColumn="0" showRowStripes="0" showColumnStripes="1"/>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27000000}" name="OCCExpenses" displayName="OCCExpenses" ref="B13:Z33" totalsRowCount="1" headerRowDxfId="2084" dataDxfId="2083">
  <tableColumns count="25">
    <tableColumn id="1" xr3:uid="{00000000-0010-0000-2700-000001000000}" name="Expenses" totalsRowLabel="Total" dataDxfId="2082" totalsRowDxfId="2081"/>
    <tableColumn id="2" xr3:uid="{00000000-0010-0000-2700-000002000000}" name="Budget 10/11" totalsRowFunction="sum" dataDxfId="2080" totalsRowDxfId="2079"/>
    <tableColumn id="3" xr3:uid="{00000000-0010-0000-2700-000003000000}" name="Actual 10/11" totalsRowFunction="sum" dataDxfId="2078" totalsRowDxfId="2077"/>
    <tableColumn id="4" xr3:uid="{00000000-0010-0000-2700-000004000000}" name="Budget 11/12" totalsRowFunction="sum" dataDxfId="2076" totalsRowDxfId="2075"/>
    <tableColumn id="5" xr3:uid="{00000000-0010-0000-2700-000005000000}" name="Actual 11/12" totalsRowFunction="sum" dataDxfId="2074" totalsRowDxfId="2073"/>
    <tableColumn id="6" xr3:uid="{00000000-0010-0000-2700-000006000000}" name="Budget 12/13" totalsRowFunction="sum" dataDxfId="2072" totalsRowDxfId="2071"/>
    <tableColumn id="7" xr3:uid="{00000000-0010-0000-2700-000007000000}" name="Actual 12/13" totalsRowFunction="sum" dataDxfId="2070" totalsRowDxfId="2069"/>
    <tableColumn id="8" xr3:uid="{00000000-0010-0000-2700-000008000000}" name="Budget 13/14" totalsRowFunction="sum" dataDxfId="2068" totalsRowDxfId="2067"/>
    <tableColumn id="9" xr3:uid="{00000000-0010-0000-2700-000009000000}" name="Actual 13/14" totalsRowFunction="sum" dataDxfId="2066" totalsRowDxfId="2065"/>
    <tableColumn id="10" xr3:uid="{00000000-0010-0000-2700-00000A000000}" name="Budget 14/15" totalsRowFunction="sum" dataDxfId="2064" totalsRowDxfId="2063"/>
    <tableColumn id="11" xr3:uid="{00000000-0010-0000-2700-00000B000000}" name="Actual 14/15" totalsRowFunction="sum" dataDxfId="2062" totalsRowDxfId="2061"/>
    <tableColumn id="12" xr3:uid="{00000000-0010-0000-2700-00000C000000}" name="Budget 15/16" totalsRowFunction="sum" dataDxfId="2060" totalsRowDxfId="2059"/>
    <tableColumn id="13" xr3:uid="{00000000-0010-0000-2700-00000D000000}" name="Actual 15/16" totalsRowFunction="sum" dataDxfId="2058" totalsRowDxfId="2057"/>
    <tableColumn id="14" xr3:uid="{00000000-0010-0000-2700-00000E000000}" name="Budget 16/17" totalsRowFunction="sum" dataDxfId="2056" totalsRowDxfId="2055"/>
    <tableColumn id="15" xr3:uid="{00000000-0010-0000-2700-00000F000000}" name="Actual 16/17" totalsRowFunction="sum" dataDxfId="2054" totalsRowDxfId="2053"/>
    <tableColumn id="16" xr3:uid="{00000000-0010-0000-2700-000010000000}" name="Budget 17/18" totalsRowFunction="sum" dataDxfId="2052" totalsRowDxfId="2051"/>
    <tableColumn id="17" xr3:uid="{00000000-0010-0000-2700-000011000000}" name="Actual 17/18" totalsRowFunction="custom" dataDxfId="2050" totalsRowDxfId="2049" dataCellStyle="Currency">
      <totalsRowFormula>SUM(OCCExpenses[Actual 17/18])</totalsRowFormula>
    </tableColumn>
    <tableColumn id="18" xr3:uid="{00000000-0010-0000-2700-000012000000}" name="Budget 18/19" totalsRowFunction="custom" dataDxfId="2048" totalsRowDxfId="2047" dataCellStyle="Currency">
      <totalsRowFormula>SUM(OCCExpenses[Budget 18/19])</totalsRowFormula>
    </tableColumn>
    <tableColumn id="19" xr3:uid="{00000000-0010-0000-2700-000013000000}" name="Budget 19/20" totalsRowFunction="custom" dataDxfId="2046" totalsRowDxfId="2045">
      <totalsRowFormula>SUM(T16:T27)</totalsRowFormula>
    </tableColumn>
    <tableColumn id="21" xr3:uid="{B27DC154-8270-4387-B239-AD30C53D26BE}" name="Actual P12 19/20" totalsRowFunction="custom" dataDxfId="2044" totalsRowDxfId="2043">
      <totalsRowFormula>SUM(U14:U27)</totalsRowFormula>
    </tableColumn>
    <tableColumn id="20" xr3:uid="{00000000-0010-0000-2700-000014000000}" name="Budget 20/21" totalsRowFunction="custom" dataDxfId="2042" totalsRowDxfId="2041" dataCellStyle="Currency">
      <totalsRowFormula>SUM(V14:V27)</totalsRowFormula>
    </tableColumn>
    <tableColumn id="22" xr3:uid="{D7F1EB22-C628-4B8F-9313-7F861D6B3DA2}" name="Actual 20/21" totalsRowFunction="custom" dataDxfId="2040" totalsRowDxfId="2039" dataCellStyle="Currency">
      <totalsRowFormula>SUM(W14:W27)</totalsRowFormula>
    </tableColumn>
    <tableColumn id="23" xr3:uid="{6A564CC2-9A24-4041-AEFF-4D0988C4BA32}" name="Budget 21/22" totalsRowFunction="custom" dataDxfId="2038" totalsRowDxfId="2037" dataCellStyle="Currency">
      <totalsRowFormula>SUM(X14:X27)</totalsRowFormula>
    </tableColumn>
    <tableColumn id="24" xr3:uid="{B53C602D-6636-4EF2-9D43-B1D1ACD7E4EE}" name="Actual 21/22" totalsRowFunction="sum" dataDxfId="2036" totalsRowDxfId="2035" dataCellStyle="Currency"/>
    <tableColumn id="25" xr3:uid="{C27AA0DB-CA30-4287-AA70-457D4F8F7DB4}" name="Budget 22/23" totalsRowFunction="custom" dataDxfId="2034" totalsRowDxfId="2033" dataCellStyle="Currency">
      <totalsRowFormula>SUM(Z14:Z27)</totalsRowFormula>
    </tableColumn>
  </tableColumns>
  <tableStyleInfo name="Feds Budget" showFirstColumn="0" showLastColumn="0" showRowStripes="0" showColumnStripes="1"/>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28000000}" name="WomensCentreRevenues" displayName="WomensCentreRevenues" ref="B5:Z8" totalsRowCount="1" headerRowDxfId="2032" dataDxfId="2031" dataCellStyle="Currency">
  <tableColumns count="25">
    <tableColumn id="1" xr3:uid="{00000000-0010-0000-2800-000001000000}" name="Revenues" totalsRowLabel="Total" dataDxfId="2030" totalsRowDxfId="2029"/>
    <tableColumn id="2" xr3:uid="{00000000-0010-0000-2800-000002000000}" name="Budget 10/11" totalsRowFunction="sum" dataDxfId="2028" totalsRowDxfId="2027" dataCellStyle="Currency"/>
    <tableColumn id="3" xr3:uid="{00000000-0010-0000-2800-000003000000}" name="Actual 10/11" totalsRowFunction="sum" dataDxfId="2026" totalsRowDxfId="2025" dataCellStyle="Currency"/>
    <tableColumn id="4" xr3:uid="{00000000-0010-0000-2800-000004000000}" name="Budget 11/12" totalsRowFunction="sum" dataDxfId="2024" totalsRowDxfId="2023" dataCellStyle="Currency"/>
    <tableColumn id="5" xr3:uid="{00000000-0010-0000-2800-000005000000}" name="Actual 11/12" totalsRowFunction="sum" dataDxfId="2022" totalsRowDxfId="2021" dataCellStyle="Currency"/>
    <tableColumn id="6" xr3:uid="{00000000-0010-0000-2800-000006000000}" name="Budget 12/13" totalsRowFunction="sum" dataDxfId="2020" totalsRowDxfId="2019" dataCellStyle="Currency"/>
    <tableColumn id="7" xr3:uid="{00000000-0010-0000-2800-000007000000}" name="Actual 12/13" totalsRowFunction="sum" dataDxfId="2018" totalsRowDxfId="2017" dataCellStyle="Currency"/>
    <tableColumn id="8" xr3:uid="{00000000-0010-0000-2800-000008000000}" name="Budget 13/14" totalsRowFunction="sum" dataDxfId="2016" totalsRowDxfId="2015" dataCellStyle="Currency"/>
    <tableColumn id="9" xr3:uid="{00000000-0010-0000-2800-000009000000}" name="Actual 13/14" totalsRowFunction="sum" dataDxfId="2014" totalsRowDxfId="2013" dataCellStyle="Currency"/>
    <tableColumn id="10" xr3:uid="{00000000-0010-0000-2800-00000A000000}" name="Budget 14/15" totalsRowFunction="sum" dataDxfId="2012" totalsRowDxfId="2011" dataCellStyle="Currency"/>
    <tableColumn id="11" xr3:uid="{00000000-0010-0000-2800-00000B000000}" name="Actual 14/15" totalsRowFunction="sum" dataDxfId="2010" totalsRowDxfId="2009" dataCellStyle="Currency"/>
    <tableColumn id="12" xr3:uid="{00000000-0010-0000-2800-00000C000000}" name="Budget 15/16" totalsRowFunction="sum" dataDxfId="2008" totalsRowDxfId="2007" dataCellStyle="Currency"/>
    <tableColumn id="13" xr3:uid="{00000000-0010-0000-2800-00000D000000}" name="Actual 15/16" totalsRowFunction="sum" dataDxfId="2006" totalsRowDxfId="2005" dataCellStyle="Currency"/>
    <tableColumn id="14" xr3:uid="{00000000-0010-0000-2800-00000E000000}" name="Budget 16/17" totalsRowFunction="sum" dataDxfId="2004" totalsRowDxfId="2003" dataCellStyle="Currency"/>
    <tableColumn id="15" xr3:uid="{00000000-0010-0000-2800-00000F000000}" name="Actual 16/17" totalsRowFunction="sum" dataDxfId="2002" totalsRowDxfId="2001" dataCellStyle="Currency"/>
    <tableColumn id="16" xr3:uid="{00000000-0010-0000-2800-000010000000}" name="Budget 17/18" totalsRowFunction="sum" dataDxfId="2000" totalsRowDxfId="1999" dataCellStyle="Currency"/>
    <tableColumn id="17" xr3:uid="{00000000-0010-0000-2800-000011000000}" name="Actual 17/18" totalsRowFunction="custom" dataDxfId="1998" totalsRowDxfId="1997" dataCellStyle="Currency">
      <totalsRowFormula>SUBTOTAL(109,WomensCentreRevenues[Revenues])</totalsRowFormula>
    </tableColumn>
    <tableColumn id="18" xr3:uid="{00000000-0010-0000-2800-000012000000}" name="Budget 18/19" totalsRowFunction="custom" dataDxfId="1996" totalsRowDxfId="1995" dataCellStyle="Currency">
      <totalsRowFormula>SUBTOTAL(109,WomensCentreRevenues[Budget 10/11])</totalsRowFormula>
    </tableColumn>
    <tableColumn id="19" xr3:uid="{00000000-0010-0000-2800-000013000000}" name="Budget 19/20" totalsRowFunction="custom" dataDxfId="1994" totalsRowDxfId="1993" dataCellStyle="Currency">
      <totalsRowFormula>SUBTOTAL(109,WomensCentreRevenues[Actual 10/11])</totalsRowFormula>
    </tableColumn>
    <tableColumn id="21" xr3:uid="{93371F68-1A6E-4675-A6D6-191246DA53E4}" name="Actual P12 19/20" totalsRowFunction="custom" totalsRowDxfId="1992">
      <totalsRowFormula>SUM(WomensCentreRevenues[Actual P12 19/20])</totalsRowFormula>
    </tableColumn>
    <tableColumn id="20" xr3:uid="{00000000-0010-0000-2800-000014000000}" name="Budget 20/21" totalsRowFunction="sum" dataDxfId="1991" totalsRowDxfId="1990" dataCellStyle="Currency"/>
    <tableColumn id="22" xr3:uid="{F273D6D6-4BB7-4F2F-BE06-662A712F41F1}" name="Actual 20/21" totalsRowFunction="sum" dataDxfId="1989" totalsRowDxfId="1988" dataCellStyle="Currency"/>
    <tableColumn id="23" xr3:uid="{919D780A-A68E-438D-8405-7DA115D916B3}" name="Budget 21/22" totalsRowFunction="sum" dataDxfId="1987" totalsRowDxfId="1986" dataCellStyle="Currency"/>
    <tableColumn id="24" xr3:uid="{E77A0396-4003-4AA4-89C9-BB3203C58BDD}" name="Actual 21/22" totalsRowFunction="sum" dataDxfId="1985" totalsRowDxfId="1984" dataCellStyle="Currency"/>
    <tableColumn id="25" xr3:uid="{C4C5F9F7-FF90-45B2-B906-81A5CF7DE1D4}" name="Budget 22/23" dataDxfId="1983" totalsRowDxfId="1982" dataCellStyle="Currency"/>
  </tableColumns>
  <tableStyleInfo name="Feds Budget" showFirstColumn="0" showLastColumn="0" showRowStripes="0" showColumnStripes="1"/>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29000000}" name="WomensCentreExpenses" displayName="WomensCentreExpenses" ref="B11:Z39" totalsRowCount="1" headerRowDxfId="1981" dataDxfId="1980" dataCellStyle="Currency">
  <tableColumns count="25">
    <tableColumn id="1" xr3:uid="{00000000-0010-0000-2900-000001000000}" name="Expenses" totalsRowLabel="Total" dataDxfId="1979" totalsRowDxfId="1978" dataCellStyle="Comma"/>
    <tableColumn id="2" xr3:uid="{00000000-0010-0000-2900-000002000000}" name="Budget 10/11" totalsRowFunction="sum" dataDxfId="1977" totalsRowDxfId="1976" dataCellStyle="Currency"/>
    <tableColumn id="3" xr3:uid="{00000000-0010-0000-2900-000003000000}" name="Actual 10/11" totalsRowFunction="sum" dataDxfId="1975" totalsRowDxfId="1974" dataCellStyle="Currency"/>
    <tableColumn id="4" xr3:uid="{00000000-0010-0000-2900-000004000000}" name="Budget 11/12" totalsRowFunction="sum" dataDxfId="1973" totalsRowDxfId="1972" dataCellStyle="Currency"/>
    <tableColumn id="5" xr3:uid="{00000000-0010-0000-2900-000005000000}" name="Actual 11/12" totalsRowFunction="sum" dataDxfId="1971" totalsRowDxfId="1970" dataCellStyle="Currency"/>
    <tableColumn id="6" xr3:uid="{00000000-0010-0000-2900-000006000000}" name="Budget 12/13" totalsRowFunction="sum" dataDxfId="1969" totalsRowDxfId="1968" dataCellStyle="Currency"/>
    <tableColumn id="7" xr3:uid="{00000000-0010-0000-2900-000007000000}" name="Actual 12/13" totalsRowFunction="sum" dataDxfId="1967" totalsRowDxfId="1966" dataCellStyle="Currency"/>
    <tableColumn id="8" xr3:uid="{00000000-0010-0000-2900-000008000000}" name="Budget 13/14" totalsRowFunction="sum" dataDxfId="1965" totalsRowDxfId="1964" dataCellStyle="Currency"/>
    <tableColumn id="9" xr3:uid="{00000000-0010-0000-2900-000009000000}" name="Actual 13/14" totalsRowFunction="sum" dataDxfId="1963" totalsRowDxfId="1962" dataCellStyle="Currency"/>
    <tableColumn id="10" xr3:uid="{00000000-0010-0000-2900-00000A000000}" name="Budget 14/15" totalsRowFunction="sum" dataDxfId="1961" totalsRowDxfId="1960" dataCellStyle="Currency"/>
    <tableColumn id="11" xr3:uid="{00000000-0010-0000-2900-00000B000000}" name="Actual 14/15" totalsRowFunction="sum" dataDxfId="1959" totalsRowDxfId="1958" dataCellStyle="Currency"/>
    <tableColumn id="12" xr3:uid="{00000000-0010-0000-2900-00000C000000}" name="Budget 15/16" totalsRowFunction="sum" dataDxfId="1957" totalsRowDxfId="1956" dataCellStyle="Currency"/>
    <tableColumn id="13" xr3:uid="{00000000-0010-0000-2900-00000D000000}" name="Actual 15/16" totalsRowFunction="sum" dataDxfId="1955" totalsRowDxfId="1954" dataCellStyle="Currency"/>
    <tableColumn id="14" xr3:uid="{00000000-0010-0000-2900-00000E000000}" name="Budget 16/17" totalsRowFunction="sum" dataDxfId="1953" totalsRowDxfId="1952" dataCellStyle="Currency"/>
    <tableColumn id="15" xr3:uid="{00000000-0010-0000-2900-00000F000000}" name="Actual 16/17" totalsRowFunction="sum" dataDxfId="1951" totalsRowDxfId="1950" dataCellStyle="Currency"/>
    <tableColumn id="16" xr3:uid="{00000000-0010-0000-2900-000010000000}" name="Budget 17/18" totalsRowFunction="sum" dataDxfId="1949" totalsRowDxfId="1948" dataCellStyle="Currency"/>
    <tableColumn id="17" xr3:uid="{00000000-0010-0000-2900-000011000000}" name="Actual 17/18" totalsRowFunction="custom" dataDxfId="1947" totalsRowDxfId="1946" dataCellStyle="Currency">
      <totalsRowFormula>SUM(WomensCentreExpenses[Actual 17/18])</totalsRowFormula>
    </tableColumn>
    <tableColumn id="18" xr3:uid="{00000000-0010-0000-2900-000012000000}" name="Budget 18/19" totalsRowFunction="custom" dataDxfId="1945" totalsRowDxfId="1944" dataCellStyle="Currency">
      <totalsRowFormula>SUM(WomensCentreExpenses[Budget 18/19])</totalsRowFormula>
    </tableColumn>
    <tableColumn id="19" xr3:uid="{00000000-0010-0000-2900-000013000000}" name="Budget 19/20" totalsRowFunction="custom" dataDxfId="1943" totalsRowDxfId="1942" dataCellStyle="Currency">
      <totalsRowFormula>SUM(WomensCentreExpenses[Budget 19/20])</totalsRowFormula>
    </tableColumn>
    <tableColumn id="21" xr3:uid="{1001A168-5FF2-480C-ADF9-D5B84CA5B968}" name="Actual P12 19/20" totalsRowFunction="custom" dataDxfId="1941" totalsRowDxfId="1940" dataCellStyle="Currency">
      <totalsRowFormula>SUM(WomensCentreExpenses[Actual P12 19/20])</totalsRowFormula>
    </tableColumn>
    <tableColumn id="20" xr3:uid="{00000000-0010-0000-2900-000014000000}" name="Budget 20/21" totalsRowFunction="custom" dataDxfId="1939" totalsRowDxfId="1938" dataCellStyle="Currency">
      <totalsRowFormula>SUM(WomensCentreExpenses[Budget 20/21])</totalsRowFormula>
    </tableColumn>
    <tableColumn id="22" xr3:uid="{999BBE24-11A5-42F4-9632-EF8EF3AA9D8D}" name="Actual 20/21" totalsRowFunction="custom" dataDxfId="1937" totalsRowDxfId="1936" dataCellStyle="Currency">
      <totalsRowFormula>SUM(WomensCentreExpenses[Actual 20/21])</totalsRowFormula>
    </tableColumn>
    <tableColumn id="23" xr3:uid="{C67746BE-C9E8-4918-BB1C-F3E59A788B53}" name="Budget 21/22" totalsRowFunction="custom" dataDxfId="1935" totalsRowDxfId="1934" dataCellStyle="Currency">
      <totalsRowFormula>SUM(WomensCentreExpenses[Budget 21/22])</totalsRowFormula>
    </tableColumn>
    <tableColumn id="24" xr3:uid="{83BAC6A0-46B6-4A73-BCFE-889C590D31A9}" name="Actual 21/22" totalsRowFunction="sum" dataDxfId="1933" totalsRowDxfId="1932" dataCellStyle="Currency"/>
    <tableColumn id="25" xr3:uid="{9A557EE7-BB24-4F51-BD18-7C21D736D424}" name="Budget 22/23" totalsRowFunction="custom" dataDxfId="1931" totalsRowDxfId="1930" dataCellStyle="Currency">
      <totalsRowFormula>SUM(WomensCentreExpenses[Budget 22/23])</totalsRowFormula>
    </tableColumn>
  </tableColumns>
  <tableStyleInfo name="Feds Budget" showFirstColumn="0" showLastColumn="0" showRowStripes="0" showColumnStripes="1"/>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03000000}" name="SummaryRevenues105" displayName="SummaryRevenues105" ref="A4:I9" totalsRowCount="1" headerRowDxfId="3651">
  <tableColumns count="9">
    <tableColumn id="1" xr3:uid="{00000000-0010-0000-0300-000001000000}" name="Gross Profit (Loss) by Portfolio" totalsRowLabel="Total" dataDxfId="3650" totalsRowDxfId="3649"/>
    <tableColumn id="10" xr3:uid="{00000000-0010-0000-0300-00000A000000}" name="Budget 18/19" totalsRowFunction="sum" dataDxfId="3648" totalsRowDxfId="3647" dataCellStyle="Currency 2">
      <calculatedColumnFormula>PresidentSummary70[[#Totals],[Budget 18/19]]</calculatedColumnFormula>
    </tableColumn>
    <tableColumn id="11" xr3:uid="{00000000-0010-0000-0300-00000B000000}" name="Actual 18/19" totalsRowFunction="sum" dataDxfId="3646" totalsRowDxfId="3645" dataCellStyle="Currency 2">
      <calculatedColumnFormula>PresidentSummary70[[#Totals],[Actual 18/19]]</calculatedColumnFormula>
    </tableColumn>
    <tableColumn id="12" xr3:uid="{00000000-0010-0000-0300-00000C000000}" name="Budget 19/20" totalsRowFunction="sum" dataDxfId="3644" totalsRowDxfId="3643" dataCellStyle="Currency 2">
      <calculatedColumnFormula>PresidentSummary70[[#Totals],[Budget 19/20]]</calculatedColumnFormula>
    </tableColumn>
    <tableColumn id="2" xr3:uid="{00000000-0010-0000-0300-000002000000}" name="Budget 20/21" totalsRowFunction="sum" totalsRowDxfId="3642"/>
    <tableColumn id="3" xr3:uid="{F08E8629-C5F9-45E6-B3E7-B360FDD8B559}" name="Actual 20/21" totalsRowFunction="sum" dataDxfId="3641" totalsRowDxfId="3640">
      <calculatedColumnFormula>'Governance Portfolio'!V10</calculatedColumnFormula>
    </tableColumn>
    <tableColumn id="4" xr3:uid="{52790E2F-D4F6-4B8C-AB40-39C3FC7E7951}" name="Budget 21/22" totalsRowFunction="sum" dataDxfId="3639" totalsRowDxfId="3638">
      <calculatedColumnFormula>PresidentSummary70[[#Totals],[Budget 21/22]]</calculatedColumnFormula>
    </tableColumn>
    <tableColumn id="5" xr3:uid="{E6799946-FCB7-47CC-A744-B96CFF9EDF3A}" name="Actual 21/22" dataDxfId="3637" totalsRowDxfId="3636">
      <calculatedColumnFormula>PresidentSummary70[[#Totals],[Budget 21/22]]</calculatedColumnFormula>
    </tableColumn>
    <tableColumn id="7" xr3:uid="{61286CF8-387D-4693-AA71-D3168274A491}" name="Budget 22/23" totalsRowFunction="custom" dataDxfId="3635" totalsRowDxfId="3634">
      <calculatedColumnFormula>PresidentSummary70[[#Totals],[Budget 22/23]]</calculatedColumnFormula>
      <totalsRowFormula>SUM(SummaryRevenues105[Budget 22/23])</totalsRowFormula>
    </tableColumn>
  </tableColumns>
  <tableStyleInfo name="Feds Budget" showFirstColumn="0" showLastColumn="0" showRowStripes="0" showColumnStripes="1"/>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2A000000}" name="BikeCentreRevenues" displayName="BikeCentreRevenues" ref="B4:P10" totalsRowCount="1" headerRowDxfId="1929" dataDxfId="1928" dataCellStyle="Currency 2 2 2">
  <tableColumns count="15">
    <tableColumn id="1" xr3:uid="{00000000-0010-0000-2A00-000001000000}" name="Revenues" totalsRowLabel="Total" dataDxfId="1927" totalsRowDxfId="1926" dataCellStyle="Normal 2 2"/>
    <tableColumn id="2" xr3:uid="{00000000-0010-0000-2A00-000002000000}" name="Budget 15/16" totalsRowFunction="sum" dataDxfId="1925" totalsRowDxfId="1924" dataCellStyle="Currency 2 2 2"/>
    <tableColumn id="3" xr3:uid="{00000000-0010-0000-2A00-000003000000}" name="Actual 15/16" totalsRowFunction="sum" dataDxfId="1923" totalsRowDxfId="1922" dataCellStyle="Currency 2 2 2"/>
    <tableColumn id="4" xr3:uid="{00000000-0010-0000-2A00-000004000000}" name="Budget 16/17" totalsRowFunction="sum" dataDxfId="1921" totalsRowDxfId="1920" dataCellStyle="Currency 2 2 2"/>
    <tableColumn id="5" xr3:uid="{00000000-0010-0000-2A00-000005000000}" name="Actual 16/17" totalsRowFunction="sum" dataDxfId="1919" totalsRowDxfId="1918" dataCellStyle="Currency 2 2 2"/>
    <tableColumn id="6" xr3:uid="{00000000-0010-0000-2A00-000006000000}" name="Budget 17/18" totalsRowFunction="sum" dataDxfId="1917" totalsRowDxfId="1916" dataCellStyle="Currency 2 2 2"/>
    <tableColumn id="7" xr3:uid="{00000000-0010-0000-2A00-000007000000}" name="Actual 17/18" totalsRowFunction="custom" dataDxfId="1915" totalsRowDxfId="1914" dataCellStyle="Currency">
      <totalsRowFormula>SUM(BikeCentreRevenues[Actual 17/18])</totalsRowFormula>
    </tableColumn>
    <tableColumn id="8" xr3:uid="{00000000-0010-0000-2A00-000008000000}" name="Budget 18/19" totalsRowFunction="custom" dataDxfId="1913" totalsRowDxfId="1912" dataCellStyle="Currency">
      <totalsRowFormula>SUM(BikeCentreRevenues[Budget 18/19])</totalsRowFormula>
    </tableColumn>
    <tableColumn id="9" xr3:uid="{00000000-0010-0000-2A00-000009000000}" name="Budget 19/20" totalsRowFunction="custom" dataDxfId="1911" totalsRowDxfId="1910" dataCellStyle="Currency">
      <totalsRowFormula>SUM(BikeCentreRevenues[Budget 19/20])</totalsRowFormula>
    </tableColumn>
    <tableColumn id="11" xr3:uid="{9E543183-178B-415A-ACF9-392FEF224B8B}" name="Actual P12 19/20" totalsRowFunction="custom" totalsRowDxfId="1909">
      <totalsRowFormula>SUM(BikeCentreRevenues[Actual P12 19/20])</totalsRowFormula>
    </tableColumn>
    <tableColumn id="10" xr3:uid="{00000000-0010-0000-2A00-00000A000000}" name="Budget 20/21" totalsRowFunction="custom" dataDxfId="1908" totalsRowDxfId="1907" dataCellStyle="Currency">
      <totalsRowFormula>SUM(BikeCentreRevenues[Budget 20/21])</totalsRowFormula>
    </tableColumn>
    <tableColumn id="13" xr3:uid="{20DF84DB-2D20-4A32-A191-9FF208136305}" name="Actual 20/21" totalsRowFunction="custom" dataDxfId="1906" totalsRowDxfId="1905" dataCellStyle="Currency 2 2 2">
      <totalsRowFormula>SUM(BikeCentreRevenues[Actual 20/21])</totalsRowFormula>
    </tableColumn>
    <tableColumn id="14" xr3:uid="{EC2EA074-AFA7-4F9A-BB03-8C43E49DDACF}" name="Budget 21/22" totalsRowFunction="custom" dataDxfId="1904" totalsRowDxfId="1903" dataCellStyle="Currency 2 2 2">
      <totalsRowFormula>SUM(BikeCentreRevenues[Budget 21/22])</totalsRowFormula>
    </tableColumn>
    <tableColumn id="12" xr3:uid="{499D729B-535D-431B-89E0-0E5AE879277A}" name="Actual 21/22" totalsRowFunction="sum" dataDxfId="1902" totalsRowDxfId="1901" dataCellStyle="Currency 2 2 2"/>
    <tableColumn id="15" xr3:uid="{9783484C-0BDA-4BE4-8586-353354926F41}" name="Budget 22/23" totalsRowFunction="custom" dataDxfId="1900" totalsRowDxfId="1899" dataCellStyle="Currency 2 2 2">
      <totalsRowFormula>SUM(BikeCentreRevenues[Budget 22/23])</totalsRowFormula>
    </tableColumn>
  </tableColumns>
  <tableStyleInfo name="Feds Budget" showFirstColumn="0" showLastColumn="0" showRowStripes="0" showColumnStripes="1"/>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2B000000}" name="BikeCentreExpenses" displayName="BikeCentreExpenses" ref="B13:P40" totalsRowCount="1" headerRowDxfId="1898" dataDxfId="1897" dataCellStyle="Currency 2 2 2">
  <sortState xmlns:xlrd2="http://schemas.microsoft.com/office/spreadsheetml/2017/richdata2" ref="A13:E25">
    <sortCondition ref="A13:A25"/>
  </sortState>
  <tableColumns count="15">
    <tableColumn id="1" xr3:uid="{00000000-0010-0000-2B00-000001000000}" name="Expenses" totalsRowLabel="Total" dataDxfId="1896" totalsRowDxfId="1895" dataCellStyle="Normal 2 2"/>
    <tableColumn id="2" xr3:uid="{00000000-0010-0000-2B00-000002000000}" name="Budget 15/16" totalsRowFunction="sum" dataDxfId="1894" totalsRowDxfId="1893" dataCellStyle="Currency 2 2 2"/>
    <tableColumn id="3" xr3:uid="{00000000-0010-0000-2B00-000003000000}" name="Actual 15/16" totalsRowFunction="sum" dataDxfId="1892" totalsRowDxfId="1891" dataCellStyle="Currency 2 2 2"/>
    <tableColumn id="4" xr3:uid="{00000000-0010-0000-2B00-000004000000}" name="Budget 16/17" totalsRowFunction="sum" dataDxfId="1890" totalsRowDxfId="1889" dataCellStyle="Currency 2 2 2"/>
    <tableColumn id="5" xr3:uid="{00000000-0010-0000-2B00-000005000000}" name="Actual 16/17" totalsRowFunction="sum" dataDxfId="1888" totalsRowDxfId="1887" dataCellStyle="Currency 2 2 2"/>
    <tableColumn id="6" xr3:uid="{00000000-0010-0000-2B00-000006000000}" name="Budget 17/18" totalsRowFunction="sum" dataDxfId="1886" totalsRowDxfId="1885" dataCellStyle="Currency 2 2 2"/>
    <tableColumn id="7" xr3:uid="{00000000-0010-0000-2B00-000007000000}" name="Actual 17/18" totalsRowFunction="sum" dataDxfId="1884" totalsRowDxfId="1883" dataCellStyle="Currency"/>
    <tableColumn id="8" xr3:uid="{00000000-0010-0000-2B00-000008000000}" name="Budget 18/19" totalsRowFunction="custom" dataDxfId="1882" totalsRowDxfId="1881" dataCellStyle="Currency">
      <totalsRowFormula>SUM(BikeCentreExpenses[Budget 18/19])</totalsRowFormula>
    </tableColumn>
    <tableColumn id="9" xr3:uid="{00000000-0010-0000-2B00-000009000000}" name="Budget 19/20" totalsRowFunction="custom" dataDxfId="1880" totalsRowDxfId="1879" dataCellStyle="Currency">
      <totalsRowFormula>SUM(BikeCentreExpenses[Budget 19/20])</totalsRowFormula>
    </tableColumn>
    <tableColumn id="11" xr3:uid="{F9DBAB19-5122-4B1F-804A-BB52C561DC25}" name="Actual P12 19/20" totalsRowFunction="custom" totalsRowDxfId="1878">
      <totalsRowFormula>SUM(BikeCentreExpenses[Actual P12 19/20])</totalsRowFormula>
    </tableColumn>
    <tableColumn id="10" xr3:uid="{00000000-0010-0000-2B00-00000A000000}" name="Budget 20/21" totalsRowFunction="custom" dataDxfId="1877" totalsRowDxfId="1876" dataCellStyle="Currency">
      <totalsRowFormula>SUM(BikeCentreExpenses[Budget 20/21])</totalsRowFormula>
    </tableColumn>
    <tableColumn id="12" xr3:uid="{7019EF02-A92A-4281-930E-6AA50CCD50F7}" name="Actual 20/21" totalsRowFunction="custom" dataDxfId="1875" totalsRowDxfId="1874" dataCellStyle="Currency 2 2 2">
      <totalsRowFormula>SUM(BikeCentreExpenses[Actual 20/21])</totalsRowFormula>
    </tableColumn>
    <tableColumn id="13" xr3:uid="{FAB78517-B2DE-4DF6-83D6-F11060D23DAA}" name="Budget 21/22" totalsRowFunction="custom" dataDxfId="1873" totalsRowDxfId="1872" dataCellStyle="Currency">
      <totalsRowFormula>SUM(BikeCentreExpenses[Budget 21/22])</totalsRowFormula>
    </tableColumn>
    <tableColumn id="14" xr3:uid="{FE69DCE1-2C82-4CC2-AD9A-DB0AE95C8CFC}" name="Actual 21/22" totalsRowFunction="sum" dataDxfId="1871" totalsRowDxfId="1870" dataCellStyle="Currency 2 2 2"/>
    <tableColumn id="15" xr3:uid="{EF583D9E-46C0-49CA-A060-4B3574710DA7}" name="Budget 22/23" totalsRowFunction="custom" dataDxfId="1869" totalsRowDxfId="1868" dataCellStyle="Currency 2 2 2">
      <totalsRowFormula>SUM(BikeCentreExpenses[Budget 22/23])</totalsRowFormula>
    </tableColumn>
  </tableColumns>
  <tableStyleInfo name="Feds Budget" showFirstColumn="0" showLastColumn="0" showRowStripes="0" showColumnStripes="1"/>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2C000000}" name="ICSNRevenues" displayName="ICSNRevenues" ref="B4:R12" totalsRowCount="1" headerRowDxfId="1867" dataDxfId="1866" dataCellStyle="Currency">
  <tableColumns count="17">
    <tableColumn id="1" xr3:uid="{00000000-0010-0000-2C00-000001000000}" name="Revenues" totalsRowLabel="Total" dataDxfId="1865" totalsRowDxfId="1864"/>
    <tableColumn id="2" xr3:uid="{00000000-0010-0000-2C00-000002000000}" name="Budget 14/15" totalsRowFunction="sum" dataDxfId="1863" totalsRowDxfId="1862" dataCellStyle="Currency"/>
    <tableColumn id="3" xr3:uid="{00000000-0010-0000-2C00-000003000000}" name="Actual 14/15" totalsRowFunction="sum" dataDxfId="1861" totalsRowDxfId="1860" dataCellStyle="Currency"/>
    <tableColumn id="4" xr3:uid="{00000000-0010-0000-2C00-000004000000}" name="Budget 15/16" totalsRowFunction="sum" dataDxfId="1859" totalsRowDxfId="1858" dataCellStyle="Currency"/>
    <tableColumn id="7" xr3:uid="{00000000-0010-0000-2C00-000007000000}" name="Actual 15/16" totalsRowFunction="sum" dataDxfId="1857" totalsRowDxfId="1856" dataCellStyle="Currency"/>
    <tableColumn id="8" xr3:uid="{00000000-0010-0000-2C00-000008000000}" name="Budget 16/17" totalsRowFunction="sum" dataDxfId="1855" totalsRowDxfId="1854" dataCellStyle="Currency"/>
    <tableColumn id="5" xr3:uid="{00000000-0010-0000-2C00-000005000000}" name="Actuan 16/17" totalsRowFunction="sum" dataDxfId="1853" totalsRowDxfId="1852" dataCellStyle="Currency"/>
    <tableColumn id="6" xr3:uid="{00000000-0010-0000-2C00-000006000000}" name="Budget 17/18" totalsRowFunction="sum" dataDxfId="1851" totalsRowDxfId="1850" dataCellStyle="Currency"/>
    <tableColumn id="9" xr3:uid="{00000000-0010-0000-2C00-000009000000}" name="Actual 17/18" totalsRowFunction="sum" dataDxfId="1849" totalsRowDxfId="1848" dataCellStyle="Currency"/>
    <tableColumn id="10" xr3:uid="{00000000-0010-0000-2C00-00000A000000}" name="Budget 18/19" totalsRowFunction="sum" dataDxfId="1847" totalsRowDxfId="1846" dataCellStyle="Currency"/>
    <tableColumn id="11" xr3:uid="{00000000-0010-0000-2C00-00000B000000}" name="Budget 19/20" totalsRowFunction="sum" dataDxfId="1845" totalsRowDxfId="1844" dataCellStyle="Currency"/>
    <tableColumn id="13" xr3:uid="{C28F5D3F-AACC-4E49-931D-A2FD600AAF49}" name="Actual P12 19/20" totalsRowFunction="custom" dataDxfId="1843" totalsRowDxfId="1842" dataCellStyle="Currency">
      <totalsRowFormula>SUM(ICSNRevenues[Actual P12 19/20])</totalsRowFormula>
    </tableColumn>
    <tableColumn id="12" xr3:uid="{00000000-0010-0000-2C00-00000C000000}" name="Budget 20/21" totalsRowFunction="sum" dataDxfId="1841" totalsRowDxfId="1840" dataCellStyle="Currency"/>
    <tableColumn id="14" xr3:uid="{0E1750D7-1714-470E-A905-ECCD63B18D2F}" name="Actual 20/21" totalsRowFunction="sum" dataDxfId="1839" totalsRowDxfId="1838" dataCellStyle="Currency"/>
    <tableColumn id="15" xr3:uid="{0FB37A4C-22EC-4A4B-971D-7A3E0ED2DB7E}" name="Budget 21/22" totalsRowFunction="sum" dataDxfId="1837" totalsRowDxfId="1836" dataCellStyle="Currency"/>
    <tableColumn id="16" xr3:uid="{4F80248C-2CCF-4666-9517-699F0C8BA526}" name="Actual 21/22" totalsRowFunction="sum" dataDxfId="1835" totalsRowDxfId="1834" dataCellStyle="Currency"/>
    <tableColumn id="17" xr3:uid="{15BD1BFB-E898-4639-B4F2-605C0A2537B3}" name="Budget 22/23" totalsRowFunction="custom" dataDxfId="1833" totalsRowDxfId="1832" dataCellStyle="Currency">
      <totalsRowFormula>SUM(R9:R11)</totalsRowFormula>
    </tableColumn>
  </tableColumns>
  <tableStyleInfo name="Feds Budget" showFirstColumn="0" showLastColumn="0" showRowStripes="0" showColumnStripes="1"/>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D000000}" name="ICSNCostofSales" displayName="ICSNCostofSales" ref="B14:R18" totalsRowCount="1" headerRowDxfId="1831" dataDxfId="1830">
  <tableColumns count="17">
    <tableColumn id="1" xr3:uid="{00000000-0010-0000-2D00-000001000000}" name="Cost of Sales" totalsRowLabel="Total" dataDxfId="1829" totalsRowDxfId="1828"/>
    <tableColumn id="2" xr3:uid="{00000000-0010-0000-2D00-000002000000}" name="Budget 14/15" totalsRowFunction="sum" dataDxfId="1827" totalsRowDxfId="1826"/>
    <tableColumn id="3" xr3:uid="{00000000-0010-0000-2D00-000003000000}" name="Actual 14/15" totalsRowFunction="sum" dataDxfId="1825" totalsRowDxfId="1824"/>
    <tableColumn id="4" xr3:uid="{00000000-0010-0000-2D00-000004000000}" name="Budget 15/16" totalsRowFunction="sum" dataDxfId="1823" totalsRowDxfId="1822"/>
    <tableColumn id="5" xr3:uid="{00000000-0010-0000-2D00-000005000000}" name="Actual 15/16" totalsRowFunction="sum" dataDxfId="1821" totalsRowDxfId="1820" dataCellStyle="Currency"/>
    <tableColumn id="6" xr3:uid="{00000000-0010-0000-2D00-000006000000}" name="Budget 16/17" totalsRowFunction="sum" dataDxfId="1819" totalsRowDxfId="1818"/>
    <tableColumn id="7" xr3:uid="{00000000-0010-0000-2D00-000007000000}" name="Actual 16/17" totalsRowFunction="sum" dataDxfId="1817" totalsRowDxfId="1816"/>
    <tableColumn id="8" xr3:uid="{00000000-0010-0000-2D00-000008000000}" name="Budget 17/18" totalsRowFunction="sum" dataDxfId="1815" totalsRowDxfId="1814"/>
    <tableColumn id="9" xr3:uid="{00000000-0010-0000-2D00-000009000000}" name="Actual 17/18" totalsRowFunction="sum" dataDxfId="1813" totalsRowDxfId="1812" dataCellStyle="Currency"/>
    <tableColumn id="10" xr3:uid="{00000000-0010-0000-2D00-00000A000000}" name="Budget 18/19" totalsRowFunction="sum" dataDxfId="1811" totalsRowDxfId="1810" dataCellStyle="Currency"/>
    <tableColumn id="11" xr3:uid="{00000000-0010-0000-2D00-00000B000000}" name="Budget 19/20" totalsRowFunction="sum" dataDxfId="1809" totalsRowDxfId="1808" dataCellStyle="Currency"/>
    <tableColumn id="13" xr3:uid="{F3DD9C7D-889C-45FA-918F-B6A1EB03147A}" name="Actual P12 19/20" dataDxfId="1807" totalsRowDxfId="1806"/>
    <tableColumn id="12" xr3:uid="{00000000-0010-0000-2D00-00000C000000}" name="Budget 20/21" totalsRowFunction="sum" dataDxfId="1805" totalsRowDxfId="1804" dataCellStyle="Currency"/>
    <tableColumn id="14" xr3:uid="{58B1AC1C-41D0-4849-8266-45C783BC1846}" name="Actual 20/21" totalsRowFunction="sum" dataDxfId="1803" totalsRowDxfId="1802" dataCellStyle="Currency"/>
    <tableColumn id="15" xr3:uid="{B3232692-2BDF-46B7-8A81-CD5B995F1DAF}" name="Budget 21/22" totalsRowFunction="sum" dataDxfId="1801" totalsRowDxfId="1800" dataCellStyle="Currency"/>
    <tableColumn id="16" xr3:uid="{C0921E64-FB23-4579-84AD-4D6BF3D82726}" name="Actual 21/22" totalsRowFunction="custom" dataDxfId="1799" totalsRowDxfId="1798" dataCellStyle="Currency">
      <totalsRowFormula>SUBTOTAL(109,ICSNCostofSales[Cost of Sales])</totalsRowFormula>
    </tableColumn>
    <tableColumn id="17" xr3:uid="{3F5AE289-F60A-4A51-8E78-E3707A8A4979}" name="Budget 22/23" totalsRowFunction="custom" dataDxfId="1797" totalsRowDxfId="1796" dataCellStyle="Currency">
      <totalsRowFormula>SUM(ICSNCostofSales[Budget 22/23])</totalsRowFormula>
    </tableColumn>
  </tableColumns>
  <tableStyleInfo name="Feds Budget" showFirstColumn="0" showLastColumn="0" showRowStripes="0" showColumnStripes="1"/>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E000000}" name="ICSNExpenses" displayName="ICSNExpenses" ref="B23:R34" totalsRowCount="1" headerRowDxfId="1795">
  <tableColumns count="17">
    <tableColumn id="1" xr3:uid="{00000000-0010-0000-2E00-000001000000}" name="Expenses" totalsRowLabel="Total" dataDxfId="1794" totalsRowDxfId="1793"/>
    <tableColumn id="2" xr3:uid="{00000000-0010-0000-2E00-000002000000}" name="Budget 14/15" totalsRowFunction="sum" dataDxfId="1792" totalsRowDxfId="1791" dataCellStyle="Currency"/>
    <tableColumn id="3" xr3:uid="{00000000-0010-0000-2E00-000003000000}" name="Actual 14/15" totalsRowFunction="sum" dataDxfId="1790" totalsRowDxfId="1789" dataCellStyle="Currency"/>
    <tableColumn id="4" xr3:uid="{00000000-0010-0000-2E00-000004000000}" name="Budget 15/16" totalsRowFunction="sum" dataDxfId="1788" totalsRowDxfId="1787" dataCellStyle="Currency 2 2 2 2 2"/>
    <tableColumn id="5" xr3:uid="{00000000-0010-0000-2E00-000005000000}" name="Actual 15/16" totalsRowFunction="sum" dataDxfId="1786" totalsRowDxfId="1785" dataCellStyle="Currency"/>
    <tableColumn id="6" xr3:uid="{00000000-0010-0000-2E00-000006000000}" name="Budget 16/17" totalsRowFunction="sum" dataDxfId="1784" totalsRowDxfId="1783" dataCellStyle="Currency 2 2 2 2 2"/>
    <tableColumn id="7" xr3:uid="{00000000-0010-0000-2E00-000007000000}" name="Actual 16/17" totalsRowFunction="sum" dataDxfId="1782" totalsRowDxfId="1781" dataCellStyle="Currency"/>
    <tableColumn id="8" xr3:uid="{00000000-0010-0000-2E00-000008000000}" name="Budget 17/18" totalsRowFunction="sum" dataDxfId="1780" totalsRowDxfId="1779" dataCellStyle="Currency"/>
    <tableColumn id="9" xr3:uid="{00000000-0010-0000-2E00-000009000000}" name="Actual 17/18" totalsRowFunction="custom" dataDxfId="1778" totalsRowDxfId="1777" dataCellStyle="Currency">
      <totalsRowFormula>SUM(ICSNExpenses[Actual 17/18])</totalsRowFormula>
    </tableColumn>
    <tableColumn id="10" xr3:uid="{00000000-0010-0000-2E00-00000A000000}" name="Budget 18/19" totalsRowFunction="custom" dataDxfId="1776" totalsRowDxfId="1775" dataCellStyle="Currency">
      <totalsRowFormula>SUM(ICSNExpenses[Budget 18/19])</totalsRowFormula>
    </tableColumn>
    <tableColumn id="11" xr3:uid="{00000000-0010-0000-2E00-00000B000000}" name="Budget 19/20" totalsRowFunction="custom" dataDxfId="1774" totalsRowDxfId="1773" dataCellStyle="Currency">
      <totalsRowFormula>SUM(ICSNExpenses[Budget 19/20])</totalsRowFormula>
    </tableColumn>
    <tableColumn id="13" xr3:uid="{3B233B78-D3E1-4081-A62E-E03682D09F16}" name="Actual P12 19/20" totalsRowFunction="custom" dataDxfId="1772" totalsRowDxfId="1771" dataCellStyle="Currency">
      <totalsRowFormula>SUM(ICSNExpenses[Actual P12 19/20])</totalsRowFormula>
    </tableColumn>
    <tableColumn id="12" xr3:uid="{00000000-0010-0000-2E00-00000C000000}" name="Budget 20/21" totalsRowFunction="custom" dataDxfId="1770" totalsRowDxfId="1769" dataCellStyle="Currency">
      <totalsRowFormula>SUM(ICSNExpenses[Budget 20/21])</totalsRowFormula>
    </tableColumn>
    <tableColumn id="14" xr3:uid="{FC10AAEB-A7B0-4E1B-A5EE-2A0CF0B26EAB}" name="Actual 20/21" totalsRowFunction="custom" dataDxfId="1768" totalsRowDxfId="1767" dataCellStyle="Currency">
      <totalsRowFormula>SUM(ICSNExpenses[Actual 20/21])</totalsRowFormula>
    </tableColumn>
    <tableColumn id="15" xr3:uid="{97C84F26-2DEA-4DD3-8062-0324B2FC1C02}" name="Budget 21/22" totalsRowFunction="custom" dataDxfId="1766" totalsRowDxfId="1765" dataCellStyle="Currency">
      <totalsRowFormula>SUM(ICSNExpenses[Budget 21/22])</totalsRowFormula>
    </tableColumn>
    <tableColumn id="16" xr3:uid="{F80071C2-1DDC-4D2D-84F0-FCE78AEDE423}" name="Actual 21/22" totalsRowFunction="sum" dataDxfId="1764" totalsRowDxfId="1763" dataCellStyle="Currency"/>
    <tableColumn id="17" xr3:uid="{C92E03B4-5015-4203-9821-8391B2AD90E7}" name="Budget 22/23" totalsRowFunction="custom" dataDxfId="1762" totalsRowDxfId="1761" dataCellStyle="Currency">
      <totalsRowFormula>SUM(ICSNExpenses[Budget 22/23])</totalsRowFormula>
    </tableColumn>
  </tableColumns>
  <tableStyleInfo name="Feds Budget" showFirstColumn="0" showLastColumn="0" showRowStripes="0" showColumnStripes="1"/>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F000000}" name="CoopConnectionRevenues" displayName="CoopConnectionRevenues" ref="B4:P9" totalsRowCount="1">
  <tableColumns count="15">
    <tableColumn id="1" xr3:uid="{00000000-0010-0000-2F00-000001000000}" name="Revenues" totalsRowLabel="Total" dataDxfId="1760" totalsRowDxfId="1759"/>
    <tableColumn id="2" xr3:uid="{00000000-0010-0000-2F00-000002000000}" name="Budget 15/16" totalsRowFunction="sum" dataDxfId="1758" totalsRowDxfId="1757" dataCellStyle="Currency"/>
    <tableColumn id="3" xr3:uid="{00000000-0010-0000-2F00-000003000000}" name="Actual 15/16" totalsRowFunction="sum" dataDxfId="1756" totalsRowDxfId="1755" dataCellStyle="Currency"/>
    <tableColumn id="4" xr3:uid="{00000000-0010-0000-2F00-000004000000}" name="Budget 16/17" totalsRowFunction="sum" dataDxfId="1754" totalsRowDxfId="1753" dataCellStyle="Currency"/>
    <tableColumn id="5" xr3:uid="{00000000-0010-0000-2F00-000005000000}" name="Actual 16/17" totalsRowFunction="sum" dataDxfId="1752" totalsRowDxfId="1751" dataCellStyle="Currency"/>
    <tableColumn id="6" xr3:uid="{00000000-0010-0000-2F00-000006000000}" name="Budget 17/18" totalsRowFunction="sum" dataDxfId="1750" totalsRowDxfId="1749" dataCellStyle="Currency"/>
    <tableColumn id="7" xr3:uid="{00000000-0010-0000-2F00-000007000000}" name="Actual 17/18" totalsRowFunction="sum" dataDxfId="1748" totalsRowDxfId="1747" dataCellStyle="Currency"/>
    <tableColumn id="8" xr3:uid="{00000000-0010-0000-2F00-000008000000}" name="Budget 18/19" totalsRowFunction="custom" dataDxfId="1746" totalsRowDxfId="1745" dataCellStyle="Currency">
      <totalsRowFormula>SUM(CoopConnectionRevenues[Budget 18/19])</totalsRowFormula>
    </tableColumn>
    <tableColumn id="9" xr3:uid="{00000000-0010-0000-2F00-000009000000}" name="Budget 19/20" totalsRowFunction="custom" dataDxfId="1744" totalsRowDxfId="1743" dataCellStyle="Currency">
      <totalsRowFormula>SUM(CoopConnectionRevenues[Budget 19/20])</totalsRowFormula>
    </tableColumn>
    <tableColumn id="11" xr3:uid="{81BB3042-6B91-4EE8-A503-AA4DA5738980}" name="Actual P12 19/20" totalsRowFunction="custom" dataDxfId="1742" totalsRowDxfId="1741" dataCellStyle="Currency">
      <totalsRowFormula>SUM(CoopConnectionRevenues[Actual P12 19/20])</totalsRowFormula>
    </tableColumn>
    <tableColumn id="10" xr3:uid="{00000000-0010-0000-2F00-00000A000000}" name="Budget 20/21" totalsRowFunction="custom" dataDxfId="1740" totalsRowDxfId="1739" dataCellStyle="Currency">
      <totalsRowFormula>SUM(CoopConnectionRevenues[Budget 20/21])</totalsRowFormula>
    </tableColumn>
    <tableColumn id="13" xr3:uid="{20567415-56DE-47EE-B5DD-A733B32DFE74}" name="Actual 20/21" totalsRowFunction="custom" dataDxfId="1738" totalsRowDxfId="1737" dataCellStyle="Currency">
      <totalsRowFormula>SUM(M5:M8)</totalsRowFormula>
    </tableColumn>
    <tableColumn id="12" xr3:uid="{C2A2FF45-F2CE-4881-AE4B-59AAF09D29DE}" name="Budget 21/22" totalsRowFunction="custom" dataDxfId="1736" totalsRowDxfId="1735" dataCellStyle="Currency">
      <totalsRowFormula>SUM(CoopConnectionRevenues[Budget 21/22])</totalsRowFormula>
    </tableColumn>
    <tableColumn id="14" xr3:uid="{31597D28-0CCC-4468-8D68-5D3B14A5065F}" name="Actual 21/22" totalsRowFunction="sum" dataDxfId="1734" totalsRowDxfId="1733" dataCellStyle="Currency"/>
    <tableColumn id="15" xr3:uid="{E735A7CF-2828-48F5-A2EA-58A8800A70EE}" name="Budget 22/23" totalsRowFunction="custom" dataDxfId="1732" totalsRowDxfId="1731" dataCellStyle="Currency">
      <totalsRowFormula>SUM(CoopConnectionRevenues[Budget 22/23])</totalsRowFormula>
    </tableColumn>
  </tableColumns>
  <tableStyleInfo name="Feds Budget" showFirstColumn="0" showLastColumn="0" showRowStripes="0" showColumnStripes="1"/>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0000000}" name="CoopConnectionExpenses" displayName="CoopConnectionExpenses" ref="B11:P24" totalsRowCount="1" headerRowDxfId="1730" dataDxfId="1729">
  <tableColumns count="15">
    <tableColumn id="1" xr3:uid="{00000000-0010-0000-3000-000001000000}" name="Expenses" totalsRowLabel="Total" dataDxfId="1728" totalsRowDxfId="1727"/>
    <tableColumn id="2" xr3:uid="{00000000-0010-0000-3000-000002000000}" name="Budget 15/16" totalsRowFunction="sum" dataDxfId="1726" totalsRowDxfId="1725" dataCellStyle="Currency"/>
    <tableColumn id="3" xr3:uid="{00000000-0010-0000-3000-000003000000}" name="Actual 15/16" totalsRowFunction="sum" dataDxfId="1724" totalsRowDxfId="1723" dataCellStyle="Currency"/>
    <tableColumn id="4" xr3:uid="{00000000-0010-0000-3000-000004000000}" name="Budget 16/17" totalsRowFunction="sum" dataDxfId="1722" totalsRowDxfId="1721" dataCellStyle="Currency"/>
    <tableColumn id="5" xr3:uid="{00000000-0010-0000-3000-000005000000}" name="Actual 16/17" totalsRowFunction="sum" dataDxfId="1720" totalsRowDxfId="1719" dataCellStyle="Currency"/>
    <tableColumn id="6" xr3:uid="{00000000-0010-0000-3000-000006000000}" name="Budget 17/18" totalsRowFunction="sum" dataDxfId="1718" totalsRowDxfId="1717" dataCellStyle="Currency"/>
    <tableColumn id="7" xr3:uid="{00000000-0010-0000-3000-000007000000}" name="Actual 17/18" totalsRowFunction="sum" dataDxfId="1716" totalsRowDxfId="1715" dataCellStyle="Currency"/>
    <tableColumn id="8" xr3:uid="{00000000-0010-0000-3000-000008000000}" name="Budget 18/19" totalsRowFunction="custom" dataDxfId="1714" totalsRowDxfId="1713" dataCellStyle="Currency">
      <totalsRowFormula>SUM(I12:I23)</totalsRowFormula>
    </tableColumn>
    <tableColumn id="9" xr3:uid="{00000000-0010-0000-3000-000009000000}" name="Budget 19/20" totalsRowFunction="custom" dataDxfId="1712" totalsRowDxfId="1711" dataCellStyle="Currency">
      <totalsRowFormula>SUM(J12:J23)</totalsRowFormula>
    </tableColumn>
    <tableColumn id="11" xr3:uid="{C3E33745-B10E-4328-B6CF-2EABF006B513}" name="Actual P12 19/20" totalsRowFunction="custom" dataDxfId="1710" totalsRowDxfId="1709" dataCellStyle="Currency">
      <totalsRowFormula>SUM(CoopConnectionExpenses[Actual P12 19/20])</totalsRowFormula>
    </tableColumn>
    <tableColumn id="10" xr3:uid="{00000000-0010-0000-3000-00000A000000}" name="Budget 20/21" totalsRowFunction="custom" dataDxfId="1708" totalsRowDxfId="1707" dataCellStyle="Currency">
      <totalsRowFormula>SUM(L12:L23)</totalsRowFormula>
    </tableColumn>
    <tableColumn id="14" xr3:uid="{E2416061-53EE-4C9B-9BCA-79D904606543}" name="Actual 20/21" totalsRowFunction="custom" dataDxfId="1706" totalsRowDxfId="1705" dataCellStyle="Currency">
      <totalsRowFormula>SUM(M12:M23)</totalsRowFormula>
    </tableColumn>
    <tableColumn id="12" xr3:uid="{3FB2BD25-777C-46D7-9F39-88B08277E908}" name="Budget 21/22" totalsRowFunction="custom" dataDxfId="1704" totalsRowDxfId="1703" dataCellStyle="Currency">
      <totalsRowFormula>SUM(N12:N23)</totalsRowFormula>
    </tableColumn>
    <tableColumn id="13" xr3:uid="{45D4C65E-27DB-4C5D-9F52-36B8ABF59E6A}" name="Actual 21/22" totalsRowFunction="sum" dataDxfId="1702" totalsRowDxfId="1701" dataCellStyle="Currency"/>
    <tableColumn id="15" xr3:uid="{95448753-8667-4219-9652-831D88450CE0}" name="Budget 22/23" totalsRowFunction="custom" dataDxfId="1700" totalsRowDxfId="1699" dataCellStyle="Currency">
      <totalsRowFormula>SUM(CoopConnectionExpenses[Budget 22/23])</totalsRowFormula>
    </tableColumn>
  </tableColumns>
  <tableStyleInfo name="Feds Budget" showFirstColumn="0" showLastColumn="0" showRowStripes="0" showColumnStripes="1"/>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1000000}" name="VolunteerCentreRevenues" displayName="VolunteerCentreRevenues" ref="B4:L6" totalsRowCount="1">
  <tableColumns count="11">
    <tableColumn id="1" xr3:uid="{00000000-0010-0000-3100-000001000000}" name="Revenues" totalsRowLabel="Total" dataDxfId="1698" totalsRowDxfId="1697"/>
    <tableColumn id="3" xr3:uid="{00000000-0010-0000-3100-000003000000}" name="Budget 15/16" totalsRowFunction="sum" dataDxfId="1696" totalsRowDxfId="1695"/>
    <tableColumn id="4" xr3:uid="{00000000-0010-0000-3100-000004000000}" name="Actual 15/16" totalsRowFunction="sum" dataDxfId="1694" totalsRowDxfId="1693"/>
    <tableColumn id="5" xr3:uid="{00000000-0010-0000-3100-000005000000}" name="Budget 16/17" totalsRowFunction="sum" dataDxfId="1692" totalsRowDxfId="1691"/>
    <tableColumn id="2" xr3:uid="{00000000-0010-0000-3100-000002000000}" name="Actual 16/17" totalsRowFunction="sum" dataDxfId="1690" totalsRowDxfId="1689"/>
    <tableColumn id="6" xr3:uid="{00000000-0010-0000-3100-000006000000}" name="Budget 17/18" totalsRowFunction="sum" dataDxfId="1688" totalsRowDxfId="1687"/>
    <tableColumn id="7" xr3:uid="{00000000-0010-0000-3100-000007000000}" name="Actual 17/18" totalsRowFunction="custom" dataDxfId="1686" totalsRowDxfId="1685">
      <totalsRowFormula>SUBTOTAL(109,VolunteerCentreRevenues[Revenues])</totalsRowFormula>
    </tableColumn>
    <tableColumn id="8" xr3:uid="{00000000-0010-0000-3100-000008000000}" name="Budge 18/19" dataDxfId="1684" totalsRowDxfId="1683"/>
    <tableColumn id="9" xr3:uid="{00000000-0010-0000-3100-000009000000}" name="Budge 19/20" dataDxfId="1682" totalsRowDxfId="1681"/>
    <tableColumn id="11" xr3:uid="{919FCBA3-E5AB-48D1-BE78-9B45BA0FA674}" name="Actual P12 19/20" totalsRowFunction="custom" dataDxfId="1680" totalsRowDxfId="1679">
      <totalsRowFormula>SUM(VolunteerCentreRevenues[Actual P12 19/20])</totalsRowFormula>
    </tableColumn>
    <tableColumn id="10" xr3:uid="{E43C5735-75F1-466C-A0B5-42CB48269DA1}" name="Budget 20/21" dataDxfId="1678" totalsRowDxfId="1677"/>
  </tableColumns>
  <tableStyleInfo name="Feds Budget" showFirstColumn="0" showLastColumn="0" showRowStripes="0" showColumnStripes="1"/>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32000000}" name="VolunteerCentreExpenses" displayName="VolunteerCentreExpenses" ref="B8:L19" totalsRowCount="1" headerRowDxfId="1676" headerRowCellStyle="Currency">
  <sortState xmlns:xlrd2="http://schemas.microsoft.com/office/spreadsheetml/2017/richdata2" ref="A9:E17">
    <sortCondition ref="A8:A17"/>
  </sortState>
  <tableColumns count="11">
    <tableColumn id="1" xr3:uid="{00000000-0010-0000-3200-000001000000}" name="Expenses" totalsRowLabel="Total" dataDxfId="1675" totalsRowDxfId="1674"/>
    <tableColumn id="3" xr3:uid="{00000000-0010-0000-3200-000003000000}" name="Budget 15/16" totalsRowFunction="sum" dataDxfId="1673" totalsRowDxfId="1672"/>
    <tableColumn id="4" xr3:uid="{00000000-0010-0000-3200-000004000000}" name="Actual 15/16" totalsRowFunction="sum" dataDxfId="1671" totalsRowDxfId="1670"/>
    <tableColumn id="5" xr3:uid="{00000000-0010-0000-3200-000005000000}" name="Budget 16/17" totalsRowFunction="sum" dataDxfId="1669" totalsRowDxfId="1668"/>
    <tableColumn id="2" xr3:uid="{00000000-0010-0000-3200-000002000000}" name="Actual 16/17" totalsRowFunction="sum" dataDxfId="1667" totalsRowDxfId="1666" dataCellStyle="Currency"/>
    <tableColumn id="6" xr3:uid="{00000000-0010-0000-3200-000006000000}" name="Budget 17/18" totalsRowFunction="sum" totalsRowDxfId="1665" dataCellStyle="Currency"/>
    <tableColumn id="7" xr3:uid="{00000000-0010-0000-3200-000007000000}" name="Actual 17/18" totalsRowFunction="sum" dataDxfId="1664" totalsRowDxfId="1663" dataCellStyle="Currency"/>
    <tableColumn id="8" xr3:uid="{00000000-0010-0000-3200-000008000000}" name="Budget 18/19" totalsRowFunction="sum" dataDxfId="1662" totalsRowDxfId="1661" dataCellStyle="Currency" totalsRowCellStyle="Currency"/>
    <tableColumn id="9" xr3:uid="{00000000-0010-0000-3200-000009000000}" name="Budget 19/20" totalsRowFunction="sum" dataDxfId="1660" totalsRowDxfId="1659" dataCellStyle="Currency" totalsRowCellStyle="Currency"/>
    <tableColumn id="11" xr3:uid="{290832BD-97D7-461A-A5D8-5219752811F0}" name="Actual P12 19/20" totalsRowFunction="custom" dataDxfId="1658" totalsRowDxfId="1657" dataCellStyle="Currency">
      <totalsRowFormula>SUM(VolunteerCentreExpenses[Actual P12 19/20])</totalsRowFormula>
    </tableColumn>
    <tableColumn id="10" xr3:uid="{85097767-7CA9-4447-9C43-CF9C154EE7EA}" name="Budget 20/21" dataDxfId="1656" totalsRowDxfId="1655" dataCellStyle="Currency"/>
  </tableColumns>
  <tableStyleInfo name="Feds Budget" showFirstColumn="0" showLastColumn="0" showRowStripes="0" showColumnStripes="1"/>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3000000}" name="WarriorTribeRevenues" displayName="WarriorTribeRevenues" ref="B4:G6" totalsRowCount="1">
  <tableColumns count="6">
    <tableColumn id="1" xr3:uid="{00000000-0010-0000-3300-000001000000}" name="Revenues" totalsRowLabel="Total" dataDxfId="1654" totalsRowDxfId="1653"/>
    <tableColumn id="5" xr3:uid="{00000000-0010-0000-3300-000005000000}" name="Budget 16/17" totalsRowFunction="sum" dataDxfId="1652" totalsRowDxfId="1651"/>
    <tableColumn id="2" xr3:uid="{00000000-0010-0000-3300-000002000000}" name="Actual 16/17" totalsRowFunction="sum" dataDxfId="1650" totalsRowDxfId="1649"/>
    <tableColumn id="3" xr3:uid="{00000000-0010-0000-3300-000003000000}" name="Budget 17/18" totalsRowFunction="sum" dataDxfId="1648" totalsRowDxfId="1647"/>
    <tableColumn id="4" xr3:uid="{00000000-0010-0000-3300-000004000000}" name="Actual 17/18" totalsRowFunction="sum" dataDxfId="1646" totalsRowDxfId="1645" dataCellStyle="Currency"/>
    <tableColumn id="6" xr3:uid="{00000000-0010-0000-3300-000006000000}" name="Budget 18/19" totalsRowFunction="sum" dataDxfId="1644" totalsRowDxfId="1643" dataCellStyle="Currency"/>
  </tableColumns>
  <tableStyleInfo name="Feds Budget" showFirstColumn="0" showLastColumn="0" showRowStripes="0" showColumnStripes="1"/>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04000000}" name="SummaryExpenses106" displayName="SummaryExpenses106" ref="A11:I16" totalsRowCount="1" headerRowDxfId="3633">
  <tableColumns count="9">
    <tableColumn id="1" xr3:uid="{00000000-0010-0000-0400-000001000000}" name="Expenses by Portfolio" totalsRowLabel="Total" totalsRowDxfId="3632"/>
    <tableColumn id="10" xr3:uid="{00000000-0010-0000-0400-00000A000000}" name="Budget 18/19" totalsRowFunction="sum" dataDxfId="3631" totalsRowDxfId="3630" dataCellStyle="Currency 2">
      <calculatedColumnFormula>PresidentSummary[[#Totals],[Budget 18/19]]</calculatedColumnFormula>
    </tableColumn>
    <tableColumn id="11" xr3:uid="{00000000-0010-0000-0400-00000B000000}" name="Actual 18/19" totalsRowFunction="sum" dataDxfId="3629" totalsRowDxfId="3628" dataCellStyle="Currency 2">
      <calculatedColumnFormula>PresidentSummary[[#Totals],[Actual 18/19]]</calculatedColumnFormula>
    </tableColumn>
    <tableColumn id="12" xr3:uid="{00000000-0010-0000-0400-00000C000000}" name="Budget 19/20" totalsRowFunction="sum" dataDxfId="3627" totalsRowDxfId="3626" dataCellStyle="Currency">
      <calculatedColumnFormula>PresidentSummary[[#Totals],[Budget 19/20]]</calculatedColumnFormula>
    </tableColumn>
    <tableColumn id="2" xr3:uid="{00000000-0010-0000-0400-000002000000}" name="Budget 20/21" totalsRowFunction="sum" totalsRowDxfId="3625"/>
    <tableColumn id="3" xr3:uid="{FF2DFC30-FB58-4C93-B4A2-57CFCA7895C9}" name="Actual 20/21" totalsRowFunction="sum" dataDxfId="3624" totalsRowDxfId="3623">
      <calculatedColumnFormula>'Governance Portfolio'!V18</calculatedColumnFormula>
    </tableColumn>
    <tableColumn id="4" xr3:uid="{AFDA8C93-F9B2-42FA-B70B-C5F2F7F49083}" name="Budget 21/22" totalsRowFunction="sum" dataDxfId="3622" totalsRowDxfId="3621">
      <calculatedColumnFormula>PresidentSummary[[#Totals],[Budget 21/22]]</calculatedColumnFormula>
    </tableColumn>
    <tableColumn id="5" xr3:uid="{FF1CE6AA-6E13-48A3-9722-5A07C172C7AB}" name="Actual 21/22" totalsRowFunction="sum" dataDxfId="3620" totalsRowDxfId="3619">
      <calculatedColumnFormula>PresidentSummary[[#Totals],[Actual 21/22]]</calculatedColumnFormula>
    </tableColumn>
    <tableColumn id="6" xr3:uid="{FE911372-7029-48B3-97ED-A1D66510572F}" name="Budget 22/23" totalsRowFunction="custom" dataDxfId="3618" totalsRowDxfId="3617">
      <calculatedColumnFormula>PresidentSummary[[#Totals],[Budget 22/23]]</calculatedColumnFormula>
      <totalsRowFormula>SUM(SummaryExpenses106[Budget 22/23])</totalsRowFormula>
    </tableColumn>
  </tableColumns>
  <tableStyleInfo name="Feds Budget" showFirstColumn="0" showLastColumn="0" showRowStripes="0" showColumnStripes="1"/>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4000000}" name="WarriorTribeExpenses" displayName="WarriorTribeExpenses" ref="B8:G17" totalsRowCount="1" headerRowDxfId="1642" headerRowCellStyle="Currency">
  <sortState xmlns:xlrd2="http://schemas.microsoft.com/office/spreadsheetml/2017/richdata2" ref="B9:F17">
    <sortCondition ref="B8:B17"/>
  </sortState>
  <tableColumns count="6">
    <tableColumn id="1" xr3:uid="{00000000-0010-0000-3400-000001000000}" name="Expenses" totalsRowLabel="Total" dataDxfId="1641" totalsRowDxfId="1640"/>
    <tableColumn id="5" xr3:uid="{00000000-0010-0000-3400-000005000000}" name="Budget 16/17" totalsRowFunction="sum" dataDxfId="1639" totalsRowDxfId="1638"/>
    <tableColumn id="2" xr3:uid="{00000000-0010-0000-3400-000002000000}" name="Actual 6/17" totalsRowFunction="sum" dataDxfId="1637" totalsRowDxfId="1636"/>
    <tableColumn id="3" xr3:uid="{00000000-0010-0000-3400-000003000000}" name="Budget 17/18" totalsRowFunction="sum" dataDxfId="1635" totalsRowDxfId="1634" dataCellStyle="Currency"/>
    <tableColumn id="4" xr3:uid="{00000000-0010-0000-3400-000004000000}" name="Actual 17/18" totalsRowFunction="sum" dataDxfId="1633" totalsRowDxfId="1632" dataCellStyle="Currency"/>
    <tableColumn id="6" xr3:uid="{00000000-0010-0000-3400-000006000000}" name="Budget 18/19" totalsRowFunction="sum" dataDxfId="1631" totalsRowDxfId="1630" dataCellStyle="Currency"/>
  </tableColumns>
  <tableStyleInfo name="Feds Budget" showFirstColumn="0" showLastColumn="0" showRowStripes="0" showColumnStripes="1"/>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5000000}" name="MatesRevenues" displayName="MatesRevenues" ref="B4:N7" totalsRowCount="1">
  <tableColumns count="13">
    <tableColumn id="1" xr3:uid="{00000000-0010-0000-3500-000001000000}" name="Revenues" totalsRowLabel="Total" dataDxfId="1629" totalsRowDxfId="1628"/>
    <tableColumn id="5" xr3:uid="{00000000-0010-0000-3500-000005000000}" name="Budget 16/17" totalsRowFunction="sum" dataDxfId="1627" totalsRowDxfId="1626"/>
    <tableColumn id="2" xr3:uid="{00000000-0010-0000-3500-000002000000}" name="Actual 16/17" totalsRowFunction="sum" dataDxfId="1625" totalsRowDxfId="1624"/>
    <tableColumn id="3" xr3:uid="{00000000-0010-0000-3500-000003000000}" name="Budget 17/18" totalsRowFunction="sum" dataDxfId="1623" totalsRowDxfId="1622"/>
    <tableColumn id="4" xr3:uid="{00000000-0010-0000-3500-000004000000}" name="Actual 17/18" totalsRowFunction="custom" dataDxfId="1621" totalsRowDxfId="1620">
      <totalsRowFormula>SUBTOTAL(109,MatesRevenues[Revenues])</totalsRowFormula>
    </tableColumn>
    <tableColumn id="6" xr3:uid="{00000000-0010-0000-3500-000006000000}" name="Budget 18/19" totalsRowFunction="custom" dataDxfId="1619" totalsRowDxfId="1618">
      <totalsRowFormula>SUBTOTAL(109,MatesRevenues[Budget 16/17])</totalsRowFormula>
    </tableColumn>
    <tableColumn id="7" xr3:uid="{00000000-0010-0000-3500-000007000000}" name="Budget 19/20" totalsRowFunction="custom" dataDxfId="1617" totalsRowDxfId="1616">
      <totalsRowFormula>SUBTOTAL(109,MatesRevenues[Actual 16/17])</totalsRowFormula>
    </tableColumn>
    <tableColumn id="9" xr3:uid="{00F3260B-2721-4134-BEC2-070E9EE1614C}" name="Actual P12 19/20" totalsRowFunction="custom" dataDxfId="1615" totalsRowDxfId="1614">
      <totalsRowFormula>SUM(MatesRevenues[Actual P12 19/20])</totalsRowFormula>
    </tableColumn>
    <tableColumn id="8" xr3:uid="{00000000-0010-0000-3500-000008000000}" name="Budget 20/21" totalsRowFunction="custom" dataDxfId="1613" totalsRowDxfId="1612">
      <totalsRowFormula>SUBTOTAL(109,MatesRevenues[Budget 17/18])</totalsRowFormula>
    </tableColumn>
    <tableColumn id="10" xr3:uid="{FC7C5E51-8CF9-4291-BEE9-3D3D30FBAC28}" name="Actual 20/21" totalsRowFunction="sum" dataDxfId="1611" totalsRowDxfId="1610"/>
    <tableColumn id="11" xr3:uid="{E14BF383-B1DA-447A-B9A1-E767105D60DA}" name="Budget 21/22" totalsRowFunction="sum" dataDxfId="1609" totalsRowDxfId="1608"/>
    <tableColumn id="12" xr3:uid="{64C318BF-6D34-4456-85E9-E7780C5B18F8}" name="Actual 21/22" totalsRowFunction="sum" dataDxfId="1607" totalsRowDxfId="1606"/>
    <tableColumn id="13" xr3:uid="{E958B3E9-6F8E-47DE-AC3A-57DFECCBC873}" name="Budget 22/23" totalsRowFunction="custom" dataDxfId="1605" totalsRowDxfId="1604">
      <totalsRowFormula>SUM(MatesRevenues[Budget 22/23])</totalsRowFormula>
    </tableColumn>
  </tableColumns>
  <tableStyleInfo name="Feds Budget" showFirstColumn="0" showLastColumn="0" showRowStripes="0" showColumnStripes="1"/>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6000000}" name="MatesExpenses" displayName="MatesExpenses" ref="B9:N20" totalsRowCount="1" headerRowDxfId="1603" headerRowCellStyle="Currency">
  <sortState xmlns:xlrd2="http://schemas.microsoft.com/office/spreadsheetml/2017/richdata2" ref="B10:F18">
    <sortCondition ref="B9:B18"/>
  </sortState>
  <tableColumns count="13">
    <tableColumn id="1" xr3:uid="{00000000-0010-0000-3600-000001000000}" name="Expenses" totalsRowLabel="Total" dataDxfId="1602" totalsRowDxfId="1601"/>
    <tableColumn id="5" xr3:uid="{00000000-0010-0000-3600-000005000000}" name="Budget 16/17" totalsRowFunction="sum" dataDxfId="1600" totalsRowDxfId="1599"/>
    <tableColumn id="2" xr3:uid="{00000000-0010-0000-3600-000002000000}" name="Actual 16/17" totalsRowFunction="sum" dataDxfId="1598" totalsRowDxfId="1597" dataCellStyle="Currency"/>
    <tableColumn id="3" xr3:uid="{00000000-0010-0000-3600-000003000000}" name="Budget 17/18" totalsRowFunction="sum" dataDxfId="1596" totalsRowDxfId="1595"/>
    <tableColumn id="4" xr3:uid="{00000000-0010-0000-3600-000004000000}" name="Actual 17/18" totalsRowFunction="sum" dataDxfId="1594" totalsRowDxfId="1593" dataCellStyle="Currency"/>
    <tableColumn id="6" xr3:uid="{00000000-0010-0000-3600-000006000000}" name="Budget 18/19" totalsRowFunction="sum" dataDxfId="1592" totalsRowDxfId="1591" dataCellStyle="Currency"/>
    <tableColumn id="7" xr3:uid="{00000000-0010-0000-3600-000007000000}" name="Budget 19/20" totalsRowFunction="sum" dataDxfId="1590" totalsRowDxfId="1589" dataCellStyle="Currency"/>
    <tableColumn id="9" xr3:uid="{1E491DCF-EF9D-42F4-8385-5DF0BDEAB1CD}" name="Actual P12 19/20" totalsRowFunction="custom" dataDxfId="1588" totalsRowDxfId="1587" dataCellStyle="Currency">
      <totalsRowFormula>SUM(MatesExpenses[Actual P12 19/20])</totalsRowFormula>
    </tableColumn>
    <tableColumn id="8" xr3:uid="{00000000-0010-0000-3600-000008000000}" name="Budget 20/21" totalsRowFunction="sum" dataDxfId="1586" totalsRowDxfId="1585" dataCellStyle="Currency"/>
    <tableColumn id="10" xr3:uid="{5B8F3678-7212-4A48-85BA-F40A42CFFEFB}" name="Actual 20/21" totalsRowFunction="sum" dataDxfId="1584" totalsRowDxfId="1583" dataCellStyle="Currency"/>
    <tableColumn id="11" xr3:uid="{3C35FC39-8299-45ED-B7F3-FF1ECBDB0C8B}" name="Budget 21/22" totalsRowFunction="sum" dataDxfId="1582" totalsRowDxfId="1581" dataCellStyle="Currency"/>
    <tableColumn id="12" xr3:uid="{C1557EC6-A55E-406B-AB91-826BE50EBBC2}" name="Actual 21/22" totalsRowFunction="sum" dataDxfId="1580" totalsRowDxfId="1579" dataCellStyle="Currency"/>
    <tableColumn id="13" xr3:uid="{EF3CC7A7-70BF-4B16-B7BB-23D69268DE65}" name="Budget 22/23" totalsRowFunction="custom" dataDxfId="1578" totalsRowDxfId="1577" dataCellStyle="Currency">
      <totalsRowFormula>SUM(MatesExpenses[Budget 22/23])</totalsRowFormula>
    </tableColumn>
  </tableColumns>
  <tableStyleInfo name="Feds Budget" showFirstColumn="0" showLastColumn="0" showRowStripes="0" showColumnStripes="1"/>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37000000}" name="MatesRevenues3" displayName="MatesRevenues3" ref="B4:K7" totalsRowCount="1">
  <tableColumns count="10">
    <tableColumn id="1" xr3:uid="{00000000-0010-0000-3700-000001000000}" name="Revenues" totalsRowLabel="Total" dataDxfId="1576" totalsRowDxfId="1575"/>
    <tableColumn id="5" xr3:uid="{00000000-0010-0000-3700-000005000000}" name="Budget 18/19" totalsRowFunction="sum" dataDxfId="1574" totalsRowDxfId="1573"/>
    <tableColumn id="2" xr3:uid="{00000000-0010-0000-3700-000002000000}" name="Actual 18/19" totalsRowFunction="sum" dataDxfId="1572" totalsRowDxfId="1571"/>
    <tableColumn id="3" xr3:uid="{00000000-0010-0000-3700-000003000000}" name="Budget 19/20" totalsRowFunction="sum" dataDxfId="1570" totalsRowDxfId="1569"/>
    <tableColumn id="10" xr3:uid="{BF2DB506-4F3C-4165-ABB4-38773E9BF94F}" name="Actual P12 19/20" totalsRowFunction="custom" dataDxfId="1568" totalsRowDxfId="1567" dataCellStyle="Currency">
      <totalsRowFormula>SUM(MatesRevenues3[Actual P12 19/20])</totalsRowFormula>
    </tableColumn>
    <tableColumn id="4" xr3:uid="{00000000-0010-0000-3700-000004000000}" name="Budget 20/21" totalsRowFunction="sum" dataDxfId="1566" totalsRowDxfId="1565"/>
    <tableColumn id="6" xr3:uid="{00000000-0010-0000-3700-000006000000}" name="Actual 20/21" totalsRowFunction="sum" dataDxfId="1564" totalsRowDxfId="1563"/>
    <tableColumn id="7" xr3:uid="{00000000-0010-0000-3700-000007000000}" name="Budget 21/22" totalsRowFunction="sum" dataDxfId="1562" totalsRowDxfId="1561"/>
    <tableColumn id="8" xr3:uid="{D2940621-A556-422A-8824-FA318A116CCC}" name="Actual 21/22" totalsRowFunction="sum" dataDxfId="1560" totalsRowDxfId="1559"/>
    <tableColumn id="9" xr3:uid="{62497FD1-8343-4CEC-B808-00DB504628E9}" name="Budget 22/23" dataDxfId="1558" totalsRowDxfId="1557"/>
  </tableColumns>
  <tableStyleInfo name="Feds Budget" showFirstColumn="0" showLastColumn="0" showRowStripes="0" showColumnStripes="1"/>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8000000}" name="MatesExpenses5" displayName="MatesExpenses5" ref="B9:K23" totalsRowCount="1" headerRowDxfId="1556" headerRowCellStyle="Currency">
  <sortState xmlns:xlrd2="http://schemas.microsoft.com/office/spreadsheetml/2017/richdata2" ref="B9:G18">
    <sortCondition ref="B8:B18"/>
  </sortState>
  <tableColumns count="10">
    <tableColumn id="1" xr3:uid="{00000000-0010-0000-3800-000001000000}" name="Expenses" totalsRowLabel="Total" dataDxfId="1555" totalsRowDxfId="1554"/>
    <tableColumn id="5" xr3:uid="{00000000-0010-0000-3800-000005000000}" name="Budget 18/19" totalsRowFunction="sum" dataDxfId="1553" totalsRowDxfId="1552"/>
    <tableColumn id="2" xr3:uid="{00000000-0010-0000-3800-000002000000}" name="Actual 18/19" totalsRowFunction="sum" dataDxfId="1551" totalsRowDxfId="1550" dataCellStyle="Currency"/>
    <tableColumn id="3" xr3:uid="{00000000-0010-0000-3800-000003000000}" name="Budget 19/20" totalsRowFunction="sum" dataDxfId="1549" totalsRowDxfId="1548"/>
    <tableColumn id="10" xr3:uid="{E8188F58-BBE0-4605-AD4C-5D066DAB00B9}" name="Actual P12 19/20" totalsRowFunction="custom" dataDxfId="1547" totalsRowDxfId="1546" dataCellStyle="Currency">
      <totalsRowFormula>SUM(MatesExpenses5[Actual P12 19/20])</totalsRowFormula>
    </tableColumn>
    <tableColumn id="4" xr3:uid="{00000000-0010-0000-3800-000004000000}" name="Budget 20/21" totalsRowFunction="sum" dataDxfId="1545" totalsRowDxfId="1544" dataCellStyle="Currency"/>
    <tableColumn id="6" xr3:uid="{00000000-0010-0000-3800-000006000000}" name="Actual 20/21" totalsRowFunction="sum" dataDxfId="1543" totalsRowDxfId="1542" dataCellStyle="Currency"/>
    <tableColumn id="7" xr3:uid="{00000000-0010-0000-3800-000007000000}" name="Budget 21/22" totalsRowFunction="sum" dataDxfId="1541" totalsRowDxfId="1540" dataCellStyle="Currency"/>
    <tableColumn id="8" xr3:uid="{FA62ADE0-FF5C-4EC0-8862-470F7010E21B}" name="Actual 21/22" totalsRowFunction="sum" dataDxfId="1539" totalsRowDxfId="1538"/>
    <tableColumn id="9" xr3:uid="{AF4F44E5-B0B4-4CF2-8A72-CB5D8EE9493C}" name="Budget 22/23" totalsRowFunction="custom" dataDxfId="1537" totalsRowDxfId="1536">
      <totalsRowFormula>SUM(MatesExpenses5[Budget 22/23])</totalsRowFormula>
    </tableColumn>
  </tableColumns>
  <tableStyleInfo name="Feds Budget" showFirstColumn="0" showLastColumn="0" showRowStripes="0" showColumnStripes="1"/>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2DAA7330-6F8E-4B83-BE04-8CB3FA8203CB}" name="MatesRevenues99" displayName="MatesRevenues99" ref="B4:E7" totalsRowCount="1">
  <tableColumns count="4">
    <tableColumn id="1" xr3:uid="{26262A0B-5221-4537-A1E6-E517FE269AD7}" name="Revenues" totalsRowLabel="Total" dataDxfId="1535" totalsRowDxfId="1534"/>
    <tableColumn id="11" xr3:uid="{98F5CD0D-E6F1-4B28-AA35-3C3B5AF43379}" name="Budget 21/22" totalsRowFunction="sum" dataDxfId="1533" totalsRowDxfId="1532"/>
    <tableColumn id="2" xr3:uid="{E22801F6-6033-474B-873D-47FA18C8C821}" name="Actual 21/22" totalsRowFunction="sum" dataDxfId="1531" totalsRowDxfId="1530"/>
    <tableColumn id="3" xr3:uid="{8E678965-3095-46B6-ACB4-3FAAA058F5A0}" name="Budget 22/23" dataDxfId="1529" totalsRowDxfId="1528"/>
  </tableColumns>
  <tableStyleInfo name="Feds Budget" showFirstColumn="0" showLastColumn="0" showRowStripes="0" showColumnStripes="1"/>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B0332C3D-2301-4346-A82E-2761FDEDB9EC}" name="MatesExpenses100" displayName="MatesExpenses100" ref="B9:E13" totalsRowCount="1" headerRowDxfId="1527" headerRowCellStyle="Currency">
  <sortState xmlns:xlrd2="http://schemas.microsoft.com/office/spreadsheetml/2017/richdata2" ref="B10">
    <sortCondition ref="B9:B10"/>
  </sortState>
  <tableColumns count="4">
    <tableColumn id="1" xr3:uid="{7DAEECEF-A0F2-4770-AFD3-FA36A83BE5DE}" name="Expenses" totalsRowLabel="Total" dataDxfId="1526" totalsRowDxfId="1525"/>
    <tableColumn id="11" xr3:uid="{C546D99D-BA6D-433C-AE30-C5032393A577}" name="Budget 21/22" totalsRowFunction="sum" dataDxfId="1524" totalsRowDxfId="1523" dataCellStyle="Currency"/>
    <tableColumn id="2" xr3:uid="{1B4B1ABD-9511-48B0-8A5E-66C2A242707B}" name="Actual 21/22" totalsRowFunction="sum" dataDxfId="1522" totalsRowDxfId="1521"/>
    <tableColumn id="3" xr3:uid="{797EC573-F404-4F3C-A900-52D031739DBF}" name="Budget 22/23" totalsRowFunction="custom" dataDxfId="1520" totalsRowDxfId="1519">
      <totalsRowFormula>SUM(MatesExpenses100[Budget 22/23])</totalsRowFormula>
    </tableColumn>
  </tableColumns>
  <tableStyleInfo name="Feds Budget" showFirstColumn="0" showLastColumn="0" showRowStripes="0" showColumnStripes="1"/>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39000000}" name="SpecialEventsRevenues" displayName="SpecialEventsRevenues" ref="B5:AA18" totalsRowCount="1" headerRowDxfId="1518" dataDxfId="1517" dataCellStyle="Currency">
  <tableColumns count="26">
    <tableColumn id="1" xr3:uid="{00000000-0010-0000-3900-000001000000}" name="Revenues" totalsRowLabel="Total" dataDxfId="1516" totalsRowDxfId="1515"/>
    <tableColumn id="2" xr3:uid="{00000000-0010-0000-3900-000002000000}" name="Budget 10/11" totalsRowFunction="sum" dataDxfId="1514" totalsRowDxfId="1513" dataCellStyle="Currency"/>
    <tableColumn id="3" xr3:uid="{00000000-0010-0000-3900-000003000000}" name="Actual 10/11" totalsRowFunction="sum" dataDxfId="1512" totalsRowDxfId="1511" dataCellStyle="Currency"/>
    <tableColumn id="4" xr3:uid="{00000000-0010-0000-3900-000004000000}" name="Budget 11/12" totalsRowFunction="sum" dataDxfId="1510" totalsRowDxfId="1509" dataCellStyle="Currency"/>
    <tableColumn id="5" xr3:uid="{00000000-0010-0000-3900-000005000000}" name="Actual 11/12" totalsRowFunction="sum" dataDxfId="1508" totalsRowDxfId="1507" dataCellStyle="Currency"/>
    <tableColumn id="6" xr3:uid="{00000000-0010-0000-3900-000006000000}" name="Budget 12/13" totalsRowFunction="sum" dataDxfId="1506" totalsRowDxfId="1505" dataCellStyle="Currency"/>
    <tableColumn id="7" xr3:uid="{00000000-0010-0000-3900-000007000000}" name="Actual 12/13" totalsRowFunction="sum" dataDxfId="1504" totalsRowDxfId="1503" dataCellStyle="Currency"/>
    <tableColumn id="8" xr3:uid="{00000000-0010-0000-3900-000008000000}" name="Budget 13/14" totalsRowFunction="sum" dataDxfId="1502" totalsRowDxfId="1501" dataCellStyle="Currency"/>
    <tableColumn id="9" xr3:uid="{00000000-0010-0000-3900-000009000000}" name="Actual 13/14" totalsRowFunction="sum" dataDxfId="1500" totalsRowDxfId="1499" dataCellStyle="Currency"/>
    <tableColumn id="10" xr3:uid="{00000000-0010-0000-3900-00000A000000}" name="Budget 14/15" totalsRowFunction="sum" dataDxfId="1498" totalsRowDxfId="1497" dataCellStyle="Currency"/>
    <tableColumn id="11" xr3:uid="{00000000-0010-0000-3900-00000B000000}" name="Actual 14/15" totalsRowFunction="sum" dataDxfId="1496" totalsRowDxfId="1495" dataCellStyle="Currency"/>
    <tableColumn id="12" xr3:uid="{00000000-0010-0000-3900-00000C000000}" name="Budget 15/16" totalsRowFunction="sum" dataDxfId="1494" totalsRowDxfId="1493" dataCellStyle="Currency"/>
    <tableColumn id="13" xr3:uid="{00000000-0010-0000-3900-00000D000000}" name="Actual 15/16" totalsRowFunction="sum" dataDxfId="1492" totalsRowDxfId="1491" dataCellStyle="Currency"/>
    <tableColumn id="14" xr3:uid="{00000000-0010-0000-3900-00000E000000}" name="Budget 16/17" totalsRowFunction="sum" dataDxfId="1490" totalsRowDxfId="1489" dataCellStyle="Currency"/>
    <tableColumn id="15" xr3:uid="{00000000-0010-0000-3900-00000F000000}" name="Actual" totalsRowFunction="sum" dataDxfId="1488" totalsRowDxfId="1487" dataCellStyle="Currency"/>
    <tableColumn id="16" xr3:uid="{00000000-0010-0000-3900-000010000000}" name="Budget 17/18" totalsRowFunction="sum" dataDxfId="1486" totalsRowDxfId="1485" dataCellStyle="Currency"/>
    <tableColumn id="17" xr3:uid="{00000000-0010-0000-3900-000011000000}" name="Actual 17/18" totalsRowFunction="custom" dataDxfId="1484" totalsRowDxfId="1483" dataCellStyle="Currency">
      <totalsRowFormula>SUM(SpecialEventsRevenues[Actual 17/18])</totalsRowFormula>
    </tableColumn>
    <tableColumn id="18" xr3:uid="{00000000-0010-0000-3900-000012000000}" name="Budget 18/19" totalsRowFunction="custom" dataDxfId="1482" totalsRowDxfId="1481" dataCellStyle="Currency">
      <totalsRowFormula>SUM(SpecialEventsRevenues[Budget 18/19])</totalsRowFormula>
    </tableColumn>
    <tableColumn id="21" xr3:uid="{00000000-0010-0000-3900-000015000000}" name="Actual 18/19" totalsRowFunction="custom" dataDxfId="1480" totalsRowDxfId="1479" dataCellStyle="Currency">
      <totalsRowFormula>SUM(SpecialEventsRevenues[Actual 18/19])</totalsRowFormula>
    </tableColumn>
    <tableColumn id="19" xr3:uid="{00000000-0010-0000-3900-000013000000}" name="Budget 19/20" totalsRowFunction="custom" dataDxfId="1478" totalsRowDxfId="1477" dataCellStyle="Currency">
      <totalsRowFormula>SUM(SpecialEventsRevenues[Budget 19/20])</totalsRowFormula>
    </tableColumn>
    <tableColumn id="22" xr3:uid="{09FF78DC-2835-43E9-B58F-763958CA339C}" name="Actual P12 19/20" totalsRowFunction="custom" dataDxfId="1476" totalsRowDxfId="1475" dataCellStyle="Currency">
      <totalsRowFormula>SUM(SpecialEventsRevenues[Actual P12 19/20])</totalsRowFormula>
    </tableColumn>
    <tableColumn id="20" xr3:uid="{00000000-0010-0000-3900-000014000000}" name="Budget 19/21" totalsRowFunction="custom" dataDxfId="1474" totalsRowDxfId="1473" dataCellStyle="Currency">
      <totalsRowFormula>SUM(SpecialEventsRevenues[Budget 19/21])</totalsRowFormula>
    </tableColumn>
    <tableColumn id="23" xr3:uid="{69FF1CB0-5C94-49B2-BC02-BE30FABF3C26}" name="Actual 20/21" totalsRowFunction="custom" dataDxfId="1472" totalsRowDxfId="1471" dataCellStyle="Currency">
      <totalsRowFormula>SUM(SpecialEventsRevenues[Actual 20/21])</totalsRowFormula>
    </tableColumn>
    <tableColumn id="24" xr3:uid="{58858DB2-7470-4937-BDF3-15E79F84015C}" name="Budget 21/22" totalsRowFunction="custom" dataDxfId="1470" totalsRowDxfId="1469" dataCellStyle="Currency">
      <totalsRowFormula>Y6+Y13+Y14</totalsRowFormula>
    </tableColumn>
    <tableColumn id="25" xr3:uid="{00F1A189-10F9-4BE8-A44A-FB4005B458AA}" name="Actual 21/22" totalsRowFunction="sum" dataDxfId="1468" totalsRowDxfId="1467" dataCellStyle="Currency"/>
    <tableColumn id="26" xr3:uid="{2709E8BD-BA13-4C43-AF8E-F2BAAFD68F83}" name="Budget 22/23" totalsRowFunction="custom" dataDxfId="1466" totalsRowDxfId="1465" dataCellStyle="Currency">
      <totalsRowFormula>SUM(SpecialEventsRevenues[Budget 22/23])</totalsRowFormula>
    </tableColumn>
  </tableColumns>
  <tableStyleInfo name="Feds Budget" showFirstColumn="0" showLastColumn="0" showRowStripes="0" showColumnStripes="1"/>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A000000}" name="SpecialEventsCostofSales" displayName="SpecialEventsCostofSales" ref="B20:AA27" totalsRowCount="1" headerRowDxfId="1464" dataDxfId="1463" dataCellStyle="Currency">
  <tableColumns count="26">
    <tableColumn id="1" xr3:uid="{00000000-0010-0000-3A00-000001000000}" name="Cost of Sales" totalsRowLabel="Total" dataDxfId="1462" totalsRowDxfId="1461"/>
    <tableColumn id="2" xr3:uid="{00000000-0010-0000-3A00-000002000000}" name="Budget 10/11" totalsRowFunction="sum" dataDxfId="1460" totalsRowDxfId="1459" dataCellStyle="Currency"/>
    <tableColumn id="3" xr3:uid="{00000000-0010-0000-3A00-000003000000}" name="Actual 10/11" totalsRowFunction="sum" dataDxfId="1458" totalsRowDxfId="1457" dataCellStyle="Currency"/>
    <tableColumn id="4" xr3:uid="{00000000-0010-0000-3A00-000004000000}" name="Budget 11/12" totalsRowFunction="sum" dataDxfId="1456" totalsRowDxfId="1455" dataCellStyle="Currency"/>
    <tableColumn id="5" xr3:uid="{00000000-0010-0000-3A00-000005000000}" name="Actual 11/12" totalsRowFunction="sum" dataDxfId="1454" totalsRowDxfId="1453" dataCellStyle="Currency"/>
    <tableColumn id="6" xr3:uid="{00000000-0010-0000-3A00-000006000000}" name="Budget 12/13" totalsRowFunction="sum" dataDxfId="1452" totalsRowDxfId="1451" dataCellStyle="Currency"/>
    <tableColumn id="7" xr3:uid="{00000000-0010-0000-3A00-000007000000}" name="Actual 12/13" totalsRowFunction="sum" dataDxfId="1450" totalsRowDxfId="1449" dataCellStyle="Currency"/>
    <tableColumn id="8" xr3:uid="{00000000-0010-0000-3A00-000008000000}" name="Budget 13/14" totalsRowFunction="sum" dataDxfId="1448" totalsRowDxfId="1447" dataCellStyle="Currency"/>
    <tableColumn id="9" xr3:uid="{00000000-0010-0000-3A00-000009000000}" name="Actual 13/14" totalsRowFunction="sum" dataDxfId="1446" totalsRowDxfId="1445" dataCellStyle="Currency"/>
    <tableColumn id="10" xr3:uid="{00000000-0010-0000-3A00-00000A000000}" name="Budget 14/15" totalsRowFunction="sum" dataDxfId="1444" totalsRowDxfId="1443" dataCellStyle="Currency"/>
    <tableColumn id="11" xr3:uid="{00000000-0010-0000-3A00-00000B000000}" name="Actual 14/15" totalsRowFunction="sum" dataDxfId="1442" totalsRowDxfId="1441" dataCellStyle="Currency"/>
    <tableColumn id="12" xr3:uid="{00000000-0010-0000-3A00-00000C000000}" name="Budget 15/16" totalsRowFunction="sum" dataDxfId="1440" totalsRowDxfId="1439" dataCellStyle="Currency"/>
    <tableColumn id="13" xr3:uid="{00000000-0010-0000-3A00-00000D000000}" name="Actual 15/16" totalsRowFunction="sum" dataDxfId="1438" totalsRowDxfId="1437" dataCellStyle="Currency"/>
    <tableColumn id="14" xr3:uid="{00000000-0010-0000-3A00-00000E000000}" name="Budget 16/17" totalsRowFunction="sum" dataDxfId="1436" totalsRowDxfId="1435" dataCellStyle="Currency"/>
    <tableColumn id="15" xr3:uid="{00000000-0010-0000-3A00-00000F000000}" name="actual" totalsRowFunction="sum" dataDxfId="1434" totalsRowDxfId="1433" dataCellStyle="Currency"/>
    <tableColumn id="16" xr3:uid="{00000000-0010-0000-3A00-000010000000}" name="Budget 17/18" totalsRowFunction="sum" dataDxfId="1432" totalsRowDxfId="1431" dataCellStyle="Currency"/>
    <tableColumn id="17" xr3:uid="{00000000-0010-0000-3A00-000011000000}" name="Actual 17/18" dataDxfId="1430" totalsRowDxfId="1429" dataCellStyle="Currency"/>
    <tableColumn id="18" xr3:uid="{00000000-0010-0000-3A00-000012000000}" name="Budget 18/19" dataDxfId="1428" totalsRowDxfId="1427" dataCellStyle="Currency"/>
    <tableColumn id="21" xr3:uid="{00000000-0010-0000-3A00-000015000000}" name="Actual 18/19" dataDxfId="1426" totalsRowDxfId="1425" dataCellStyle="Currency"/>
    <tableColumn id="19" xr3:uid="{00000000-0010-0000-3A00-000013000000}" name="Budget 19/20" dataDxfId="1424" totalsRowDxfId="1423" dataCellStyle="Currency"/>
    <tableColumn id="22" xr3:uid="{B5B44066-A7C8-45DE-BAA2-5539909A0953}" name="Actual P12 19/20" dataDxfId="1422" totalsRowDxfId="1421" dataCellStyle="Currency"/>
    <tableColumn id="20" xr3:uid="{00000000-0010-0000-3A00-000014000000}" name="Budget 19/21" dataDxfId="1420" dataCellStyle="Currency"/>
    <tableColumn id="23" xr3:uid="{CE98F079-422F-44CA-9929-AD39C9FB93D9}" name="Actual 20/21" dataDxfId="1419" totalsRowDxfId="1418" dataCellStyle="Currency"/>
    <tableColumn id="24" xr3:uid="{C7E79074-A1E4-4039-8388-92C5F342D713}" name="Budget 21/22" dataDxfId="1417" totalsRowDxfId="1416" dataCellStyle="Currency"/>
    <tableColumn id="25" xr3:uid="{3889A049-E79C-4DD0-8546-B0E4A1CB5148}" name="Actual 21/22" dataDxfId="1415" totalsRowDxfId="1414" dataCellStyle="Currency"/>
    <tableColumn id="26" xr3:uid="{73B1504A-D5EC-4F12-8A33-B7E031B11733}" name="Budget 22/23" dataDxfId="1413" totalsRowDxfId="1412" dataCellStyle="Currency"/>
  </tableColumns>
  <tableStyleInfo name="Feds Budget" showFirstColumn="0" showLastColumn="0" showRowStripes="0" showColumnStripes="1"/>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B000000}" name="SpecialEventsExpenses" displayName="SpecialEventsExpenses" ref="B30:AA72" totalsRowCount="1" headerRowDxfId="1411" dataDxfId="1410" dataCellStyle="Currency">
  <tableColumns count="26">
    <tableColumn id="1" xr3:uid="{00000000-0010-0000-3B00-000001000000}" name="Expenses" totalsRowLabel="Total" dataDxfId="1409" totalsRowDxfId="1408"/>
    <tableColumn id="2" xr3:uid="{00000000-0010-0000-3B00-000002000000}" name="Budget 10/11" totalsRowFunction="sum" dataDxfId="1407" totalsRowDxfId="1406" dataCellStyle="Currency"/>
    <tableColumn id="3" xr3:uid="{00000000-0010-0000-3B00-000003000000}" name="Actual 10/11" totalsRowFunction="sum" dataDxfId="1405" totalsRowDxfId="1404" dataCellStyle="Currency"/>
    <tableColumn id="4" xr3:uid="{00000000-0010-0000-3B00-000004000000}" name="Budget 11/12" totalsRowFunction="sum" dataDxfId="1403" totalsRowDxfId="1402" dataCellStyle="Currency"/>
    <tableColumn id="5" xr3:uid="{00000000-0010-0000-3B00-000005000000}" name="Actual 11/12" totalsRowFunction="sum" dataDxfId="1401" totalsRowDxfId="1400" dataCellStyle="Currency"/>
    <tableColumn id="6" xr3:uid="{00000000-0010-0000-3B00-000006000000}" name="Budget 12/13" totalsRowFunction="sum" dataDxfId="1399" totalsRowDxfId="1398" dataCellStyle="Currency"/>
    <tableColumn id="7" xr3:uid="{00000000-0010-0000-3B00-000007000000}" name="Actual 12/13" totalsRowFunction="sum" dataDxfId="1397" totalsRowDxfId="1396" dataCellStyle="Currency"/>
    <tableColumn id="8" xr3:uid="{00000000-0010-0000-3B00-000008000000}" name="Budget 13/14" totalsRowFunction="sum" dataDxfId="1395" totalsRowDxfId="1394" dataCellStyle="Currency"/>
    <tableColumn id="9" xr3:uid="{00000000-0010-0000-3B00-000009000000}" name="Actual 13/14" totalsRowFunction="sum" dataDxfId="1393" totalsRowDxfId="1392" dataCellStyle="Currency"/>
    <tableColumn id="10" xr3:uid="{00000000-0010-0000-3B00-00000A000000}" name="Budget 14/15" totalsRowFunction="sum" dataDxfId="1391" totalsRowDxfId="1390" dataCellStyle="Currency"/>
    <tableColumn id="11" xr3:uid="{00000000-0010-0000-3B00-00000B000000}" name="Actual 14/15" totalsRowFunction="sum" dataDxfId="1389" totalsRowDxfId="1388" dataCellStyle="Currency"/>
    <tableColumn id="12" xr3:uid="{00000000-0010-0000-3B00-00000C000000}" name="Budget 15/16" totalsRowFunction="sum" dataDxfId="1387" totalsRowDxfId="1386" dataCellStyle="Currency"/>
    <tableColumn id="13" xr3:uid="{00000000-0010-0000-3B00-00000D000000}" name="Actual 15/16" totalsRowFunction="sum" dataDxfId="1385" totalsRowDxfId="1384" dataCellStyle="Currency"/>
    <tableColumn id="14" xr3:uid="{00000000-0010-0000-3B00-00000E000000}" name="Budget 16/17" totalsRowFunction="sum" dataDxfId="1383" totalsRowDxfId="1382" dataCellStyle="Currency"/>
    <tableColumn id="15" xr3:uid="{00000000-0010-0000-3B00-00000F000000}" name="Actual" totalsRowFunction="sum" dataDxfId="1381" totalsRowDxfId="1380" dataCellStyle="Currency"/>
    <tableColumn id="16" xr3:uid="{00000000-0010-0000-3B00-000010000000}" name="Budget 17/18" totalsRowFunction="sum" dataDxfId="1379" totalsRowDxfId="1378" dataCellStyle="Currency"/>
    <tableColumn id="17" xr3:uid="{00000000-0010-0000-3B00-000011000000}" name="Actual 17/18" totalsRowFunction="custom" dataDxfId="1377" totalsRowDxfId="1376" dataCellStyle="Currency">
      <totalsRowFormula>SUM(SpecialEventsExpenses[Actual 17/18])</totalsRowFormula>
    </tableColumn>
    <tableColumn id="18" xr3:uid="{00000000-0010-0000-3B00-000012000000}" name="Budget 18/19" totalsRowFunction="custom" dataDxfId="1375" totalsRowDxfId="1374" dataCellStyle="Currency">
      <totalsRowFormula>SUM(SpecialEventsExpenses[Budget 18/19])</totalsRowFormula>
    </tableColumn>
    <tableColumn id="21" xr3:uid="{00000000-0010-0000-3B00-000015000000}" name="Actual 18/19" totalsRowFunction="custom" dataDxfId="1373" totalsRowDxfId="1372" dataCellStyle="Currency">
      <totalsRowFormula>SUM(SpecialEventsExpenses[Actual 18/19])</totalsRowFormula>
    </tableColumn>
    <tableColumn id="19" xr3:uid="{00000000-0010-0000-3B00-000013000000}" name="Budget 19/20" totalsRowFunction="custom" dataDxfId="1371" totalsRowDxfId="1370" dataCellStyle="Currency">
      <totalsRowFormula>SUM(SpecialEventsExpenses[Budget 19/20])</totalsRowFormula>
    </tableColumn>
    <tableColumn id="22" xr3:uid="{BEDCB899-60E3-4C10-AC96-22E7EEF26D59}" name="Actual P12 19/20" totalsRowFunction="custom" dataDxfId="1369" totalsRowDxfId="1368" dataCellStyle="Currency">
      <totalsRowFormula>SUM(SpecialEventsExpenses[Actual P12 19/20])</totalsRowFormula>
    </tableColumn>
    <tableColumn id="20" xr3:uid="{00000000-0010-0000-3B00-000014000000}" name="Budget 19/21" totalsRowFunction="custom" dataDxfId="1367" totalsRowDxfId="1366" dataCellStyle="Currency">
      <totalsRowFormula>SUM(SpecialEventsExpenses[Budget 19/21])</totalsRowFormula>
    </tableColumn>
    <tableColumn id="23" xr3:uid="{625F825E-50C8-45AC-BA02-77E107E5EDF6}" name="Actual 20/21" totalsRowFunction="custom" dataDxfId="1365" totalsRowDxfId="1364" dataCellStyle="Currency">
      <totalsRowFormula>SUM(SpecialEventsExpenses[Actual 20/21])</totalsRowFormula>
    </tableColumn>
    <tableColumn id="24" xr3:uid="{72F152FF-27A6-4E6D-97EC-19A3309AC43E}" name="Budget 21/22" totalsRowFunction="custom" dataDxfId="1363" totalsRowDxfId="1362" dataCellStyle="Currency">
      <totalsRowFormula>SUM(SpecialEventsExpenses[Budget 21/22])</totalsRowFormula>
    </tableColumn>
    <tableColumn id="25" xr3:uid="{87598E9F-2335-4076-8201-EE84E4296C92}" name="Actual 21/22" totalsRowFunction="sum" dataDxfId="1361" totalsRowDxfId="1360" dataCellStyle="Currency"/>
    <tableColumn id="26" xr3:uid="{90D217AC-A90C-4800-BFF1-C8F84A33BF20}" name="Budget 22/23" totalsRowFunction="custom" dataDxfId="1359" totalsRowDxfId="1358" dataCellStyle="Currency">
      <totalsRowFormula>SUM(SpecialEventsExpenses[Budget 22/23])</totalsRowFormula>
    </tableColumn>
  </tableColumns>
  <tableStyleInfo name="Feds Budget" showFirstColumn="0" showLastColumn="0" showRowStripes="0" showColumnStripes="1"/>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6000000}" name="PresidentSummary" displayName="PresidentSummary" ref="A12:Y18" totalsRowCount="1" headerRowDxfId="3616" dataDxfId="3614" headerRowBorderDxfId="3615" tableBorderDxfId="3613">
  <tableColumns count="25">
    <tableColumn id="1" xr3:uid="{00000000-0010-0000-0600-000001000000}" name="Summary of Expenses" totalsRowLabel="Total" totalsRowDxfId="3612"/>
    <tableColumn id="3" xr3:uid="{00000000-0010-0000-0600-000003000000}" name="Column1" dataDxfId="3611" totalsRowDxfId="3610" dataCellStyle="Currency 2"/>
    <tableColumn id="4" xr3:uid="{00000000-0010-0000-0600-000004000000}" name="Column2" dataDxfId="3609" totalsRowDxfId="3608" dataCellStyle="Currency 2"/>
    <tableColumn id="5" xr3:uid="{00000000-0010-0000-0600-000005000000}" name="Column3" dataDxfId="3607" totalsRowDxfId="3606" dataCellStyle="Currency 2"/>
    <tableColumn id="6" xr3:uid="{00000000-0010-0000-0600-000006000000}" name="Column4" dataDxfId="3605" totalsRowDxfId="3604" dataCellStyle="Currency 2"/>
    <tableColumn id="7" xr3:uid="{00000000-0010-0000-0600-000007000000}" name="Column5" dataDxfId="3603" totalsRowDxfId="3602" dataCellStyle="Currency 2"/>
    <tableColumn id="8" xr3:uid="{00000000-0010-0000-0600-000008000000}" name="Column6" dataDxfId="3601" totalsRowDxfId="3600" dataCellStyle="Currency 2"/>
    <tableColumn id="9" xr3:uid="{00000000-0010-0000-0600-000009000000}" name="Column7" dataDxfId="3599" totalsRowDxfId="3598" dataCellStyle="Currency 2"/>
    <tableColumn id="2" xr3:uid="{00000000-0010-0000-0600-000002000000}" name="Column8" dataDxfId="3597" totalsRowDxfId="3596" dataCellStyle="Currency 2"/>
    <tableColumn id="10" xr3:uid="{00000000-0010-0000-0600-00000A000000}" name="Column9" dataDxfId="3595" totalsRowDxfId="3594" dataCellStyle="Currency 2"/>
    <tableColumn id="11" xr3:uid="{00000000-0010-0000-0600-00000B000000}" name="Column10" dataDxfId="3593" totalsRowDxfId="3592" dataCellStyle="Currency 2"/>
    <tableColumn id="12" xr3:uid="{00000000-0010-0000-0600-00000C000000}" name="Budget 15/16" totalsRowFunction="sum" dataDxfId="3591" totalsRowDxfId="3590" dataCellStyle="Currency 2"/>
    <tableColumn id="13" xr3:uid="{00000000-0010-0000-0600-00000D000000}" name="Actual 15/16" totalsRowFunction="sum" dataDxfId="3589" totalsRowDxfId="3588" dataCellStyle="Currency 2"/>
    <tableColumn id="14" xr3:uid="{00000000-0010-0000-0600-00000E000000}" name="Budget 16/17" totalsRowFunction="sum" dataDxfId="3587" totalsRowDxfId="3586" dataCellStyle="Currency 2"/>
    <tableColumn id="15" xr3:uid="{00000000-0010-0000-0600-00000F000000}" name="Actual 16/17" totalsRowFunction="sum" dataDxfId="3585" totalsRowDxfId="3584"/>
    <tableColumn id="16" xr3:uid="{00000000-0010-0000-0600-000010000000}" name="Budget 17/18" totalsRowFunction="sum" dataDxfId="3583" totalsRowDxfId="3582"/>
    <tableColumn id="17" xr3:uid="{00000000-0010-0000-0600-000011000000}" name="Actual 17/18" totalsRowFunction="sum" dataDxfId="3581" totalsRowDxfId="3580"/>
    <tableColumn id="18" xr3:uid="{00000000-0010-0000-0600-000012000000}" name="Budget 18/19" totalsRowFunction="sum" dataDxfId="3579" totalsRowDxfId="3578" dataCellStyle="Currency"/>
    <tableColumn id="21" xr3:uid="{00000000-0010-0000-0600-000015000000}" name="Actual 18/19" totalsRowFunction="sum" dataDxfId="3577" totalsRowDxfId="3576" dataCellStyle="Currency 2">
      <calculatedColumnFormula>'President (30100)'!T36</calculatedColumnFormula>
    </tableColumn>
    <tableColumn id="19" xr3:uid="{00000000-0010-0000-0600-000013000000}" name="Budget 19/20" totalsRowFunction="sum" dataDxfId="3575" totalsRowDxfId="3574" dataCellStyle="Currency"/>
    <tableColumn id="20" xr3:uid="{00000000-0010-0000-0600-000014000000}" name="Budget 19/21" totalsRowFunction="sum" dataDxfId="3573" totalsRowDxfId="3572" dataCellStyle="Currency"/>
    <tableColumn id="22" xr3:uid="{6C67D99D-111A-4B6D-925B-9C141A0C9BDB}" name="Actual 20/21" totalsRowFunction="sum" dataDxfId="3571" totalsRowDxfId="3570" dataCellStyle="Currency">
      <calculatedColumnFormula>'President (30100)'!X36</calculatedColumnFormula>
    </tableColumn>
    <tableColumn id="23" xr3:uid="{33C3F4E1-E726-4BE5-82D0-B7CC16873C80}" name="Budget 21/22" totalsRowFunction="sum" dataDxfId="3569" totalsRowDxfId="3568" dataCellStyle="Currency">
      <calculatedColumnFormula>'BoD (31100)'!Y35</calculatedColumnFormula>
    </tableColumn>
    <tableColumn id="24" xr3:uid="{178976AA-7AE6-42AB-8901-17A0077DD381}" name="Actual 21/22" totalsRowFunction="sum" dataDxfId="3567" totalsRowDxfId="3566" dataCellStyle="Currency">
      <calculatedColumnFormula>ElectionsExpenses[[#Totals],[Budget 21/22]]</calculatedColumnFormula>
    </tableColumn>
    <tableColumn id="25" xr3:uid="{4A814157-6FEA-4DEE-B5F1-C3975CBB4AFB}" name="Budget 22/23" totalsRowFunction="custom" dataDxfId="3565" totalsRowDxfId="3564" dataCellStyle="Currency">
      <calculatedColumnFormula>'President (30100)'!AA36</calculatedColumnFormula>
      <totalsRowFormula>SUM(PresidentSummary[Budget 22/23])</totalsRowFormula>
    </tableColumn>
  </tableColumns>
  <tableStyleInfo name="Feds Budget" showFirstColumn="0" showLastColumn="0" showRowStripes="0" showColumnStripes="1"/>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2ACDDE54-EE18-4810-8B95-5D95E5E8BD1D}" name="Table74" displayName="Table74" ref="B4:C9" totalsRowShown="0">
  <autoFilter ref="B4:C9" xr:uid="{2ACDDE54-EE18-4810-8B95-5D95E5E8BD1D}"/>
  <tableColumns count="2">
    <tableColumn id="1" xr3:uid="{D4983961-A2F4-44D8-A9DE-0CEFCED9F4A6}" name="Revenues" dataDxfId="1357"/>
    <tableColumn id="2" xr3:uid="{AD459027-AD3E-494C-8DD4-B6927D2D6652}" name="Budget 22/23" dataDxfId="1356" dataCellStyle="Currency"/>
  </tableColumns>
  <tableStyleInfo name="TableStyleLight8"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32471CD8-5BD5-4878-9BD0-F6279CD988DC}" name="Table81" displayName="Table81" ref="B12:C29" totalsRowShown="0">
  <autoFilter ref="B12:C29" xr:uid="{32471CD8-5BD5-4878-9BD0-F6279CD988DC}"/>
  <tableColumns count="2">
    <tableColumn id="1" xr3:uid="{6C1EE707-A664-4914-AF56-ADD6B9DD9AC2}" name="Expenses" dataDxfId="1355"/>
    <tableColumn id="2" xr3:uid="{A4D03E2C-61CF-423E-A94C-479280B43040}" name="Budget 22/23" dataDxfId="1354" dataCellStyle="Currency"/>
  </tableColumns>
  <tableStyleInfo name="TableStyleLight8"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3C000000}" name="VPEDSummary" displayName="VPEDSummary" ref="A13:Y20" totalsRowCount="1">
  <tableColumns count="25">
    <tableColumn id="1" xr3:uid="{00000000-0010-0000-3C00-000001000000}" name="Summary of Expenses" totalsRowLabel="Total"/>
    <tableColumn id="2" xr3:uid="{00000000-0010-0000-3C00-000002000000}" name="Budget 10/11" totalsRowFunction="sum" dataDxfId="1353" totalsRowDxfId="1352" dataCellStyle="Currency"/>
    <tableColumn id="3" xr3:uid="{00000000-0010-0000-3C00-000003000000}" name="Actual 10/11" totalsRowFunction="sum" dataDxfId="1351" totalsRowDxfId="1350" dataCellStyle="Currency"/>
    <tableColumn id="4" xr3:uid="{00000000-0010-0000-3C00-000004000000}" name="Budget 11/12" totalsRowFunction="sum" dataDxfId="1349" totalsRowDxfId="1348" dataCellStyle="Currency"/>
    <tableColumn id="5" xr3:uid="{00000000-0010-0000-3C00-000005000000}" name="Actual 11/12" totalsRowFunction="sum" dataDxfId="1347" totalsRowDxfId="1346" dataCellStyle="Currency"/>
    <tableColumn id="6" xr3:uid="{00000000-0010-0000-3C00-000006000000}" name="Budget 12/13" totalsRowFunction="sum" dataDxfId="1345" totalsRowDxfId="1344" dataCellStyle="Currency"/>
    <tableColumn id="7" xr3:uid="{00000000-0010-0000-3C00-000007000000}" name="Actual 12/13" totalsRowFunction="sum" dataDxfId="1343" totalsRowDxfId="1342" dataCellStyle="Currency"/>
    <tableColumn id="8" xr3:uid="{00000000-0010-0000-3C00-000008000000}" name="Budget 13/14" totalsRowFunction="sum" dataDxfId="1341" totalsRowDxfId="1340" dataCellStyle="Currency"/>
    <tableColumn id="9" xr3:uid="{00000000-0010-0000-3C00-000009000000}" name="Actual 13/14" totalsRowFunction="sum" dataDxfId="1339" totalsRowDxfId="1338" dataCellStyle="Currency"/>
    <tableColumn id="10" xr3:uid="{00000000-0010-0000-3C00-00000A000000}" name="Budget 14/15" totalsRowFunction="sum" dataDxfId="1337" totalsRowDxfId="1336" dataCellStyle="Currency"/>
    <tableColumn id="11" xr3:uid="{00000000-0010-0000-3C00-00000B000000}" name="Actuals 14/15" totalsRowFunction="sum" dataDxfId="1335" totalsRowDxfId="1334" dataCellStyle="Currency"/>
    <tableColumn id="12" xr3:uid="{00000000-0010-0000-3C00-00000C000000}" name="Budget 15/16" totalsRowFunction="sum" dataDxfId="1333" totalsRowDxfId="1332" dataCellStyle="Currency"/>
    <tableColumn id="13" xr3:uid="{00000000-0010-0000-3C00-00000D000000}" name="Actual 15/16" totalsRowFunction="sum" dataDxfId="1331" totalsRowDxfId="1330" dataCellStyle="Currency"/>
    <tableColumn id="14" xr3:uid="{00000000-0010-0000-3C00-00000E000000}" name="Budget 16/17" totalsRowFunction="sum" dataDxfId="1329" totalsRowDxfId="1328" dataCellStyle="Currency"/>
    <tableColumn id="15" xr3:uid="{00000000-0010-0000-3C00-00000F000000}" name="Actual 16/17" totalsRowFunction="sum" dataDxfId="1327" totalsRowDxfId="1326" dataCellStyle="Currency"/>
    <tableColumn id="16" xr3:uid="{00000000-0010-0000-3C00-000010000000}" name="Budget 17/18" totalsRowFunction="sum" dataDxfId="1325" totalsRowDxfId="1324" dataCellStyle="Currency"/>
    <tableColumn id="17" xr3:uid="{00000000-0010-0000-3C00-000011000000}" name="Actual 17/18" totalsRowFunction="sum" totalsRowDxfId="1323" dataCellStyle="Currency"/>
    <tableColumn id="18" xr3:uid="{00000000-0010-0000-3C00-000012000000}" name="Budget 18/19" totalsRowFunction="sum" dataDxfId="1322" totalsRowDxfId="1321" dataCellStyle="Currency">
      <calculatedColumnFormula>'VP Education (40100)'!T34</calculatedColumnFormula>
    </tableColumn>
    <tableColumn id="21" xr3:uid="{00000000-0010-0000-3C00-000015000000}" name="Actual 18/19" totalsRowFunction="sum" dataDxfId="1320" totalsRowDxfId="1319" dataCellStyle="Currency">
      <calculatedColumnFormula>VPEDExpenses[[#Totals],[Actual 18/19]]</calculatedColumnFormula>
    </tableColumn>
    <tableColumn id="19" xr3:uid="{00000000-0010-0000-3C00-000013000000}" name="Budget 19/20" totalsRowFunction="sum" dataDxfId="1318" totalsRowDxfId="1317" dataCellStyle="Currency"/>
    <tableColumn id="20" xr3:uid="{00000000-0010-0000-3C00-000014000000}" name="Budget 20/21" totalsRowFunction="sum" dataDxfId="1316" totalsRowDxfId="1315" dataCellStyle="Currency"/>
    <tableColumn id="23" xr3:uid="{F419DB7E-73D3-4BD3-B785-31EB14E359E1}" name="Actual 20/21" totalsRowFunction="custom" dataDxfId="1314" totalsRowDxfId="1313" dataCellStyle="Currency">
      <calculatedColumnFormula>'VP Education (40100)'!Y32</calculatedColumnFormula>
      <totalsRowFormula>SUBTOTAL(109,VPEDSummary[Actual 20/21])</totalsRowFormula>
    </tableColumn>
    <tableColumn id="22" xr3:uid="{1D42256B-7F79-4DA6-BBCC-5180C89BA65D}" name="Budget 21/22" totalsRowFunction="sum" dataDxfId="1312" totalsRowDxfId="1311">
      <calculatedColumnFormula>VPEDExpenses[[#Totals],[Budget 21/22]]</calculatedColumnFormula>
    </tableColumn>
    <tableColumn id="24" xr3:uid="{EC775FA6-1363-4D9B-A13E-25C415ED84C4}" name="Actual 21/22" totalsRowLabel=" $151,288.02 " dataDxfId="1310" totalsRowDxfId="1309">
      <calculatedColumnFormula>SUBTOTAL(109,AcademicAffairsExpenses[Actual 21/22])</calculatedColumnFormula>
    </tableColumn>
    <tableColumn id="25" xr3:uid="{1ECDFE32-A16D-415F-AB56-78797448650C}" name="Budget 22/23" totalsRowFunction="sum" dataDxfId="1308" totalsRowDxfId="1307">
      <calculatedColumnFormula>OUSAExpenses[[#Totals],[Budget 22/23]]</calculatedColumnFormula>
    </tableColumn>
  </tableColumns>
  <tableStyleInfo name="Feds Budget" showFirstColumn="0" showLastColumn="0" showRowStripes="0" showColumnStripes="1"/>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D000000}" name="VPEDSummary73" displayName="VPEDSummary73" ref="A4:Y11" totalsRowCount="1">
  <tableColumns count="25">
    <tableColumn id="1" xr3:uid="{00000000-0010-0000-3D00-000001000000}" name="Summary of Revenues" totalsRowLabel="Total"/>
    <tableColumn id="2" xr3:uid="{00000000-0010-0000-3D00-000002000000}" name="Budget 10/11" totalsRowFunction="sum" dataDxfId="1306" totalsRowDxfId="1305" dataCellStyle="Currency"/>
    <tableColumn id="3" xr3:uid="{00000000-0010-0000-3D00-000003000000}" name="Actual 10/11" totalsRowFunction="sum" dataDxfId="1304" totalsRowDxfId="1303" dataCellStyle="Currency"/>
    <tableColumn id="4" xr3:uid="{00000000-0010-0000-3D00-000004000000}" name="Budget 11/12" totalsRowFunction="sum" dataDxfId="1302" totalsRowDxfId="1301" dataCellStyle="Currency"/>
    <tableColumn id="5" xr3:uid="{00000000-0010-0000-3D00-000005000000}" name="Actual 11/12" totalsRowFunction="sum" dataDxfId="1300" totalsRowDxfId="1299" dataCellStyle="Currency"/>
    <tableColumn id="6" xr3:uid="{00000000-0010-0000-3D00-000006000000}" name="Budget 12/13" totalsRowFunction="sum" dataDxfId="1298" totalsRowDxfId="1297" dataCellStyle="Currency"/>
    <tableColumn id="7" xr3:uid="{00000000-0010-0000-3D00-000007000000}" name="Actual 12/13" totalsRowFunction="sum" dataDxfId="1296" totalsRowDxfId="1295" dataCellStyle="Currency"/>
    <tableColumn id="8" xr3:uid="{00000000-0010-0000-3D00-000008000000}" name="Budget 13/14" totalsRowFunction="sum" dataDxfId="1294" totalsRowDxfId="1293" dataCellStyle="Currency"/>
    <tableColumn id="9" xr3:uid="{00000000-0010-0000-3D00-000009000000}" name="Actual 13/14" totalsRowFunction="sum" dataDxfId="1292" totalsRowDxfId="1291" dataCellStyle="Currency"/>
    <tableColumn id="10" xr3:uid="{00000000-0010-0000-3D00-00000A000000}" name="Budget 14/15" totalsRowFunction="sum" dataDxfId="1290" totalsRowDxfId="1289" dataCellStyle="Currency"/>
    <tableColumn id="11" xr3:uid="{00000000-0010-0000-3D00-00000B000000}" name="Actuals 14/15" totalsRowFunction="sum" dataDxfId="1288" totalsRowDxfId="1287" dataCellStyle="Currency"/>
    <tableColumn id="12" xr3:uid="{00000000-0010-0000-3D00-00000C000000}" name="Budget 15/16" totalsRowFunction="sum" dataDxfId="1286" totalsRowDxfId="1285" dataCellStyle="Currency"/>
    <tableColumn id="13" xr3:uid="{00000000-0010-0000-3D00-00000D000000}" name="Actual 15/16" totalsRowFunction="sum" dataDxfId="1284" totalsRowDxfId="1283" dataCellStyle="Currency"/>
    <tableColumn id="14" xr3:uid="{00000000-0010-0000-3D00-00000E000000}" name="Budget 16/17" totalsRowFunction="sum" dataDxfId="1282" totalsRowDxfId="1281" dataCellStyle="Currency"/>
    <tableColumn id="15" xr3:uid="{00000000-0010-0000-3D00-00000F000000}" name="Actual 16/17" totalsRowFunction="sum" dataDxfId="1280" totalsRowDxfId="1279" dataCellStyle="Currency"/>
    <tableColumn id="16" xr3:uid="{00000000-0010-0000-3D00-000010000000}" name="Budget 17/18" dataDxfId="1278" totalsRowDxfId="1277" dataCellStyle="Currency"/>
    <tableColumn id="17" xr3:uid="{00000000-0010-0000-3D00-000011000000}" name="Actual 17/18" totalsRowDxfId="1276" dataCellStyle="Currency"/>
    <tableColumn id="18" xr3:uid="{00000000-0010-0000-3D00-000012000000}" name="Budget 18/19" totalsRowFunction="sum" dataDxfId="1275" totalsRowDxfId="1274" dataCellStyle="Currency">
      <calculatedColumnFormula>'VP Education (40100)'!T25</calculatedColumnFormula>
    </tableColumn>
    <tableColumn id="21" xr3:uid="{00000000-0010-0000-3D00-000015000000}" name="Actual 18/19" totalsRowFunction="sum" dataDxfId="1273" totalsRowDxfId="1272" dataCellStyle="Currency"/>
    <tableColumn id="19" xr3:uid="{00000000-0010-0000-3D00-000013000000}" name="Budget 19/20" totalsRowFunction="sum" dataDxfId="1271" totalsRowDxfId="1270" dataCellStyle="Currency"/>
    <tableColumn id="20" xr3:uid="{00000000-0010-0000-3D00-000014000000}" name="Budget 20/21" totalsRowFunction="sum" dataDxfId="1269" totalsRowDxfId="1268" dataCellStyle="Currency"/>
    <tableColumn id="23" xr3:uid="{28305359-143F-442C-BBFB-E607DB2360F4}" name="Actual 20/21" dataDxfId="1267" totalsRowDxfId="1266" dataCellStyle="Currency">
      <calculatedColumnFormula>'VP Education (40100)'!Y6</calculatedColumnFormula>
    </tableColumn>
    <tableColumn id="22" xr3:uid="{68F434BF-A74B-48E5-96DA-96CEDDD834A2}" name="Budget 21/22" totalsRowDxfId="1265"/>
    <tableColumn id="24" xr3:uid="{07F8312A-2BE5-4DC3-B46E-AEC2857CF5D6}" name="Actual 21/22" totalsRowDxfId="1264"/>
    <tableColumn id="25" xr3:uid="{00294E90-BB32-48B2-B742-A7C2FB0D7341}" name="Budget 22/23" totalsRowDxfId="1263"/>
  </tableColumns>
  <tableStyleInfo name="Feds Budget" showFirstColumn="0" showLastColumn="0" showRowStripes="0" showColumnStripes="1"/>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3E000000}" name="VPEDRevenues" displayName="VPEDRevenues" ref="B4:AB6" totalsRowCount="1" headerRowDxfId="1262" dataDxfId="1261">
  <tableColumns count="27">
    <tableColumn id="1" xr3:uid="{00000000-0010-0000-3E00-000001000000}" name="Revenues" totalsRowLabel="Total" dataDxfId="1260" totalsRowDxfId="1259"/>
    <tableColumn id="2" xr3:uid="{00000000-0010-0000-3E00-000002000000}" name="Budget 10/11" totalsRowFunction="sum" dataDxfId="1258" totalsRowDxfId="1257" dataCellStyle="Currency"/>
    <tableColumn id="3" xr3:uid="{00000000-0010-0000-3E00-000003000000}" name="Actual 10/11" totalsRowFunction="sum" dataDxfId="1256" totalsRowDxfId="1255" dataCellStyle="Currency"/>
    <tableColumn id="4" xr3:uid="{00000000-0010-0000-3E00-000004000000}" name="Budget 11/12" totalsRowFunction="sum" dataDxfId="1254" totalsRowDxfId="1253" dataCellStyle="Currency"/>
    <tableColumn id="5" xr3:uid="{00000000-0010-0000-3E00-000005000000}" name="Actual 11/12" totalsRowFunction="sum" dataDxfId="1252" totalsRowDxfId="1251" dataCellStyle="Currency"/>
    <tableColumn id="6" xr3:uid="{00000000-0010-0000-3E00-000006000000}" name="Budget 12/13" totalsRowFunction="sum" dataDxfId="1250" totalsRowDxfId="1249" dataCellStyle="Currency"/>
    <tableColumn id="7" xr3:uid="{00000000-0010-0000-3E00-000007000000}" name="Actual 12/13" totalsRowFunction="sum" dataDxfId="1248" totalsRowDxfId="1247" dataCellStyle="Currency"/>
    <tableColumn id="8" xr3:uid="{00000000-0010-0000-3E00-000008000000}" name="Budget 13/14" totalsRowFunction="sum" dataDxfId="1246" totalsRowDxfId="1245" dataCellStyle="Currency"/>
    <tableColumn id="9" xr3:uid="{00000000-0010-0000-3E00-000009000000}" name="Actual 13/14" totalsRowFunction="sum" dataDxfId="1244" totalsRowDxfId="1243" dataCellStyle="Currency"/>
    <tableColumn id="10" xr3:uid="{00000000-0010-0000-3E00-00000A000000}" name="Budget 14/15" totalsRowFunction="sum" dataDxfId="1242" totalsRowDxfId="1241" dataCellStyle="Currency"/>
    <tableColumn id="11" xr3:uid="{00000000-0010-0000-3E00-00000B000000}" name="Actual 14/15" totalsRowFunction="sum" dataDxfId="1240" totalsRowDxfId="1239" dataCellStyle="Currency"/>
    <tableColumn id="12" xr3:uid="{00000000-0010-0000-3E00-00000C000000}" name="Budget 15/16" totalsRowFunction="sum" dataDxfId="1238" totalsRowDxfId="1237" dataCellStyle="Currency"/>
    <tableColumn id="13" xr3:uid="{00000000-0010-0000-3E00-00000D000000}" name="Actual 14/16" totalsRowFunction="sum" dataDxfId="1236" totalsRowDxfId="1235"/>
    <tableColumn id="14" xr3:uid="{00000000-0010-0000-3E00-00000E000000}" name="Actual 15/16" totalsRowFunction="sum" dataDxfId="1234" totalsRowDxfId="1233"/>
    <tableColumn id="15" xr3:uid="{00000000-0010-0000-3E00-00000F000000}" name="Budget 16/17" totalsRowFunction="sum" dataDxfId="1232" totalsRowDxfId="1231"/>
    <tableColumn id="16" xr3:uid="{00000000-0010-0000-3E00-000010000000}" name="Actual 16/17" totalsRowFunction="sum" dataDxfId="1230" totalsRowDxfId="1229"/>
    <tableColumn id="17" xr3:uid="{00000000-0010-0000-3E00-000011000000}" name="Budget 17/18" totalsRowFunction="sum" dataDxfId="1228" totalsRowDxfId="1227"/>
    <tableColumn id="18" xr3:uid="{00000000-0010-0000-3E00-000012000000}" name="Actual 17/18" totalsRowFunction="custom" dataDxfId="1226" totalsRowDxfId="1225">
      <totalsRowFormula>SUBTOTAL(109,VPEDRevenues[Revenues])</totalsRowFormula>
    </tableColumn>
    <tableColumn id="19" xr3:uid="{00000000-0010-0000-3E00-000013000000}" name="Budget 18/19" dataDxfId="1224" totalsRowDxfId="1223"/>
    <tableColumn id="22" xr3:uid="{00000000-0010-0000-3E00-000016000000}" name="Actual 18/19" dataDxfId="1222" totalsRowDxfId="1221"/>
    <tableColumn id="20" xr3:uid="{00000000-0010-0000-3E00-000014000000}" name="Budget 19/20" dataDxfId="1220" totalsRowDxfId="1219"/>
    <tableColumn id="23" xr3:uid="{EA0394A0-FCE7-4173-A88C-90127D6B9CBA}" name="Actual P12 19/20" totalsRowFunction="custom" dataDxfId="1218" totalsRowDxfId="1217">
      <totalsRowFormula>SUM(W5)</totalsRowFormula>
    </tableColumn>
    <tableColumn id="21" xr3:uid="{00000000-0010-0000-3E00-000015000000}" name="Budget 20/21" totalsRowFunction="custom" dataDxfId="1216" totalsRowDxfId="1215">
      <totalsRowFormula>SUM(X5)</totalsRowFormula>
    </tableColumn>
    <tableColumn id="24" xr3:uid="{6921C5B6-DBBF-4E31-9DCB-D7F48520C22A}" name="Actual 20/21" totalsRowFunction="custom" dataDxfId="1214" totalsRowDxfId="1213">
      <totalsRowFormula>SUM(Y5)</totalsRowFormula>
    </tableColumn>
    <tableColumn id="25" xr3:uid="{CE596B56-8D3C-4C5A-BC04-31E55410CAB5}" name="Budget 21/22" totalsRowFunction="custom" dataDxfId="1212" totalsRowDxfId="1211">
      <totalsRowFormula>SUM(Z5)</totalsRowFormula>
    </tableColumn>
    <tableColumn id="26" xr3:uid="{8DC25751-78C2-4FC0-954B-81373C5F0D15}" name="Actual 21/22" dataDxfId="1210" totalsRowDxfId="1209"/>
    <tableColumn id="27" xr3:uid="{D43C5C6B-9B74-4165-B84A-A506B7F952F7}" name="Budget 22/23" dataDxfId="1208" totalsRowDxfId="1207"/>
  </tableColumns>
  <tableStyleInfo name="Feds Budget" showFirstColumn="0" showLastColumn="0" showRowStripes="0" showColumnStripes="1"/>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3F000000}" name="VPEDExpenses" displayName="VPEDExpenses" ref="B8:AB32" totalsRowCount="1" headerRowDxfId="1206" dataDxfId="1205">
  <tableColumns count="27">
    <tableColumn id="1" xr3:uid="{00000000-0010-0000-3F00-000001000000}" name="Expenses" totalsRowLabel="Total" dataDxfId="1204" totalsRowDxfId="1203"/>
    <tableColumn id="2" xr3:uid="{00000000-0010-0000-3F00-000002000000}" name="Budget 10/11" totalsRowFunction="sum" dataDxfId="1202" totalsRowDxfId="1201" dataCellStyle="Currency"/>
    <tableColumn id="3" xr3:uid="{00000000-0010-0000-3F00-000003000000}" name="Actual 10/11" totalsRowFunction="sum" dataDxfId="1200" totalsRowDxfId="1199" dataCellStyle="Currency"/>
    <tableColumn id="4" xr3:uid="{00000000-0010-0000-3F00-000004000000}" name="Budget 11/12" totalsRowFunction="sum" dataDxfId="1198" totalsRowDxfId="1197" dataCellStyle="Currency"/>
    <tableColumn id="5" xr3:uid="{00000000-0010-0000-3F00-000005000000}" name="Actual 11/12" totalsRowFunction="sum" dataDxfId="1196" totalsRowDxfId="1195" dataCellStyle="Currency"/>
    <tableColumn id="6" xr3:uid="{00000000-0010-0000-3F00-000006000000}" name="Budget 12/13" totalsRowFunction="sum" dataDxfId="1194" totalsRowDxfId="1193" dataCellStyle="Currency"/>
    <tableColumn id="7" xr3:uid="{00000000-0010-0000-3F00-000007000000}" name="Actual 12/13" totalsRowFunction="sum" dataDxfId="1192" totalsRowDxfId="1191" dataCellStyle="Currency"/>
    <tableColumn id="8" xr3:uid="{00000000-0010-0000-3F00-000008000000}" name="Budget 13/14" totalsRowFunction="sum" dataDxfId="1190" totalsRowDxfId="1189" dataCellStyle="Currency"/>
    <tableColumn id="9" xr3:uid="{00000000-0010-0000-3F00-000009000000}" name="Actual 13/14" totalsRowFunction="sum" dataDxfId="1188" totalsRowDxfId="1187" dataCellStyle="Currency"/>
    <tableColumn id="10" xr3:uid="{00000000-0010-0000-3F00-00000A000000}" name="Budget 14/15" totalsRowFunction="sum" dataDxfId="1186" totalsRowDxfId="1185" dataCellStyle="Currency"/>
    <tableColumn id="11" xr3:uid="{00000000-0010-0000-3F00-00000B000000}" name="Actual 14/15" totalsRowFunction="sum" dataDxfId="1184" totalsRowDxfId="1183" dataCellStyle="Currency"/>
    <tableColumn id="12" xr3:uid="{00000000-0010-0000-3F00-00000C000000}" name="Budget 15/16" totalsRowFunction="sum" dataDxfId="1182" totalsRowDxfId="1181" dataCellStyle="Currency"/>
    <tableColumn id="13" xr3:uid="{00000000-0010-0000-3F00-00000D000000}" name="Budget 14/18" totalsRowFunction="sum" dataDxfId="1180" totalsRowDxfId="1179"/>
    <tableColumn id="14" xr3:uid="{00000000-0010-0000-3F00-00000E000000}" name="Actual 15/16" totalsRowFunction="sum" dataDxfId="1178" totalsRowDxfId="1177"/>
    <tableColumn id="15" xr3:uid="{00000000-0010-0000-3F00-00000F000000}" name="Budget 16/17" totalsRowFunction="sum" dataDxfId="1176" totalsRowDxfId="1175"/>
    <tableColumn id="16" xr3:uid="{00000000-0010-0000-3F00-000010000000}" name="Actual 16/17" totalsRowFunction="sum" dataDxfId="1174" totalsRowDxfId="1173" dataCellStyle="Currency"/>
    <tableColumn id="17" xr3:uid="{00000000-0010-0000-3F00-000011000000}" name="Budget 17/18" totalsRowFunction="sum" dataDxfId="1172" totalsRowDxfId="1171" dataCellStyle="Currency"/>
    <tableColumn id="18" xr3:uid="{00000000-0010-0000-3F00-000012000000}" name="Actual 17/18" totalsRowFunction="custom" dataDxfId="1170" totalsRowDxfId="1169">
      <totalsRowFormula>SUM(VPEDExpenses[Actual 17/18])</totalsRowFormula>
    </tableColumn>
    <tableColumn id="19" xr3:uid="{00000000-0010-0000-3F00-000013000000}" name="Budget 18/19" totalsRowFunction="custom" dataDxfId="1168" totalsRowDxfId="1167" dataCellStyle="Currency">
      <totalsRowFormula>SUM(VPEDExpenses[Budget 18/19])</totalsRowFormula>
    </tableColumn>
    <tableColumn id="22" xr3:uid="{00000000-0010-0000-3F00-000016000000}" name="Actual 18/19" totalsRowFunction="custom" dataDxfId="1166" totalsRowDxfId="1165" dataCellStyle="Currency">
      <totalsRowFormula>SUM(VPEDExpenses[Actual 18/19])</totalsRowFormula>
    </tableColumn>
    <tableColumn id="20" xr3:uid="{00000000-0010-0000-3F00-000014000000}" name="Budget 19/20" totalsRowFunction="custom" dataDxfId="1164" totalsRowDxfId="1163" dataCellStyle="Currency">
      <totalsRowFormula>SUM(VPEDExpenses[Budget 19/20])</totalsRowFormula>
    </tableColumn>
    <tableColumn id="23" xr3:uid="{0042D2B5-C54F-40FF-9339-E798139A7B25}" name="Actual P12 19/20" totalsRowFunction="custom" dataDxfId="1162" totalsRowDxfId="1161" dataCellStyle="Currency">
      <totalsRowFormula>SUM(VPEDExpenses[Actual P12 19/20])</totalsRowFormula>
    </tableColumn>
    <tableColumn id="21" xr3:uid="{00000000-0010-0000-3F00-000015000000}" name="Budget 20/21" totalsRowFunction="custom" totalsRowDxfId="1160" dataCellStyle="Currency">
      <totalsRowFormula>SUM(VPEDExpenses[Budget 20/21])</totalsRowFormula>
    </tableColumn>
    <tableColumn id="24" xr3:uid="{EA611781-579B-4BC2-B5CA-42EE9C353CFA}" name="Actual 20/21" totalsRowFunction="custom" dataDxfId="1159" totalsRowDxfId="1158" dataCellStyle="Currency">
      <totalsRowFormula>SUM(VPEDExpenses[Actual 20/21])</totalsRowFormula>
    </tableColumn>
    <tableColumn id="25" xr3:uid="{9D164266-D7D5-4917-96A5-C7E53920C61C}" name="Budget 21/22" totalsRowFunction="custom" dataDxfId="1157" totalsRowDxfId="1156" dataCellStyle="Currency">
      <calculatedColumnFormula>VPEDExpenses[[#This Row],[Budget 20/21]]*1.022*1.007</calculatedColumnFormula>
      <totalsRowFormula>SUM(VPEDExpenses[Budget 21/22])</totalsRowFormula>
    </tableColumn>
    <tableColumn id="26" xr3:uid="{92534FF9-223F-4AA0-9925-C71CC20EED34}" name="Actual 21/22" totalsRowFunction="sum" dataDxfId="1155" totalsRowDxfId="1154" dataCellStyle="Currency"/>
    <tableColumn id="27" xr3:uid="{05647E97-398B-4251-9C37-2284C9CF5264}" name="Budget 22/23" totalsRowFunction="custom" dataDxfId="1153" totalsRowDxfId="1152" dataCellStyle="Currency">
      <totalsRowFormula>SUM(VPEDExpenses[Budget 22/23])</totalsRowFormula>
    </tableColumn>
  </tableColumns>
  <tableStyleInfo name="Feds Budget" showFirstColumn="0" showLastColumn="0" showRowStripes="0" showColumnStripes="1"/>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40000000}" name="AcademicAffairsRevenues" displayName="AcademicAffairsRevenues" ref="B4:U6" totalsRowCount="1" headerRowDxfId="1151" dataDxfId="1150">
  <tableColumns count="20">
    <tableColumn id="1" xr3:uid="{00000000-0010-0000-4000-000001000000}" name="Revenues" totalsRowLabel="Total" dataDxfId="1149" totalsRowDxfId="1148"/>
    <tableColumn id="2" xr3:uid="{00000000-0010-0000-4000-000002000000}" name="Budget 13/14" totalsRowFunction="sum" dataDxfId="1147" totalsRowDxfId="1146"/>
    <tableColumn id="3" xr3:uid="{00000000-0010-0000-4000-000003000000}" name="Actual 13/14" totalsRowFunction="sum" dataDxfId="1145" totalsRowDxfId="1144"/>
    <tableColumn id="4" xr3:uid="{00000000-0010-0000-4000-000004000000}" name="Budget 14/15" totalsRowFunction="sum" dataDxfId="1143" totalsRowDxfId="1142"/>
    <tableColumn id="5" xr3:uid="{00000000-0010-0000-4000-000005000000}" name="Actual 14/15" totalsRowFunction="sum" dataDxfId="1141" totalsRowDxfId="1140"/>
    <tableColumn id="6" xr3:uid="{00000000-0010-0000-4000-000006000000}" name="Budget 15/16" totalsRowFunction="sum" dataDxfId="1139" totalsRowDxfId="1138"/>
    <tableColumn id="7" xr3:uid="{00000000-0010-0000-4000-000007000000}" name="Actual 15/16" totalsRowFunction="sum" dataDxfId="1137" totalsRowDxfId="1136"/>
    <tableColumn id="8" xr3:uid="{00000000-0010-0000-4000-000008000000}" name="Budget 16/17" totalsRowFunction="sum" dataDxfId="1135" totalsRowDxfId="1134"/>
    <tableColumn id="9" xr3:uid="{00000000-0010-0000-4000-000009000000}" name="Actual 16/17" totalsRowFunction="sum" dataDxfId="1133" totalsRowDxfId="1132"/>
    <tableColumn id="10" xr3:uid="{00000000-0010-0000-4000-00000A000000}" name="Budget 17/18" totalsRowFunction="sum" dataDxfId="1131" totalsRowDxfId="1130"/>
    <tableColumn id="11" xr3:uid="{00000000-0010-0000-4000-00000B000000}" name="Actual 17/18" totalsRowFunction="custom" dataDxfId="1129" totalsRowDxfId="1128">
      <totalsRowFormula>SUBTOTAL(109,AcademicAffairsRevenues[Revenues])</totalsRowFormula>
    </tableColumn>
    <tableColumn id="12" xr3:uid="{00000000-0010-0000-4000-00000C000000}" name="Budget 18/19" totalsRowFunction="custom" dataDxfId="1127" totalsRowDxfId="1126">
      <totalsRowFormula>SUBTOTAL(109,AcademicAffairsRevenues[Budget 13/14])</totalsRowFormula>
    </tableColumn>
    <tableColumn id="15" xr3:uid="{00000000-0010-0000-4000-00000F000000}" name="Actual 18/19" dataDxfId="1125" totalsRowDxfId="1124"/>
    <tableColumn id="13" xr3:uid="{00000000-0010-0000-4000-00000D000000}" name="Budget 19/20" totalsRowFunction="custom" dataDxfId="1123" totalsRowDxfId="1122">
      <totalsRowFormula>SUBTOTAL(109,AcademicAffairsRevenues[Actual 13/14])</totalsRowFormula>
    </tableColumn>
    <tableColumn id="16" xr3:uid="{838FC304-7838-49D4-9708-81503C149E46}" name="Actual P12 19/20" totalsRowFunction="custom" dataDxfId="1121" totalsRowDxfId="1120">
      <totalsRowFormula>SUM(P5)</totalsRowFormula>
    </tableColumn>
    <tableColumn id="14" xr3:uid="{00000000-0010-0000-4000-00000E000000}" name="Budget 20/21" dataDxfId="1119" totalsRowDxfId="1118"/>
    <tableColumn id="17" xr3:uid="{5233CA87-0D7D-4487-9053-A66EE068A924}" name="Actual 20/21" dataDxfId="1117" totalsRowDxfId="1116"/>
    <tableColumn id="18" xr3:uid="{AE55B1C3-8ABD-4E1A-B8EC-3CDCCEC60288}" name="Budget 21/22" dataDxfId="1115" totalsRowDxfId="1114"/>
    <tableColumn id="19" xr3:uid="{BDF5528C-22F0-443F-9D4A-6DF028F00B6D}" name="Actual 21/22" dataDxfId="1113" totalsRowDxfId="1112"/>
    <tableColumn id="20" xr3:uid="{8B69F948-29A5-4A28-9186-E585A995EC6A}" name="Budget 22/23" dataDxfId="1111" totalsRowDxfId="1110"/>
  </tableColumns>
  <tableStyleInfo name="Feds Budget" showFirstColumn="0" showLastColumn="0" showRowStripes="0" showColumnStripes="1"/>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41000000}" name="AcademicAffairsExpenses" displayName="AcademicAffairsExpenses" ref="B8:U29" totalsRowCount="1" headerRowDxfId="1109" dataDxfId="1108">
  <tableColumns count="20">
    <tableColumn id="1" xr3:uid="{00000000-0010-0000-4100-000001000000}" name="Expenses" totalsRowLabel="Total" dataDxfId="1107" totalsRowDxfId="1106"/>
    <tableColumn id="2" xr3:uid="{00000000-0010-0000-4100-000002000000}" name="Budget 13/14" totalsRowFunction="sum" dataDxfId="1105" totalsRowDxfId="1104" dataCellStyle="Calculation 2 9 3 2 5 2"/>
    <tableColumn id="3" xr3:uid="{00000000-0010-0000-4100-000003000000}" name="Actual 13/14" totalsRowFunction="sum" dataDxfId="1103" totalsRowDxfId="1102" dataCellStyle="Calculation 2 9 3 2 5 2"/>
    <tableColumn id="4" xr3:uid="{00000000-0010-0000-4100-000004000000}" name="Budget 14/15" totalsRowFunction="sum" dataDxfId="1101" totalsRowDxfId="1100" dataCellStyle="Calculation 2 9 3 2 5 2"/>
    <tableColumn id="5" xr3:uid="{00000000-0010-0000-4100-000005000000}" name="Actual 14/15" totalsRowFunction="sum" dataDxfId="1099" totalsRowDxfId="1098" dataCellStyle="Calculation 2 9 3 2 5 2"/>
    <tableColumn id="6" xr3:uid="{00000000-0010-0000-4100-000006000000}" name="Budget 15/16" totalsRowFunction="sum" dataDxfId="1097" totalsRowDxfId="1096" dataCellStyle="Calculation 2 9 3 2 5 2"/>
    <tableColumn id="7" xr3:uid="{00000000-0010-0000-4100-000007000000}" name="Actual 15/16" totalsRowFunction="sum" dataDxfId="1095" totalsRowDxfId="1094" dataCellStyle="Calculation 2 9 3 2 5 2"/>
    <tableColumn id="8" xr3:uid="{00000000-0010-0000-4100-000008000000}" name="Budget 16/17" totalsRowFunction="sum" dataDxfId="1093" totalsRowDxfId="1092" dataCellStyle="Calculation 2 9 3 2 5 2"/>
    <tableColumn id="9" xr3:uid="{00000000-0010-0000-4100-000009000000}" name="Actual 16/17" totalsRowFunction="sum" dataDxfId="1091" totalsRowDxfId="1090" dataCellStyle="Calculation 2 9 3 2 5 2"/>
    <tableColumn id="10" xr3:uid="{00000000-0010-0000-4100-00000A000000}" name="Budget 17/18" totalsRowFunction="sum" dataDxfId="1089" totalsRowDxfId="1088" dataCellStyle="Calculation 2 9 3 2 5 2"/>
    <tableColumn id="11" xr3:uid="{00000000-0010-0000-4100-00000B000000}" name="Actual 17/18" totalsRowFunction="custom" dataDxfId="1087" totalsRowDxfId="1086" dataCellStyle="Calculation 2 8 5 7">
      <totalsRowFormula>SUM(AcademicAffairsExpenses[Actual 17/18])</totalsRowFormula>
    </tableColumn>
    <tableColumn id="12" xr3:uid="{00000000-0010-0000-4100-00000C000000}" name="Budget 18/19" totalsRowFunction="sum" dataDxfId="1085" totalsRowDxfId="1084" dataCellStyle="Calculation 2 8 5 7"/>
    <tableColumn id="15" xr3:uid="{00000000-0010-0000-4100-00000F000000}" name="Actual 18/19" totalsRowFunction="sum" dataDxfId="1083" totalsRowDxfId="1082" dataCellStyle="Calculation 2 9 3 2 5 2"/>
    <tableColumn id="13" xr3:uid="{00000000-0010-0000-4100-00000D000000}" name="Budget 19/20" totalsRowFunction="custom" dataDxfId="1081" totalsRowDxfId="1080" dataCellStyle="Calculation 2 8 5 7">
      <totalsRowFormula>SUM(AcademicAffairsExpenses[Budget 19/20])</totalsRowFormula>
    </tableColumn>
    <tableColumn id="16" xr3:uid="{1A546290-D4EE-41FA-9F58-BAB26325C967}" name="Actual P12 19/20" totalsRowFunction="custom" dataDxfId="1079" totalsRowDxfId="1078" dataCellStyle="Calculation 2 9 3 2 5 2">
      <totalsRowFormula>SUM(AcademicAffairsExpenses[Actual P12 19/20])</totalsRowFormula>
    </tableColumn>
    <tableColumn id="14" xr3:uid="{00000000-0010-0000-4100-00000E000000}" name="Budget 20/21" totalsRowFunction="custom" dataDxfId="1077" totalsRowDxfId="1076" dataCellStyle="Calculation 2 8 5 7">
      <totalsRowFormula>SUM(AcademicAffairsExpenses[Budget 20/21])</totalsRowFormula>
    </tableColumn>
    <tableColumn id="17" xr3:uid="{35011BAD-799D-42B7-A485-644FBD3FAC89}" name="Actual 20/21" totalsRowFunction="custom" dataDxfId="1075" totalsRowDxfId="1074" dataCellStyle="Calculation 2 8 5 7">
      <totalsRowFormula>SUM(AcademicAffairsExpenses[Actual 20/21])</totalsRowFormula>
    </tableColumn>
    <tableColumn id="18" xr3:uid="{6F68F24E-B4DF-4E54-B135-81A77C13EAC3}" name="Budget 21/22" totalsRowFunction="custom" dataDxfId="1073" totalsRowDxfId="1072" dataCellStyle="Calculation 2 8 5 7">
      <totalsRowFormula>SUM(AcademicAffairsExpenses[Budget 21/22])</totalsRowFormula>
    </tableColumn>
    <tableColumn id="19" xr3:uid="{B3C77A3C-20AF-444A-B2ED-5ACD9137BAD2}" name="Actual 21/22" totalsRowFunction="sum" dataDxfId="1071" totalsRowDxfId="1070" dataCellStyle="Calculation 2 8 5 7"/>
    <tableColumn id="20" xr3:uid="{0D1BE21C-6144-420B-BF3F-C117B2751154}" name="Budget 22/23" totalsRowFunction="custom" dataDxfId="1069" totalsRowDxfId="1068" dataCellStyle="Calculation 2 8 5 7">
      <totalsRowFormula>SUM(AcademicAffairsExpenses[Budget 22/23])</totalsRowFormula>
    </tableColumn>
  </tableColumns>
  <tableStyleInfo name="Feds Budget" showFirstColumn="0" showLastColumn="0" showRowStripes="0" showColumnStripes="1"/>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2000000}" name="GovernmentAffairsRevenue11180" displayName="GovernmentAffairsRevenue11180" ref="B4:X6" totalsRowCount="1" headerRowDxfId="1067" dataDxfId="1066">
  <tableColumns count="23">
    <tableColumn id="1" xr3:uid="{00000000-0010-0000-4200-000001000000}" name="Revenues" totalsRowLabel="Total" dataDxfId="1065" totalsRowDxfId="1064"/>
    <tableColumn id="2" xr3:uid="{00000000-0010-0000-4200-000002000000}" name="Budget 10/11" totalsRowFunction="sum" dataDxfId="1063" totalsRowDxfId="1062"/>
    <tableColumn id="3" xr3:uid="{00000000-0010-0000-4200-000003000000}" name="Actual 10/11" totalsRowFunction="sum" dataDxfId="1061" totalsRowDxfId="1060"/>
    <tableColumn id="4" xr3:uid="{00000000-0010-0000-4200-000004000000}" name="Budget 11/12" totalsRowFunction="sum" dataDxfId="1059" totalsRowDxfId="1058"/>
    <tableColumn id="5" xr3:uid="{00000000-0010-0000-4200-000005000000}" name="Actual 11/12" totalsRowFunction="sum" dataDxfId="1057" totalsRowDxfId="1056"/>
    <tableColumn id="6" xr3:uid="{00000000-0010-0000-4200-000006000000}" name="Budget 12/13" totalsRowFunction="sum" dataDxfId="1055" totalsRowDxfId="1054"/>
    <tableColumn id="7" xr3:uid="{00000000-0010-0000-4200-000007000000}" name="Actual 12/13" totalsRowFunction="sum" dataDxfId="1053" totalsRowDxfId="1052"/>
    <tableColumn id="8" xr3:uid="{00000000-0010-0000-4200-000008000000}" name="Budget 13/14" totalsRowFunction="sum" dataDxfId="1051" totalsRowDxfId="1050"/>
    <tableColumn id="9" xr3:uid="{00000000-0010-0000-4200-000009000000}" name="Actual 13/14" totalsRowFunction="sum" dataDxfId="1049" totalsRowDxfId="1048"/>
    <tableColumn id="10" xr3:uid="{00000000-0010-0000-4200-00000A000000}" name="Budget 14/15" totalsRowFunction="sum" dataDxfId="1047" totalsRowDxfId="1046"/>
    <tableColumn id="11" xr3:uid="{00000000-0010-0000-4200-00000B000000}" name="Actual 14/15" totalsRowFunction="sum" dataDxfId="1045" totalsRowDxfId="1044"/>
    <tableColumn id="12" xr3:uid="{00000000-0010-0000-4200-00000C000000}" name="Budget 15/16" totalsRowFunction="sum" dataDxfId="1043" totalsRowDxfId="1042"/>
    <tableColumn id="13" xr3:uid="{00000000-0010-0000-4200-00000D000000}" name="Actual 15/16" totalsRowFunction="sum" dataDxfId="1041" totalsRowDxfId="1040" dataCellStyle="Currency 2"/>
    <tableColumn id="14" xr3:uid="{00000000-0010-0000-4200-00000E000000}" name="Budget 16/17" totalsRowFunction="sum" dataDxfId="1039" totalsRowDxfId="1038" dataCellStyle="Currency 2"/>
    <tableColumn id="15" xr3:uid="{00000000-0010-0000-4200-00000F000000}" name="Budget 17/18" dataDxfId="1037" totalsRowDxfId="1036"/>
    <tableColumn id="16" xr3:uid="{00000000-0010-0000-4200-000010000000}" name="Budget 18/19" dataDxfId="1035" totalsRowDxfId="1034"/>
    <tableColumn id="17" xr3:uid="{00000000-0010-0000-4200-000011000000}" name="Budget 19/20" dataDxfId="1033" totalsRowDxfId="1032"/>
    <tableColumn id="19" xr3:uid="{0B3C7668-FE6E-48DB-A29B-4C554DCEBBC1}" name="Actual P12 19/20" totalsRowFunction="custom" dataDxfId="1031" totalsRowDxfId="1030">
      <totalsRowFormula>SUM(GovernmentAffairsRevenue11180[Actual P12 19/20])</totalsRowFormula>
    </tableColumn>
    <tableColumn id="18" xr3:uid="{00000000-0010-0000-4200-000012000000}" name="Budget 19/21" totalsRowFunction="custom" dataDxfId="1029" totalsRowDxfId="1028">
      <totalsRowFormula>SUM(GovernmentAffairsRevenue11180[Budget 19/21])</totalsRowFormula>
    </tableColumn>
    <tableColumn id="20" xr3:uid="{9DB4ECED-41D0-4796-8223-0D2B1633755A}" name="Actual 20/21" totalsRowFunction="custom" dataDxfId="1027" totalsRowDxfId="1026">
      <totalsRowFormula>SUM(GovernmentAffairsRevenue11180[Actual 20/21])</totalsRowFormula>
    </tableColumn>
    <tableColumn id="21" xr3:uid="{75B1D832-AE6C-4089-9D56-A377D63FFAE5}" name="Budget 21/22" totalsRowFunction="custom" dataDxfId="1025" totalsRowDxfId="1024">
      <totalsRowFormula>SUM(GovernmentAffairsRevenue11180[Budget 21/22])</totalsRowFormula>
    </tableColumn>
    <tableColumn id="22" xr3:uid="{FD18EEC6-BE7C-47CE-8429-343FD8F10D39}" name="Actual 21/22" dataDxfId="1023" totalsRowDxfId="1022"/>
    <tableColumn id="23" xr3:uid="{2E7FA3BE-7C8E-4CFA-AB5B-13BB55C75926}" name="Budget 22/23" dataDxfId="1021" totalsRowDxfId="1020"/>
  </tableColumns>
  <tableStyleInfo name="Feds Budget" showFirstColumn="0" showLastColumn="0" showRowStripes="0" showColumnStripes="1"/>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3000000}" name="GovernmentAffairsExpenses11281" displayName="GovernmentAffairsExpenses11281" ref="B8:X19" totalsRowCount="1" headerRowDxfId="1019" dataDxfId="1018" dataCellStyle="Currency 2">
  <tableColumns count="23">
    <tableColumn id="1" xr3:uid="{00000000-0010-0000-4300-000001000000}" name="Expenses" totalsRowLabel="Total" dataDxfId="1017" totalsRowDxfId="1016"/>
    <tableColumn id="2" xr3:uid="{00000000-0010-0000-4300-000002000000}" name="Budget 10/11" totalsRowFunction="sum" dataDxfId="1015" totalsRowDxfId="1014" dataCellStyle="Calculation 2 9 3 2 5 2"/>
    <tableColumn id="3" xr3:uid="{00000000-0010-0000-4300-000003000000}" name="Actual 10/11" totalsRowFunction="sum" dataDxfId="1013" totalsRowDxfId="1012" dataCellStyle="Calculation 2 9 3 2 5 2"/>
    <tableColumn id="4" xr3:uid="{00000000-0010-0000-4300-000004000000}" name="Budget 11/12" totalsRowFunction="sum" dataDxfId="1011" totalsRowDxfId="1010" dataCellStyle="Calculation 2 9 3 2 5 2"/>
    <tableColumn id="5" xr3:uid="{00000000-0010-0000-4300-000005000000}" name="Actual 11/12" totalsRowFunction="sum" dataDxfId="1009" totalsRowDxfId="1008" dataCellStyle="Calculation 2 9 3 2 5 2"/>
    <tableColumn id="6" xr3:uid="{00000000-0010-0000-4300-000006000000}" name="Budget 12/13" totalsRowFunction="sum" dataDxfId="1007" totalsRowDxfId="1006" dataCellStyle="Calculation 2 9 3 2 5 2"/>
    <tableColumn id="7" xr3:uid="{00000000-0010-0000-4300-000007000000}" name="Actual 12/13" totalsRowFunction="sum" dataDxfId="1005" totalsRowDxfId="1004" dataCellStyle="Calculation 2 9 3 2 5 2"/>
    <tableColumn id="8" xr3:uid="{00000000-0010-0000-4300-000008000000}" name="Budget 13/14" totalsRowFunction="sum" dataDxfId="1003" totalsRowDxfId="1002" dataCellStyle="Calculation 2 9 3 2 5 2"/>
    <tableColumn id="9" xr3:uid="{00000000-0010-0000-4300-000009000000}" name="Actual 13/14" totalsRowFunction="sum" dataDxfId="1001" totalsRowDxfId="1000" dataCellStyle="Calculation 2 9 3 2 5 2"/>
    <tableColumn id="10" xr3:uid="{00000000-0010-0000-4300-00000A000000}" name="Budget 14/15" totalsRowFunction="sum" dataDxfId="999" totalsRowDxfId="998" dataCellStyle="Calculation 2 9 3 2 5 2"/>
    <tableColumn id="11" xr3:uid="{00000000-0010-0000-4300-00000B000000}" name="Actual 14/15" totalsRowFunction="sum" dataDxfId="997" totalsRowDxfId="996" dataCellStyle="Calculation 2 9 3 2 5 2"/>
    <tableColumn id="12" xr3:uid="{00000000-0010-0000-4300-00000C000000}" name="Budget 15/16" totalsRowFunction="sum" dataDxfId="995" totalsRowDxfId="994" dataCellStyle="Calculation 2 9 3 2 5 2"/>
    <tableColumn id="13" xr3:uid="{00000000-0010-0000-4300-00000D000000}" name="Actual 15/16" totalsRowFunction="sum" dataDxfId="993" totalsRowDxfId="992" dataCellStyle="Calculation 2 9 3 2 5 2"/>
    <tableColumn id="14" xr3:uid="{00000000-0010-0000-4300-00000E000000}" name="Budget 17/118" totalsRowFunction="sum" dataDxfId="991" totalsRowDxfId="990" dataCellStyle="Calculation 2 9 3 2 5 2"/>
    <tableColumn id="15" xr3:uid="{00000000-0010-0000-4300-00000F000000}" name="Budget 16/18" dataDxfId="989" totalsRowDxfId="988" dataCellStyle="Calculation 2 9 3 2 5 2"/>
    <tableColumn id="16" xr3:uid="{00000000-0010-0000-4300-000010000000}" name="Budget 18/19" dataDxfId="987" totalsRowDxfId="986" dataCellStyle="Calculation 2 9 3 2 5 2"/>
    <tableColumn id="17" xr3:uid="{00000000-0010-0000-4300-000011000000}" name="Budget 19/20" totalsRowFunction="custom" dataDxfId="985" totalsRowDxfId="984" dataCellStyle="Calculation 2 9 3 2 5 2">
      <totalsRowFormula>SUM(R9:R18)</totalsRowFormula>
    </tableColumn>
    <tableColumn id="19" xr3:uid="{A1A26567-68CF-4179-82F0-E36BC6408C94}" name="Actual P12 19/20" totalsRowFunction="custom" dataDxfId="983" totalsRowDxfId="982" dataCellStyle="Calculation 2 9 3 2 5 2">
      <totalsRowFormula>SUM(GovernmentAffairsExpenses11281[Actual P12 19/20])</totalsRowFormula>
    </tableColumn>
    <tableColumn id="18" xr3:uid="{00000000-0010-0000-4300-000012000000}" name="Budget 19/21" totalsRowFunction="custom" dataDxfId="981" totalsRowDxfId="980" dataCellStyle="Calculation 2 9 3 2 5 2">
      <totalsRowFormula>SUM(T9:T18)</totalsRowFormula>
    </tableColumn>
    <tableColumn id="20" xr3:uid="{DB5E22EF-2590-4837-8BDF-E053FC032DF2}" name="Actual 20/21" totalsRowFunction="custom" dataDxfId="979" totalsRowDxfId="978" dataCellStyle="Calculation 2 9 3 2 5 2">
      <totalsRowFormula>SUM(U9:U18)</totalsRowFormula>
    </tableColumn>
    <tableColumn id="21" xr3:uid="{ECBB196C-85E8-41B6-9C31-C074B37D64E2}" name="Budget 21/22" totalsRowFunction="custom" dataDxfId="977" totalsRowDxfId="976" dataCellStyle="Calculation 2 9 3 2 5 2">
      <totalsRowFormula>SUM(V9:V18)</totalsRowFormula>
    </tableColumn>
    <tableColumn id="22" xr3:uid="{2B111816-6840-438D-94A3-CA5BB75E9766}" name="Actual 21/22" totalsRowFunction="sum" dataDxfId="975" totalsRowDxfId="974" dataCellStyle="Currency 2"/>
    <tableColumn id="23" xr3:uid="{28E28DB6-0BF5-4329-9139-F40EF0D2ED2C}" name="Budget 22/23" totalsRowFunction="custom" dataDxfId="973" totalsRowDxfId="972" dataCellStyle="Calculation 2 9 3 2 5 2">
      <totalsRowFormula>SUM(GovernmentAffairsExpenses11281[Budget 22/23])</totalsRowFormula>
    </tableColumn>
  </tableColumns>
  <tableStyleInfo name="Feds Budget" showFirstColumn="0" showLastColumn="0" showRowStripes="0" showColumnStripes="1"/>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07000000}" name="PresidentSummary70" displayName="PresidentSummary70" ref="A4:Y10" totalsRowCount="1" headerRowDxfId="3563" dataDxfId="3561" headerRowBorderDxfId="3562" tableBorderDxfId="3560">
  <tableColumns count="25">
    <tableColumn id="1" xr3:uid="{00000000-0010-0000-0700-000001000000}" name="Summary of Revenues/Gross Profit" totalsRowLabel="Total" totalsRowDxfId="3559"/>
    <tableColumn id="3" xr3:uid="{00000000-0010-0000-0700-000003000000}" name="Column1" dataDxfId="3558" totalsRowDxfId="3557" dataCellStyle="Currency 2"/>
    <tableColumn id="4" xr3:uid="{00000000-0010-0000-0700-000004000000}" name="Column2" dataDxfId="3556" totalsRowDxfId="3555" dataCellStyle="Currency 2"/>
    <tableColumn id="5" xr3:uid="{00000000-0010-0000-0700-000005000000}" name="Column3" dataDxfId="3554" totalsRowDxfId="3553" dataCellStyle="Currency 2"/>
    <tableColumn id="6" xr3:uid="{00000000-0010-0000-0700-000006000000}" name="Column4" dataDxfId="3552" totalsRowDxfId="3551" dataCellStyle="Currency 2"/>
    <tableColumn id="7" xr3:uid="{00000000-0010-0000-0700-000007000000}" name="Column5" dataDxfId="3550" totalsRowDxfId="3549" dataCellStyle="Currency 2"/>
    <tableColumn id="8" xr3:uid="{00000000-0010-0000-0700-000008000000}" name="Column6" dataDxfId="3548" totalsRowDxfId="3547" dataCellStyle="Currency 2"/>
    <tableColumn id="9" xr3:uid="{00000000-0010-0000-0700-000009000000}" name="Column7" dataDxfId="3546" totalsRowDxfId="3545" dataCellStyle="Currency 2"/>
    <tableColumn id="2" xr3:uid="{00000000-0010-0000-0700-000002000000}" name="Column8" dataDxfId="3544" totalsRowDxfId="3543" dataCellStyle="Currency 2"/>
    <tableColumn id="10" xr3:uid="{00000000-0010-0000-0700-00000A000000}" name="Column9" dataDxfId="3542" totalsRowDxfId="3541" dataCellStyle="Currency 2"/>
    <tableColumn id="11" xr3:uid="{00000000-0010-0000-0700-00000B000000}" name="Column10" dataDxfId="3540" totalsRowDxfId="3539" dataCellStyle="Currency 2"/>
    <tableColumn id="12" xr3:uid="{00000000-0010-0000-0700-00000C000000}" name="Budget 15/16" dataDxfId="3538" totalsRowDxfId="3537" dataCellStyle="Currency 2"/>
    <tableColumn id="13" xr3:uid="{00000000-0010-0000-0700-00000D000000}" name="Actual 15/16" dataDxfId="3536" totalsRowDxfId="3535" dataCellStyle="Currency 2"/>
    <tableColumn id="14" xr3:uid="{00000000-0010-0000-0700-00000E000000}" name="Budget 16/17" dataDxfId="3534" totalsRowDxfId="3533" dataCellStyle="Currency 2"/>
    <tableColumn id="15" xr3:uid="{00000000-0010-0000-0700-00000F000000}" name="Actual 16/17" dataDxfId="3532" totalsRowDxfId="3531"/>
    <tableColumn id="16" xr3:uid="{00000000-0010-0000-0700-000010000000}" name="Budget 17/18" dataDxfId="3530" totalsRowDxfId="3529"/>
    <tableColumn id="17" xr3:uid="{00000000-0010-0000-0700-000011000000}" name="Actual 17/18" dataDxfId="3528" totalsRowDxfId="3527"/>
    <tableColumn id="18" xr3:uid="{00000000-0010-0000-0700-000012000000}" name="Budget 18/19" totalsRowFunction="sum" dataDxfId="3526" totalsRowDxfId="3525" dataCellStyle="Currency"/>
    <tableColumn id="21" xr3:uid="{00000000-0010-0000-0700-000015000000}" name="Actual 18/19" totalsRowFunction="sum" dataDxfId="3524" totalsRowDxfId="3523" dataCellStyle="Currency 2">
      <calculatedColumnFormula>PresidentRevenues[Actual 18/19]</calculatedColumnFormula>
    </tableColumn>
    <tableColumn id="19" xr3:uid="{00000000-0010-0000-0700-000013000000}" name="Budget 19/20" totalsRowFunction="sum" dataDxfId="3522" totalsRowDxfId="3521" dataCellStyle="Currency"/>
    <tableColumn id="20" xr3:uid="{00000000-0010-0000-0700-000014000000}" name="Budget 19/21" totalsRowFunction="sum" dataDxfId="3520" totalsRowDxfId="3519" dataCellStyle="Currency"/>
    <tableColumn id="22" xr3:uid="{E9EA1C08-1849-4557-A301-AC2C0CC1CEC2}" name="Actual 20/21" totalsRowFunction="sum" dataDxfId="3518" totalsRowDxfId="3517" dataCellStyle="Currency">
      <calculatedColumnFormula>'President (30100)'!X6</calculatedColumnFormula>
    </tableColumn>
    <tableColumn id="23" xr3:uid="{49708C9E-08FA-4186-A162-C21A5219C35A}" name="Budget 21/22" totalsRowFunction="sum" dataDxfId="3516" totalsRowDxfId="3515" dataCellStyle="Currency">
      <calculatedColumnFormula array="1">StudentGovernmentRevenues[Budget 21/22]</calculatedColumnFormula>
    </tableColumn>
    <tableColumn id="24" xr3:uid="{79181452-FE84-4239-A956-C2728521E7C0}" name="Actual 21/22" totalsRowFunction="sum" dataDxfId="3514" totalsRowDxfId="3513" dataCellStyle="Currency"/>
    <tableColumn id="25" xr3:uid="{41AD9051-80BA-47DD-8511-310F3782636C}" name="Budget 22/23" dataDxfId="3512" totalsRowDxfId="3511" dataCellStyle="Currency"/>
  </tableColumns>
  <tableStyleInfo name="Feds Budget" showFirstColumn="0" showLastColumn="0" showRowStripes="0" showColumnStripes="1"/>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4000000}" name="LocalAffairsRevenues" displayName="LocalAffairsRevenues" ref="B4:U6" totalsRowCount="1" headerRowDxfId="971" dataDxfId="970">
  <tableColumns count="20">
    <tableColumn id="1" xr3:uid="{00000000-0010-0000-4400-000001000000}" name="Revenues" totalsRowLabel="Total" dataDxfId="969" totalsRowDxfId="968"/>
    <tableColumn id="2" xr3:uid="{00000000-0010-0000-4400-000002000000}" name="Budget 13/14" totalsRowFunction="sum" dataDxfId="967" totalsRowDxfId="966"/>
    <tableColumn id="3" xr3:uid="{00000000-0010-0000-4400-000003000000}" name="Actual 13/14" totalsRowFunction="sum" dataDxfId="965" totalsRowDxfId="964"/>
    <tableColumn id="4" xr3:uid="{00000000-0010-0000-4400-000004000000}" name="Budget 14/15" totalsRowFunction="sum" dataDxfId="963" totalsRowDxfId="962"/>
    <tableColumn id="5" xr3:uid="{00000000-0010-0000-4400-000005000000}" name="Actual 14/15" totalsRowFunction="sum" dataDxfId="961" totalsRowDxfId="960"/>
    <tableColumn id="6" xr3:uid="{00000000-0010-0000-4400-000006000000}" name="Budget 15/16" totalsRowFunction="sum" dataDxfId="959" totalsRowDxfId="958"/>
    <tableColumn id="7" xr3:uid="{00000000-0010-0000-4400-000007000000}" name="Actual 15/16" totalsRowFunction="sum" dataDxfId="957" totalsRowDxfId="956"/>
    <tableColumn id="8" xr3:uid="{00000000-0010-0000-4400-000008000000}" name="Budget 16/17" totalsRowFunction="sum" dataDxfId="955" totalsRowDxfId="954"/>
    <tableColumn id="9" xr3:uid="{00000000-0010-0000-4400-000009000000}" name="Actual 16/17" totalsRowFunction="sum" dataDxfId="953" totalsRowDxfId="952"/>
    <tableColumn id="10" xr3:uid="{00000000-0010-0000-4400-00000A000000}" name="Budget 17/18" totalsRowFunction="sum" dataDxfId="951" totalsRowDxfId="950"/>
    <tableColumn id="11" xr3:uid="{00000000-0010-0000-4400-00000B000000}" name="Actual 17/18" totalsRowFunction="custom" dataDxfId="949" totalsRowDxfId="948">
      <totalsRowFormula>SUBTOTAL(109,LocalAffairsRevenues[Revenues])</totalsRowFormula>
    </tableColumn>
    <tableColumn id="12" xr3:uid="{00000000-0010-0000-4400-00000C000000}" name="Budget 18/19" totalsRowFunction="custom" dataDxfId="947" totalsRowDxfId="946">
      <totalsRowFormula>SUBTOTAL(109,LocalAffairsRevenues[Budget 13/14])</totalsRowFormula>
    </tableColumn>
    <tableColumn id="15" xr3:uid="{00000000-0010-0000-4400-00000F000000}" name="Actual 18/19" dataDxfId="945" totalsRowDxfId="944"/>
    <tableColumn id="13" xr3:uid="{00000000-0010-0000-4400-00000D000000}" name="Budget 19/20" totalsRowFunction="custom" dataDxfId="943" totalsRowDxfId="942">
      <totalsRowFormula>SUBTOTAL(109,LocalAffairsRevenues[Actual 13/14])</totalsRowFormula>
    </tableColumn>
    <tableColumn id="16" xr3:uid="{3BD0847C-4B0F-4D90-B2E5-C73C597EBF03}" name="Actual P12 19/20" totalsRowFunction="custom" dataDxfId="941" totalsRowDxfId="940">
      <totalsRowFormula>SUM(LocalAffairsRevenues[Actual P12 19/20])</totalsRowFormula>
    </tableColumn>
    <tableColumn id="14" xr3:uid="{00000000-0010-0000-4400-00000E000000}" name="Budget 20/21" totalsRowFunction="custom" dataDxfId="939" totalsRowDxfId="938">
      <totalsRowFormula>SUBTOTAL(109,LocalAffairsRevenues[Budget 14/15])</totalsRowFormula>
    </tableColumn>
    <tableColumn id="17" xr3:uid="{80533772-5AF2-4721-9245-20F4DB9A78A7}" name="Actual 20/21" totalsRowFunction="custom" dataDxfId="937" totalsRowDxfId="936">
      <totalsRowFormula>SUBTOTAL(109,LocalAffairsRevenues[Actual 14/15])</totalsRowFormula>
    </tableColumn>
    <tableColumn id="18" xr3:uid="{4A2B8152-944A-4319-939E-A9363B8E4AAE}" name="Budget 21/22" totalsRowFunction="custom" dataDxfId="935" totalsRowDxfId="934">
      <totalsRowFormula>SUBTOTAL(109,LocalAffairsRevenues[Budget 15/16])</totalsRowFormula>
    </tableColumn>
    <tableColumn id="19" xr3:uid="{D7EAC39B-D5BA-44FF-A140-B25FE2928BAE}" name="Actual 21/22" dataDxfId="933" totalsRowDxfId="932"/>
    <tableColumn id="20" xr3:uid="{E5A0D00A-A1D3-48C3-B537-FA26BA4D119D}" name="Budget 22/23" dataDxfId="931" totalsRowDxfId="930"/>
  </tableColumns>
  <tableStyleInfo name="Feds Budget" showFirstColumn="0" showLastColumn="0" showRowStripes="0" showColumnStripes="1"/>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45000000}" name="LocalAffairsExpenses" displayName="LocalAffairsExpenses" ref="B8:U26" totalsRowCount="1" headerRowDxfId="929" dataDxfId="928">
  <tableColumns count="20">
    <tableColumn id="1" xr3:uid="{00000000-0010-0000-4500-000001000000}" name="Expenses" totalsRowLabel="Total" dataDxfId="927" totalsRowDxfId="926"/>
    <tableColumn id="2" xr3:uid="{00000000-0010-0000-4500-000002000000}" name="Budget 13/14" totalsRowFunction="sum" dataDxfId="925" totalsRowDxfId="924"/>
    <tableColumn id="3" xr3:uid="{00000000-0010-0000-4500-000003000000}" name="Actual 13/14" totalsRowFunction="sum" dataDxfId="923" totalsRowDxfId="922"/>
    <tableColumn id="4" xr3:uid="{00000000-0010-0000-4500-000004000000}" name="Budget 14/15" totalsRowFunction="sum" dataDxfId="921" totalsRowDxfId="920"/>
    <tableColumn id="5" xr3:uid="{00000000-0010-0000-4500-000005000000}" name="Actual 14/15" totalsRowFunction="sum" dataDxfId="919" totalsRowDxfId="918"/>
    <tableColumn id="6" xr3:uid="{00000000-0010-0000-4500-000006000000}" name="Budget 15/16" totalsRowFunction="sum" dataDxfId="917" totalsRowDxfId="916"/>
    <tableColumn id="7" xr3:uid="{00000000-0010-0000-4500-000007000000}" name="Actual 15/16" totalsRowFunction="sum" dataDxfId="915" totalsRowDxfId="914"/>
    <tableColumn id="8" xr3:uid="{00000000-0010-0000-4500-000008000000}" name="Budget 16/17" totalsRowFunction="sum" dataDxfId="913" totalsRowDxfId="912"/>
    <tableColumn id="9" xr3:uid="{00000000-0010-0000-4500-000009000000}" name="Actual 16/17" totalsRowFunction="sum" dataDxfId="911" totalsRowDxfId="910"/>
    <tableColumn id="10" xr3:uid="{00000000-0010-0000-4500-00000A000000}" name="Budget 17/18" totalsRowFunction="sum" dataDxfId="909" totalsRowDxfId="908"/>
    <tableColumn id="11" xr3:uid="{00000000-0010-0000-4500-00000B000000}" name="Actual 17/18" totalsRowFunction="sum" dataDxfId="907" totalsRowDxfId="906"/>
    <tableColumn id="12" xr3:uid="{00000000-0010-0000-4500-00000C000000}" name="Budget 18/19" totalsRowFunction="sum" dataDxfId="905" totalsRowDxfId="904" dataCellStyle="Calculation 2 8 5 7"/>
    <tableColumn id="15" xr3:uid="{00000000-0010-0000-4500-00000F000000}" name="Actual 18/19" totalsRowFunction="sum" dataDxfId="903" totalsRowDxfId="902"/>
    <tableColumn id="13" xr3:uid="{00000000-0010-0000-4500-00000D000000}" name="Budget 19/20" totalsRowFunction="sum" dataDxfId="901" totalsRowDxfId="900" dataCellStyle="Calculation 2 8 5 7"/>
    <tableColumn id="16" xr3:uid="{B1FF6CB2-52EE-4379-ACFD-15AD0A963B55}" name="Actual P12 19/20" totalsRowFunction="custom" dataDxfId="899" totalsRowDxfId="898">
      <totalsRowFormula>SUM(LocalAffairsExpenses[Actual P12 19/20])</totalsRowFormula>
    </tableColumn>
    <tableColumn id="14" xr3:uid="{00000000-0010-0000-4500-00000E000000}" name="Budget 20/21" totalsRowFunction="sum" totalsRowDxfId="897" dataCellStyle="Calculation 2 8 5 7"/>
    <tableColumn id="17" xr3:uid="{82381326-0CA4-4887-AEBE-0C5CC7DC07CA}" name="Actual 20/21" totalsRowFunction="sum" dataDxfId="896" totalsRowDxfId="895"/>
    <tableColumn id="18" xr3:uid="{C6BC9E8C-B6F7-42D3-8060-E143B81CFBE2}" name="Budget 21/22" totalsRowFunction="sum" dataDxfId="894" totalsRowDxfId="893"/>
    <tableColumn id="19" xr3:uid="{2CE3C713-E499-4AD5-91A3-1E3165AD80E7}" name="Actual 21/22" totalsRowFunction="sum" dataDxfId="892" totalsRowDxfId="891"/>
    <tableColumn id="20" xr3:uid="{D208BF43-6567-45FD-88F1-E215D5976C0E}" name="Budget 22/23" totalsRowFunction="custom" dataDxfId="890" totalsRowDxfId="889">
      <totalsRowFormula>SUM(LocalAffairsExpenses[Budget 22/23])</totalsRowFormula>
    </tableColumn>
  </tableColumns>
  <tableStyleInfo name="Feds Budget" showFirstColumn="0" showLastColumn="0" showRowStripes="0" showColumnStripes="1"/>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46000000}" name="OUSARevenues" displayName="OUSARevenues" ref="B4:AA7" totalsRowCount="1" headerRowDxfId="888" dataDxfId="886" totalsRowDxfId="884" headerRowBorderDxfId="887" tableBorderDxfId="885" totalsRowBorderDxfId="883">
  <tableColumns count="26">
    <tableColumn id="1" xr3:uid="{00000000-0010-0000-4600-000001000000}" name="Revenues" totalsRowLabel="Total" dataDxfId="882" totalsRowDxfId="881"/>
    <tableColumn id="2" xr3:uid="{00000000-0010-0000-4600-000002000000}" name="Budget 10/11" totalsRowFunction="sum" dataDxfId="880" totalsRowDxfId="879"/>
    <tableColumn id="3" xr3:uid="{00000000-0010-0000-4600-000003000000}" name="Actual 10/11" totalsRowFunction="sum" dataDxfId="878" totalsRowDxfId="877"/>
    <tableColumn id="4" xr3:uid="{00000000-0010-0000-4600-000004000000}" name="Budget 11/12" totalsRowFunction="sum" dataDxfId="876" totalsRowDxfId="875"/>
    <tableColumn id="5" xr3:uid="{00000000-0010-0000-4600-000005000000}" name="Actual 11/12" totalsRowFunction="sum" dataDxfId="874" totalsRowDxfId="873"/>
    <tableColumn id="6" xr3:uid="{00000000-0010-0000-4600-000006000000}" name="Budget 12/13" totalsRowFunction="sum" dataDxfId="872" totalsRowDxfId="871"/>
    <tableColumn id="7" xr3:uid="{00000000-0010-0000-4600-000007000000}" name="Actual 12/13" totalsRowFunction="sum" dataDxfId="870" totalsRowDxfId="869"/>
    <tableColumn id="8" xr3:uid="{00000000-0010-0000-4600-000008000000}" name="Budget 13/14" totalsRowFunction="sum" dataDxfId="868" totalsRowDxfId="867"/>
    <tableColumn id="9" xr3:uid="{00000000-0010-0000-4600-000009000000}" name="Actual 13/14" totalsRowFunction="sum" dataDxfId="866" totalsRowDxfId="865"/>
    <tableColumn id="10" xr3:uid="{00000000-0010-0000-4600-00000A000000}" name="Budget 14/15" totalsRowFunction="sum" dataDxfId="864" totalsRowDxfId="863"/>
    <tableColumn id="11" xr3:uid="{00000000-0010-0000-4600-00000B000000}" name="Actual 14/15" totalsRowFunction="sum" dataDxfId="862" totalsRowDxfId="861"/>
    <tableColumn id="12" xr3:uid="{00000000-0010-0000-4600-00000C000000}" name="Budget 15/16" totalsRowFunction="sum" dataDxfId="860" totalsRowDxfId="859"/>
    <tableColumn id="13" xr3:uid="{00000000-0010-0000-4600-00000D000000}" name="Actual 15/16" totalsRowFunction="sum" dataDxfId="858" totalsRowDxfId="857"/>
    <tableColumn id="14" xr3:uid="{00000000-0010-0000-4600-00000E000000}" name="Budget 16/17" totalsRowFunction="sum" dataDxfId="856" totalsRowDxfId="855"/>
    <tableColumn id="15" xr3:uid="{00000000-0010-0000-4600-00000F000000}" name="Actual 16/17" totalsRowFunction="sum" dataDxfId="854" totalsRowDxfId="853"/>
    <tableColumn id="16" xr3:uid="{00000000-0010-0000-4600-000010000000}" name="Budget 17/18" totalsRowFunction="sum" dataDxfId="852" totalsRowDxfId="851"/>
    <tableColumn id="17" xr3:uid="{00000000-0010-0000-4600-000011000000}" name="Actual 17/18" totalsRowFunction="custom" dataDxfId="850" totalsRowDxfId="849">
      <totalsRowFormula>SUBTOTAL(109,OUSARevenues[Revenues])</totalsRowFormula>
    </tableColumn>
    <tableColumn id="18" xr3:uid="{00000000-0010-0000-4600-000012000000}" name="Budget 18/19" totalsRowFunction="custom" dataDxfId="848" totalsRowDxfId="847">
      <totalsRowFormula>SUBTOTAL(109,OUSARevenues[Revenues])</totalsRowFormula>
    </tableColumn>
    <tableColumn id="21" xr3:uid="{00000000-0010-0000-4600-000015000000}" name="Actual 18/19" totalsRowFunction="custom" dataDxfId="846" totalsRowDxfId="845">
      <totalsRowFormula>SUBTOTAL(109,OUSARevenues[Budget 10/11])</totalsRowFormula>
    </tableColumn>
    <tableColumn id="19" xr3:uid="{00000000-0010-0000-4600-000013000000}" name="Budget 19/20" totalsRowFunction="custom" dataDxfId="844" totalsRowDxfId="843">
      <totalsRowFormula>SUBTOTAL(109,OUSARevenues[Actual 10/11])</totalsRowFormula>
    </tableColumn>
    <tableColumn id="22" xr3:uid="{6B55FDBA-7586-427B-8599-38A202E74AF4}" name="Actual P12 19/20" totalsRowFunction="custom" dataDxfId="842" totalsRowDxfId="841">
      <totalsRowFormula>SUM(OUSARevenues[Actual P12 19/20])</totalsRowFormula>
    </tableColumn>
    <tableColumn id="20" xr3:uid="{00000000-0010-0000-4600-000014000000}" name="Budget 20/21" totalsRowFunction="custom" dataDxfId="840" totalsRowDxfId="839">
      <totalsRowFormula>SUM(OUSARevenues[Budget 20/21])</totalsRowFormula>
    </tableColumn>
    <tableColumn id="23" xr3:uid="{76A2A333-6562-4C82-B1D9-BDF3F4CFCAFC}" name="Actual 20/21" totalsRowFunction="custom" dataDxfId="838" totalsRowDxfId="837">
      <totalsRowFormula>SUM(OUSARevenues[Actual 20/21])</totalsRowFormula>
    </tableColumn>
    <tableColumn id="24" xr3:uid="{99D4848D-F2A5-426D-B9A6-6D6BC7366E70}" name="Budget 21/22" totalsRowFunction="custom" dataDxfId="836" totalsRowDxfId="835">
      <totalsRowFormula>SUM(OUSARevenues[Budget 21/22])</totalsRowFormula>
    </tableColumn>
    <tableColumn id="25" xr3:uid="{DDC0BBE4-3895-4ABE-ACFF-4B750DDE98BC}" name="Actual 21/22" dataDxfId="834" totalsRowDxfId="833"/>
    <tableColumn id="26" xr3:uid="{8859E01B-3DD2-468F-A390-70ACD6C77D88}" name="Budget 22/23" dataDxfId="832" totalsRowDxfId="831"/>
  </tableColumns>
  <tableStyleInfo name="Feds Budget" showFirstColumn="0" showLastColumn="0" showRowStripes="0" showColumnStripes="1"/>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47000000}" name="OUSAExpenses" displayName="OUSAExpenses" ref="B9:AA16" totalsRowCount="1" headerRowDxfId="830" dataDxfId="829" headerRowCellStyle="Currency 2" dataCellStyle="Currency 2">
  <tableColumns count="26">
    <tableColumn id="1" xr3:uid="{00000000-0010-0000-4700-000001000000}" name="Expenses" totalsRowLabel="Total" dataDxfId="828" totalsRowDxfId="827"/>
    <tableColumn id="2" xr3:uid="{00000000-0010-0000-4700-000002000000}" name="Budget 10/11" totalsRowFunction="sum" dataDxfId="826" totalsRowDxfId="825" dataCellStyle="Calculation 2 9 3 2 5 2"/>
    <tableColumn id="3" xr3:uid="{00000000-0010-0000-4700-000003000000}" name="Actual 10/11" totalsRowFunction="sum" dataDxfId="824" totalsRowDxfId="823" dataCellStyle="Calculation 2 9 3 2 5 2"/>
    <tableColumn id="4" xr3:uid="{00000000-0010-0000-4700-000004000000}" name="Budget 11/12" totalsRowFunction="sum" dataDxfId="822" totalsRowDxfId="821" dataCellStyle="Calculation 2 9 3 2 5 2"/>
    <tableColumn id="5" xr3:uid="{00000000-0010-0000-4700-000005000000}" name="Actual 11/12" totalsRowFunction="sum" dataDxfId="820" totalsRowDxfId="819" dataCellStyle="Calculation 2 9 3 2 5 2"/>
    <tableColumn id="6" xr3:uid="{00000000-0010-0000-4700-000006000000}" name="Budget 11/122" totalsRowFunction="sum" dataDxfId="818" totalsRowDxfId="817" dataCellStyle="Calculation 2 9 3 2 5 2"/>
    <tableColumn id="7" xr3:uid="{00000000-0010-0000-4700-000007000000}" name="Actual 12/13" totalsRowFunction="sum" dataDxfId="816" totalsRowDxfId="815" dataCellStyle="Calculation 2 9 3 2 5 2"/>
    <tableColumn id="8" xr3:uid="{00000000-0010-0000-4700-000008000000}" name="Budget 13/14" totalsRowFunction="sum" dataDxfId="814" totalsRowDxfId="813" dataCellStyle="Calculation 2 9 3 2 5 2"/>
    <tableColumn id="9" xr3:uid="{00000000-0010-0000-4700-000009000000}" name="Actual 13/14" totalsRowFunction="sum" dataDxfId="812" totalsRowDxfId="811" dataCellStyle="Calculation 2 9 3 2 5 2"/>
    <tableColumn id="10" xr3:uid="{00000000-0010-0000-4700-00000A000000}" name="Budget 14/15" totalsRowFunction="sum" dataDxfId="810" totalsRowDxfId="809" dataCellStyle="Calculation 2 9 3 2 5 2"/>
    <tableColumn id="11" xr3:uid="{00000000-0010-0000-4700-00000B000000}" name="Actual 14/15" totalsRowFunction="sum" dataDxfId="808" totalsRowDxfId="807" dataCellStyle="Calculation 2 9 3 2 5 2"/>
    <tableColumn id="12" xr3:uid="{00000000-0010-0000-4700-00000C000000}" name="Budget 15/16" totalsRowFunction="sum" dataDxfId="806" totalsRowDxfId="805" dataCellStyle="Calculation 2 9 3 2 5 2"/>
    <tableColumn id="13" xr3:uid="{00000000-0010-0000-4700-00000D000000}" name="Actual 15/16" totalsRowFunction="sum" dataDxfId="804" totalsRowDxfId="803" dataCellStyle="Calculation 2 9 3 2 5 2"/>
    <tableColumn id="14" xr3:uid="{00000000-0010-0000-4700-00000E000000}" name="Budget 16/17" totalsRowFunction="sum" dataDxfId="802" totalsRowDxfId="801" dataCellStyle="Calculation 2 9 3 2 5 2"/>
    <tableColumn id="15" xr3:uid="{00000000-0010-0000-4700-00000F000000}" name="Actual 16/17" totalsRowFunction="sum" dataDxfId="800" totalsRowDxfId="799" dataCellStyle="Calculation 2 9 3 2 5 2"/>
    <tableColumn id="16" xr3:uid="{00000000-0010-0000-4700-000010000000}" name="Budget 17/18" totalsRowFunction="sum" dataDxfId="798" totalsRowDxfId="797" dataCellStyle="Calculation 2 9 3 2 5 2"/>
    <tableColumn id="17" xr3:uid="{00000000-0010-0000-4700-000011000000}" name="Actual 17/18" totalsRowFunction="sum" dataDxfId="796" totalsRowDxfId="795" dataCellStyle="Calculation 2 8 5 7"/>
    <tableColumn id="18" xr3:uid="{00000000-0010-0000-4700-000012000000}" name="Budget 18/19" totalsRowFunction="custom" dataDxfId="794" totalsRowDxfId="793" dataCellStyle="Calculation 2 8 5 7">
      <totalsRowFormula>SUM(OUSAExpenses[Budget 18/19])</totalsRowFormula>
    </tableColumn>
    <tableColumn id="21" xr3:uid="{00000000-0010-0000-4700-000015000000}" name="Actual 18/19" totalsRowFunction="custom" dataDxfId="792" totalsRowDxfId="791" dataCellStyle="Calculation 2 8 5 7">
      <totalsRowFormula>SUM(OUSAExpenses[Actual 18/19])</totalsRowFormula>
    </tableColumn>
    <tableColumn id="19" xr3:uid="{00000000-0010-0000-4700-000013000000}" name="Budget 19/20" totalsRowFunction="custom" dataDxfId="790" totalsRowDxfId="789" dataCellStyle="Calculation 2 9 3 2 5 2">
      <totalsRowFormula>SUM(U11:U15)</totalsRowFormula>
    </tableColumn>
    <tableColumn id="22" xr3:uid="{365A62C4-488F-41AA-9850-6AC60794BDF1}" name="Actual P12 19/20" totalsRowFunction="custom" dataDxfId="788" totalsRowDxfId="787" dataCellStyle="Calculation 2 9 3 2 5 2">
      <totalsRowFormula>SUM(V11:V15)</totalsRowFormula>
    </tableColumn>
    <tableColumn id="20" xr3:uid="{00000000-0010-0000-4700-000014000000}" name="Budget 20/21" totalsRowFunction="custom" totalsRowDxfId="786" dataCellStyle="Calculation 2 8 5 7">
      <totalsRowFormula>SUM(W11:W15)</totalsRowFormula>
    </tableColumn>
    <tableColumn id="23" xr3:uid="{20E7386B-9BC6-4FD7-B184-79C3E559ABC7}" name="Actual 20/21" totalsRowFunction="custom" dataDxfId="785" totalsRowDxfId="784" dataCellStyle="Calculation 2 9 3 2 5 2">
      <totalsRowFormula>SUM(X11:X15)</totalsRowFormula>
    </tableColumn>
    <tableColumn id="24" xr3:uid="{18CE9FC0-E0C9-4B63-B093-02E668F9E007}" name="Budget 21/22" totalsRowFunction="custom" dataDxfId="783" totalsRowDxfId="782" dataCellStyle="Calculation 2 9 3 2 5 2">
      <totalsRowFormula>SUM(Y11:Y15)</totalsRowFormula>
    </tableColumn>
    <tableColumn id="25" xr3:uid="{B3E5A2C4-E88B-4FF5-850F-E703FE999A7E}" name="Actual 21/22" totalsRowFunction="sum" dataDxfId="781" totalsRowDxfId="780" dataCellStyle="Calculation 2 9 3 2 5 2"/>
    <tableColumn id="26" xr3:uid="{2652F61D-2C31-465C-8F4F-FDC88B5469FD}" name="Budget 22/23" totalsRowFunction="custom" dataDxfId="779" totalsRowDxfId="778" dataCellStyle="Calculation 2 9 3 2 5 2">
      <totalsRowFormula>SUM(AA11:AA15)</totalsRowFormula>
    </tableColumn>
  </tableColumns>
  <tableStyleInfo name="Feds Budget" showFirstColumn="0" showLastColumn="0" showRowStripes="0" showColumnStripes="1"/>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48000000}" name="SRORevenues" displayName="SRORevenues" ref="B4:M6" totalsRowCount="1" headerRowDxfId="777">
  <tableColumns count="12">
    <tableColumn id="1" xr3:uid="{00000000-0010-0000-4800-000001000000}" name="Revenues" totalsRowLabel="Total" dataDxfId="776" totalsRowDxfId="775"/>
    <tableColumn id="2" xr3:uid="{00000000-0010-0000-4800-000002000000}" name="Budget 15/16" totalsRowFunction="sum" dataDxfId="774" totalsRowDxfId="773"/>
    <tableColumn id="3" xr3:uid="{00000000-0010-0000-4800-000003000000}" name="Actual 15/16" totalsRowFunction="sum" dataDxfId="772" totalsRowDxfId="771"/>
    <tableColumn id="4" xr3:uid="{00000000-0010-0000-4800-000004000000}" name="Budget 16/17" totalsRowFunction="sum" dataDxfId="770" totalsRowDxfId="769"/>
    <tableColumn id="5" xr3:uid="{00000000-0010-0000-4800-000005000000}" name="Actual 16/17" totalsRowFunction="sum" dataDxfId="768" totalsRowDxfId="767"/>
    <tableColumn id="6" xr3:uid="{00000000-0010-0000-4800-000006000000}" name="Budget 17/18" totalsRowFunction="sum" dataDxfId="766" totalsRowDxfId="765" dataCellStyle="Currency"/>
    <tableColumn id="7" xr3:uid="{00000000-0010-0000-4800-000007000000}" name="Actual 17/18" totalsRowFunction="custom" dataDxfId="764" totalsRowDxfId="763" dataCellStyle="Currency">
      <totalsRowFormula>SUBTOTAL(109,SRORevenues[Revenues])</totalsRowFormula>
    </tableColumn>
    <tableColumn id="8" xr3:uid="{00000000-0010-0000-4800-000008000000}" name="Budget 18/19" totalsRowFunction="custom" dataDxfId="762" totalsRowDxfId="761" dataCellStyle="Currency">
      <totalsRowFormula>SUBTOTAL(109,SRORevenues[Budget 15/16])</totalsRowFormula>
    </tableColumn>
    <tableColumn id="11" xr3:uid="{00000000-0010-0000-4800-00000B000000}" name="Actual 18/19" totalsRowFunction="custom" dataDxfId="760" totalsRowDxfId="759" dataCellStyle="Currency">
      <totalsRowFormula>SUBTOTAL(109,SRORevenues[Actual 15/16])</totalsRowFormula>
    </tableColumn>
    <tableColumn id="9" xr3:uid="{00000000-0010-0000-4800-000009000000}" name="Budget 19/20" totalsRowFunction="custom" dataDxfId="758" totalsRowDxfId="757" dataCellStyle="Currency">
      <totalsRowFormula>SUBTOTAL(109,SRORevenues[Budget 16/17])</totalsRowFormula>
    </tableColumn>
    <tableColumn id="12" xr3:uid="{60810AD4-CD6B-43B6-B53E-0B2EA5C8BC37}" name="Actual P12 19/20" totalsRowFunction="custom" dataDxfId="756" totalsRowDxfId="755" dataCellStyle="Currency">
      <totalsRowFormula>SUM(SRORevenues[Actual P12 19/20])</totalsRowFormula>
    </tableColumn>
    <tableColumn id="10" xr3:uid="{00000000-0010-0000-4800-00000A000000}" name="Budget 20/21" totalsRowFunction="custom" dataDxfId="754" totalsRowDxfId="753" dataCellStyle="Currency">
      <totalsRowFormula>SUBTOTAL(109,SRORevenues[Actual 16/17])</totalsRowFormula>
    </tableColumn>
  </tableColumns>
  <tableStyleInfo name="Feds Budget" showFirstColumn="0" showLastColumn="0" showRowStripes="0" showColumnStripes="1"/>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49000000}" name="SROExpenses" displayName="SROExpenses" ref="B9:M19" totalsRowCount="1" headerRowDxfId="752" dataDxfId="751">
  <tableColumns count="12">
    <tableColumn id="1" xr3:uid="{00000000-0010-0000-4900-000001000000}" name="Expenses" totalsRowLabel="Total" dataDxfId="750" totalsRowDxfId="749"/>
    <tableColumn id="2" xr3:uid="{00000000-0010-0000-4900-000002000000}" name="Budget 15/16" totalsRowFunction="sum" dataDxfId="748" totalsRowDxfId="747" dataCellStyle="Currency 2"/>
    <tableColumn id="3" xr3:uid="{00000000-0010-0000-4900-000003000000}" name="Actual 15/16" totalsRowFunction="sum" dataDxfId="746" totalsRowDxfId="745" dataCellStyle="Currency 2"/>
    <tableColumn id="4" xr3:uid="{00000000-0010-0000-4900-000004000000}" name="Budget 16/17" totalsRowFunction="sum" dataDxfId="744" totalsRowDxfId="743" dataCellStyle="Currency 2"/>
    <tableColumn id="5" xr3:uid="{00000000-0010-0000-4900-000005000000}" name="Actual 16/17" totalsRowFunction="sum" dataDxfId="742" totalsRowDxfId="741" dataCellStyle="Currency 2"/>
    <tableColumn id="6" xr3:uid="{00000000-0010-0000-4900-000006000000}" name="Budget 17/18" totalsRowFunction="sum" dataDxfId="740" totalsRowDxfId="739" dataCellStyle="Currency 2"/>
    <tableColumn id="7" xr3:uid="{00000000-0010-0000-4900-000007000000}" name="Actual 17/18" totalsRowFunction="sum" dataDxfId="738" totalsRowDxfId="737" dataCellStyle="Currency"/>
    <tableColumn id="8" xr3:uid="{00000000-0010-0000-4900-000008000000}" name="Budget 18/19" totalsRowFunction="custom" dataDxfId="736" totalsRowDxfId="735" dataCellStyle="Currency">
      <totalsRowFormula>SUM(SROExpenses[Budget 18/19])</totalsRowFormula>
    </tableColumn>
    <tableColumn id="11" xr3:uid="{00000000-0010-0000-4900-00000B000000}" name="Actual 18/19" totalsRowFunction="custom" dataDxfId="734" totalsRowDxfId="733" dataCellStyle="Currency">
      <totalsRowFormula>SUM(SROExpenses[Actual 18/19])</totalsRowFormula>
    </tableColumn>
    <tableColumn id="9" xr3:uid="{00000000-0010-0000-4900-000009000000}" name="Budget 19/20" totalsRowFunction="custom" dataDxfId="732" totalsRowDxfId="731" dataCellStyle="Currency">
      <totalsRowFormula>SUM(SROExpenses[Budget 19/20])</totalsRowFormula>
    </tableColumn>
    <tableColumn id="12" xr3:uid="{BF855B7D-AA13-4D68-B35F-0AC31671DB8E}" name="Actual P12 19/20" totalsRowFunction="custom" dataDxfId="730" totalsRowDxfId="729" dataCellStyle="Currency 2">
      <totalsRowFormula>SUM(SROExpenses[Actual P12 19/20])</totalsRowFormula>
    </tableColumn>
    <tableColumn id="10" xr3:uid="{00000000-0010-0000-4900-00000A000000}" name="Budget 20/21" totalsRowFunction="custom" dataDxfId="728" totalsRowDxfId="727" dataCellStyle="Currency">
      <totalsRowFormula>SUM(SROExpenses[Budget 20/21])</totalsRowFormula>
    </tableColumn>
  </tableColumns>
  <tableStyleInfo name="Feds Budget" showFirstColumn="0" showLastColumn="0" showRowStripes="0" showColumnStripes="1"/>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4A000000}" name="VPOFSummary" displayName="VPOFSummary" ref="A13:Y21" totalsRowCount="1" headerRowDxfId="726" dataDxfId="725">
  <tableColumns count="25">
    <tableColumn id="1" xr3:uid="{00000000-0010-0000-4A00-000001000000}" name="Summary of Expenses" totalsRowLabel="Total" dataDxfId="724" totalsRowDxfId="723"/>
    <tableColumn id="2" xr3:uid="{00000000-0010-0000-4A00-000002000000}" name="Budget 10/11" totalsRowFunction="sum" dataDxfId="722" totalsRowDxfId="721"/>
    <tableColumn id="3" xr3:uid="{00000000-0010-0000-4A00-000003000000}" name="Actual 10/11" totalsRowFunction="sum" dataDxfId="720" totalsRowDxfId="719"/>
    <tableColumn id="4" xr3:uid="{00000000-0010-0000-4A00-000004000000}" name="Budget 11/12" totalsRowFunction="sum" dataDxfId="718" totalsRowDxfId="717"/>
    <tableColumn id="5" xr3:uid="{00000000-0010-0000-4A00-000005000000}" name="Actual 11/12" totalsRowFunction="sum" dataDxfId="716" totalsRowDxfId="715"/>
    <tableColumn id="6" xr3:uid="{00000000-0010-0000-4A00-000006000000}" name="Budget 12/13" totalsRowFunction="sum" dataDxfId="714" totalsRowDxfId="713"/>
    <tableColumn id="7" xr3:uid="{00000000-0010-0000-4A00-000007000000}" name="Actual 12/13" totalsRowFunction="sum" dataDxfId="712" totalsRowDxfId="711"/>
    <tableColumn id="8" xr3:uid="{00000000-0010-0000-4A00-000008000000}" name="Budget 13/14" totalsRowFunction="sum" dataDxfId="710" totalsRowDxfId="709"/>
    <tableColumn id="9" xr3:uid="{00000000-0010-0000-4A00-000009000000}" name="Actual 13/14" totalsRowFunction="sum" dataDxfId="708" totalsRowDxfId="707"/>
    <tableColumn id="14" xr3:uid="{00000000-0010-0000-4A00-00000E000000}" name="Budget 14/15" totalsRowFunction="sum" dataDxfId="706" totalsRowDxfId="705"/>
    <tableColumn id="10" xr3:uid="{00000000-0010-0000-4A00-00000A000000}" name="Actual 14/15" totalsRowFunction="sum" dataDxfId="704" totalsRowDxfId="703"/>
    <tableColumn id="11" xr3:uid="{00000000-0010-0000-4A00-00000B000000}" name="Budget 15/16" totalsRowFunction="sum" dataDxfId="702" totalsRowDxfId="701"/>
    <tableColumn id="12" xr3:uid="{00000000-0010-0000-4A00-00000C000000}" name="Actual 15/16" totalsRowFunction="sum" dataDxfId="700" totalsRowDxfId="699"/>
    <tableColumn id="13" xr3:uid="{00000000-0010-0000-4A00-00000D000000}" name="Budget 16/17" totalsRowFunction="sum" dataDxfId="698" totalsRowDxfId="697"/>
    <tableColumn id="15" xr3:uid="{00000000-0010-0000-4A00-00000F000000}" name="Actual 16/17" totalsRowFunction="sum" dataDxfId="696" totalsRowDxfId="695"/>
    <tableColumn id="16" xr3:uid="{00000000-0010-0000-4A00-000010000000}" name="Budget 17/18" totalsRowFunction="sum" dataDxfId="694" totalsRowDxfId="693"/>
    <tableColumn id="17" xr3:uid="{00000000-0010-0000-4A00-000011000000}" name="Actual 17/18" totalsRowFunction="sum" totalsRowDxfId="692"/>
    <tableColumn id="18" xr3:uid="{00000000-0010-0000-4A00-000012000000}" name="Budget 18/19" totalsRowFunction="sum" dataDxfId="691" totalsRowDxfId="690" dataCellStyle="Currency"/>
    <tableColumn id="21" xr3:uid="{00000000-0010-0000-4A00-000015000000}" name="Actual 18/19" totalsRowFunction="sum" dataDxfId="689" totalsRowDxfId="688" dataCellStyle="Currency"/>
    <tableColumn id="19" xr3:uid="{00000000-0010-0000-4A00-000013000000}" name="Budget 19/20" totalsRowFunction="sum" dataDxfId="687" totalsRowDxfId="686" dataCellStyle="Currency"/>
    <tableColumn id="20" xr3:uid="{00000000-0010-0000-4A00-000014000000}" name="Budget 20/21" totalsRowFunction="sum" dataDxfId="685" totalsRowDxfId="684" dataCellStyle="Currency"/>
    <tableColumn id="22" xr3:uid="{A831106A-1DB8-4B4F-9A1D-7F3154E77A0A}" name="Actual 20/21" totalsRowFunction="sum" dataDxfId="683" totalsRowDxfId="682" dataCellStyle="Currency">
      <calculatedColumnFormula>'Summary of Ops &amp; Facilities'!G38</calculatedColumnFormula>
    </tableColumn>
    <tableColumn id="23" xr3:uid="{4A6A957F-2825-4233-984C-9139501C2D17}" name="Budget 21/22" totalsRowFunction="sum" dataDxfId="681" totalsRowDxfId="680" dataCellStyle="Currency"/>
    <tableColumn id="24" xr3:uid="{7C5D27BA-016B-4326-AA9E-78088E813644}" name="Actual 21/22" dataDxfId="679" totalsRowDxfId="678" dataCellStyle="Currency"/>
    <tableColumn id="25" xr3:uid="{6E444693-0034-40EB-8F9E-C325439D64F1}" name="Budget 22/23" totalsRowFunction="custom" dataDxfId="677" totalsRowDxfId="676" dataCellStyle="Currency">
      <totalsRowFormula>SUM(VPOFSummary[Budget 22/23])</totalsRowFormula>
    </tableColumn>
  </tableColumns>
  <tableStyleInfo name="Feds Budget" showFirstColumn="0" showLastColumn="0" showRowStripes="0" showColumnStripes="1"/>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B000000}" name="VPOFSummary69" displayName="VPOFSummary69" ref="A4:Y11" totalsRowCount="1" headerRowDxfId="675" dataDxfId="674">
  <tableColumns count="25">
    <tableColumn id="1" xr3:uid="{00000000-0010-0000-4B00-000001000000}" name="Summary of Revenues/Gross Profit" totalsRowLabel="Total" dataDxfId="673" totalsRowDxfId="672"/>
    <tableColumn id="2" xr3:uid="{00000000-0010-0000-4B00-000002000000}" name="Budget 10/11" dataDxfId="671" totalsRowDxfId="670"/>
    <tableColumn id="3" xr3:uid="{00000000-0010-0000-4B00-000003000000}" name="Actual 10/11" dataDxfId="669" totalsRowDxfId="668"/>
    <tableColumn id="4" xr3:uid="{00000000-0010-0000-4B00-000004000000}" name="Budget 11/12" dataDxfId="667" totalsRowDxfId="666"/>
    <tableColumn id="5" xr3:uid="{00000000-0010-0000-4B00-000005000000}" name="Actual 11/12" dataDxfId="665" totalsRowDxfId="664"/>
    <tableColumn id="6" xr3:uid="{00000000-0010-0000-4B00-000006000000}" name="Budget 12/13" dataDxfId="663" totalsRowDxfId="662"/>
    <tableColumn id="7" xr3:uid="{00000000-0010-0000-4B00-000007000000}" name="Actual 12/13" dataDxfId="661" totalsRowDxfId="660"/>
    <tableColumn id="8" xr3:uid="{00000000-0010-0000-4B00-000008000000}" name="Budget 13/14" dataDxfId="659" totalsRowDxfId="658"/>
    <tableColumn id="9" xr3:uid="{00000000-0010-0000-4B00-000009000000}" name="Actual 13/14" dataDxfId="657" totalsRowDxfId="656"/>
    <tableColumn id="14" xr3:uid="{00000000-0010-0000-4B00-00000E000000}" name="Budget 14/15" dataDxfId="655" totalsRowDxfId="654"/>
    <tableColumn id="10" xr3:uid="{00000000-0010-0000-4B00-00000A000000}" name="Actual 14/15" dataDxfId="653" totalsRowDxfId="652"/>
    <tableColumn id="11" xr3:uid="{00000000-0010-0000-4B00-00000B000000}" name="Budget 15/16" dataDxfId="651" totalsRowDxfId="650"/>
    <tableColumn id="12" xr3:uid="{00000000-0010-0000-4B00-00000C000000}" name="Actual 15/16" dataDxfId="649" totalsRowDxfId="648"/>
    <tableColumn id="13" xr3:uid="{00000000-0010-0000-4B00-00000D000000}" name="Budget 16/17" dataDxfId="647" totalsRowDxfId="646"/>
    <tableColumn id="15" xr3:uid="{00000000-0010-0000-4B00-00000F000000}" name="Actual 16/17" dataDxfId="645" totalsRowDxfId="644"/>
    <tableColumn id="16" xr3:uid="{00000000-0010-0000-4B00-000010000000}" name="Budget 17/18" dataDxfId="643" totalsRowDxfId="642"/>
    <tableColumn id="17" xr3:uid="{00000000-0010-0000-4B00-000011000000}" name="Actual 17/18" totalsRowDxfId="641"/>
    <tableColumn id="18" xr3:uid="{00000000-0010-0000-4B00-000012000000}" name="Budget 18/19" totalsRowFunction="sum" dataDxfId="640" totalsRowDxfId="639" dataCellStyle="Currency"/>
    <tableColumn id="21" xr3:uid="{00000000-0010-0000-4B00-000015000000}" name="Actual 18/19" totalsRowFunction="sum" dataDxfId="638" totalsRowDxfId="637" dataCellStyle="Currency"/>
    <tableColumn id="19" xr3:uid="{00000000-0010-0000-4B00-000013000000}" name="Budget 19/20" totalsRowFunction="sum" dataDxfId="636" totalsRowDxfId="635" dataCellStyle="Currency"/>
    <tableColumn id="20" xr3:uid="{00000000-0010-0000-4B00-000014000000}" name="Budget 20/21" totalsRowFunction="sum" dataDxfId="634" totalsRowDxfId="633" dataCellStyle="Currency"/>
    <tableColumn id="22" xr3:uid="{4F0AF26C-D008-4401-B71B-B82B9BCFF87E}" name="Actual 20/21" totalsRowFunction="sum" dataDxfId="632" totalsRowDxfId="631" dataCellStyle="Currency">
      <calculatedColumnFormula>'Dir Ops &amp; Dev (11100)'!N5</calculatedColumnFormula>
    </tableColumn>
    <tableColumn id="23" xr3:uid="{14B97FC1-0160-45F9-9477-A5A3E2AF7F39}" name="Budget 21/22" totalsRowFunction="sum" dataDxfId="630" totalsRowDxfId="629" dataCellStyle="Currency"/>
    <tableColumn id="24" xr3:uid="{DB040B05-B687-4D75-B738-6D0EE68A3EC7}" name="Actual 21/22" dataDxfId="628" totalsRowDxfId="627" dataCellStyle="Currency"/>
    <tableColumn id="25" xr3:uid="{F75F2283-07C3-4C0D-AA8D-BDF60DFAC990}" name="Budget 22/23" totalsRowFunction="custom" dataDxfId="626" totalsRowDxfId="625" dataCellStyle="Currency">
      <totalsRowFormula>SUM(Y5:Y10)</totalsRowFormula>
    </tableColumn>
  </tableColumns>
  <tableStyleInfo name="Feds Budget" showFirstColumn="0" showLastColumn="0" showRowStripes="0" showColumnStripes="1"/>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4C000000}" name="VPOFRevenues" displayName="VPOFRevenues" ref="B4:AA7" totalsRowCount="1" headerRowDxfId="624" dataDxfId="623">
  <tableColumns count="26">
    <tableColumn id="1" xr3:uid="{00000000-0010-0000-4C00-000001000000}" name="Revenues" totalsRowLabel="Total" dataDxfId="622" totalsRowDxfId="621"/>
    <tableColumn id="2" xr3:uid="{00000000-0010-0000-4C00-000002000000}" name="Budget 10/11" totalsRowFunction="sum" dataDxfId="620" totalsRowDxfId="619"/>
    <tableColumn id="3" xr3:uid="{00000000-0010-0000-4C00-000003000000}" name="Actual 10/11" totalsRowFunction="sum" dataDxfId="618" totalsRowDxfId="617"/>
    <tableColumn id="4" xr3:uid="{00000000-0010-0000-4C00-000004000000}" name="Budget 11/12" totalsRowFunction="sum" dataDxfId="616" totalsRowDxfId="615"/>
    <tableColumn id="5" xr3:uid="{00000000-0010-0000-4C00-000005000000}" name="Actual 11/12" totalsRowFunction="sum" dataDxfId="614" totalsRowDxfId="613"/>
    <tableColumn id="6" xr3:uid="{00000000-0010-0000-4C00-000006000000}" name="Budget 12/13" totalsRowFunction="sum" dataDxfId="612" totalsRowDxfId="611"/>
    <tableColumn id="7" xr3:uid="{00000000-0010-0000-4C00-000007000000}" name="Actual 12/13" totalsRowFunction="sum" dataDxfId="610" totalsRowDxfId="609"/>
    <tableColumn id="8" xr3:uid="{00000000-0010-0000-4C00-000008000000}" name="Budget 13/14" totalsRowFunction="sum" dataDxfId="608" totalsRowDxfId="607"/>
    <tableColumn id="9" xr3:uid="{00000000-0010-0000-4C00-000009000000}" name="Actual 13/14" totalsRowFunction="sum" dataDxfId="606" totalsRowDxfId="605"/>
    <tableColumn id="10" xr3:uid="{00000000-0010-0000-4C00-00000A000000}" name="Budget 14/15" totalsRowFunction="sum" dataDxfId="604" totalsRowDxfId="603"/>
    <tableColumn id="11" xr3:uid="{00000000-0010-0000-4C00-00000B000000}" name="Actual 14/15" totalsRowFunction="sum" dataDxfId="602" totalsRowDxfId="601"/>
    <tableColumn id="12" xr3:uid="{00000000-0010-0000-4C00-00000C000000}" name="Budget 15/16" totalsRowFunction="sum" dataDxfId="600" totalsRowDxfId="599"/>
    <tableColumn id="13" xr3:uid="{00000000-0010-0000-4C00-00000D000000}" name="Actual 15/16" totalsRowFunction="sum" dataDxfId="598" totalsRowDxfId="597"/>
    <tableColumn id="14" xr3:uid="{00000000-0010-0000-4C00-00000E000000}" name="Budget 16/17" totalsRowFunction="sum" dataDxfId="596" totalsRowDxfId="595"/>
    <tableColumn id="15" xr3:uid="{00000000-0010-0000-4C00-00000F000000}" name="Actual 16/17" dataDxfId="594" totalsRowDxfId="593"/>
    <tableColumn id="16" xr3:uid="{00000000-0010-0000-4C00-000010000000}" name="Budget 17/18" dataDxfId="592" totalsRowDxfId="591"/>
    <tableColumn id="17" xr3:uid="{00000000-0010-0000-4C00-000011000000}" name="Actual 17/18" dataDxfId="590"/>
    <tableColumn id="18" xr3:uid="{00000000-0010-0000-4C00-000012000000}" name="Budget 18/19" dataDxfId="589"/>
    <tableColumn id="23" xr3:uid="{00000000-0010-0000-4C00-000017000000}" name="Actual 18/19" dataDxfId="588"/>
    <tableColumn id="19" xr3:uid="{00000000-0010-0000-4C00-000013000000}" name="Budget 19/20" dataDxfId="587"/>
    <tableColumn id="21" xr3:uid="{B5AC64B6-5993-4B1D-9E78-D9C8BBB38777}" name="Actual P12 19/20" totalsRowFunction="custom" dataDxfId="586">
      <totalsRowFormula>SUM(VPOFRevenues[Actual P12 19/20])</totalsRowFormula>
    </tableColumn>
    <tableColumn id="20" xr3:uid="{00000000-0010-0000-4C00-000014000000}" name="Budget 20/21" totalsRowFunction="custom" dataDxfId="585" totalsRowDxfId="584">
      <calculatedColumnFormula>0.05*(65000+25000)</calculatedColumnFormula>
      <totalsRowFormula>W6+W5</totalsRowFormula>
    </tableColumn>
    <tableColumn id="22" xr3:uid="{2DF43C1E-C0DC-42D5-ADBB-817D22A9E404}" name="Actual 20/21" totalsRowFunction="custom" dataDxfId="583" totalsRowDxfId="582">
      <totalsRowFormula>X6+X5</totalsRowFormula>
    </tableColumn>
    <tableColumn id="24" xr3:uid="{4326E68D-7E52-4053-9224-F26E23274C6A}" name="Budget 21/22" totalsRowFunction="custom" dataDxfId="581" totalsRowDxfId="580">
      <totalsRowFormula>Y6+Y5</totalsRowFormula>
    </tableColumn>
    <tableColumn id="25" xr3:uid="{1DDF175E-5F28-415E-ABA3-2EEF7A337473}" name="Actual 21/22" dataDxfId="579"/>
    <tableColumn id="26" xr3:uid="{485B9BA9-3D53-4BD8-89D8-727661963A42}" name="Budget 22/23" dataDxfId="578"/>
  </tableColumns>
  <tableStyleInfo name="Feds Budget" showFirstColumn="0" showLastColumn="0" showRowStripes="0" showColumnStripes="1"/>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4D000000}" name="VPOFExpenses" displayName="VPOFExpenses" ref="B9:AA35" totalsRowCount="1" headerRowDxfId="577" dataDxfId="576" dataCellStyle="Currency">
  <sortState xmlns:xlrd2="http://schemas.microsoft.com/office/spreadsheetml/2017/richdata2" ref="A10:O33">
    <sortCondition ref="A10:A33"/>
  </sortState>
  <tableColumns count="26">
    <tableColumn id="1" xr3:uid="{00000000-0010-0000-4D00-000001000000}" name="Expenses" totalsRowLabel="Total" dataDxfId="575" totalsRowDxfId="574"/>
    <tableColumn id="2" xr3:uid="{00000000-0010-0000-4D00-000002000000}" name="Budget 10/11" totalsRowFunction="sum" dataDxfId="573" totalsRowDxfId="572" dataCellStyle="Currency"/>
    <tableColumn id="3" xr3:uid="{00000000-0010-0000-4D00-000003000000}" name="Actual 10/11" totalsRowFunction="sum" dataDxfId="571" totalsRowDxfId="570" dataCellStyle="Currency"/>
    <tableColumn id="4" xr3:uid="{00000000-0010-0000-4D00-000004000000}" name="Budget 11/12" totalsRowFunction="sum" dataDxfId="569" totalsRowDxfId="568" dataCellStyle="Currency"/>
    <tableColumn id="5" xr3:uid="{00000000-0010-0000-4D00-000005000000}" name="Actual 11/12" totalsRowFunction="sum" dataDxfId="567" totalsRowDxfId="566" dataCellStyle="Currency"/>
    <tableColumn id="6" xr3:uid="{00000000-0010-0000-4D00-000006000000}" name="Budget 12/13" totalsRowFunction="sum" dataDxfId="565" totalsRowDxfId="564" dataCellStyle="Currency"/>
    <tableColumn id="7" xr3:uid="{00000000-0010-0000-4D00-000007000000}" name="Actual 12/13" totalsRowFunction="sum" dataDxfId="563" totalsRowDxfId="562" dataCellStyle="Currency"/>
    <tableColumn id="8" xr3:uid="{00000000-0010-0000-4D00-000008000000}" name="Budget 13/14" totalsRowFunction="sum" dataDxfId="561" totalsRowDxfId="560" dataCellStyle="Currency"/>
    <tableColumn id="9" xr3:uid="{00000000-0010-0000-4D00-000009000000}" name="Actual 13/14" totalsRowFunction="sum" dataDxfId="559" totalsRowDxfId="558" dataCellStyle="Currency"/>
    <tableColumn id="10" xr3:uid="{00000000-0010-0000-4D00-00000A000000}" name="Budget 14/15" totalsRowFunction="sum" dataDxfId="557" totalsRowDxfId="556" dataCellStyle="Currency"/>
    <tableColumn id="11" xr3:uid="{00000000-0010-0000-4D00-00000B000000}" name="Actual 14/15" totalsRowFunction="sum" dataDxfId="555" totalsRowDxfId="554" dataCellStyle="Currency"/>
    <tableColumn id="12" xr3:uid="{00000000-0010-0000-4D00-00000C000000}" name="Budget 15/16" totalsRowFunction="sum" dataDxfId="553" totalsRowDxfId="552" dataCellStyle="Currency"/>
    <tableColumn id="13" xr3:uid="{00000000-0010-0000-4D00-00000D000000}" name="Actual 15/16" totalsRowFunction="sum" dataDxfId="551" totalsRowDxfId="550" dataCellStyle="Currency"/>
    <tableColumn id="14" xr3:uid="{00000000-0010-0000-4D00-00000E000000}" name="Budget 16/17" totalsRowFunction="sum" dataDxfId="549" totalsRowDxfId="548" dataCellStyle="Currency"/>
    <tableColumn id="15" xr3:uid="{00000000-0010-0000-4D00-00000F000000}" name="Actual 16/17" totalsRowFunction="sum" dataDxfId="547" totalsRowDxfId="546" dataCellStyle="Currency"/>
    <tableColumn id="16" xr3:uid="{00000000-0010-0000-4D00-000010000000}" name="Budget 17/18" totalsRowFunction="sum" dataDxfId="545" totalsRowDxfId="544" dataCellStyle="Currency"/>
    <tableColumn id="17" xr3:uid="{00000000-0010-0000-4D00-000011000000}" name="Actual 17/18" totalsRowFunction="custom" dataDxfId="543" totalsRowDxfId="542" dataCellStyle="Currency">
      <totalsRowFormula>SUM(VPOFExpenses[Actual 17/18])</totalsRowFormula>
    </tableColumn>
    <tableColumn id="18" xr3:uid="{00000000-0010-0000-4D00-000012000000}" name="Budget 18/19" totalsRowFunction="sum" dataDxfId="541" totalsRowDxfId="540" dataCellStyle="Currency"/>
    <tableColumn id="21" xr3:uid="{00000000-0010-0000-4D00-000015000000}" name="Actual 18/19" totalsRowFunction="sum" dataDxfId="539" totalsRowDxfId="538" dataCellStyle="Currency"/>
    <tableColumn id="19" xr3:uid="{00000000-0010-0000-4D00-000013000000}" name="Budget 19/20" totalsRowFunction="sum" dataDxfId="537" totalsRowDxfId="536" dataCellStyle="Currency"/>
    <tableColumn id="22" xr3:uid="{6940F08F-51E8-4907-8DB0-55EE3C379551}" name="Actual P12 19/20" totalsRowFunction="custom" dataDxfId="535" totalsRowDxfId="534" dataCellStyle="Currency">
      <totalsRowFormula>SUM(VPOFExpenses[Actual P12 19/20])</totalsRowFormula>
    </tableColumn>
    <tableColumn id="20" xr3:uid="{00000000-0010-0000-4D00-000014000000}" name="Budget 20/21" totalsRowFunction="sum" dataDxfId="533" totalsRowDxfId="532" dataCellStyle="Currency">
      <calculatedColumnFormula>VPOFExpenses[[#This Row],[Budget 19/20]]</calculatedColumnFormula>
    </tableColumn>
    <tableColumn id="23" xr3:uid="{F6C14554-F056-4A01-A9DC-D200324F8BB4}" name="Actual 20/21" totalsRowFunction="sum" dataDxfId="531" totalsRowDxfId="530" dataCellStyle="Currency"/>
    <tableColumn id="24" xr3:uid="{EFC02AEC-42EA-466B-8852-C246D2EAE568}" name="Budget 21/22" totalsRowFunction="sum" dataDxfId="529" totalsRowDxfId="528" dataCellStyle="Currency"/>
    <tableColumn id="25" xr3:uid="{DAE7CC90-E483-4BA0-B1F8-AE358A85DDD1}" name="Actual 21/22" totalsRowFunction="sum" dataDxfId="527" totalsRowDxfId="526" dataCellStyle="Currency"/>
    <tableColumn id="26" xr3:uid="{41AECCBD-F76D-4184-9540-78A71BFBA5A7}" name="Budget 22/23" totalsRowFunction="custom" dataDxfId="525" totalsRowDxfId="524" dataCellStyle="Currency">
      <totalsRowFormula>SUM(VPOFExpenses[Budget 22/23])</totalsRowFormula>
    </tableColumn>
  </tableColumns>
  <tableStyleInfo name="Feds Budget" showFirstColumn="0" showLastColumn="0" showRowStripes="0" showColumnStripes="1"/>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PresidentRevenues" displayName="PresidentRevenues" ref="B4:AA6" totalsRowCount="1" headerRowDxfId="3510" dataDxfId="3509" dataCellStyle="Currency 2">
  <tableColumns count="26">
    <tableColumn id="1" xr3:uid="{00000000-0010-0000-0800-000001000000}" name="Revenues" totalsRowLabel="Total Revenues" dataDxfId="3508" totalsRowDxfId="3507" dataCellStyle="Currency 2"/>
    <tableColumn id="2" xr3:uid="{00000000-0010-0000-0800-000002000000}" name="Budget 10/11" totalsRowFunction="sum" dataDxfId="3506" totalsRowDxfId="3505" dataCellStyle="Currency 2"/>
    <tableColumn id="3" xr3:uid="{00000000-0010-0000-0800-000003000000}" name="Actual 10/11" totalsRowFunction="sum" dataDxfId="3504" totalsRowDxfId="3503" dataCellStyle="Currency 2"/>
    <tableColumn id="4" xr3:uid="{00000000-0010-0000-0800-000004000000}" name="Budget 11/12" totalsRowFunction="sum" dataDxfId="3502" totalsRowDxfId="3501" dataCellStyle="Currency 2"/>
    <tableColumn id="5" xr3:uid="{00000000-0010-0000-0800-000005000000}" name="Actual 11/12" totalsRowFunction="sum" dataDxfId="3500" totalsRowDxfId="3499" dataCellStyle="Currency 2"/>
    <tableColumn id="6" xr3:uid="{00000000-0010-0000-0800-000006000000}" name="Budget 12/13" totalsRowFunction="sum" dataDxfId="3498" totalsRowDxfId="3497" dataCellStyle="Currency 2"/>
    <tableColumn id="7" xr3:uid="{00000000-0010-0000-0800-000007000000}" name="Actual 12/13" totalsRowFunction="sum" dataDxfId="3496" totalsRowDxfId="3495" dataCellStyle="Currency 2"/>
    <tableColumn id="8" xr3:uid="{00000000-0010-0000-0800-000008000000}" name="Budget 13/14" totalsRowFunction="sum" dataDxfId="3494" totalsRowDxfId="3493" dataCellStyle="Currency 2"/>
    <tableColumn id="9" xr3:uid="{00000000-0010-0000-0800-000009000000}" name="Actual 13/14" totalsRowFunction="sum" dataDxfId="3492" totalsRowDxfId="3491" dataCellStyle="Currency 2"/>
    <tableColumn id="10" xr3:uid="{00000000-0010-0000-0800-00000A000000}" name="Budget 14/15" totalsRowFunction="sum" dataDxfId="3490" totalsRowDxfId="3489" dataCellStyle="Currency 2"/>
    <tableColumn id="11" xr3:uid="{00000000-0010-0000-0800-00000B000000}" name="Actuals 14/15" totalsRowFunction="sum" dataDxfId="3488" totalsRowDxfId="3487" dataCellStyle="Currency 2"/>
    <tableColumn id="12" xr3:uid="{00000000-0010-0000-0800-00000C000000}" name="Budget 15/16" totalsRowFunction="sum" dataDxfId="3486" totalsRowDxfId="3485" dataCellStyle="Currency 2"/>
    <tableColumn id="14" xr3:uid="{00000000-0010-0000-0800-00000E000000}" name="Actuals 15/16" totalsRowFunction="sum" dataDxfId="3484" totalsRowDxfId="3483" dataCellStyle="Currency 2"/>
    <tableColumn id="15" xr3:uid="{00000000-0010-0000-0800-00000F000000}" name="Budget 16/17" totalsRowFunction="sum" dataDxfId="3482" totalsRowDxfId="3481" dataCellStyle="Currency 2"/>
    <tableColumn id="16" xr3:uid="{00000000-0010-0000-0800-000010000000}" name="Actual 16/17" totalsRowFunction="sum" dataDxfId="3480" totalsRowDxfId="3479" dataCellStyle="Currency 2"/>
    <tableColumn id="17" xr3:uid="{00000000-0010-0000-0800-000011000000}" name="Budget 17/18" totalsRowFunction="sum" dataDxfId="3478" totalsRowDxfId="3477" dataCellStyle="Currency 2"/>
    <tableColumn id="13" xr3:uid="{00000000-0010-0000-0800-00000D000000}" name="Actual 17/18" dataDxfId="3476" totalsRowDxfId="3475" dataCellStyle="Currency 2"/>
    <tableColumn id="18" xr3:uid="{00000000-0010-0000-0800-000012000000}" name="Budget 18/19" dataDxfId="3474" totalsRowDxfId="3473" dataCellStyle="Currency 2"/>
    <tableColumn id="20" xr3:uid="{00000000-0010-0000-0800-000014000000}" name="Actual 18/19" dataDxfId="3472" totalsRowDxfId="3471" dataCellStyle="Currency 2"/>
    <tableColumn id="19" xr3:uid="{00000000-0010-0000-0800-000013000000}" name="Budget 19/20" dataDxfId="3470" totalsRowDxfId="3469" dataCellStyle="Currency 2"/>
    <tableColumn id="22" xr3:uid="{0A3A7CCF-A7F2-4522-A309-953F0C2EF6E4}" name="Actual P12 19/20" dataDxfId="3468" totalsRowDxfId="3467" dataCellStyle="Currency 2"/>
    <tableColumn id="21" xr3:uid="{00000000-0010-0000-0800-000015000000}" name="Budget 20/21" dataDxfId="3466" totalsRowDxfId="3465" dataCellStyle="Currency 2"/>
    <tableColumn id="23" xr3:uid="{F18CD559-673D-41DA-98BF-935E9ED04AF2}" name="Actual 20/21" dataDxfId="3464" totalsRowDxfId="3463" dataCellStyle="Currency 2"/>
    <tableColumn id="24" xr3:uid="{49F9DB79-FF5D-4210-8A61-7E257F0521DD}" name="Budget 21/22" dataDxfId="3462" totalsRowDxfId="3461" dataCellStyle="Currency 2"/>
    <tableColumn id="25" xr3:uid="{F80EFFA6-3FB2-456E-B53C-75E5FB4C5FAA}" name="Actual 21/22" dataDxfId="3460" totalsRowDxfId="3459" dataCellStyle="Currency 2"/>
    <tableColumn id="26" xr3:uid="{33931890-EEDE-41D4-A3BC-738C4DB8C109}" name="Budget 22/23" dataDxfId="3458" totalsRowDxfId="3457" dataCellStyle="Currency 2"/>
  </tableColumns>
  <tableStyleInfo name="Feds Budget" showFirstColumn="0" showLastColumn="0" showRowStripes="0" showColumnStripes="1"/>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4E000000}" name="DirectorofCommercialOpsRevenues" displayName="DirectorofCommercialOpsRevenues" ref="B4:Q6" totalsRowCount="1" headerRowDxfId="523" dataDxfId="522" headerRowCellStyle="Normal 3" dataCellStyle="Currency 2 2">
  <tableColumns count="16">
    <tableColumn id="1" xr3:uid="{00000000-0010-0000-4E00-000001000000}" name="Revenues" totalsRowLabel="Total" dataDxfId="521" totalsRowDxfId="520" dataCellStyle="Normal 3"/>
    <tableColumn id="6" xr3:uid="{00000000-0010-0000-4E00-000006000000}" name="Budget 15/16" totalsRowFunction="sum" dataDxfId="519" totalsRowDxfId="518" dataCellStyle="Currency 2 2"/>
    <tableColumn id="7" xr3:uid="{00000000-0010-0000-4E00-000007000000}" name="Actual 15/16" totalsRowFunction="sum" dataDxfId="517" totalsRowDxfId="516" dataCellStyle="Currency 2 2"/>
    <tableColumn id="8" xr3:uid="{00000000-0010-0000-4E00-000008000000}" name="Budget 16/17" totalsRowFunction="sum" dataDxfId="515" totalsRowDxfId="514" dataCellStyle="Currency 2 2"/>
    <tableColumn id="2" xr3:uid="{00000000-0010-0000-4E00-000002000000}" name="Actual 16/17" dataDxfId="513" totalsRowDxfId="512" dataCellStyle="Currency 2 2"/>
    <tableColumn id="3" xr3:uid="{00000000-0010-0000-4E00-000003000000}" name="Budget 17/18" dataDxfId="511" totalsRowDxfId="510" dataCellStyle="Currency 2 2"/>
    <tableColumn id="4" xr3:uid="{00000000-0010-0000-4E00-000004000000}" name="Actual 17/18" dataDxfId="509" dataCellStyle="Currency 2 2"/>
    <tableColumn id="5" xr3:uid="{00000000-0010-0000-4E00-000005000000}" name="Budget 18/19" dataDxfId="508" dataCellStyle="Currency 2 2"/>
    <tableColumn id="12" xr3:uid="{00000000-0010-0000-4E00-00000C000000}" name="Actual 18/19" dataDxfId="507" dataCellStyle="Currency 2 2"/>
    <tableColumn id="9" xr3:uid="{00000000-0010-0000-4E00-000009000000}" name="Budget 19/20" totalsRowFunction="custom" dataDxfId="506" dataCellStyle="Currency 2 2">
      <calculatedColumnFormula>K19*0.3</calculatedColumnFormula>
      <totalsRowFormula>DirectorofCommercialOpsRevenues[Budget 19/20]</totalsRowFormula>
    </tableColumn>
    <tableColumn id="13" xr3:uid="{F14DA8AB-3A65-45A9-9DD1-6A071BF16890}" name="Actual P12 19/20" totalsRowFunction="custom" dataDxfId="505" dataCellStyle="Currency 2 2">
      <totalsRowFormula>SUM(DirectorofCommercialOpsRevenues[Actual P12 19/20])</totalsRowFormula>
    </tableColumn>
    <tableColumn id="10" xr3:uid="{00000000-0010-0000-4E00-00000A000000}" name="Budget 20/21" totalsRowFunction="custom" dataDxfId="504" dataCellStyle="Currency 2 2">
      <calculatedColumnFormula>M19*0.3</calculatedColumnFormula>
      <totalsRowFormula>DirectorofCommercialOpsRevenues[Budget 20/21]</totalsRowFormula>
    </tableColumn>
    <tableColumn id="11" xr3:uid="{E2F9FE42-7040-4E79-B17B-B9B640B0432B}" name="Actual 20/21" totalsRowFunction="custom" dataDxfId="503" dataCellStyle="Currency 2 2">
      <totalsRowFormula>DirectorofCommercialOpsRevenues[Actual 20/21]</totalsRowFormula>
    </tableColumn>
    <tableColumn id="14" xr3:uid="{44E27907-F492-41EF-A3DE-1B324378C54A}" name="Budget 21/22" totalsRowFunction="custom" dataDxfId="502" dataCellStyle="Currency 2 2">
      <totalsRowFormula>DirectorofCommercialOpsRevenues[Budget 21/22]</totalsRowFormula>
    </tableColumn>
    <tableColumn id="15" xr3:uid="{14046D3E-1CEA-43FB-AD62-EB0CA0B966E3}" name="Actual 21/22" totalsRowLabel="0" dataDxfId="501" totalsRowDxfId="500" dataCellStyle="Currency 2 2"/>
    <tableColumn id="16" xr3:uid="{C66EB07A-62F9-491D-9C7F-EDF5D544E573}" name="Budget 22/23" totalsRowFunction="custom" dataDxfId="499" totalsRowDxfId="498" dataCellStyle="Currency 2 2">
      <totalsRowFormula array="1">DirectorofCommercialOpsRevenues[Budget 22/23]</totalsRowFormula>
    </tableColumn>
  </tableColumns>
  <tableStyleInfo name="Feds Budget" showFirstColumn="0" showLastColumn="0" showRowStripes="0" showColumnStripes="1"/>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4F000000}" name="DirectorofCommercialOpsExpenses" displayName="DirectorofCommercialOpsExpenses" ref="B8:G19" totalsRowCount="1" headerRowDxfId="497" dataDxfId="496" headerRowCellStyle="Normal 3" dataCellStyle="Currency 4">
  <tableColumns count="6">
    <tableColumn id="1" xr3:uid="{00000000-0010-0000-4F00-000001000000}" name="Expenses" totalsRowLabel="Total" dataDxfId="495" totalsRowDxfId="494" dataCellStyle="Normal 3"/>
    <tableColumn id="6" xr3:uid="{00000000-0010-0000-4F00-000006000000}" name="Budget 15/16" totalsRowFunction="sum" dataDxfId="493" totalsRowDxfId="492" dataCellStyle="Currency 4"/>
    <tableColumn id="7" xr3:uid="{00000000-0010-0000-4F00-000007000000}" name="Actual 15/16" totalsRowFunction="sum" dataDxfId="491" totalsRowDxfId="490" dataCellStyle="Currency 4"/>
    <tableColumn id="8" xr3:uid="{00000000-0010-0000-4F00-000008000000}" name="Budget 16/17" totalsRowFunction="sum" dataDxfId="489" totalsRowDxfId="488" dataCellStyle="Currency 4"/>
    <tableColumn id="2" xr3:uid="{00000000-0010-0000-4F00-000002000000}" name="Actual 16/17" totalsRowFunction="sum" dataDxfId="487" totalsRowDxfId="486" dataCellStyle="Currency 4"/>
    <tableColumn id="3" xr3:uid="{00000000-0010-0000-4F00-000003000000}" name="Budget 17/18" totalsRowFunction="sum" dataDxfId="485" totalsRowDxfId="484" dataCellStyle="Currency 4"/>
  </tableColumns>
  <tableStyleInfo name="Feds Budget" showFirstColumn="0" showLastColumn="0" showRowStripes="0" showColumnStripes="1"/>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53000000}" name="MarketingGeneralRevenues2" displayName="MarketingGeneralRevenues2" ref="B3:G5" totalsRowCount="1" headerRowDxfId="483" headerRowCellStyle="Normal 3">
  <tableColumns count="6">
    <tableColumn id="1" xr3:uid="{00000000-0010-0000-5300-000001000000}" name="Revenues" totalsRowLabel="Total" totalsRowDxfId="482" dataCellStyle="Normal 22"/>
    <tableColumn id="3" xr3:uid="{00000000-0010-0000-5300-000003000000}" name="Budget 20/21" totalsRowFunction="sum" dataDxfId="481" totalsRowDxfId="480" dataCellStyle="Normal 22"/>
    <tableColumn id="2" xr3:uid="{D080D00B-9432-4028-BF68-681905DB0DF1}" name="Actual 20/21" dataCellStyle="Normal 2 2"/>
    <tableColumn id="4" xr3:uid="{28881133-270D-4458-8178-AAC89049EF5C}" name="Budget 21/22" dataCellStyle="Normal 2 2"/>
    <tableColumn id="5" xr3:uid="{DE1AAD6A-819F-41F3-BCBB-A3E37DCAD4A7}" name="Actuals 21/22" dataCellStyle="Normal 2 2"/>
    <tableColumn id="6" xr3:uid="{6BAF1279-3809-41E3-8050-B94204845986}" name="Budget 22/23" dataCellStyle="Normal 2 2"/>
  </tableColumns>
  <tableStyleInfo name="Feds Budget" showFirstColumn="0" showLastColumn="0" showRowStripes="0" showColumnStripes="1"/>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54000000}" name="MarketingGeneralExpenses63" displayName="MarketingGeneralExpenses63" ref="B7:G21" totalsRowCount="1" headerRowDxfId="479" headerRowCellStyle="Normal 3">
  <tableColumns count="6">
    <tableColumn id="1" xr3:uid="{00000000-0010-0000-5400-000001000000}" name="Expenses" totalsRowLabel="Total" totalsRowDxfId="478" dataCellStyle="Normal 22"/>
    <tableColumn id="2" xr3:uid="{00000000-0010-0000-5400-000002000000}" name="Budget 20/21" totalsRowFunction="sum" dataDxfId="477" totalsRowDxfId="476" dataCellStyle="Normal 22"/>
    <tableColumn id="3" xr3:uid="{7DC8B67F-DAD3-4481-8F20-FD5880CE70F8}" name="Actual 20/21" totalsRowFunction="sum" dataDxfId="475" totalsRowDxfId="474" dataCellStyle="Normal 2 2"/>
    <tableColumn id="4" xr3:uid="{05E3C24D-04C9-42CE-8FC5-534E04B0809F}" name="Budget 21/22" totalsRowFunction="sum" totalsRowDxfId="473" dataCellStyle="Normal 2 2"/>
    <tableColumn id="5" xr3:uid="{F4E24CC7-7C33-4A53-B339-FB7829D4C7BD}" name="Actuals 21/22" totalsRowDxfId="472" dataCellStyle="Normal 2 2"/>
    <tableColumn id="6" xr3:uid="{3D361B94-8B41-4B6C-B3B8-C0E439AD12B4}" name="Budget 22/23" totalsRowFunction="custom" totalsRowDxfId="471" dataCellStyle="Normal 2 2">
      <totalsRowFormula>SUM(MarketingGeneralExpenses63[Budget 22/23])</totalsRowFormula>
    </tableColumn>
  </tableColumns>
  <tableStyleInfo name="Feds Budget" showFirstColumn="0" showLastColumn="0" showRowStripes="0" showColumnStripes="1"/>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55000000}" name="MarketingGeneralRevenues" displayName="MarketingGeneralRevenues" ref="B3:U9" totalsRowCount="1" headerRowDxfId="470" headerRowCellStyle="Normal 3">
  <tableColumns count="20">
    <tableColumn id="1" xr3:uid="{00000000-0010-0000-5500-000001000000}" name="Revenues" totalsRowLabel="Total" totalsRowDxfId="469" dataCellStyle="Normal 22"/>
    <tableColumn id="3" xr3:uid="{00000000-0010-0000-5500-000003000000}" name="Budget 12/13" totalsRowFunction="sum" dataDxfId="468" totalsRowDxfId="467" dataCellStyle="Normal 22"/>
    <tableColumn id="4" xr3:uid="{00000000-0010-0000-5500-000004000000}" name="Budget 13/14" totalsRowFunction="sum" dataDxfId="466" totalsRowDxfId="465" dataCellStyle="Normal 22"/>
    <tableColumn id="5" xr3:uid="{00000000-0010-0000-5500-000005000000}" name="Budget 14/15" totalsRowFunction="sum" dataDxfId="464" totalsRowDxfId="463" dataCellStyle="Normal 22"/>
    <tableColumn id="6" xr3:uid="{00000000-0010-0000-5500-000006000000}" name="Actual 14/15" totalsRowFunction="sum" dataDxfId="462" totalsRowDxfId="461" dataCellStyle="Normal 22"/>
    <tableColumn id="7" xr3:uid="{00000000-0010-0000-5500-000007000000}" name="Budget 15/16" totalsRowFunction="sum" dataDxfId="460" totalsRowDxfId="459" dataCellStyle="Normal 22"/>
    <tableColumn id="2" xr3:uid="{00000000-0010-0000-5500-000002000000}" name="Actual 15/16" totalsRowFunction="sum" dataDxfId="458" totalsRowDxfId="457" dataCellStyle="Normal 22"/>
    <tableColumn id="8" xr3:uid="{00000000-0010-0000-5500-000008000000}" name="Budget 16/17" totalsRowFunction="sum" dataDxfId="456" totalsRowDxfId="455" dataCellStyle="Normal 22"/>
    <tableColumn id="9" xr3:uid="{00000000-0010-0000-5500-000009000000}" name="Actual 16/17" totalsRowFunction="sum" dataDxfId="454" totalsRowDxfId="453" dataCellStyle="Normal 22"/>
    <tableColumn id="10" xr3:uid="{00000000-0010-0000-5500-00000A000000}" name="Budget 17/18" totalsRowFunction="sum" dataDxfId="452" totalsRowDxfId="451" dataCellStyle="Normal 22"/>
    <tableColumn id="11" xr3:uid="{00000000-0010-0000-5500-00000B000000}" name="Actual 17/18" totalsRowFunction="custom" dataDxfId="450" totalsRowDxfId="449" dataCellStyle="Normal 22">
      <totalsRowFormula>SUM(L4:L8)</totalsRowFormula>
    </tableColumn>
    <tableColumn id="12" xr3:uid="{00000000-0010-0000-5500-00000C000000}" name="Budget 18/19" totalsRowFunction="sum" dataDxfId="448" totalsRowDxfId="447" dataCellStyle="Normal 22"/>
    <tableColumn id="15" xr3:uid="{00000000-0010-0000-5500-00000F000000}" name="Actuals 18/19" totalsRowFunction="sum" dataDxfId="446" totalsRowDxfId="445" dataCellStyle="Currency 2 2 2"/>
    <tableColumn id="13" xr3:uid="{00000000-0010-0000-5500-00000D000000}" name="Bugdet 19/20" totalsRowFunction="sum" dataDxfId="444" totalsRowDxfId="443" dataCellStyle="Normal 22"/>
    <tableColumn id="16" xr3:uid="{D639D7C7-DD6D-432E-B877-314873EA111A}" name="Actuals 19/20" totalsRowFunction="custom" totalsRowDxfId="442">
      <totalsRowFormula>SUM(MarketingGeneralRevenues[Actuals 19/20])</totalsRowFormula>
    </tableColumn>
    <tableColumn id="14" xr3:uid="{00000000-0010-0000-5500-00000E000000}" name="Bugdet 20/21" totalsRowFunction="sum" dataDxfId="441" totalsRowDxfId="440" dataCellStyle="Currency 16"/>
    <tableColumn id="17" xr3:uid="{3F498601-6278-479F-A463-9BC473B1C7BF}" name="Actuals 20/21" totalsRowFunction="sum" dataDxfId="439" totalsRowDxfId="438" dataCellStyle="Normal 2 2"/>
    <tableColumn id="18" xr3:uid="{A5A29AB4-2029-436C-8848-0CE6769FD35D}" name="Bugdet 21/22" totalsRowFunction="sum" dataDxfId="437" totalsRowDxfId="436" dataCellStyle="Currency 2 2 2"/>
    <tableColumn id="19" xr3:uid="{0D9C0C09-C84A-4321-8516-551E70223D3D}" name="Actuals 21/22" totalsRowFunction="sum" totalsRowDxfId="435" dataCellStyle="Normal 2 2"/>
    <tableColumn id="20" xr3:uid="{7A741FF2-40BC-4B57-8F2A-6D59DF64A7F3}" name="Budget 22/23" totalsRowFunction="custom" totalsRowDxfId="434" dataCellStyle="Normal 2 2">
      <totalsRowFormula>SUM(MarketingGeneralRevenues[Budget 22/23])</totalsRowFormula>
    </tableColumn>
  </tableColumns>
  <tableStyleInfo name="Feds Budget" showFirstColumn="0" showLastColumn="0" showRowStripes="0" showColumnStripes="1"/>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56000000}" name="MarketingGeneralExpenses" displayName="MarketingGeneralExpenses" ref="B10:U38" totalsRowCount="1" headerRowDxfId="433" headerRowCellStyle="Normal 3">
  <tableColumns count="20">
    <tableColumn id="1" xr3:uid="{00000000-0010-0000-5600-000001000000}" name="Expenses" totalsRowLabel="Total" totalsRowDxfId="432" dataCellStyle="Normal 22"/>
    <tableColumn id="2" xr3:uid="{00000000-0010-0000-5600-000002000000}" name="Budget 12/13" totalsRowFunction="sum" dataDxfId="431" totalsRowDxfId="430" dataCellStyle="Normal 22"/>
    <tableColumn id="3" xr3:uid="{00000000-0010-0000-5600-000003000000}" name="Budget 13/14" totalsRowFunction="sum" dataDxfId="429" totalsRowDxfId="428" dataCellStyle="Normal 22"/>
    <tableColumn id="4" xr3:uid="{00000000-0010-0000-5600-000004000000}" name="Budget 14/15" totalsRowFunction="sum" dataDxfId="427" totalsRowDxfId="426" dataCellStyle="Normal 22"/>
    <tableColumn id="5" xr3:uid="{00000000-0010-0000-5600-000005000000}" name="Actual 14/15" totalsRowFunction="sum" dataDxfId="425" totalsRowDxfId="424" dataCellStyle="Normal 22"/>
    <tableColumn id="6" xr3:uid="{00000000-0010-0000-5600-000006000000}" name="Budget 15/16" totalsRowFunction="sum" dataDxfId="423" totalsRowDxfId="422" dataCellStyle="Normal 22"/>
    <tableColumn id="7" xr3:uid="{00000000-0010-0000-5600-000007000000}" name="Actual 15/16" totalsRowFunction="sum" dataDxfId="421" totalsRowDxfId="420" dataCellStyle="Normal 22"/>
    <tableColumn id="8" xr3:uid="{00000000-0010-0000-5600-000008000000}" name="Budget 16/17" totalsRowFunction="sum" dataDxfId="419" totalsRowDxfId="418" dataCellStyle="Normal 22"/>
    <tableColumn id="9" xr3:uid="{00000000-0010-0000-5600-000009000000}" name="Actual 16/17" totalsRowFunction="sum" dataDxfId="417" totalsRowDxfId="416" dataCellStyle="Normal 22"/>
    <tableColumn id="10" xr3:uid="{00000000-0010-0000-5600-00000A000000}" name="Budget 17/18" totalsRowFunction="sum" dataDxfId="415" totalsRowDxfId="414" dataCellStyle="Normal 22"/>
    <tableColumn id="11" xr3:uid="{00000000-0010-0000-5600-00000B000000}" name="Actual 17/18" totalsRowFunction="sum" dataDxfId="413" totalsRowDxfId="412" dataCellStyle="Normal 22"/>
    <tableColumn id="12" xr3:uid="{00000000-0010-0000-5600-00000C000000}" name="Budget 18/19" totalsRowFunction="sum" dataDxfId="411" totalsRowDxfId="410" dataCellStyle="Normal 22"/>
    <tableColumn id="14" xr3:uid="{00000000-0010-0000-5600-00000E000000}" name="Actual 18/19" totalsRowFunction="sum" dataDxfId="409" totalsRowDxfId="408" dataCellStyle="Currency 16"/>
    <tableColumn id="13" xr3:uid="{00000000-0010-0000-5600-00000D000000}" name="Budget 19/20" totalsRowFunction="custom" dataDxfId="407" totalsRowDxfId="406" dataCellStyle="Normal 22">
      <totalsRowFormula>SUM(O11:O37)</totalsRowFormula>
    </tableColumn>
    <tableColumn id="16" xr3:uid="{B87A458B-D92D-46F2-9519-C22864D0651F}" name="Actuals 19/20" totalsRowFunction="custom" dataDxfId="405" totalsRowDxfId="404" dataCellStyle="Currency 2 2 2">
      <totalsRowFormula>SUM(MarketingGeneralExpenses[Actuals 19/20])</totalsRowFormula>
    </tableColumn>
    <tableColumn id="15" xr3:uid="{00000000-0010-0000-5600-00000F000000}" name="Budget 20/21" totalsRowFunction="custom" dataDxfId="403" totalsRowDxfId="402" dataCellStyle="Currency 2 2 2">
      <totalsRowFormula>SUM(Q11:Q37)</totalsRowFormula>
    </tableColumn>
    <tableColumn id="17" xr3:uid="{717E1E99-5209-448D-88B3-0A0FE7B9D6F1}" name="Actuals 20/21" totalsRowFunction="custom" dataDxfId="401" totalsRowDxfId="400" dataCellStyle="Normal 2 2">
      <totalsRowFormula>SUM(R11:R37)</totalsRowFormula>
    </tableColumn>
    <tableColumn id="18" xr3:uid="{9829EBEE-376A-4AF7-BC8F-1134E9369265}" name="Budget 21/22" totalsRowFunction="custom" totalsRowDxfId="399" dataCellStyle="Normal 2 2">
      <totalsRowFormula>SUM(S11:S37)</totalsRowFormula>
    </tableColumn>
    <tableColumn id="19" xr3:uid="{ACF30860-F816-4BF3-8019-041AD36B8060}" name="Actuals 21/22" totalsRowFunction="sum" dataDxfId="398" totalsRowDxfId="397" dataCellStyle="Normal 2 2"/>
    <tableColumn id="20" xr3:uid="{ACE28F04-D94D-4E64-8D44-EDC011356A0C}" name="Budget 22/23" totalsRowFunction="custom" totalsRowDxfId="396" dataCellStyle="Normal 2 2">
      <totalsRowFormula>SUM(MarketingGeneralExpenses[Budget 22/23])</totalsRowFormula>
    </tableColumn>
  </tableColumns>
  <tableStyleInfo name="Feds Budget" showFirstColumn="0" showLastColumn="0" showRowStripes="0" showColumnStripes="1"/>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57000000}" name="CommunicationsRevenues16" displayName="CommunicationsRevenues16" ref="B3:V6" totalsRowCount="1" headerRowDxfId="395" headerRowCellStyle="Normal 3">
  <tableColumns count="21">
    <tableColumn id="1" xr3:uid="{00000000-0010-0000-5700-000001000000}" name="Revenues" totalsRowLabel="Total" totalsRowDxfId="394" dataCellStyle="Normal 22"/>
    <tableColumn id="9" xr3:uid="{00000000-0010-0000-5700-000009000000}" name="Budget 12/13" totalsRowFunction="sum" dataDxfId="393" totalsRowDxfId="392" dataCellStyle="Normal 22"/>
    <tableColumn id="6" xr3:uid="{00000000-0010-0000-5700-000006000000}" name="Budget 13/14" totalsRowFunction="sum" dataDxfId="391" totalsRowDxfId="390" dataCellStyle="Normal 22"/>
    <tableColumn id="5" xr3:uid="{00000000-0010-0000-5700-000005000000}" name="Actual 13/14" totalsRowFunction="sum" dataDxfId="389" totalsRowDxfId="388" dataCellStyle="Normal 22"/>
    <tableColumn id="4" xr3:uid="{00000000-0010-0000-5700-000004000000}" name="Budget 14/15" totalsRowFunction="sum" dataDxfId="387" totalsRowDxfId="386" dataCellStyle="Normal 22"/>
    <tableColumn id="3" xr3:uid="{00000000-0010-0000-5700-000003000000}" name="Actual 14/15" totalsRowFunction="sum" dataDxfId="385" totalsRowDxfId="384" dataCellStyle="Normal 22"/>
    <tableColumn id="7" xr3:uid="{00000000-0010-0000-5700-000007000000}" name="Budget 15/16" totalsRowFunction="sum" dataDxfId="383" totalsRowDxfId="382" dataCellStyle="Normal 22"/>
    <tableColumn id="8" xr3:uid="{00000000-0010-0000-5700-000008000000}" name="Actual 15/16" totalsRowFunction="sum" dataDxfId="381" totalsRowDxfId="380" dataCellStyle="Normal 22"/>
    <tableColumn id="2" xr3:uid="{00000000-0010-0000-5700-000002000000}" name="Budget 16/17" totalsRowFunction="custom" dataDxfId="379" totalsRowDxfId="378" dataCellStyle="Normal 22">
      <totalsRowFormula>SUM(CommunicationsRevenues16[Budget 16/17])</totalsRowFormula>
    </tableColumn>
    <tableColumn id="10" xr3:uid="{00000000-0010-0000-5700-00000A000000}" name="Actual 16/17" totalsRowFunction="custom" totalsRowDxfId="377" dataCellStyle="Normal 22">
      <totalsRowFormula>SUM(CommunicationsRevenues16[Actual 16/17])</totalsRowFormula>
    </tableColumn>
    <tableColumn id="11" xr3:uid="{00000000-0010-0000-5700-00000B000000}" name="Budget 17/18" totalsRowFunction="custom" totalsRowDxfId="376" dataCellStyle="Normal 22">
      <totalsRowFormula>SUM(CommunicationsRevenues16[Budget 17/18])</totalsRowFormula>
    </tableColumn>
    <tableColumn id="12" xr3:uid="{00000000-0010-0000-5700-00000C000000}" name="Actual 17/18" totalsRowFunction="custom" totalsRowDxfId="375" dataCellStyle="Normal 22">
      <totalsRowFormula>SUM(CommunicationsRevenues16[Actual 17/18])</totalsRowFormula>
    </tableColumn>
    <tableColumn id="13" xr3:uid="{00000000-0010-0000-5700-00000D000000}" name="Budget 18/19" totalsRowFunction="custom" dataDxfId="374" totalsRowDxfId="373" dataCellStyle="Currency 16">
      <totalsRowFormula>SUM(CommunicationsRevenues16[Budget 18/19])</totalsRowFormula>
    </tableColumn>
    <tableColumn id="16" xr3:uid="{00000000-0010-0000-5700-000010000000}" name="Actual 18/19" totalsRowFunction="custom" dataDxfId="372" totalsRowDxfId="371" dataCellStyle="Currency 16">
      <totalsRowFormula>SUM(CommunicationsRevenues16[Actual 18/19])</totalsRowFormula>
    </tableColumn>
    <tableColumn id="14" xr3:uid="{00000000-0010-0000-5700-00000E000000}" name="Budget 19/20" totalsRowFunction="custom" dataDxfId="370" totalsRowDxfId="369" dataCellStyle="Normal 22">
      <totalsRowFormula>SUM(CommunicationsRevenues16[Budget 19/20])</totalsRowFormula>
    </tableColumn>
    <tableColumn id="17" xr3:uid="{4576AB2B-D468-4D74-995F-A663100B282A}" name="Actual 19/20" totalsRowFunction="custom" dataDxfId="368" totalsRowDxfId="367">
      <totalsRowFormula>SUM(CommunicationsRevenues16[Actual 19/20])</totalsRowFormula>
    </tableColumn>
    <tableColumn id="15" xr3:uid="{00000000-0010-0000-5700-00000F000000}" name="Budget 19/21" totalsRowFunction="custom" dataDxfId="366" totalsRowDxfId="365" dataCellStyle="Normal 22">
      <totalsRowFormula>SUM(CommunicationsRevenues16[Budget 19/21])</totalsRowFormula>
    </tableColumn>
    <tableColumn id="18" xr3:uid="{3FB9A4B6-2750-453A-A8B8-8C38C23CEF0A}" name="Actuals 20/21" totalsRowFunction="custom" dataDxfId="364" totalsRowDxfId="363" dataCellStyle="Normal 22">
      <totalsRowFormula>SUM(CommunicationsRevenues16[Actuals 20/21])</totalsRowFormula>
    </tableColumn>
    <tableColumn id="19" xr3:uid="{1B393BE1-47CF-4CFD-B4F1-71D1188F4F5F}" name="Budget 21/22" totalsRowFunction="custom" totalsRowDxfId="362" dataCellStyle="Normal 22">
      <totalsRowFormula>SUM(CommunicationsRevenues16[Budget 21/22])</totalsRowFormula>
    </tableColumn>
    <tableColumn id="20" xr3:uid="{21A7BFA2-EEA4-4727-B8CC-960349590EFF}" name="Actuals 21/22" totalsRowFunction="custom" totalsRowDxfId="361" dataCellStyle="Normal 22">
      <totalsRowFormula>SUM(CommunicationsRevenues16[Revenues])</totalsRowFormula>
    </tableColumn>
    <tableColumn id="21" xr3:uid="{872B856F-2AAA-4EE2-9D3C-16936361438D}" name="Budget 22/23" totalsRowFunction="custom" totalsRowDxfId="360" dataCellStyle="Normal 22">
      <totalsRowFormula>SUM(CommunicationsRevenues16[Budget 12/13])</totalsRowFormula>
    </tableColumn>
  </tableColumns>
  <tableStyleInfo name="Feds Budget" showFirstColumn="0" showLastColumn="0" showRowStripes="0" showColumnStripes="1"/>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58000000}" name="CommunicationsExpenses17" displayName="CommunicationsExpenses17" ref="B8:T27" totalsRowCount="1" headerRowDxfId="359" headerRowCellStyle="Normal 3">
  <tableColumns count="19">
    <tableColumn id="1" xr3:uid="{00000000-0010-0000-5800-000001000000}" name="Expenses" totalsRowLabel="Total" totalsRowDxfId="358" dataCellStyle="Normal 22"/>
    <tableColumn id="10" xr3:uid="{00000000-0010-0000-5800-00000A000000}" name="Budget 12/13" totalsRowFunction="sum" dataDxfId="357" totalsRowDxfId="356" dataCellStyle="Normal 22"/>
    <tableColumn id="9" xr3:uid="{00000000-0010-0000-5800-000009000000}" name="Budget 13/14" totalsRowFunction="sum" dataDxfId="355" totalsRowDxfId="354" dataCellStyle="Normal 22"/>
    <tableColumn id="7" xr3:uid="{00000000-0010-0000-5800-000007000000}" name="Actual 13/14" totalsRowFunction="sum" dataDxfId="353" totalsRowDxfId="352" dataCellStyle="Normal 22"/>
    <tableColumn id="5" xr3:uid="{00000000-0010-0000-5800-000005000000}" name="Budget 14/15" totalsRowFunction="sum" dataDxfId="351" totalsRowDxfId="350" dataCellStyle="Normal 22"/>
    <tableColumn id="2" xr3:uid="{00000000-0010-0000-5800-000002000000}" name="Actual 14/15" totalsRowFunction="custom" dataDxfId="349" totalsRowDxfId="348" dataCellStyle="Normal 22">
      <totalsRowFormula>SUBTOTAL(109,CommunicationsExpenses17[Budget 16/17])</totalsRowFormula>
    </tableColumn>
    <tableColumn id="6" xr3:uid="{00000000-0010-0000-5800-000006000000}" name="Budget 15/16" totalsRowFunction="sum" dataDxfId="347" totalsRowDxfId="346" dataCellStyle="Normal 22"/>
    <tableColumn id="8" xr3:uid="{00000000-0010-0000-5800-000008000000}" name="Actual 15/16" totalsRowFunction="sum" dataDxfId="345" totalsRowDxfId="344" dataCellStyle="Normal 22"/>
    <tableColumn id="3" xr3:uid="{00000000-0010-0000-5800-000003000000}" name="Budget 16/17" totalsRowFunction="custom" dataDxfId="343" totalsRowDxfId="342" dataCellStyle="Normal 22">
      <totalsRowFormula>SUM(CommunicationsExpenses17[Budget 16/17])</totalsRowFormula>
    </tableColumn>
    <tableColumn id="4" xr3:uid="{00000000-0010-0000-5800-000004000000}" name="Actual 16/17" totalsRowFunction="custom" totalsRowDxfId="341" dataCellStyle="Normal 22">
      <totalsRowFormula>SUM(CommunicationsExpenses17[Actual 16/17])</totalsRowFormula>
    </tableColumn>
    <tableColumn id="11" xr3:uid="{00000000-0010-0000-5800-00000B000000}" name="Budget 17/18" totalsRowFunction="custom" totalsRowDxfId="340" dataCellStyle="Normal 22">
      <totalsRowFormula>SUM(CommunicationsExpenses17[Budget 17/18])</totalsRowFormula>
    </tableColumn>
    <tableColumn id="12" xr3:uid="{00000000-0010-0000-5800-00000C000000}" name="Actual 17/18" totalsRowFunction="custom" dataDxfId="339" totalsRowDxfId="338" dataCellStyle="Currency 16">
      <totalsRowFormula>SUM(M9:M26)</totalsRowFormula>
    </tableColumn>
    <tableColumn id="13" xr3:uid="{00000000-0010-0000-5800-00000D000000}" name="Budget 18/19" totalsRowFunction="custom" dataDxfId="337" totalsRowDxfId="336" dataCellStyle="Normal 22">
      <totalsRowFormula>SUM(CommunicationsExpenses17[Budget 18/19])</totalsRowFormula>
    </tableColumn>
    <tableColumn id="16" xr3:uid="{00000000-0010-0000-5800-000010000000}" name="Actual 18/19" totalsRowFunction="custom" dataDxfId="335" totalsRowDxfId="334" dataCellStyle="Currency 16">
      <totalsRowFormula>SUM(CommunicationsExpenses17[Actual 18/19])</totalsRowFormula>
    </tableColumn>
    <tableColumn id="14" xr3:uid="{00000000-0010-0000-5800-00000E000000}" name="Budget 19/20" totalsRowFunction="custom" dataDxfId="333" totalsRowDxfId="332" dataCellStyle="Currency 16">
      <totalsRowFormula>SUM(P9:P26)</totalsRowFormula>
    </tableColumn>
    <tableColumn id="17" xr3:uid="{145E0A8C-35F8-4DDC-9715-C33294A0E3E6}" name="Actual 19/20" totalsRowFunction="custom" dataDxfId="331" totalsRowDxfId="330" dataCellStyle="Currency 16">
      <totalsRowFormula>SUM(CommunicationsExpenses17[Actual 19/20])</totalsRowFormula>
    </tableColumn>
    <tableColumn id="15" xr3:uid="{00000000-0010-0000-5800-00000F000000}" name="Budget 19/21" totalsRowFunction="custom" dataDxfId="329" totalsRowDxfId="328" dataCellStyle="Currency 16">
      <totalsRowFormula>SUM(R9:R26)</totalsRowFormula>
    </tableColumn>
    <tableColumn id="18" xr3:uid="{F6B8954E-D7CC-495E-89E7-6AC50C3B9F41}" name="Actuals 20/21" totalsRowFunction="custom" dataDxfId="327" totalsRowDxfId="326" dataCellStyle="Normal 22">
      <totalsRowFormula>SUM(S9:S26)</totalsRowFormula>
    </tableColumn>
    <tableColumn id="19" xr3:uid="{477D097A-66EC-4CDA-A37F-7B8EED7BFE10}" name="Budget 21/22" totalsRowFunction="custom" dataDxfId="325" totalsRowDxfId="324" dataCellStyle="Currency 16">
      <totalsRowFormula>SUM(T9:T25)</totalsRowFormula>
    </tableColumn>
  </tableColumns>
  <tableStyleInfo name="Feds Budget" showFirstColumn="0" showLastColumn="0" showRowStripes="0" showColumnStripes="1"/>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59000000}" name="CommunicationsRevenues100" displayName="CommunicationsRevenues100" ref="B3:S5" totalsRowCount="1" headerRowDxfId="323" headerRowCellStyle="Normal 3">
  <tableColumns count="18">
    <tableColumn id="1" xr3:uid="{00000000-0010-0000-5900-000001000000}" name="Revenues" totalsRowLabel="Total" totalsRowDxfId="322" dataCellStyle="Normal 22"/>
    <tableColumn id="9" xr3:uid="{00000000-0010-0000-5900-000009000000}" name="Budget 12/13" totalsRowFunction="sum" dataDxfId="321" totalsRowDxfId="320" dataCellStyle="Normal 22"/>
    <tableColumn id="6" xr3:uid="{00000000-0010-0000-5900-000006000000}" name="Budget 13/14" totalsRowFunction="sum" dataDxfId="319" totalsRowDxfId="318" dataCellStyle="Normal 22"/>
    <tableColumn id="5" xr3:uid="{00000000-0010-0000-5900-000005000000}" name="Budget 14/15" totalsRowFunction="sum" dataDxfId="317" totalsRowDxfId="316" dataCellStyle="Normal 22"/>
    <tableColumn id="4" xr3:uid="{00000000-0010-0000-5900-000004000000}" name="Actual 14/15" totalsRowFunction="sum" dataDxfId="315" totalsRowDxfId="314" dataCellStyle="Normal 22"/>
    <tableColumn id="3" xr3:uid="{00000000-0010-0000-5900-000003000000}" name="Budget 15/16" totalsRowFunction="sum" dataDxfId="313" totalsRowDxfId="312" dataCellStyle="Normal 22"/>
    <tableColumn id="7" xr3:uid="{00000000-0010-0000-5900-000007000000}" name="Actual 15/16" totalsRowFunction="sum" dataDxfId="311" totalsRowDxfId="310" dataCellStyle="Normal 22"/>
    <tableColumn id="2" xr3:uid="{00000000-0010-0000-5900-000002000000}" name="Budget 16/17" totalsRowFunction="sum" dataDxfId="309" totalsRowDxfId="308" dataCellStyle="Normal 22"/>
    <tableColumn id="8" xr3:uid="{00000000-0010-0000-5900-000008000000}" name="Actual 16/17" totalsRowFunction="sum" dataDxfId="307" totalsRowDxfId="306" dataCellStyle="Normal 22"/>
    <tableColumn id="10" xr3:uid="{00000000-0010-0000-5900-00000A000000}" name="Budget 17/18" totalsRowFunction="sum" dataDxfId="305" totalsRowDxfId="304" dataCellStyle="Normal 22"/>
    <tableColumn id="11" xr3:uid="{00000000-0010-0000-5900-00000B000000}" name="Actual 17/18" totalsRowFunction="sum" dataDxfId="303" totalsRowDxfId="302" dataCellStyle="Normal 22"/>
    <tableColumn id="12" xr3:uid="{00000000-0010-0000-5900-00000C000000}" name="Budget 18/19" totalsRowFunction="sum" dataDxfId="301" totalsRowDxfId="300" dataCellStyle="Normal 22"/>
    <tableColumn id="15" xr3:uid="{00000000-0010-0000-5900-00000F000000}" name="Actual 18/19" totalsRowFunction="sum" dataDxfId="299" totalsRowDxfId="298" dataCellStyle="Normal 22"/>
    <tableColumn id="13" xr3:uid="{00000000-0010-0000-5900-00000D000000}" name="Budget 19/20" totalsRowFunction="sum" dataDxfId="297" totalsRowDxfId="296" dataCellStyle="Currency 16"/>
    <tableColumn id="16" xr3:uid="{DBAE248C-2CD4-41AD-AAB7-5859A2E60ED5}" name="Actual 19/20" totalsRowFunction="custom" dataDxfId="295" totalsRowDxfId="294" dataCellStyle="Currency 2 2 2">
      <totalsRowFormula>SUM(CommunicationsRevenues100[Actual 19/20])</totalsRowFormula>
    </tableColumn>
    <tableColumn id="17" xr3:uid="{F1FC8551-7895-4B9C-AEB6-CC84F5E14595}" name="Budget 20/21" totalsRowFunction="custom" dataDxfId="293" totalsRowDxfId="292" dataCellStyle="Currency 2 2 2">
      <totalsRowFormula>SUM(CommunicationsRevenues100[Budget 20/21])</totalsRowFormula>
    </tableColumn>
    <tableColumn id="18" xr3:uid="{0C97820C-9FB9-48CA-BEB9-4F4E74C78051}" name="Actuals 20/21" totalsRowFunction="custom" dataDxfId="291" totalsRowDxfId="290" dataCellStyle="Currency 2 2 2">
      <totalsRowFormula>SUM(CommunicationsRevenues100[Actuals 20/21])</totalsRowFormula>
    </tableColumn>
    <tableColumn id="14" xr3:uid="{00000000-0010-0000-5900-00000E000000}" name="Budget 21/22" dataDxfId="289" totalsRowDxfId="288" dataCellStyle="Currency 2 2 2"/>
  </tableColumns>
  <tableStyleInfo name="Feds Budget" showFirstColumn="0" showLastColumn="0" showRowStripes="0" showColumnStripes="1"/>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5A000000}" name="CommunicationsExpenses101" displayName="CommunicationsExpenses101" ref="B7:S16" totalsRowCount="1" headerRowDxfId="287" headerRowCellStyle="Normal 3">
  <tableColumns count="18">
    <tableColumn id="1" xr3:uid="{00000000-0010-0000-5A00-000001000000}" name="Expenses" totalsRowLabel="Total" dataDxfId="286" totalsRowDxfId="285" dataCellStyle="Normal 22"/>
    <tableColumn id="10" xr3:uid="{00000000-0010-0000-5A00-00000A000000}" name="Budget 12/13" totalsRowFunction="sum" dataDxfId="284" totalsRowDxfId="283" dataCellStyle="Normal 22"/>
    <tableColumn id="9" xr3:uid="{00000000-0010-0000-5A00-000009000000}" name="Budget 13/14" totalsRowFunction="sum" dataDxfId="282" totalsRowDxfId="281" dataCellStyle="Normal 22"/>
    <tableColumn id="7" xr3:uid="{00000000-0010-0000-5A00-000007000000}" name="Budget 14/15" totalsRowFunction="sum" dataDxfId="280" totalsRowDxfId="279" dataCellStyle="Normal 22"/>
    <tableColumn id="5" xr3:uid="{00000000-0010-0000-5A00-000005000000}" name="Actual 14/15" totalsRowFunction="sum" dataDxfId="278" totalsRowDxfId="277" dataCellStyle="Normal 22"/>
    <tableColumn id="2" xr3:uid="{00000000-0010-0000-5A00-000002000000}" name="Budget 15/16" totalsRowFunction="sum" dataDxfId="276" totalsRowDxfId="275" dataCellStyle="Normal 22"/>
    <tableColumn id="6" xr3:uid="{00000000-0010-0000-5A00-000006000000}" name="Proposed 16/17" totalsRowFunction="sum" dataDxfId="274" totalsRowDxfId="273" dataCellStyle="Normal 22"/>
    <tableColumn id="3" xr3:uid="{00000000-0010-0000-5A00-000003000000}" name="Budget 16/17" totalsRowFunction="sum" dataDxfId="272" totalsRowDxfId="271" dataCellStyle="Normal 22"/>
    <tableColumn id="4" xr3:uid="{00000000-0010-0000-5A00-000004000000}" name="Actual 16/17" totalsRowFunction="sum" dataDxfId="270" totalsRowDxfId="269" dataCellStyle="Normal 22"/>
    <tableColumn id="8" xr3:uid="{00000000-0010-0000-5A00-000008000000}" name="Budget 17/18" totalsRowFunction="sum" dataDxfId="268" totalsRowDxfId="267" dataCellStyle="Normal 22"/>
    <tableColumn id="11" xr3:uid="{00000000-0010-0000-5A00-00000B000000}" name="Actual 17/18" totalsRowFunction="sum" dataDxfId="266" totalsRowDxfId="265" dataCellStyle="Normal 22"/>
    <tableColumn id="12" xr3:uid="{00000000-0010-0000-5A00-00000C000000}" name="Budget 18/19" totalsRowFunction="sum" dataDxfId="264" totalsRowDxfId="263" dataCellStyle="Normal 22"/>
    <tableColumn id="15" xr3:uid="{00000000-0010-0000-5A00-00000F000000}" name="Actual 18/19" totalsRowFunction="sum" dataDxfId="262" totalsRowDxfId="261" dataCellStyle="Currency 2 2 2"/>
    <tableColumn id="13" xr3:uid="{00000000-0010-0000-5A00-00000D000000}" name="Budget 19/20" totalsRowFunction="custom" dataDxfId="260" totalsRowDxfId="259" dataCellStyle="Currency 16">
      <totalsRowFormula>SUM(CommunicationsExpenses101[Budget 19/20])</totalsRowFormula>
    </tableColumn>
    <tableColumn id="16" xr3:uid="{454DF029-2A5B-4241-86FC-93D844F1D09D}" name="Actual 19/20" totalsRowFunction="custom" dataDxfId="258" totalsRowDxfId="257" dataCellStyle="Currency 2 2 2">
      <totalsRowFormula>SUM(CommunicationsExpenses101[Actual 19/20])</totalsRowFormula>
    </tableColumn>
    <tableColumn id="17" xr3:uid="{D1A20F31-F553-4740-B8D2-F681152998E3}" name="Budget 20/21" totalsRowFunction="custom" dataDxfId="256" totalsRowDxfId="255" dataCellStyle="Currency 2 2 2">
      <totalsRowFormula>SUM(CommunicationsExpenses101[Budget 20/21])</totalsRowFormula>
    </tableColumn>
    <tableColumn id="18" xr3:uid="{22F346C4-CF92-46A4-BDF0-2883523490C2}" name="Actuals 20/21" totalsRowFunction="custom" dataDxfId="254" totalsRowDxfId="253" dataCellStyle="Currency 2 2 2">
      <totalsRowFormula>SUM(CommunicationsExpenses101[Actuals 20/21])</totalsRowFormula>
    </tableColumn>
    <tableColumn id="14" xr3:uid="{00000000-0010-0000-5A00-00000E000000}" name="Budget 21/22" totalsRowFunction="custom" dataDxfId="252" totalsRowDxfId="251" dataCellStyle="Currency 16">
      <totalsRowFormula>SUM(CommunicationsExpenses101[Budget 21/22])</totalsRowFormula>
    </tableColumn>
  </tableColumns>
  <tableStyleInfo name="Feds Budget" showFirstColumn="0" showLastColumn="0" showRowStripes="0" showColumnStripes="1"/>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PresidentExpenses" displayName="PresidentExpenses" ref="B8:Q36" totalsRowCount="1" headerRowDxfId="3456" dataDxfId="3455" dataCellStyle="Currency 2">
  <sortState xmlns:xlrd2="http://schemas.microsoft.com/office/spreadsheetml/2017/richdata2" ref="A9:P33">
    <sortCondition ref="A9:A33"/>
  </sortState>
  <tableColumns count="16">
    <tableColumn id="1" xr3:uid="{00000000-0010-0000-0900-000001000000}" name="Expenses" totalsRowLabel="Total Expenses" dataDxfId="3454" totalsRowDxfId="3453"/>
    <tableColumn id="2" xr3:uid="{00000000-0010-0000-0900-000002000000}" name="Budget 10/11" totalsRowFunction="sum" dataDxfId="3452" totalsRowDxfId="3451" dataCellStyle="Currency 2"/>
    <tableColumn id="3" xr3:uid="{00000000-0010-0000-0900-000003000000}" name="Actual 10/11" totalsRowFunction="sum" dataDxfId="3450" totalsRowDxfId="3449" dataCellStyle="Currency 2"/>
    <tableColumn id="4" xr3:uid="{00000000-0010-0000-0900-000004000000}" name="Budget 11/12" totalsRowFunction="sum" dataDxfId="3448" totalsRowDxfId="3447" dataCellStyle="Currency 2"/>
    <tableColumn id="5" xr3:uid="{00000000-0010-0000-0900-000005000000}" name="Actual 11/12" totalsRowFunction="sum" dataDxfId="3446" totalsRowDxfId="3445" dataCellStyle="Currency 2"/>
    <tableColumn id="6" xr3:uid="{00000000-0010-0000-0900-000006000000}" name="Budget 12/13" totalsRowFunction="sum" dataDxfId="3444" totalsRowDxfId="3443" dataCellStyle="Currency 2"/>
    <tableColumn id="7" xr3:uid="{00000000-0010-0000-0900-000007000000}" name="Actual 12/13" totalsRowFunction="sum" dataDxfId="3442" totalsRowDxfId="3441" dataCellStyle="Currency 2"/>
    <tableColumn id="8" xr3:uid="{00000000-0010-0000-0900-000008000000}" name="Budget 13/14" totalsRowFunction="sum" dataDxfId="3440" totalsRowDxfId="3439" dataCellStyle="Currency 2"/>
    <tableColumn id="9" xr3:uid="{00000000-0010-0000-0900-000009000000}" name="Actual 13/14" totalsRowFunction="sum" dataDxfId="3438" totalsRowDxfId="3437" dataCellStyle="Currency 2"/>
    <tableColumn id="10" xr3:uid="{00000000-0010-0000-0900-00000A000000}" name="Budget 14/15" totalsRowFunction="sum" dataDxfId="3436" totalsRowDxfId="3435" dataCellStyle="Currency 2"/>
    <tableColumn id="11" xr3:uid="{00000000-0010-0000-0900-00000B000000}" name="Actuals 14/15" totalsRowFunction="sum" dataDxfId="3434" totalsRowDxfId="3433" dataCellStyle="Currency 2"/>
    <tableColumn id="12" xr3:uid="{00000000-0010-0000-0900-00000C000000}" name="Budget 15/16" totalsRowFunction="sum" dataDxfId="3432" totalsRowDxfId="3431" dataCellStyle="Currency 2"/>
    <tableColumn id="14" xr3:uid="{00000000-0010-0000-0900-00000E000000}" name="Actual 15/16" totalsRowFunction="sum" dataDxfId="3430" totalsRowDxfId="3429" dataCellStyle="Currency 2"/>
    <tableColumn id="15" xr3:uid="{00000000-0010-0000-0900-00000F000000}" name="Budget 16/17" totalsRowFunction="sum" dataDxfId="3428" totalsRowDxfId="3427" dataCellStyle="Currency 2"/>
    <tableColumn id="16" xr3:uid="{00000000-0010-0000-0900-000010000000}" name="Actual 16/17" totalsRowFunction="sum" dataDxfId="3426" totalsRowDxfId="3425" dataCellStyle="Currency 2"/>
    <tableColumn id="17" xr3:uid="{00000000-0010-0000-0900-000011000000}" name="Budget 17/18" totalsRowFunction="sum" dataDxfId="3424" totalsRowDxfId="3423" dataCellStyle="Currency 2"/>
  </tableColumns>
  <tableStyleInfo name="Feds Budget" showFirstColumn="0" showLastColumn="0" showRowStripes="0" showColumnStripes="1"/>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5B000000}" name="MarketingAdvocacyRevenues" displayName="MarketingAdvocacyRevenues" ref="B3:M7" totalsRowCount="1" headerRowDxfId="250" headerRowCellStyle="Normal 3">
  <tableColumns count="12">
    <tableColumn id="1" xr3:uid="{00000000-0010-0000-5B00-000001000000}" name="Revenues" totalsRowLabel="Total" totalsRowDxfId="249"/>
    <tableColumn id="7" xr3:uid="{00000000-0010-0000-5B00-000007000000}" name="Budget 15/16" totalsRowFunction="sum" dataDxfId="248" totalsRowDxfId="247" dataCellStyle="Currency 2 2"/>
    <tableColumn id="2" xr3:uid="{00000000-0010-0000-5B00-000002000000}" name="Actual 15/16" totalsRowFunction="sum" dataDxfId="246" totalsRowDxfId="245" dataCellStyle="Currency 2 2"/>
    <tableColumn id="8" xr3:uid="{00000000-0010-0000-5B00-000008000000}" name="Budget 16/17" totalsRowFunction="sum" dataDxfId="244" totalsRowDxfId="243" dataCellStyle="Currency 2 2"/>
    <tableColumn id="3" xr3:uid="{00000000-0010-0000-5B00-000003000000}" name="Actual 16/17" totalsRowFunction="sum" dataDxfId="242" totalsRowDxfId="241" dataCellStyle="Currency 2 2"/>
    <tableColumn id="4" xr3:uid="{00000000-0010-0000-5B00-000004000000}" name="Budget 17/18" totalsRowFunction="sum" totalsRowDxfId="240"/>
    <tableColumn id="5" xr3:uid="{00000000-0010-0000-5B00-000005000000}" name="Actual 17/18" totalsRowFunction="sum" totalsRowDxfId="239" dataCellStyle="Normal 2"/>
    <tableColumn id="6" xr3:uid="{00000000-0010-0000-5B00-000006000000}" name="Budget 18/19" totalsRowFunction="sum" totalsRowDxfId="238" dataCellStyle="Normal 2"/>
    <tableColumn id="11" xr3:uid="{00000000-0010-0000-5B00-00000B000000}" name="Actual 18/19" totalsRowFunction="sum" totalsRowDxfId="237"/>
    <tableColumn id="9" xr3:uid="{00000000-0010-0000-5B00-000009000000}" name="Budget 19/20" totalsRowFunction="custom" totalsRowDxfId="236" dataCellStyle="Currency">
      <totalsRowFormula>SUM(MarketingAdvocacyRevenues[Budget 19/20])</totalsRowFormula>
    </tableColumn>
    <tableColumn id="12" xr3:uid="{2970D6CD-374F-4451-A2B4-4510EA0C171D}" name="Actual 19/20" totalsRowFunction="custom" totalsRowDxfId="235">
      <totalsRowFormula>SUM(MarketingAdvocacyRevenues[Actual 19/20])</totalsRowFormula>
    </tableColumn>
    <tableColumn id="10" xr3:uid="{00000000-0010-0000-5B00-00000A000000}" name="Budget 20/21" totalsRowFunction="custom" totalsRowDxfId="234" dataCellStyle="Normal 2 2">
      <totalsRowFormula>SUM(MarketingAdvocacyRevenues[Budget 20/21])</totalsRowFormula>
    </tableColumn>
  </tableColumns>
  <tableStyleInfo name="Feds Budget" showFirstColumn="0" showLastColumn="0" showRowStripes="0" showColumnStripes="1"/>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5C000000}" name="MarketingAdvocacyExpenses" displayName="MarketingAdvocacyExpenses" ref="B9:M29" totalsRowCount="1" headerRowDxfId="233" headerRowCellStyle="Normal 3">
  <tableColumns count="12">
    <tableColumn id="1" xr3:uid="{00000000-0010-0000-5C00-000001000000}" name="Expenses" totalsRowLabel="Total" totalsRowDxfId="232"/>
    <tableColumn id="6" xr3:uid="{00000000-0010-0000-5C00-000006000000}" name="Budget 15/16" totalsRowFunction="sum" dataDxfId="231" totalsRowDxfId="230" dataCellStyle="Currency 2 2"/>
    <tableColumn id="7" xr3:uid="{00000000-0010-0000-5C00-000007000000}" name="Actual 15/16" totalsRowFunction="sum" dataDxfId="229" totalsRowDxfId="228" dataCellStyle="Currency 2 2"/>
    <tableColumn id="8" xr3:uid="{00000000-0010-0000-5C00-000008000000}" name="Budget 16/17" totalsRowFunction="sum" dataDxfId="227" totalsRowDxfId="226" dataCellStyle="Currency 2 2"/>
    <tableColumn id="2" xr3:uid="{00000000-0010-0000-5C00-000002000000}" name="Actual 16/17" totalsRowFunction="sum" dataDxfId="225" totalsRowDxfId="224" dataCellStyle="Currency 2 2"/>
    <tableColumn id="3" xr3:uid="{00000000-0010-0000-5C00-000003000000}" name="Budget 17/18" totalsRowFunction="sum" dataDxfId="223" totalsRowDxfId="222" dataCellStyle="Currency 2 2"/>
    <tableColumn id="4" xr3:uid="{00000000-0010-0000-5C00-000004000000}" name="Actual 17/18" totalsRowFunction="sum" dataDxfId="221" totalsRowDxfId="220" dataCellStyle="Currency 2 2"/>
    <tableColumn id="5" xr3:uid="{00000000-0010-0000-5C00-000005000000}" name="Budget 18/19" totalsRowFunction="sum" dataDxfId="219" totalsRowDxfId="218" dataCellStyle="Currency 2 2"/>
    <tableColumn id="11" xr3:uid="{00000000-0010-0000-5C00-00000B000000}" name="Actual 18/19" totalsRowFunction="sum" dataDxfId="217" totalsRowDxfId="216" dataCellStyle="Currency 2 2 2"/>
    <tableColumn id="9" xr3:uid="{00000000-0010-0000-5C00-000009000000}" name="Budget 19-20" totalsRowFunction="custom" dataDxfId="215" totalsRowDxfId="214" dataCellStyle="Currency 2 2">
      <totalsRowFormula>SUM(K10:K28)</totalsRowFormula>
    </tableColumn>
    <tableColumn id="12" xr3:uid="{05D1291D-5F82-42F0-9778-FE14D5BA6373}" name="Actual 19/20" totalsRowFunction="custom" dataDxfId="213" totalsRowDxfId="212" dataCellStyle="Currency 2 2 2">
      <totalsRowFormula>SUM(MarketingAdvocacyExpenses[Actual 19/20])</totalsRowFormula>
    </tableColumn>
    <tableColumn id="10" xr3:uid="{00000000-0010-0000-5C00-00000A000000}" name="Budget 20/21" totalsRowFunction="custom" totalsRowDxfId="211" dataCellStyle="Normal 2 2">
      <totalsRowFormula>SUM(M10:M28)</totalsRowFormula>
    </tableColumn>
  </tableColumns>
  <tableStyleInfo name="Feds Budget" showFirstColumn="0" showLastColumn="0" showRowStripes="0" showColumnStripes="1"/>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5D000000}" name="MarketingGeneralRevenues7180" displayName="MarketingGeneralRevenues7180" ref="B3:R5" totalsRowCount="1" headerRowDxfId="210" headerRowCellStyle="Normal 3">
  <tableColumns count="17">
    <tableColumn id="1" xr3:uid="{00000000-0010-0000-5D00-000001000000}" name="Revenues" totalsRowLabel="Total" totalsRowDxfId="209" dataCellStyle="Normal 22"/>
    <tableColumn id="3" xr3:uid="{00000000-0010-0000-5D00-000003000000}" name="Actual 14/15" totalsRowFunction="sum" dataDxfId="208" totalsRowDxfId="207" dataCellStyle="Normal 22"/>
    <tableColumn id="7" xr3:uid="{00000000-0010-0000-5D00-000007000000}" name="Budget 15/16" totalsRowFunction="sum" dataDxfId="206" totalsRowDxfId="205" dataCellStyle="Normal 22"/>
    <tableColumn id="8" xr3:uid="{00000000-0010-0000-5D00-000008000000}" name="Actual 15/16" totalsRowFunction="sum" dataDxfId="204" totalsRowDxfId="203" dataCellStyle="Normal 22"/>
    <tableColumn id="2" xr3:uid="{00000000-0010-0000-5D00-000002000000}" name="Budget 16/17" totalsRowFunction="custom" dataDxfId="202" totalsRowDxfId="201" dataCellStyle="Normal 22">
      <totalsRowFormula>SUBTOTAL(109,MarketingGeneralRevenues7180[Actual 15/16])</totalsRowFormula>
    </tableColumn>
    <tableColumn id="4" xr3:uid="{00000000-0010-0000-5D00-000004000000}" name="Actual 16/17" totalsRowFunction="custom" totalsRowDxfId="200" dataCellStyle="Normal 22">
      <totalsRowFormula>SUBTOTAL(109,MarketingGeneralRevenues7180[Budget 16/17])</totalsRowFormula>
    </tableColumn>
    <tableColumn id="5" xr3:uid="{00000000-0010-0000-5D00-000005000000}" name="Budget 17/18" totalsRowFunction="custom" totalsRowDxfId="199" dataCellStyle="Normal 22">
      <totalsRowFormula>SUBTOTAL(109,MarketingGeneralRevenues7180[Actual 16/17])</totalsRowFormula>
    </tableColumn>
    <tableColumn id="6" xr3:uid="{00000000-0010-0000-5D00-000006000000}" name="Actual 17/18" totalsRowFunction="custom" totalsRowDxfId="198" dataCellStyle="Normal 22">
      <totalsRowFormula>SUBTOTAL(109,MarketingGeneralRevenues7180[Budget 17/18])</totalsRowFormula>
    </tableColumn>
    <tableColumn id="9" xr3:uid="{00000000-0010-0000-5D00-000009000000}" name="Budget 18/19" totalsRowFunction="custom" totalsRowDxfId="197" dataCellStyle="Currency 16">
      <totalsRowFormula>SUBTOTAL(109,MarketingGeneralRevenues7180[Actual 17/18])</totalsRowFormula>
    </tableColumn>
    <tableColumn id="12" xr3:uid="{00000000-0010-0000-5D00-00000C000000}" name="Actual 18/19" totalsRowFunction="custom" dataDxfId="196" totalsRowDxfId="195" dataCellStyle="Currency 16">
      <totalsRowFormula>SUBTOTAL(109,MarketingGeneralRevenues7180[Budget 18/19])</totalsRowFormula>
    </tableColumn>
    <tableColumn id="10" xr3:uid="{00000000-0010-0000-5D00-00000A000000}" name="Budget 19/20" totalsRowFunction="custom" dataDxfId="194" totalsRowDxfId="193" dataCellStyle="Currency 16">
      <totalsRowFormula>MarketingGeneralRevenues7180[Budget 19/20]</totalsRowFormula>
    </tableColumn>
    <tableColumn id="13" xr3:uid="{2947B248-B157-4384-AFEC-97866920290C}" name="Actual 19/20" totalsRowFunction="custom" dataDxfId="192" totalsRowDxfId="191" dataCellStyle="Currency 16">
      <totalsRowFormula>SUM(MarketingGeneralRevenues7180[Actual 19/20])</totalsRowFormula>
    </tableColumn>
    <tableColumn id="11" xr3:uid="{00000000-0010-0000-5D00-00000B000000}" name="Budget 19/21" totalsRowFunction="custom" dataDxfId="190" totalsRowDxfId="189" dataCellStyle="Normal 22">
      <totalsRowFormula>MarketingGeneralRevenues7180[Budget 19/21]</totalsRowFormula>
    </tableColumn>
    <tableColumn id="14" xr3:uid="{FD90E87A-9EE4-43A3-A5E2-7F7544AF98BF}" name="Actuals 20/21" totalsRowDxfId="188" dataCellStyle="Normal 2 2"/>
    <tableColumn id="15" xr3:uid="{F2EF107F-ECFD-4074-9BB7-DFDC37C158AE}" name="Budget 21/22" totalsRowDxfId="187" dataCellStyle="Normal 2 2"/>
    <tableColumn id="16" xr3:uid="{3AC783D7-630A-4FD7-940E-B58B5E7ED3F2}" name="Actuals 21/22" totalsRowDxfId="186" dataCellStyle="Normal 2 2"/>
    <tableColumn id="17" xr3:uid="{FA6B6EAA-5AE6-4445-989A-00189F97C30E}" name="Budget 22/23" totalsRowDxfId="185" dataCellStyle="Normal 2 2"/>
  </tableColumns>
  <tableStyleInfo name="Feds Budget" showFirstColumn="0" showLastColumn="0" showRowStripes="0" showColumnStripes="1"/>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5E000000}" name="MarketingGeneralExpenses7581" displayName="MarketingGeneralExpenses7581" ref="B7:R51" totalsRowCount="1" headerRowDxfId="184" headerRowCellStyle="Normal 3">
  <tableColumns count="17">
    <tableColumn id="1" xr3:uid="{00000000-0010-0000-5E00-000001000000}" name="Expenses" totalsRowLabel="Total" totalsRowDxfId="183" dataCellStyle="Normal 22"/>
    <tableColumn id="2" xr3:uid="{00000000-0010-0000-5E00-000002000000}" name="Budget 14/15" totalsRowFunction="sum" dataDxfId="182" totalsRowDxfId="181" dataCellStyle="Normal 22"/>
    <tableColumn id="6" xr3:uid="{00000000-0010-0000-5E00-000006000000}" name="Budget 15/16" totalsRowFunction="sum" dataDxfId="180" totalsRowDxfId="179" dataCellStyle="Normal 22"/>
    <tableColumn id="8" xr3:uid="{00000000-0010-0000-5E00-000008000000}" name="actual 15/16" totalsRowFunction="sum" dataDxfId="178" totalsRowDxfId="177" dataCellStyle="Normal 22"/>
    <tableColumn id="3" xr3:uid="{00000000-0010-0000-5E00-000003000000}" name="Budget 16/17" totalsRowFunction="sum" dataDxfId="176" totalsRowDxfId="175" dataCellStyle="Normal 22"/>
    <tableColumn id="4" xr3:uid="{00000000-0010-0000-5E00-000004000000}" name="Actual 16/17" totalsRowFunction="sum" totalsRowDxfId="174" dataCellStyle="Normal 22"/>
    <tableColumn id="5" xr3:uid="{00000000-0010-0000-5E00-000005000000}" name="Budget 17/18" totalsRowFunction="sum" totalsRowDxfId="173" dataCellStyle="Normal 22"/>
    <tableColumn id="7" xr3:uid="{00000000-0010-0000-5E00-000007000000}" name="Actual 17/18" totalsRowFunction="sum" totalsRowDxfId="172" dataCellStyle="Normal 22"/>
    <tableColumn id="9" xr3:uid="{00000000-0010-0000-5E00-000009000000}" name="Budget 18/19" totalsRowFunction="sum" totalsRowDxfId="171" dataCellStyle="Normal 22"/>
    <tableColumn id="12" xr3:uid="{00000000-0010-0000-5E00-00000C000000}" name="Actual 18/19" totalsRowFunction="sum" dataDxfId="170" totalsRowDxfId="169" dataCellStyle="Currency 16"/>
    <tableColumn id="11" xr3:uid="{00000000-0010-0000-5E00-00000B000000}" name="Budget 19/20" totalsRowFunction="custom" dataDxfId="168" totalsRowDxfId="167" dataCellStyle="Currency 16">
      <totalsRowFormula>SUM(L8:L50)</totalsRowFormula>
    </tableColumn>
    <tableColumn id="13" xr3:uid="{AEE0EF5D-E2AF-452B-A448-64388EB3B0FE}" name="Actual 19/20" totalsRowFunction="custom" dataDxfId="166" totalsRowDxfId="165" dataCellStyle="Currency 16">
      <totalsRowFormula>SUM(MarketingGeneralExpenses7581[Actual 19/20])</totalsRowFormula>
    </tableColumn>
    <tableColumn id="10" xr3:uid="{00000000-0010-0000-5E00-00000A000000}" name="Budget 19/21" totalsRowFunction="custom" dataDxfId="164" totalsRowDxfId="163" dataCellStyle="Currency 16">
      <totalsRowFormula>SUM(N8:N50)</totalsRowFormula>
    </tableColumn>
    <tableColumn id="14" xr3:uid="{7DCDF157-99AB-4305-987F-5184401E82E4}" name="Actuals 20/21" totalsRowFunction="custom" totalsRowDxfId="162" dataCellStyle="Normal 2 2">
      <totalsRowFormula>SUM(O8:O50)</totalsRowFormula>
    </tableColumn>
    <tableColumn id="15" xr3:uid="{B1BB1DC8-A8E2-41B2-B6A8-451E47C55CE6}" name="Budget 21/22" totalsRowFunction="custom" totalsRowDxfId="161" dataCellStyle="Normal 2 2">
      <totalsRowFormula>SUM(P8:P50)</totalsRowFormula>
    </tableColumn>
    <tableColumn id="16" xr3:uid="{53E69424-A3B4-446E-A143-3A9898277BF0}" name="Actuals 21/22" totalsRowFunction="sum" dataDxfId="160" totalsRowDxfId="159" dataCellStyle="Normal 2 2"/>
    <tableColumn id="17" xr3:uid="{931F28BD-8682-4CA7-80FD-03891FBB77A5}" name="Budget 22/23" totalsRowFunction="custom" dataDxfId="158" totalsRowDxfId="157" dataCellStyle="Normal 2 2">
      <totalsRowFormula>SUM(MarketingGeneralExpenses7581[Budget 22/23])</totalsRowFormula>
    </tableColumn>
  </tableColumns>
  <tableStyleInfo name="Feds Budget" showFirstColumn="0" showLastColumn="0" showRowStripes="0" showColumnStripes="1"/>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5F000000}" name="MarketingGeneralRevenues718082" displayName="MarketingGeneralRevenues718082" ref="B3:R5" totalsRowCount="1" headerRowDxfId="156" headerRowCellStyle="Normal 3">
  <tableColumns count="17">
    <tableColumn id="1" xr3:uid="{00000000-0010-0000-5F00-000001000000}" name="Revenues" totalsRowLabel="Total" totalsRowDxfId="155"/>
    <tableColumn id="3" xr3:uid="{00000000-0010-0000-5F00-000003000000}" name="Budget 14/15" totalsRowFunction="sum" dataDxfId="154" totalsRowDxfId="153" dataCellStyle="Currency 2 2"/>
    <tableColumn id="7" xr3:uid="{00000000-0010-0000-5F00-000007000000}" name="Budget 15/16" totalsRowFunction="sum" dataDxfId="152" totalsRowDxfId="151" dataCellStyle="Currency 2 2"/>
    <tableColumn id="8" xr3:uid="{00000000-0010-0000-5F00-000008000000}" name="Actual 15/16" totalsRowFunction="sum" dataDxfId="150" totalsRowDxfId="149" dataCellStyle="Currency 2 2"/>
    <tableColumn id="2" xr3:uid="{00000000-0010-0000-5F00-000002000000}" name="Budget 16/17" totalsRowFunction="custom" dataDxfId="148" totalsRowDxfId="147">
      <totalsRowFormula>SUM(MarketingGeneralRevenues718082[Budget 16/17])</totalsRowFormula>
    </tableColumn>
    <tableColumn id="4" xr3:uid="{00000000-0010-0000-5F00-000004000000}" name="Budget 16/18" totalsRowFunction="custom" dataDxfId="146" totalsRowDxfId="145" dataCellStyle="Currency 2 2">
      <totalsRowFormula>SUM(MarketingGeneralRevenues718082[Budget 16/18])</totalsRowFormula>
    </tableColumn>
    <tableColumn id="5" xr3:uid="{00000000-0010-0000-5F00-000005000000}" name="Budget 17/18" totalsRowFunction="custom" totalsRowDxfId="144" dataCellStyle="Currency">
      <totalsRowFormula>SUM(MarketingGeneralRevenues718082[Budget 17/18])</totalsRowFormula>
    </tableColumn>
    <tableColumn id="6" xr3:uid="{00000000-0010-0000-5F00-000006000000}" name="Actual 17/18" totalsRowFunction="sum" dataDxfId="143" totalsRowDxfId="142" dataCellStyle="Currency 2 2"/>
    <tableColumn id="9" xr3:uid="{00000000-0010-0000-5F00-000009000000}" name="Budget 18/19" totalsRowFunction="sum" totalsRowDxfId="141" dataCellStyle="Currency">
      <calculatedColumnFormula>MarketingGeneralExpenses758197[[#Totals],[Budget 18/19]]</calculatedColumnFormula>
    </tableColumn>
    <tableColumn id="12" xr3:uid="{00000000-0010-0000-5F00-00000C000000}" name="Actual 18/19" totalsRowFunction="sum" dataDxfId="140" totalsRowDxfId="139" dataCellStyle="Currency 16">
      <calculatedColumnFormula>40922.45+2928.8</calculatedColumnFormula>
    </tableColumn>
    <tableColumn id="10" xr3:uid="{00000000-0010-0000-5F00-00000A000000}" name="Budget 2019/20" totalsRowFunction="sum" dataDxfId="138" totalsRowDxfId="137" dataCellStyle="Currency">
      <calculatedColumnFormula>MarketingGeneralExpenses758197[[#Totals],[Budget 2019/20]]</calculatedColumnFormula>
    </tableColumn>
    <tableColumn id="13" xr3:uid="{47F36D7B-1C70-40D4-9633-A42A1235E4DA}" name="Actual 19/20" totalsRowFunction="custom" dataDxfId="136" totalsRowDxfId="135" dataCellStyle="Currency">
      <totalsRowFormula>SUM(MarketingGeneralRevenues718082[Actual 19/20])</totalsRowFormula>
    </tableColumn>
    <tableColumn id="11" xr3:uid="{00000000-0010-0000-5F00-00000B000000}" name="Budget 20/21" totalsRowFunction="sum" dataDxfId="134" totalsRowDxfId="133" dataCellStyle="Currency">
      <calculatedColumnFormula>#REF!+#REF!+#REF!+#REF!+#REF!</calculatedColumnFormula>
    </tableColumn>
    <tableColumn id="14" xr3:uid="{7335F6BE-E3A6-4A28-8F86-B0CE5DA3DF46}" name="Actual 20/212" totalsRowFunction="sum" totalsRowDxfId="132" dataCellStyle="Normal 2 2"/>
    <tableColumn id="15" xr3:uid="{52D5A5A3-2062-4CD8-8B8C-837CF62C92BE}" name="Budget 21/22" totalsRowFunction="sum" dataDxfId="131" totalsRowDxfId="130" dataCellStyle="Currency"/>
    <tableColumn id="16" xr3:uid="{8237444E-7B8B-40CB-B7DD-9410D3D6585A}" name="Actuals 21/22" totalsRowFunction="sum" dataDxfId="129" totalsRowDxfId="128" dataCellStyle="Normal 2 2"/>
    <tableColumn id="17" xr3:uid="{CBC9ACDA-871A-4F9F-A39D-8688D291870E}" name="Budget 22/23" totalsRowFunction="custom" dataDxfId="127" totalsRowDxfId="126" dataCellStyle="Normal 2 2">
      <calculatedColumnFormula>#REF!+#REF!+#REF!+#REF!+#REF!</calculatedColumnFormula>
      <totalsRowFormula array="1">MarketingGeneralRevenues718082[Budget 22/23]</totalsRowFormula>
    </tableColumn>
  </tableColumns>
  <tableStyleInfo name="Feds Budget" showFirstColumn="0" showLastColumn="0" showRowStripes="0" showColumnStripes="1"/>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60000000}" name="MarketingGeneralExpenses758197" displayName="MarketingGeneralExpenses758197" ref="B7:R33" totalsRowCount="1" headerRowDxfId="125" headerRowCellStyle="Normal 3">
  <tableColumns count="17">
    <tableColumn id="1" xr3:uid="{00000000-0010-0000-6000-000001000000}" name="Expenses" totalsRowLabel="Total" totalsRowDxfId="124" dataCellStyle="Normal 22"/>
    <tableColumn id="2" xr3:uid="{00000000-0010-0000-6000-000002000000}" name="Budget 14/15" totalsRowFunction="sum" dataDxfId="123" totalsRowDxfId="122" dataCellStyle="Normal 22"/>
    <tableColumn id="6" xr3:uid="{00000000-0010-0000-6000-000006000000}" name="Budget 15/16" totalsRowFunction="sum" dataDxfId="121" totalsRowDxfId="120" dataCellStyle="Normal 22"/>
    <tableColumn id="8" xr3:uid="{00000000-0010-0000-6000-000008000000}" name="Actual 15/16" totalsRowFunction="sum" dataDxfId="119" totalsRowDxfId="118" dataCellStyle="Normal 22"/>
    <tableColumn id="3" xr3:uid="{00000000-0010-0000-6000-000003000000}" name="budget 16/17" totalsRowFunction="sum" dataDxfId="117" totalsRowDxfId="116" dataCellStyle="Normal 22"/>
    <tableColumn id="4" xr3:uid="{00000000-0010-0000-6000-000004000000}" name="budget 16/18" totalsRowFunction="sum" dataDxfId="115" totalsRowDxfId="114" dataCellStyle="Normal 22"/>
    <tableColumn id="5" xr3:uid="{00000000-0010-0000-6000-000005000000}" name="Budget 17/18" totalsRowFunction="sum" totalsRowDxfId="113" dataCellStyle="Normal 22"/>
    <tableColumn id="7" xr3:uid="{00000000-0010-0000-6000-000007000000}" name="Actual 17/18" totalsRowFunction="sum" dataDxfId="112" totalsRowDxfId="111" dataCellStyle="Normal 22"/>
    <tableColumn id="9" xr3:uid="{00000000-0010-0000-6000-000009000000}" name="Budget 18/19" totalsRowFunction="sum" totalsRowDxfId="110" dataCellStyle="Normal 22"/>
    <tableColumn id="12" xr3:uid="{00000000-0010-0000-6000-00000C000000}" name="Actual 18/19" totalsRowFunction="sum" dataDxfId="109" totalsRowDxfId="108" dataCellStyle="Currency 16"/>
    <tableColumn id="10" xr3:uid="{00000000-0010-0000-6000-00000A000000}" name="Budget 2019/20" totalsRowFunction="custom" dataDxfId="107" totalsRowDxfId="106" dataCellStyle="Currency 16">
      <totalsRowFormula>SUM(L8:L32)</totalsRowFormula>
    </tableColumn>
    <tableColumn id="13" xr3:uid="{59C71D29-29F2-4B8E-9586-F36D01FDEAC0}" name="Actual 19/20" totalsRowFunction="custom" dataDxfId="105" totalsRowDxfId="104" dataCellStyle="Currency 16">
      <totalsRowFormula>SUM(MarketingGeneralExpenses758197[Actual 19/20])</totalsRowFormula>
    </tableColumn>
    <tableColumn id="11" xr3:uid="{00000000-0010-0000-6000-00000B000000}" name="Budget 20/21" totalsRowFunction="custom" dataDxfId="103" totalsRowDxfId="102" dataCellStyle="Currency 16">
      <totalsRowFormula>SUM(N8:N32)</totalsRowFormula>
    </tableColumn>
    <tableColumn id="14" xr3:uid="{EFBFB2E0-8CB1-41E6-B111-0EE23AAC75C9}" name="Actual 20/212" totalsRowFunction="custom" totalsRowDxfId="101" dataCellStyle="Normal 2 2">
      <totalsRowFormula>SUM(O8:O32)</totalsRowFormula>
    </tableColumn>
    <tableColumn id="15" xr3:uid="{1257A50C-BB0B-4E75-97E7-69F28EB306EF}" name="Budget 21/22" totalsRowFunction="custom" totalsRowDxfId="100" dataCellStyle="Normal 2 2">
      <totalsRowFormula>SUM(P8:P32)</totalsRowFormula>
    </tableColumn>
    <tableColumn id="16" xr3:uid="{D4D2288D-FC8F-4A4B-BD8D-98A854F4A569}" name="Actuals 21/22" totalsRowFunction="sum" dataDxfId="99" totalsRowDxfId="98" dataCellStyle="Normal 2 2"/>
    <tableColumn id="17" xr3:uid="{2644D75E-7C7C-436A-B847-67C6A5419C99}" name="Budget 22/23" totalsRowFunction="custom" dataDxfId="97" totalsRowDxfId="96" dataCellStyle="Currency">
      <totalsRowFormula>SUM(MarketingGeneralExpenses758197[Budget 22/23])</totalsRowFormula>
    </tableColumn>
  </tableColumns>
  <tableStyleInfo name="Feds Budget" showFirstColumn="0" showLastColumn="0" showRowStripes="0" showColumnStripes="1"/>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61000000}" name="MarketingGeneralRevenues718014" displayName="MarketingGeneralRevenues718014" ref="B3:G5" totalsRowCount="1" headerRowDxfId="95" headerRowCellStyle="Normal 3">
  <tableColumns count="6">
    <tableColumn id="1" xr3:uid="{00000000-0010-0000-6100-000001000000}" name="Revenues" totalsRowLabel="Total" totalsRowDxfId="94" dataCellStyle="Normal 22"/>
    <tableColumn id="3" xr3:uid="{00000000-0010-0000-6100-000003000000}" name="Budget 20/21" totalsRowFunction="custom" dataDxfId="93" totalsRowDxfId="92" dataCellStyle="Currency 2 2 2">
      <totalsRowFormula>SUM(MarketingGeneralRevenues718014[[#Headers],[Budget 20/21]])</totalsRowFormula>
    </tableColumn>
    <tableColumn id="2" xr3:uid="{E393A695-2971-4896-8F4A-89871A31D158}" name="Actuals 20/21" totalsRowFunction="custom" dataDxfId="91" totalsRowDxfId="90" dataCellStyle="Currency">
      <totalsRowFormula>SUM(MarketingGeneralRevenues718014[[#Headers],[Actuals 20/21]])</totalsRowFormula>
    </tableColumn>
    <tableColumn id="4" xr3:uid="{3727ABC9-8D14-425F-84AF-F84DA1B33A69}" name="Budget 21/22" totalsRowFunction="custom" dataDxfId="89" totalsRowDxfId="88" dataCellStyle="Currency">
      <totalsRowFormula>SUM(MarketingGeneralRevenues718014[[#Headers],[Budget 21/22]])</totalsRowFormula>
    </tableColumn>
    <tableColumn id="5" xr3:uid="{D549600F-A152-42C0-BFC6-7FF5387566AE}" name="Actuals 21/22" totalsRowDxfId="87" dataCellStyle="Normal 2 2"/>
    <tableColumn id="6" xr3:uid="{3AFD3B85-EE46-4146-B6B4-00AE908CD6B3}" name="Budget 22/23" totalsRowDxfId="86" dataCellStyle="Normal 2 2"/>
  </tableColumns>
  <tableStyleInfo name="Feds Budget" showFirstColumn="0" showLastColumn="0" showRowStripes="0" showColumnStripes="1"/>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62000000}" name="MarketingGeneralExpenses758115" displayName="MarketingGeneralExpenses758115" ref="B7:G18" totalsRowCount="1" headerRowDxfId="85" headerRowCellStyle="Normal 3">
  <tableColumns count="6">
    <tableColumn id="1" xr3:uid="{00000000-0010-0000-6200-000001000000}" name="Expenses" totalsRowLabel="Total" totalsRowDxfId="84" dataCellStyle="Normal 22"/>
    <tableColumn id="2" xr3:uid="{00000000-0010-0000-6200-000002000000}" name="Budget 20/21" totalsRowFunction="sum" dataDxfId="83" totalsRowDxfId="82" dataCellStyle="Normal 22"/>
    <tableColumn id="3" xr3:uid="{44BF4430-65E5-4709-A8C3-6704E909EE74}" name="Actuals 20/21" totalsRowFunction="sum" dataDxfId="81" totalsRowDxfId="80" dataCellStyle="Currency"/>
    <tableColumn id="4" xr3:uid="{083DFEC6-5ABB-41EA-85C0-55DA70B34DC6}" name="Budget 21/22" totalsRowFunction="sum" dataDxfId="79" totalsRowDxfId="78" dataCellStyle="Currency"/>
    <tableColumn id="5" xr3:uid="{091566E7-4B03-408D-9F45-46BB5427F959}" name="Actuals 21/22" totalsRowFunction="sum" dataDxfId="77" totalsRowDxfId="76" dataCellStyle="Normal 2 2"/>
    <tableColumn id="6" xr3:uid="{94C11C42-35EC-45DF-A80F-75F27774BAFD}" name="Budget 22/23" totalsRowFunction="custom" totalsRowDxfId="75" dataCellStyle="Normal 2 2">
      <totalsRowFormula>SUM(MarketingGeneralExpenses758115[Budget 22/23])</totalsRowFormula>
    </tableColumn>
  </tableColumns>
  <tableStyleInfo name="Feds Budget" showFirstColumn="0" showLastColumn="0" showRowStripes="0" showColumnStripes="1"/>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929D211B-20F5-4092-8014-F3D3379DFAAD}" name="MarketingGeneralRevenues71801497" displayName="MarketingGeneralRevenues71801497" ref="B3:G5" totalsRowCount="1" headerRowDxfId="74" headerRowCellStyle="Normal 3">
  <tableColumns count="6">
    <tableColumn id="1" xr3:uid="{A15CF1B8-37E5-42CC-A0D9-71B1EC1C158A}" name="Revenues" totalsRowLabel="Total" totalsRowDxfId="73" dataCellStyle="Normal 22"/>
    <tableColumn id="3" xr3:uid="{7DEFEDD5-394F-4798-8A56-4B504FDA70DD}" name="Budget 22/23" dataDxfId="72" totalsRowDxfId="71" dataCellStyle="Currency 2 2 2"/>
    <tableColumn id="2" xr3:uid="{6C7FBDAA-E4AD-4F74-B08A-87E51DF2C393}" name="Column2" dataDxfId="70" totalsRowDxfId="69" dataCellStyle="Currency"/>
    <tableColumn id="4" xr3:uid="{85C2EAAE-8B52-4F33-B912-FF6D53C8DC09}" name="Column3" dataDxfId="68" totalsRowDxfId="67" dataCellStyle="Currency"/>
    <tableColumn id="5" xr3:uid="{F7414B38-A1B1-4584-8840-140794BD7913}" name="Column4" totalsRowDxfId="66" dataCellStyle="Normal 2 2"/>
    <tableColumn id="6" xr3:uid="{CDE80B50-4BA2-4914-A96D-E1C8E61BC171}" name="Column5" totalsRowDxfId="65" dataCellStyle="Normal 2 2"/>
  </tableColumns>
  <tableStyleInfo name="Feds Budget" showFirstColumn="0" showLastColumn="0" showRowStripes="0" showColumnStripes="1"/>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ACB12E0F-CC1C-45AD-9D44-381D2EAA2C92}" name="MarketingGeneralExpenses75811598" displayName="MarketingGeneralExpenses75811598" ref="B7:G17" totalsRowCount="1" headerRowDxfId="64" headerRowCellStyle="Normal 3">
  <tableColumns count="6">
    <tableColumn id="1" xr3:uid="{4FA75CD9-A9CE-445D-81D0-01AB0AD2BC21}" name="Expenses" totalsRowLabel="Total" dataCellStyle="Normal 22"/>
    <tableColumn id="2" xr3:uid="{0E55C947-EE52-4F9E-8206-D2A843853823}" name="Budget 22/23" totalsRowFunction="custom" dataDxfId="63" totalsRowDxfId="62" dataCellStyle="Normal 22">
      <totalsRowFormula>SUM(MarketingGeneralExpenses75811598[Budget 22/23])</totalsRowFormula>
    </tableColumn>
    <tableColumn id="3" xr3:uid="{807C2EE6-FF38-47AD-9BCB-51F0F3116B8E}" name="Column2" dataDxfId="61" totalsRowDxfId="60" dataCellStyle="Currency"/>
    <tableColumn id="4" xr3:uid="{DEC6801B-3FCE-4634-BEED-F8D217171D42}" name="Column3" dataDxfId="59" totalsRowDxfId="58" dataCellStyle="Currency"/>
    <tableColumn id="5" xr3:uid="{25EBB272-E16E-4601-8842-2EF7B0E6C570}" name="Column4" totalsRowDxfId="57" dataCellStyle="Normal 2 2"/>
    <tableColumn id="6" xr3:uid="{E6DD95CC-CA6D-460C-B744-78E56541EEBE}" name="Column5" totalsRowDxfId="56" dataCellStyle="Normal 2 2"/>
  </tableColumns>
  <tableStyleInfo name="Feds Budget" showFirstColumn="0" showLastColumn="0" showRowStripes="0" showColumnStripes="1"/>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A29" dT="2022-08-15T21:07:39.47" personId="{642D14E0-D04F-4E08-8DE0-D0CF0097112C}" id="{21F1050A-9E6E-4F49-9403-E644680F24E7}">
    <text>50K for equity + 20K for gov</text>
  </threadedComment>
</ThreadedComments>
</file>

<file path=xl/threadedComments/threadedComment10.xml><?xml version="1.0" encoding="utf-8"?>
<ThreadedComments xmlns="http://schemas.microsoft.com/office/spreadsheetml/2018/threadedcomments" xmlns:x="http://schemas.openxmlformats.org/spreadsheetml/2006/main">
  <threadedComment ref="P24" dT="2021-06-20T17:25:28.96" personId="{5AF42EDC-456C-42C7-A455-2D429DCBEF09}" id="{6846E0CA-D19A-4360-8CD5-62640AA1DF39}">
    <text>Spring term = 1 Coordinator x 15hrs x 15 weeks x $16/hr + 4% = $3744
Fall term and Winter Term – 2 Coordinators x 15 hrs x 15 weeks x $16/hr + 4% = $14976</text>
  </threadedComment>
  <threadedComment ref="R24" dT="2022-03-22T19:37:46.60" personId="{3B015A8A-4B6A-495F-AACC-12D25313F00E}" id="{955A2DC8-CBC4-4EAF-869A-C503DE39E8F9}">
    <text>15 hours a week x $16/hour x 14 weeks = $3360 
7.5 (half hours) x $16/hour x 1 week = $120 
3360 + 120 + 4% = $3619.20 (1 coordinators wage per term) 
$3619.20 x 6 coordinators (2 coordinators per term) =  
$21,715.20 - rounded up to $21,720 </text>
  </threadedComment>
  <threadedComment ref="R24" dT="2022-06-29T16:56:38.49" personId="{F3639006-9480-48D9-8513-9C0DEAF27A68}" id="{4E8599D4-B405-4EAF-8F7A-40AD1CA09B56}" parentId="{955A2DC8-CBC4-4EAF-869A-C503DE39E8F9}">
    <text>Edited to reflect 13%, not 4%</text>
  </threadedComment>
  <threadedComment ref="P26" dT="2021-06-20T17:25:50.62" personId="{5AF42EDC-456C-42C7-A455-2D429DCBEF09}" id="{55334B51-761B-489D-80EE-5B07E1C7DA44}">
    <text>4 execs + 7 volunteers = 11 for Fall 2020 ; 4 execs + 20 volunteers= 24 for Winter 2021
Volunteers receive $10 for appreciation (20 volunteers x $10 = $200), execs receive $30 for appreciation (4 execs x $30 = $120). $200 + $120 = $420; 
Just like the Fall 2020 term, Winter 2021 volunteers receive $10 appreciation (20 volunteers x $10= $200) and execs receive $30 appreciation (4 execs x $30 = $120). $200 + $120 = $420;</text>
  </threadedComment>
  <threadedComment ref="R29" dT="2022-03-09T17:40:02.77" personId="{E4966502-1DB9-4B7E-A58F-9AA9522E0B26}" id="{795A2DA0-42F0-4E56-A9AD-2A738FB9FCBD}">
    <text>Just moved spaces; will account for any new items needed</text>
  </threadedComment>
  <threadedComment ref="R30" dT="2022-03-09T17:40:34.74" personId="{E4966502-1DB9-4B7E-A58F-9AA9522E0B26}" id="{BD58D3E7-1B3C-44D4-BC81-3C133715560E}">
    <text>Approx $30 a term to account for snacks at traning</text>
  </threadedComment>
  <threadedComment ref="R32" dT="2022-03-09T17:43:28.34" personId="{E4966502-1DB9-4B7E-A58F-9AA9522E0B26}" id="{CEEC6905-00FA-46AA-A127-26032D715BA4}">
    <text>$800/term for on campus events (not trips)</text>
  </threadedComment>
</ThreadedComments>
</file>

<file path=xl/threadedComments/threadedComment11.xml><?xml version="1.0" encoding="utf-8"?>
<ThreadedComments xmlns="http://schemas.microsoft.com/office/spreadsheetml/2018/threadedcomments" xmlns:x="http://schemas.openxmlformats.org/spreadsheetml/2006/main">
  <threadedComment ref="L10" dT="2021-06-20T18:49:03.53" personId="{5AF42EDC-456C-42C7-A455-2D429DCBEF09}" id="{031FD4BE-3C88-4C64-B1C7-4EC0DFAD8C0A}">
    <text>Formula for calculation: 25 hours x 15 weeks x $16 + 4% = $6240 (for each coordinator for each term)
Total for the year: $6240 x 2 people x 3 terms = $37,440</text>
  </threadedComment>
  <threadedComment ref="L13" dT="2021-06-20T18:49:44.56" personId="{5AF42EDC-456C-42C7-A455-2D429DCBEF09}" id="{E962139F-BF0D-48E5-8635-1F20A768AA70}">
    <text>Formula: $30/term per exec (15 execs), $20/term per PSV (40 PSV). Multiplied by 3 terms. Adding in a $500 buffer as well.</text>
  </threadedComment>
</ThreadedComments>
</file>

<file path=xl/threadedComments/threadedComment12.xml><?xml version="1.0" encoding="utf-8"?>
<ThreadedComments xmlns="http://schemas.microsoft.com/office/spreadsheetml/2018/threadedcomments" xmlns:x="http://schemas.openxmlformats.org/spreadsheetml/2006/main">
  <threadedComment ref="AA63" dT="2022-03-01T13:46:34.42" personId="{E5F38187-0B36-4B0F-829E-B395C1C77CC2}" id="{184B0761-00C7-4A2D-B43C-AC925076CFC0}">
    <text>~ $50,000 for carnival + other events. Larger budget this year due to the return to campus. Lowered the Winter Welcome Week instead</text>
  </threadedComment>
</ThreadedComments>
</file>

<file path=xl/threadedComments/threadedComment13.xml><?xml version="1.0" encoding="utf-8"?>
<ThreadedComments xmlns="http://schemas.microsoft.com/office/spreadsheetml/2018/threadedcomments" xmlns:x="http://schemas.openxmlformats.org/spreadsheetml/2006/main">
  <threadedComment ref="C13" dT="2022-03-22T00:31:10.21" personId="{3B015A8A-4B6A-495F-AACC-12D25313F00E}" id="{39928F8A-2C3D-4337-B24E-F31F742C6ACB}">
    <text>1 Clothing Store Manager = 16 wks x $15 x 25hrs x 3 = 18000 (pt wages)</text>
  </threadedComment>
  <threadedComment ref="C14" dT="2022-03-22T00:30:46.05" personId="{3B015A8A-4B6A-495F-AACC-12D25313F00E}" id="{64B152F0-7C42-4E6B-8B73-FEE1272B2C3F}">
    <text>3 execs per term x $30 x 3 terms = 270
· 25 volunteers per term x 10 dollars x 3 terms = 750</text>
  </threadedComment>
  <threadedComment ref="C16" dT="2022-03-22T01:09:34.63" personId="{3B015A8A-4B6A-495F-AACC-12D25313F00E}" id="{F3E42BD1-B778-4601-8AF6-6AB51ADF9298}">
    <text>Storage unit (one more year)</text>
  </threadedComment>
  <threadedComment ref="C21" dT="2022-08-15T21:18:42.60" personId="{642D14E0-D04F-4E08-8DE0-D0CF0097112C}" id="{41480220-8975-4792-988A-E9BE0950957B}">
    <text>new bin to store clothes. This will be amortized as a fixed cost</text>
  </threadedComment>
  <threadedComment ref="C29" dT="2022-06-03T17:18:03.13" personId="{F3639006-9480-48D9-8513-9C0DEAF27A68}" id="{41AAFE4A-1B35-421E-BAB5-768991A699A8}">
    <text>Who will operate this? Who is accountable for financial loses?
Does this make sense with a -1530% loss margin? Was this store meant to originally be revenue sustaining?
What does "Operational Costs" mean? This might be too general of term. Are the clothes donated and thus costs should be next to nothing?
Is 1500 realistic revenue for the whole year?</text>
  </threadedComment>
</ThreadedComments>
</file>

<file path=xl/threadedComments/threadedComment14.xml><?xml version="1.0" encoding="utf-8"?>
<ThreadedComments xmlns="http://schemas.microsoft.com/office/spreadsheetml/2018/threadedcomments" xmlns:x="http://schemas.openxmlformats.org/spreadsheetml/2006/main">
  <threadedComment ref="AB11" dT="2022-06-21T17:15:31.72" personId="{51A6900A-60F6-400C-BE33-ACA3DEBBFA84}" id="{29B56ED8-8CEE-479F-B225-EEDE47EB2085}">
    <text>As stakeholder duties will be split up among Board Members under the new governance model, AVPs in their current form will no longer exist. This budget line includes funds to pay the existing Exec Assistant to the VP, Ed portfolio until their term ends on Aug 31st. The remainder are funds to hire up to 2 co-op students (or part-time staff) for both Fall and Winter (in the scenario that the Manager of Advocacy and Stakeholder Relations determines additional support is needed).</text>
  </threadedComment>
  <threadedComment ref="Z19" dT="2021-08-05T16:26:36.66" personId="{32E913AF-5B0C-4376-B751-B7F8BC8D21F0}" id="{2A2CA471-B4AF-48CE-B234-770E45AC66F6}">
    <text xml:space="preserve">$1000 put under Pres budget to support involvement in SUDS
</text>
  </threadedComment>
  <threadedComment ref="AB26" dT="2022-06-21T17:17:29.88" personId="{51A6900A-60F6-400C-BE33-ACA3DEBBFA84}" id="{140653B1-7365-4603-B3B6-9763BCDA7803}">
    <text>We're likely going to be asked to pitch in on expenses for UCRU as we've still yet to charge a fee. This also accounts for the cost of Federal Advocacy Week, which will likely take place in-person in Ottawa.</text>
  </threadedComment>
</ThreadedComments>
</file>

<file path=xl/threadedComments/threadedComment15.xml><?xml version="1.0" encoding="utf-8"?>
<ThreadedComments xmlns="http://schemas.microsoft.com/office/spreadsheetml/2018/threadedcomments" xmlns:x="http://schemas.openxmlformats.org/spreadsheetml/2006/main">
  <threadedComment ref="U12" dT="2022-06-21T15:55:39.82" personId="{51A6900A-60F6-400C-BE33-ACA3DEBBFA84}" id="{F7E7DE34-CCCD-4921-B7F9-497738BBAA64}">
    <text>Assuming we adopt the new government model, academic and co-op affairs duties will be redistributed to Board members. These numbers reflect the cost of paying the current AVP, Co-op Affairs and a part-time research assistant (the VPED is handling AVP, Academic duties with the support of Advocacy department. The research assistant is meant to supplement that in lieu of a AVP, Academic) over the Spring term. From there, I've set aside enough funds for 2 co-op students (or a co-op student and 2 part-time staff) to help do some of the more adminstrative/operational functions that were previously performed by AVPs.</text>
  </threadedComment>
  <threadedComment ref="U14" dT="2022-06-21T15:45:15.04" personId="{51A6900A-60F6-400C-BE33-ACA3DEBBFA84}" id="{7CC51AEA-6A9B-4B81-907F-28C065F114EA}">
    <text>Moved under Services</text>
  </threadedComment>
  <threadedComment ref="U16" dT="2022-06-21T15:57:10.21" personId="{51A6900A-60F6-400C-BE33-ACA3DEBBFA84}" id="{A8F530E3-4F13-41EC-9A85-718912D5AF01}">
    <text>Cut this as the existing part-time staff are only around for Spring term</text>
  </threadedComment>
  <threadedComment ref="U22" dT="2022-06-21T15:59:33.28" personId="{51A6900A-60F6-400C-BE33-ACA3DEBBFA84}" id="{4AB1AE97-D030-496C-9661-A4740B66BE34}">
    <text>Purchases for WUSA Teaching Awards were delayed. This is me moving over the unspent funds from last year so we can finish up the Winter 22 awards and have enough funds for the Winter 23 ones.</text>
  </threadedComment>
</ThreadedComments>
</file>

<file path=xl/threadedComments/threadedComment16.xml><?xml version="1.0" encoding="utf-8"?>
<ThreadedComments xmlns="http://schemas.microsoft.com/office/spreadsheetml/2018/threadedcomments" xmlns:x="http://schemas.openxmlformats.org/spreadsheetml/2006/main">
  <threadedComment ref="X11" dT="2022-06-21T16:45:47.72" personId="{51A6900A-60F6-400C-BE33-ACA3DEBBFA84}" id="{3937AE24-76CA-40C0-99A0-3A9E435EB799}">
    <text>Assuming we impliment the new governance model, provincial and federal affairs will be done mostly by the VP with support from the SRO. The number here is what's required to pay the current AVP, Provincial and Federal affairs for Spring. If additional support is needed, funds have been set-aside under the VPED budget to hire part-time staff or co-op under the Manager of Advocacy and Stakeholder Relations.</text>
  </threadedComment>
</ThreadedComments>
</file>

<file path=xl/threadedComments/threadedComment17.xml><?xml version="1.0" encoding="utf-8"?>
<ThreadedComments xmlns="http://schemas.microsoft.com/office/spreadsheetml/2018/threadedcomments" xmlns:x="http://schemas.openxmlformats.org/spreadsheetml/2006/main">
  <threadedComment ref="U12" dT="2022-06-21T16:50:54.42" personId="{51A6900A-60F6-400C-BE33-ACA3DEBBFA84}" id="{A77FD13E-78E0-4FE2-BD4E-5FA812FC6880}">
    <text>Under new governance model, municipal affairs will be handled by the VP (or a Board Member). We haven't hired an AVP, Municipal Affairs for the Spring. Those functions are being managed by other members of the Advocacy department, so no budget is required. If we find any additional assistance is needed, the Manager of Advocacy and Stakeholder Relations can pull from the VPED budget.</text>
  </threadedComment>
  <threadedComment ref="U15" dT="2022-06-21T16:55:38.24" personId="{51A6900A-60F6-400C-BE33-ACA3DEBBFA84}" id="{CDCB8337-8E54-4AAE-B5EE-0BB752EDCB92}">
    <text>Left this in because we pulled from it for Town and Gown Association of Ontario conference</text>
  </threadedComment>
</ThreadedComments>
</file>

<file path=xl/threadedComments/threadedComment18.xml><?xml version="1.0" encoding="utf-8"?>
<ThreadedComments xmlns="http://schemas.microsoft.com/office/spreadsheetml/2018/threadedcomments" xmlns:x="http://schemas.openxmlformats.org/spreadsheetml/2006/main">
  <threadedComment ref="AA11" dT="2022-06-21T16:52:08.74" personId="{51A6900A-60F6-400C-BE33-ACA3DEBBFA84}" id="{46B6A868-D068-4806-8A4A-E3102754762D}">
    <text>OUSA fee is $3.24 per FTE</text>
  </threadedComment>
  <threadedComment ref="AA12" dT="2022-06-21T16:54:13.42" personId="{51A6900A-60F6-400C-BE33-ACA3DEBBFA84}" id="{C2D7D8E8-68F3-4B25-A53C-F9C73FB1457A}">
    <text>Funds to assist with doing OUSA consultations (i.e. survey incentives, booths, etc)</text>
  </threadedComment>
  <threadedComment ref="AA14" dT="2022-06-21T16:53:23.41" personId="{51A6900A-60F6-400C-BE33-ACA3DEBBFA84}" id="{84706C85-8669-4051-B833-A7E7CAA6343D}">
    <text>Adjusted to account for increased cost of fuel, food, and the liklihood that GA will occur in either Sudbury, Kingston, or both</text>
  </threadedComment>
</ThreadedComments>
</file>

<file path=xl/threadedComments/threadedComment19.xml><?xml version="1.0" encoding="utf-8"?>
<ThreadedComments xmlns="http://schemas.microsoft.com/office/spreadsheetml/2018/threadedcomments" xmlns:x="http://schemas.openxmlformats.org/spreadsheetml/2006/main">
  <threadedComment ref="Q14" dT="2022-06-03T17:23:47.58" personId="{F3639006-9480-48D9-8513-9C0DEAF27A68}" id="{3AEF6986-032A-4649-9234-57843FD365A2}">
    <text>multiple conferences, LS Retail. Food Show, C-Store Show for development efforts ahead</text>
  </threadedComment>
</ThreadedComments>
</file>

<file path=xl/threadedComments/threadedComment2.xml><?xml version="1.0" encoding="utf-8"?>
<ThreadedComments xmlns="http://schemas.microsoft.com/office/spreadsheetml/2018/threadedcomments" xmlns:x="http://schemas.openxmlformats.org/spreadsheetml/2006/main">
  <threadedComment ref="Z14" dT="2022-08-19T14:34:09.56" personId="{F52E28C9-39AB-4644-BEB4-9016592CA751}" id="{7472B38C-559A-4A5B-802C-8302FA223CBB}">
    <text>Total volunteer recognition was July/21 PT salary $5,958.54 &amp; Mar/22 PT salary $12,063.50. There is no breakdown in GL Description</text>
  </threadedComment>
  <threadedComment ref="AA28" dT="2022-08-07T14:21:00.64" personId="{5AF42EDC-456C-42C7-A455-2D429DCBEF09}" id="{906C0ADE-2D10-4EDE-A585-F82239E8D7AC}">
    <text>Assess if this is an expense the Board needs in future years</text>
  </threadedComment>
</ThreadedComments>
</file>

<file path=xl/threadedComments/threadedComment20.xml><?xml version="1.0" encoding="utf-8"?>
<ThreadedComments xmlns="http://schemas.microsoft.com/office/spreadsheetml/2018/threadedcomments" xmlns:x="http://schemas.openxmlformats.org/spreadsheetml/2006/main">
  <threadedComment ref="G8" dT="2022-05-19T17:20:23.94" personId="{B29B5E18-B520-4424-B336-5BEEF884B1DE}" id="{EA144446-F555-4BDC-AA8D-E0355FA878BE}">
    <text>Add all MCO FT staff here for this year? Suzanne to confirm.\</text>
  </threadedComment>
  <threadedComment ref="G9" dT="2022-05-19T17:20:39.04" personId="{B29B5E18-B520-4424-B336-5BEEF884B1DE}" id="{8300B474-F848-4D96-BDE3-8FDB8C3B0FC7}">
    <text>Moved to IT</text>
  </threadedComment>
  <threadedComment ref="G10" dT="2022-05-19T17:20:52.83" personId="{B29B5E18-B520-4424-B336-5BEEF884B1DE}" id="{1356E22F-C399-4785-B701-9A16F9D42D89}">
    <text>WUSA now paying direct</text>
  </threadedComment>
  <threadedComment ref="G17" dT="2022-05-19T17:21:16.72" personId="{B29B5E18-B520-4424-B336-5BEEF884B1DE}" id="{21BD22B1-80C2-48CD-9E2D-9643F8200D27}">
    <text>AMICCUS - Assuming flight on points</text>
  </threadedComment>
  <threadedComment ref="G18" dT="2022-05-19T17:21:41.88" personId="{B29B5E18-B520-4424-B336-5BEEF884B1DE}" id="{1315AFCE-EB7C-4FF8-8FB6-7D29FD9D368E}">
    <text>5 staff at 1 year, Alex at 10 years(FTS)</text>
  </threadedComment>
</ThreadedComments>
</file>

<file path=xl/threadedComments/threadedComment21.xml><?xml version="1.0" encoding="utf-8"?>
<ThreadedComments xmlns="http://schemas.microsoft.com/office/spreadsheetml/2018/threadedcomments" xmlns:x="http://schemas.openxmlformats.org/spreadsheetml/2006/main">
  <threadedComment ref="U5" dT="2022-05-19T17:24:40.65" personId="{B29B5E18-B520-4424-B336-5BEEF884B1DE}" id="{00296572-BEA2-4DEF-994C-5E3064DA6BC6}">
    <text>Digital screens/ Rouge</text>
  </threadedComment>
  <threadedComment ref="U8" dT="2022-05-19T17:25:15.00" personId="{B29B5E18-B520-4424-B336-5BEEF884B1DE}" id="{672DB85A-0B4A-4F2C-83D1-AC3D0C2D8E22}">
    <text>Revisit cost to run and advertise</text>
  </threadedComment>
  <threadedComment ref="U11" dT="2022-05-19T17:25:27.39" personId="{B29B5E18-B520-4424-B336-5BEEF884B1DE}" id="{4A4CB786-C9AB-48A3-A9E7-4E825E1FCC32}">
    <text>Pulling all marketing PTS salaries here vs. across 3 budgets (incl. co-ops)</text>
  </threadedComment>
  <threadedComment ref="R12" dT="2021-08-04T18:01:12.48" personId="{D40A569D-7686-4FE9-9841-37BC57376F13}" id="{3F834A79-3E17-4AF7-A04A-797DDA3B4755}">
    <text>Telephone and cellphone components from mktng-advo</text>
  </threadedComment>
  <threadedComment ref="U12" dT="2022-05-19T17:27:03.15" personId="{B29B5E18-B520-4424-B336-5BEEF884B1DE}" id="{D7D642EB-AD6D-4F69-A6DB-4210D6A3ACED}">
    <text>Moved to IT</text>
  </threadedComment>
  <threadedComment ref="U13" dT="2022-05-19T17:27:16.24" personId="{B29B5E18-B520-4424-B336-5BEEF884B1DE}" id="{0212DF2A-F17E-4AB4-B32A-8520BA7CDE9A}">
    <text>WUSA paying direct now</text>
  </threadedComment>
  <threadedComment ref="S17" dT="2021-06-21T01:59:22.27" personId="{5AF42EDC-456C-42C7-A455-2D429DCBEF09}" id="{6F6D004E-90FE-494C-A2A0-A4A98AD22F11}">
    <text>May require top up on things when back to the office with new staff</text>
  </threadedComment>
  <threadedComment ref="U17" dT="2022-05-19T17:25:46.57" personId="{B29B5E18-B520-4424-B336-5BEEF884B1DE}" id="{6CADB291-39A5-494C-88A3-672126E66FDC}">
    <text>May require top up on things when back to the office with new staff</text>
  </threadedComment>
  <threadedComment ref="U20" dT="2022-05-19T17:25:59.47" personId="{B29B5E18-B520-4424-B336-5BEEF884B1DE}" id="{179C0773-0ED3-4408-BF0D-974A9ABBB73A}">
    <text>$100K WUSA Box + more general awareness with upper years</text>
  </threadedComment>
  <threadedComment ref="U20" dT="2022-06-09T19:24:20.59" personId="{F3639006-9480-48D9-8513-9C0DEAF27A68}" id="{76CF9D21-26F0-4FB8-B31B-F8157398CD1E}" parentId="{179C0773-0ED3-4408-BF0D-974A9ABBB73A}">
    <text>67075 - WUSA Boxes 
66020 - General Promo</text>
  </threadedComment>
  <threadedComment ref="U22" dT="2022-05-19T17:26:13.44" personId="{B29B5E18-B520-4424-B336-5BEEF884B1DE}" id="{EA194675-B7E7-46CB-A004-E0E6BA77BB71}">
    <text>Increased FTS, very little in person last few years, Conveninece show in Vegas</text>
  </threadedComment>
  <threadedComment ref="U24" dT="2022-05-19T17:26:25.82" personId="{B29B5E18-B520-4424-B336-5BEEF884B1DE}" id="{8410FF8A-B414-4D6A-A099-3EDF7DE5562C}">
    <text>3 years of students new to campus, so assuming increased efforts</text>
  </threadedComment>
  <threadedComment ref="U25" dT="2022-05-19T17:26:39.37" personId="{B29B5E18-B520-4424-B336-5BEEF884B1DE}" id="{62D619C3-2F86-4AC6-ADF2-9E62D6F192AB}">
    <text>TBD w Gov Review (may be to promote governance changes in general)</text>
  </threadedComment>
  <threadedComment ref="U27" dT="2022-06-23T20:28:11.03" personId="{3453AA76-169F-493D-9F82-486F7EC1AEE3}" id="{3157B1D5-4FC9-4893-B6F8-F2247E95F8CE}">
    <text>2 Election cycles</text>
  </threadedComment>
  <threadedComment ref="U32" dT="2022-08-07T15:28:49.72" personId="{5AF42EDC-456C-42C7-A455-2D429DCBEF09}" id="{1521164C-2BBD-45FC-A858-6D9411F05DE3}">
    <text>for SPC program trial marketing</text>
  </threadedComment>
  <threadedComment ref="U33" dT="2022-05-19T17:26:53.22" personId="{B29B5E18-B520-4424-B336-5BEEF884B1DE}" id="{C8E44F4C-FCB1-43C7-86A0-1FF16B01AEF7}">
    <text>Look at current # PTS and co-ops</text>
  </threadedComment>
</ThreadedComments>
</file>

<file path=xl/threadedComments/threadedComment22.xml><?xml version="1.0" encoding="utf-8"?>
<ThreadedComments xmlns="http://schemas.microsoft.com/office/spreadsheetml/2018/threadedcomments" xmlns:x="http://schemas.openxmlformats.org/spreadsheetml/2006/main">
  <threadedComment ref="V9" dT="2022-05-19T17:30:18.47" personId="{B29B5E18-B520-4424-B336-5BEEF884B1DE}" id="{F3BFC498-5F94-4798-8CF0-3DF9D2436552}">
    <text>Includes co-ops</text>
  </threadedComment>
  <threadedComment ref="V10" dT="2022-05-19T17:30:29.75" personId="{B29B5E18-B520-4424-B336-5BEEF884B1DE}" id="{E471AA5D-9DBD-43EA-AA5B-C14607B12D61}">
    <text>Moved to IT</text>
  </threadedComment>
  <threadedComment ref="V11" dT="2022-05-19T17:30:40.40" personId="{B29B5E18-B520-4424-B336-5BEEF884B1DE}" id="{19CAA260-D74D-47CC-8178-3C16783D098E}">
    <text>Paid direct now</text>
  </threadedComment>
  <threadedComment ref="V17" dT="2022-05-19T17:30:52.19" personId="{B29B5E18-B520-4424-B336-5BEEF884B1DE}" id="{A244F462-2155-4109-807E-ABD0E1A55C11}">
    <text>4 major contents $250 x 4. Digital ads $1000. $500 for extra in case. (Governance review)</text>
  </threadedComment>
  <threadedComment ref="V18" dT="2022-05-19T17:31:16.38" personId="{B29B5E18-B520-4424-B336-5BEEF884B1DE}" id="{2AE6EEF3-5C6E-4196-A79C-77190556954C}">
    <text>AMICCUS for Stacey + other opps</text>
  </threadedComment>
  <threadedComment ref="V19" dT="2022-05-19T17:31:28.31" personId="{B29B5E18-B520-4424-B336-5BEEF884B1DE}" id="{9398559F-6FA0-4469-878B-DE9ED0897F96}">
    <text>Pratik will budget for cost of email problem under IT</text>
  </threadedComment>
  <threadedComment ref="V20" dT="2022-05-19T17:31:41.24" personId="{B29B5E18-B520-4424-B336-5BEEF884B1DE}" id="{DEF86072-6953-409B-A769-4EDA2AF21CDF}">
    <text>Look at # PTS and co-ops</text>
  </threadedComment>
  <threadedComment ref="V22" dT="2022-05-19T17:31:59.80" personId="{B29B5E18-B520-4424-B336-5BEEF884B1DE}" id="{EDC3AD17-2093-47B4-B94C-E5A8B6D5F41E}">
    <text>Check with any new equipment needs</text>
  </threadedComment>
  <threadedComment ref="V25" dT="2022-05-19T17:32:10.41" personId="{B29B5E18-B520-4424-B336-5BEEF884B1DE}" id="{96765727-443F-411C-A7BF-C0D50BD3AF17}">
    <text>Increase video presence on IG and Tik Tok</text>
  </threadedComment>
  <threadedComment ref="V26" dT="2022-05-19T17:32:19.28" personId="{B29B5E18-B520-4424-B336-5BEEF884B1DE}" id="{63EB8C09-B2E3-40AF-B2F3-08EE55503050}">
    <text>Moved to IT</text>
  </threadedComment>
</ThreadedComments>
</file>

<file path=xl/threadedComments/threadedComment23.xml><?xml version="1.0" encoding="utf-8"?>
<ThreadedComments xmlns="http://schemas.microsoft.com/office/spreadsheetml/2018/threadedcomments" xmlns:x="http://schemas.openxmlformats.org/spreadsheetml/2006/main">
  <threadedComment ref="R8" dT="2022-05-19T17:35:59.85" personId="{B29B5E18-B520-4424-B336-5BEEF884B1DE}" id="{87762047-AF29-4B0D-A7EF-FCC6528D01A0}">
    <text>Moved to 16100</text>
  </threadedComment>
  <threadedComment ref="R9" dT="2022-05-19T17:36:10.85" personId="{B29B5E18-B520-4424-B336-5BEEF884B1DE}" id="{9FC836B9-4189-49BA-B6FB-AFBD04E6639E}">
    <text>Moved to IT</text>
  </threadedComment>
  <threadedComment ref="R26" dT="2022-05-19T17:37:06.96" personId="{B29B5E18-B520-4424-B336-5BEEF884B1DE}" id="{E98B3608-BC6F-4E63-A912-836795F28C0C}">
    <text>Includes $500 for rebrand costs (unspent last year as initially budgeted for)</text>
  </threadedComment>
  <threadedComment ref="R27" dT="2022-05-19T17:37:11.79" personId="{B29B5E18-B520-4424-B336-5BEEF884B1DE}" id="{9E90E9AE-4FD6-47BA-8498-264D4273A2A1}">
    <text>Includes $500 for rebrand costs (unspent last year as initially budgeted for)</text>
  </threadedComment>
  <threadedComment ref="R29" dT="2022-05-19T17:37:20.55" personId="{B29B5E18-B520-4424-B336-5BEEF884B1DE}" id="{193CEBAC-E616-4500-94B2-1F296B1B970F}">
    <text>Includes $500 for rebrand costs (unspent last year as initially budgeted for)</text>
  </threadedComment>
  <threadedComment ref="R30" dT="2022-05-19T17:37:26.34" personId="{B29B5E18-B520-4424-B336-5BEEF884B1DE}" id="{08007BFC-3F21-483F-8F8F-20178188930D}">
    <text>Includes $500 for rebrand costs (unspent last year as initially budgeted for)</text>
  </threadedComment>
  <threadedComment ref="R31" dT="2022-05-19T17:38:04.33" personId="{B29B5E18-B520-4424-B336-5BEEF884B1DE}" id="{984388AD-98FC-4484-A4C6-753B0555B18C}">
    <text>Includes $300 for rebrand costs (unspent last year as initially budgeted for)</text>
  </threadedComment>
  <threadedComment ref="R32" dT="2022-05-19T17:38:09.15" personId="{B29B5E18-B520-4424-B336-5BEEF884B1DE}" id="{19C6D539-9E93-48A5-9337-2EE56AF8E5C8}">
    <text>Includes $300 for rebrand costs (unspent last year as initially budgeted for)</text>
  </threadedComment>
  <threadedComment ref="R34" dT="2022-05-19T17:37:34.89" personId="{B29B5E18-B520-4424-B336-5BEEF884B1DE}" id="{12CA26B9-0CA7-49DD-AC06-58151B425028}">
    <text>Includes $500 for rebrand costs (unspent last year as initially budgeted for)</text>
  </threadedComment>
  <threadedComment ref="R35" dT="2022-05-19T17:37:41.72" personId="{B29B5E18-B520-4424-B336-5BEEF884B1DE}" id="{0DF5EB86-DDBD-4656-81F2-ECC62DC35BBD}">
    <text>Includes $500 for rebrand costs (unspent last year as initially budgeted for)</text>
  </threadedComment>
  <threadedComment ref="R38" dT="2022-05-19T17:37:47.55" personId="{B29B5E18-B520-4424-B336-5BEEF884B1DE}" id="{2B473E73-C183-49F2-BCEF-6F43CA17A60B}">
    <text>Includes $500 for rebrand costs (unspent last year as initially budgeted for)</text>
  </threadedComment>
  <threadedComment ref="R39" dT="2022-05-19T17:38:22.81" personId="{B29B5E18-B520-4424-B336-5BEEF884B1DE}" id="{EE189D99-A652-4D6C-8864-122BEF1FBA1B}">
    <text>New service - launch plus signage</text>
  </threadedComment>
  <threadedComment ref="R40" dT="2022-05-19T17:38:32.41" personId="{B29B5E18-B520-4424-B336-5BEEF884B1DE}" id="{3C5B682B-12E4-4DF9-B5C6-AB711707F6C3}">
    <text>Includes additional $ for rebrand needs and increase events for this coming year</text>
  </threadedComment>
  <threadedComment ref="R42" dT="2022-05-19T17:37:55.38" personId="{B29B5E18-B520-4424-B336-5BEEF884B1DE}" id="{84E0507D-58A9-42CB-B255-53FD0FAFBD22}">
    <text>Includes $500 for rebrand costs (unspent last year as initially budgeted for)</text>
  </threadedComment>
</ThreadedComments>
</file>

<file path=xl/threadedComments/threadedComment24.xml><?xml version="1.0" encoding="utf-8"?>
<ThreadedComments xmlns="http://schemas.microsoft.com/office/spreadsheetml/2018/threadedcomments" xmlns:x="http://schemas.openxmlformats.org/spreadsheetml/2006/main">
  <threadedComment ref="R4" dT="2022-05-19T17:40:47.27" personId="{B29B5E18-B520-4424-B336-5BEEF884B1DE}" id="{C4FF5F8C-D429-4DF5-9CD4-191E8401FEC2}">
    <text>% TBD</text>
  </threadedComment>
  <threadedComment ref="R8" dT="2022-05-19T17:43:25.61" personId="{B29B5E18-B520-4424-B336-5BEEF884B1DE}" id="{2044DA0F-FB3C-44F2-A39D-D1DDE5FA66AC}">
    <text>Moved to 16100</text>
  </threadedComment>
  <threadedComment ref="R9" dT="2022-05-19T17:43:33.44" personId="{B29B5E18-B520-4424-B336-5BEEF884B1DE}" id="{FCAD5E3C-3D73-4E38-9891-4F6D7ECF6FA2}">
    <text>Moved to IT</text>
  </threadedComment>
</ThreadedComments>
</file>

<file path=xl/threadedComments/threadedComment25.xml><?xml version="1.0" encoding="utf-8"?>
<ThreadedComments xmlns="http://schemas.microsoft.com/office/spreadsheetml/2018/threadedcomments" xmlns:x="http://schemas.openxmlformats.org/spreadsheetml/2006/main">
  <threadedComment ref="I13" dT="2022-03-22T14:48:03.59" personId="{04AC0C54-6C17-4FC3-9999-FEC6EC5E4D42}" id="{A490BBDD-BCA7-44C5-A9C2-FABC1CEF6B94}">
    <text>https://www.kitchener.ca/en/arts-culture-and-events/state-of-the-city.aspx
Region, Kitchener, Waterloo (maybe Cambridge) ~$40/ticket - would like to double for SRO to bring Pres/VP for networking opps
= $320</text>
  </threadedComment>
</ThreadedComments>
</file>

<file path=xl/threadedComments/threadedComment26.xml><?xml version="1.0" encoding="utf-8"?>
<ThreadedComments xmlns="http://schemas.microsoft.com/office/spreadsheetml/2018/threadedcomments" xmlns:x="http://schemas.openxmlformats.org/spreadsheetml/2006/main">
  <threadedComment ref="I12" dT="2022-03-22T14:48:03.59" personId="{04AC0C54-6C17-4FC3-9999-FEC6EC5E4D42}" id="{294D1588-1A50-4DF0-9A16-0D213FDC30EA}">
    <text>https://www.kitchener.ca/en/arts-culture-and-events/state-of-the-city.aspx
Region, Kitchener, Waterloo (maybe Cambridge) ~$40/ticket - would like to double for SRO to bring Pres/VP for networking opps
= $320</text>
  </threadedComment>
</ThreadedComments>
</file>

<file path=xl/threadedComments/threadedComment27.xml><?xml version="1.0" encoding="utf-8"?>
<ThreadedComments xmlns="http://schemas.microsoft.com/office/spreadsheetml/2018/threadedcomments" xmlns:x="http://schemas.openxmlformats.org/spreadsheetml/2006/main">
  <threadedComment ref="G16" dT="2022-05-19T17:46:58.73" personId="{B29B5E18-B520-4424-B336-5BEEF884B1DE}" id="{9B94FF81-7634-47D8-8521-B6C0EB8E26EE}">
    <text>Slight addition since none used past 2 years and will be launch of program</text>
  </threadedComment>
</ThreadedComments>
</file>

<file path=xl/threadedComments/threadedComment3.xml><?xml version="1.0" encoding="utf-8"?>
<ThreadedComments xmlns="http://schemas.microsoft.com/office/spreadsheetml/2018/threadedcomments" xmlns:x="http://schemas.openxmlformats.org/spreadsheetml/2006/main">
  <threadedComment ref="AA11" dT="2022-06-23T18:31:24.08" personId="{3453AA76-169F-493D-9F82-486F7EC1AEE3}" id="{D2624352-8A53-4297-A9FB-D3E47D4275DD}">
    <text>Note - two election cycles this year</text>
  </threadedComment>
</ThreadedComments>
</file>

<file path=xl/threadedComments/threadedComment4.xml><?xml version="1.0" encoding="utf-8"?>
<ThreadedComments xmlns="http://schemas.microsoft.com/office/spreadsheetml/2018/threadedcomments" xmlns:x="http://schemas.openxmlformats.org/spreadsheetml/2006/main">
  <threadedComment ref="R8" dT="2021-08-04T04:51:22.85" personId="{5CC599DE-3599-4F8D-96E7-FA57DA3C5A49}" id="{7A0EA619-54B1-499B-B3BD-D4E63AECDD58}">
    <text xml:space="preserve">added line
</text>
  </threadedComment>
</ThreadedComments>
</file>

<file path=xl/threadedComments/threadedComment5.xml><?xml version="1.0" encoding="utf-8"?>
<ThreadedComments xmlns="http://schemas.microsoft.com/office/spreadsheetml/2018/threadedcomments" xmlns:x="http://schemas.openxmlformats.org/spreadsheetml/2006/main">
  <threadedComment ref="Y26" dT="2021-06-20T20:15:08.23" personId="{5AF42EDC-456C-42C7-A455-2D429DCBEF09}" id="{5E3B2D70-7318-41D8-BE42-126CDF7DD3DA}">
    <text>$340 reimbursement x 20 responders for S21 = $6,800
(8 new members anticipated) x (3 terms) x $340 = $8,160 
$100 for SFA reimbursement
$6,800 + $8,160 + $100 = $15,060</text>
  </threadedComment>
</ThreadedComments>
</file>

<file path=xl/threadedComments/threadedComment6.xml><?xml version="1.0" encoding="utf-8"?>
<ThreadedComments xmlns="http://schemas.microsoft.com/office/spreadsheetml/2018/threadedcomments" xmlns:x="http://schemas.openxmlformats.org/spreadsheetml/2006/main">
  <threadedComment ref="X12" dT="2021-07-06T01:53:05.50" personId="{730E81F1-2E7C-4D15-9CDE-B3809FDC8FBC}" id="{34DEEFD5-94B4-49BF-A4A0-AA1AC94CC0CD}">
    <text>25 hrs week x 15 Weeks x $16
$6000/ Coordinator / per term
x 2 Coordinators / 1 Term</text>
  </threadedComment>
  <threadedComment ref="Z12" dT="2022-03-17T21:10:15.29" personId="{3B015A8A-4B6A-495F-AACC-12D25313F00E}" id="{C429964F-9078-4964-8BED-3F993AC772FC}">
    <text xml:space="preserve">Kierra Young: Breakdown for wages: 25 hours a week x $16/hour x 14 weeks =$5600 12.5 hours a week x $16/hour x 1 week = $200 $5600 + $200 + 4 percent = $6032 (amount 1 coordinator is paid per term) $6032 x 6 (2 coordinators per term) = $36,192 – rounded to $36,200 </text>
  </threadedComment>
  <threadedComment ref="Z12" dT="2022-06-29T16:39:45.64" personId="{F3639006-9480-48D9-8513-9C0DEAF27A68}" id="{41A1A631-3317-4F5B-8988-56D06C84C35D}" parentId="{C429964F-9078-4964-8BED-3F993AC772FC}">
    <text>Changed to *1.13 instead of 1.04</text>
  </threadedComment>
  <threadedComment ref="Z14" dT="2022-03-23T15:00:11.54" personId="{3B015A8A-4B6A-495F-AACC-12D25313F00E}" id="{7617A1B1-14CD-483B-9620-7D402D8D25C1}">
    <text xml:space="preserve">Increased to maintain support for large in-person events and the work load of executives. </text>
  </threadedComment>
  <threadedComment ref="Z25" dT="2022-03-23T15:01:58.04" personId="{3B015A8A-4B6A-495F-AACC-12D25313F00E}" id="{5F22E4A7-2203-4EF9-84EB-7E70C550AD27}">
    <text>Increased to it's pre-pandemic budget in order to pay for the planning of Glow participating in pride (in-person)</text>
  </threadedComment>
  <threadedComment ref="Z27" dT="2022-03-23T15:03:10.57" personId="{3B015A8A-4B6A-495F-AACC-12D25313F00E}" id="{05D48765-7237-421F-9FF1-6AB391A70CCE}">
    <text>Increased to accomodate costs of in-person event materials and initatives</text>
  </threadedComment>
</ThreadedComments>
</file>

<file path=xl/threadedComments/threadedComment7.xml><?xml version="1.0" encoding="utf-8"?>
<ThreadedComments xmlns="http://schemas.microsoft.com/office/spreadsheetml/2018/threadedcomments" xmlns:x="http://schemas.openxmlformats.org/spreadsheetml/2006/main">
  <threadedComment ref="X13" dT="2021-03-14T19:41:15.45" personId="{E72885B1-6139-4B8F-BE6D-B3BF3C51CAF7}" id="{D3FB4BB9-E992-4103-B0D2-2C0338A4FEBE}">
    <text>$12 355.20 (3 terms * 16 weeks each * 15 hours/week * $16.5/hour * 4%)</text>
  </threadedComment>
  <threadedComment ref="X15" dT="2021-06-20T16:56:50.44" personId="{5AF42EDC-456C-42C7-A455-2D429DCBEF09}" id="{610AC1E4-579F-4C9A-8F49-676663752768}">
    <text>$530 - Clothing Project (spring- 7 vols, 2 execs; fall- 14 vols, 2 execs: winter- 14 vols, 2 execs)
____
$490 - Campus Compost (spring- 6 vols, 3 execs; fall- 8 vols, 3 execs; winter- 8 vols, 3 execs)</text>
  </threadedComment>
  <threadedComment ref="Z47" dT="2022-03-09T16:20:26.40" personId="{3B015A8A-4B6A-495F-AACC-12D25313F00E}" id="{9DFCDFFC-27AB-4914-9065-E0BEC18EAD5D}">
    <text>For information and education on sustainability practices</text>
  </threadedComment>
</ThreadedComments>
</file>

<file path=xl/threadedComments/threadedComment8.xml><?xml version="1.0" encoding="utf-8"?>
<ThreadedComments xmlns="http://schemas.microsoft.com/office/spreadsheetml/2018/threadedcomments" xmlns:x="http://schemas.openxmlformats.org/spreadsheetml/2006/main">
  <threadedComment ref="Z25" dT="2022-03-23T15:46:58.60" personId="{3B015A8A-4B6A-495F-AACC-12D25313F00E}" id="{42E77433-EB47-46EF-A156-94626F51B57A}">
    <text>Accounts for in-person training and renting out REV for multiple days</text>
  </threadedComment>
</ThreadedComments>
</file>

<file path=xl/threadedComments/threadedComment9.xml><?xml version="1.0" encoding="utf-8"?>
<ThreadedComments xmlns="http://schemas.microsoft.com/office/spreadsheetml/2018/threadedcomments" xmlns:x="http://schemas.openxmlformats.org/spreadsheetml/2006/main">
  <threadedComment ref="X12" dT="2021-06-20T20:07:41.30" personId="{5AF42EDC-456C-42C7-A455-2D429DCBEF09}" id="{9F928962-F2C9-4C13-ABDB-D5F86BA02335}">
    <text>Coordinator PT Salary – 2 Coords x $16/hr x 25hrs/week x 15 weeks x 3 terms + 4%</text>
  </threadedComment>
  <threadedComment ref="Z14" dT="2022-02-14T20:39:29.22" personId="{2CD19FEC-726B-48C2-849B-C73F59134AC7}" id="{963FB940-C694-47C7-B669-A3D07AEE5204}">
    <text>Due to changes with peer support trained volunteers vs general volunteers, we need to adjust for $20 per volunteer instead of $10. Generally we have 30 volunteers in Fall and Winter terms, and 20 for Spring term. Executive team will range between terms but we will generally have 8 executives in fall and winter, 5 in spring.</text>
  </threadedComment>
  <threadedComment ref="Z15" dT="2022-02-14T20:39:41.36" personId="{2CD19FEC-726B-48C2-849B-C73F59134AC7}" id="{84F2B575-10AA-45C7-9116-1D3A1D68AEC1}">
    <text>As our telephone bill has stayed the same, we plan to reallocate $50 to office supplies</text>
  </threadedComment>
  <threadedComment ref="Z17" dT="2022-02-14T20:39:52.39" personId="{2CD19FEC-726B-48C2-849B-C73F59134AC7}" id="{A5E5701E-1C88-4882-A51F-3F094308622A}">
    <text>As we are no longer getting donations from the Equity Office, we need a greater budget for buying pads/tampons. Please note that we were primarily online for 2 of 3 semesters this year.</text>
  </threadedComment>
  <threadedComment ref="Z17" dT="2022-06-23T17:54:26.40" personId="{F3639006-9480-48D9-8513-9C0DEAF27A68}" id="{3C1BF92E-FFC0-40E8-9D16-C5E222DB00AC}" parentId="{A5E5701E-1C88-4882-A51F-3F094308622A}">
    <text>$1000 for outlet installation</text>
  </threadedComment>
  <threadedComment ref="Z17" dT="2022-08-15T21:12:34.58" personId="{642D14E0-D04F-4E08-8DE0-D0CF0097112C}" id="{CCE5C8DC-3DEF-4438-9679-682B7555FFF9}" parentId="{A5E5701E-1C88-4882-A51F-3F094308622A}">
    <text>500 for officed decor</text>
  </threadedComment>
  <threadedComment ref="Z24" dT="2022-02-14T20:40:28.83" personId="{2CD19FEC-726B-48C2-849B-C73F59134AC7}" id="{F640D783-46D2-4F7C-BB95-25B56B716856}">
    <text>Reallocating $150 from special projects to literature as we plan to revamp and update the Women's Centre library</text>
  </threadedComment>
  <threadedComment ref="Z25" dT="2022-02-14T20:40:41.75" personId="{2CD19FEC-726B-48C2-849B-C73F59134AC7}" id="{33228446-3178-497E-8D6C-DB47EBAD43A6}">
    <text>Increased literature budget for revamping of library and replacing books</text>
  </threadedComment>
  <threadedComment ref="Z36" dT="2022-02-14T20:41:07.41" personId="{2CD19FEC-726B-48C2-849B-C73F59134AC7}" id="{F5AED0D9-C15C-4B49-89C5-E1E38BA63430}">
    <text>There is no 40th Anniversary next year, funds have been reallocated to Volunteer Appreciation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vmlDrawing" Target="../drawings/vmlDrawing8.vml"/><Relationship Id="rId1" Type="http://schemas.openxmlformats.org/officeDocument/2006/relationships/printerSettings" Target="../printerSettings/printerSettings10.bin"/><Relationship Id="rId5" Type="http://schemas.openxmlformats.org/officeDocument/2006/relationships/comments" Target="../comments8.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vmlDrawing" Target="../drawings/vmlDrawing9.vml"/><Relationship Id="rId1" Type="http://schemas.openxmlformats.org/officeDocument/2006/relationships/printerSettings" Target="../printerSettings/printerSettings11.bin"/><Relationship Id="rId5" Type="http://schemas.openxmlformats.org/officeDocument/2006/relationships/comments" Target="../comments9.xml"/><Relationship Id="rId4" Type="http://schemas.openxmlformats.org/officeDocument/2006/relationships/table" Target="../tables/table21.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vmlDrawing" Target="../drawings/vmlDrawing10.vml"/><Relationship Id="rId1" Type="http://schemas.openxmlformats.org/officeDocument/2006/relationships/printerSettings" Target="../printerSettings/printerSettings12.bin"/><Relationship Id="rId5" Type="http://schemas.openxmlformats.org/officeDocument/2006/relationships/comments" Target="../comments10.xml"/><Relationship Id="rId4" Type="http://schemas.openxmlformats.org/officeDocument/2006/relationships/table" Target="../tables/table23.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vmlDrawing" Target="../drawings/vmlDrawing11.vml"/><Relationship Id="rId1" Type="http://schemas.openxmlformats.org/officeDocument/2006/relationships/printerSettings" Target="../printerSettings/printerSettings13.bin"/><Relationship Id="rId6" Type="http://schemas.microsoft.com/office/2017/10/relationships/threadedComment" Target="../threadedComments/threadedComment4.xml"/><Relationship Id="rId5" Type="http://schemas.openxmlformats.org/officeDocument/2006/relationships/comments" Target="../comments11.xml"/><Relationship Id="rId4" Type="http://schemas.openxmlformats.org/officeDocument/2006/relationships/table" Target="../tables/table25.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vmlDrawing" Target="../drawings/vmlDrawing12.vml"/><Relationship Id="rId1" Type="http://schemas.openxmlformats.org/officeDocument/2006/relationships/printerSettings" Target="../printerSettings/printerSettings14.bin"/><Relationship Id="rId5" Type="http://schemas.openxmlformats.org/officeDocument/2006/relationships/comments" Target="../comments12.xml"/><Relationship Id="rId4" Type="http://schemas.openxmlformats.org/officeDocument/2006/relationships/table" Target="../tables/table27.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vmlDrawing" Target="../drawings/vmlDrawing13.vml"/><Relationship Id="rId1" Type="http://schemas.openxmlformats.org/officeDocument/2006/relationships/printerSettings" Target="../printerSettings/printerSettings15.bin"/><Relationship Id="rId6" Type="http://schemas.microsoft.com/office/2017/10/relationships/threadedComment" Target="../threadedComments/threadedComment5.xml"/><Relationship Id="rId5" Type="http://schemas.openxmlformats.org/officeDocument/2006/relationships/comments" Target="../comments13.xml"/><Relationship Id="rId4" Type="http://schemas.openxmlformats.org/officeDocument/2006/relationships/table" Target="../tables/table29.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vmlDrawing" Target="../drawings/vmlDrawing14.vml"/><Relationship Id="rId1" Type="http://schemas.openxmlformats.org/officeDocument/2006/relationships/printerSettings" Target="../printerSettings/printerSettings16.bin"/><Relationship Id="rId5" Type="http://schemas.openxmlformats.org/officeDocument/2006/relationships/comments" Target="../comments14.xml"/><Relationship Id="rId4" Type="http://schemas.openxmlformats.org/officeDocument/2006/relationships/table" Target="../tables/table31.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vmlDrawing" Target="../drawings/vmlDrawing15.vml"/><Relationship Id="rId1" Type="http://schemas.openxmlformats.org/officeDocument/2006/relationships/printerSettings" Target="../printerSettings/printerSettings17.bin"/><Relationship Id="rId6" Type="http://schemas.microsoft.com/office/2017/10/relationships/threadedComment" Target="../threadedComments/threadedComment6.xml"/><Relationship Id="rId5" Type="http://schemas.openxmlformats.org/officeDocument/2006/relationships/comments" Target="../comments15.xml"/><Relationship Id="rId4" Type="http://schemas.openxmlformats.org/officeDocument/2006/relationships/table" Target="../tables/table33.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vmlDrawing" Target="../drawings/vmlDrawing16.vml"/><Relationship Id="rId1" Type="http://schemas.openxmlformats.org/officeDocument/2006/relationships/printerSettings" Target="../printerSettings/printerSettings18.bin"/><Relationship Id="rId6" Type="http://schemas.microsoft.com/office/2017/10/relationships/threadedComment" Target="../threadedComments/threadedComment7.xml"/><Relationship Id="rId5" Type="http://schemas.openxmlformats.org/officeDocument/2006/relationships/comments" Target="../comments16.xml"/><Relationship Id="rId4" Type="http://schemas.openxmlformats.org/officeDocument/2006/relationships/table" Target="../tables/table35.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vmlDrawing" Target="../drawings/vmlDrawing17.vml"/><Relationship Id="rId1" Type="http://schemas.openxmlformats.org/officeDocument/2006/relationships/printerSettings" Target="../printerSettings/printerSettings19.bin"/><Relationship Id="rId6" Type="http://schemas.microsoft.com/office/2017/10/relationships/threadedComment" Target="../threadedComments/threadedComment8.xml"/><Relationship Id="rId5" Type="http://schemas.openxmlformats.org/officeDocument/2006/relationships/comments" Target="../comments17.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vmlDrawing" Target="../drawings/vmlDrawing18.vml"/><Relationship Id="rId1" Type="http://schemas.openxmlformats.org/officeDocument/2006/relationships/printerSettings" Target="../printerSettings/printerSettings20.bin"/><Relationship Id="rId6" Type="http://schemas.microsoft.com/office/2017/10/relationships/threadedComment" Target="../threadedComments/threadedComment9.xml"/><Relationship Id="rId5" Type="http://schemas.openxmlformats.org/officeDocument/2006/relationships/comments" Target="../comments18.xml"/><Relationship Id="rId4" Type="http://schemas.openxmlformats.org/officeDocument/2006/relationships/table" Target="../tables/table39.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vmlDrawing" Target="../drawings/vmlDrawing19.vml"/><Relationship Id="rId1" Type="http://schemas.openxmlformats.org/officeDocument/2006/relationships/printerSettings" Target="../printerSettings/printerSettings21.bin"/><Relationship Id="rId5" Type="http://schemas.openxmlformats.org/officeDocument/2006/relationships/comments" Target="../comments19.xml"/><Relationship Id="rId4" Type="http://schemas.openxmlformats.org/officeDocument/2006/relationships/table" Target="../tables/table41.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42.xml"/><Relationship Id="rId7" Type="http://schemas.microsoft.com/office/2017/10/relationships/threadedComment" Target="../threadedComments/threadedComment10.xml"/><Relationship Id="rId2" Type="http://schemas.openxmlformats.org/officeDocument/2006/relationships/vmlDrawing" Target="../drawings/vmlDrawing20.vml"/><Relationship Id="rId1" Type="http://schemas.openxmlformats.org/officeDocument/2006/relationships/printerSettings" Target="../printerSettings/printerSettings22.bin"/><Relationship Id="rId6" Type="http://schemas.openxmlformats.org/officeDocument/2006/relationships/comments" Target="../comments20.xml"/><Relationship Id="rId5" Type="http://schemas.openxmlformats.org/officeDocument/2006/relationships/table" Target="../tables/table44.xml"/><Relationship Id="rId4" Type="http://schemas.openxmlformats.org/officeDocument/2006/relationships/table" Target="../tables/table43.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vmlDrawing" Target="../drawings/vmlDrawing21.vml"/><Relationship Id="rId1" Type="http://schemas.openxmlformats.org/officeDocument/2006/relationships/printerSettings" Target="../printerSettings/printerSettings23.bin"/><Relationship Id="rId5" Type="http://schemas.openxmlformats.org/officeDocument/2006/relationships/comments" Target="../comments21.xml"/><Relationship Id="rId4" Type="http://schemas.openxmlformats.org/officeDocument/2006/relationships/table" Target="../tables/table46.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vmlDrawing" Target="../drawings/vmlDrawing22.vml"/><Relationship Id="rId1" Type="http://schemas.openxmlformats.org/officeDocument/2006/relationships/printerSettings" Target="../printerSettings/printerSettings24.bin"/><Relationship Id="rId5" Type="http://schemas.openxmlformats.org/officeDocument/2006/relationships/comments" Target="../comments22.xml"/><Relationship Id="rId4" Type="http://schemas.openxmlformats.org/officeDocument/2006/relationships/table" Target="../tables/table48.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vmlDrawing" Target="../drawings/vmlDrawing23.vml"/><Relationship Id="rId1" Type="http://schemas.openxmlformats.org/officeDocument/2006/relationships/printerSettings" Target="../printerSettings/printerSettings25.bin"/><Relationship Id="rId5" Type="http://schemas.openxmlformats.org/officeDocument/2006/relationships/comments" Target="../comments23.xml"/><Relationship Id="rId4" Type="http://schemas.openxmlformats.org/officeDocument/2006/relationships/table" Target="../tables/table50.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vmlDrawing" Target="../drawings/vmlDrawing24.vml"/><Relationship Id="rId1" Type="http://schemas.openxmlformats.org/officeDocument/2006/relationships/printerSettings" Target="../printerSettings/printerSettings26.bin"/><Relationship Id="rId6" Type="http://schemas.microsoft.com/office/2017/10/relationships/threadedComment" Target="../threadedComments/threadedComment11.xml"/><Relationship Id="rId5" Type="http://schemas.openxmlformats.org/officeDocument/2006/relationships/comments" Target="../comments24.xml"/><Relationship Id="rId4" Type="http://schemas.openxmlformats.org/officeDocument/2006/relationships/table" Target="../tables/table52.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vmlDrawing" Target="../drawings/vmlDrawing25.vml"/><Relationship Id="rId1" Type="http://schemas.openxmlformats.org/officeDocument/2006/relationships/printerSettings" Target="../printerSettings/printerSettings27.bin"/><Relationship Id="rId5" Type="http://schemas.openxmlformats.org/officeDocument/2006/relationships/comments" Target="../comments25.xml"/><Relationship Id="rId4" Type="http://schemas.openxmlformats.org/officeDocument/2006/relationships/table" Target="../tables/table54.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vmlDrawing" Target="../drawings/vmlDrawing26.vml"/><Relationship Id="rId1" Type="http://schemas.openxmlformats.org/officeDocument/2006/relationships/printerSettings" Target="../printerSettings/printerSettings28.bin"/><Relationship Id="rId5" Type="http://schemas.openxmlformats.org/officeDocument/2006/relationships/comments" Target="../comments26.xml"/><Relationship Id="rId4" Type="http://schemas.openxmlformats.org/officeDocument/2006/relationships/table" Target="../tables/table56.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57.xml"/><Relationship Id="rId7" Type="http://schemas.microsoft.com/office/2017/10/relationships/threadedComment" Target="../threadedComments/threadedComment12.xml"/><Relationship Id="rId2" Type="http://schemas.openxmlformats.org/officeDocument/2006/relationships/vmlDrawing" Target="../drawings/vmlDrawing27.vml"/><Relationship Id="rId1" Type="http://schemas.openxmlformats.org/officeDocument/2006/relationships/printerSettings" Target="../printerSettings/printerSettings29.bin"/><Relationship Id="rId6" Type="http://schemas.openxmlformats.org/officeDocument/2006/relationships/comments" Target="../comments27.xml"/><Relationship Id="rId5" Type="http://schemas.openxmlformats.org/officeDocument/2006/relationships/table" Target="../tables/table59.xml"/><Relationship Id="rId4" Type="http://schemas.openxmlformats.org/officeDocument/2006/relationships/table" Target="../tables/table58.xml"/></Relationships>
</file>

<file path=xl/worksheets/_rels/sheet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61.xml"/><Relationship Id="rId2" Type="http://schemas.openxmlformats.org/officeDocument/2006/relationships/table" Target="../tables/table60.xml"/><Relationship Id="rId1" Type="http://schemas.openxmlformats.org/officeDocument/2006/relationships/vmlDrawing" Target="../drawings/vmlDrawing28.vml"/><Relationship Id="rId5" Type="http://schemas.microsoft.com/office/2017/10/relationships/threadedComment" Target="../threadedComments/threadedComment13.xml"/><Relationship Id="rId4" Type="http://schemas.openxmlformats.org/officeDocument/2006/relationships/comments" Target="../comments28.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62.xml"/><Relationship Id="rId2" Type="http://schemas.openxmlformats.org/officeDocument/2006/relationships/vmlDrawing" Target="../drawings/vmlDrawing29.vml"/><Relationship Id="rId1" Type="http://schemas.openxmlformats.org/officeDocument/2006/relationships/printerSettings" Target="../printerSettings/printerSettings30.bin"/><Relationship Id="rId5" Type="http://schemas.openxmlformats.org/officeDocument/2006/relationships/comments" Target="../comments29.xml"/><Relationship Id="rId4" Type="http://schemas.openxmlformats.org/officeDocument/2006/relationships/table" Target="../tables/table63.xml"/></Relationships>
</file>

<file path=xl/worksheets/_rels/sheet32.xml.rels><?xml version="1.0" encoding="UTF-8" standalone="yes"?>
<Relationships xmlns="http://schemas.openxmlformats.org/package/2006/relationships"><Relationship Id="rId3" Type="http://schemas.openxmlformats.org/officeDocument/2006/relationships/table" Target="../tables/table64.xml"/><Relationship Id="rId2" Type="http://schemas.openxmlformats.org/officeDocument/2006/relationships/vmlDrawing" Target="../drawings/vmlDrawing30.vml"/><Relationship Id="rId1" Type="http://schemas.openxmlformats.org/officeDocument/2006/relationships/printerSettings" Target="../printerSettings/printerSettings31.bin"/><Relationship Id="rId6" Type="http://schemas.microsoft.com/office/2017/10/relationships/threadedComment" Target="../threadedComments/threadedComment14.xml"/><Relationship Id="rId5" Type="http://schemas.openxmlformats.org/officeDocument/2006/relationships/comments" Target="../comments30.xml"/><Relationship Id="rId4" Type="http://schemas.openxmlformats.org/officeDocument/2006/relationships/table" Target="../tables/table65.xml"/></Relationships>
</file>

<file path=xl/worksheets/_rels/sheet33.xml.rels><?xml version="1.0" encoding="UTF-8" standalone="yes"?>
<Relationships xmlns="http://schemas.openxmlformats.org/package/2006/relationships"><Relationship Id="rId3" Type="http://schemas.openxmlformats.org/officeDocument/2006/relationships/table" Target="../tables/table66.xml"/><Relationship Id="rId2" Type="http://schemas.openxmlformats.org/officeDocument/2006/relationships/vmlDrawing" Target="../drawings/vmlDrawing31.vml"/><Relationship Id="rId1" Type="http://schemas.openxmlformats.org/officeDocument/2006/relationships/printerSettings" Target="../printerSettings/printerSettings32.bin"/><Relationship Id="rId6" Type="http://schemas.microsoft.com/office/2017/10/relationships/threadedComment" Target="../threadedComments/threadedComment15.xml"/><Relationship Id="rId5" Type="http://schemas.openxmlformats.org/officeDocument/2006/relationships/comments" Target="../comments31.xml"/><Relationship Id="rId4" Type="http://schemas.openxmlformats.org/officeDocument/2006/relationships/table" Target="../tables/table67.xml"/></Relationships>
</file>

<file path=xl/worksheets/_rels/sheet34.xml.rels><?xml version="1.0" encoding="UTF-8" standalone="yes"?>
<Relationships xmlns="http://schemas.openxmlformats.org/package/2006/relationships"><Relationship Id="rId3" Type="http://schemas.openxmlformats.org/officeDocument/2006/relationships/table" Target="../tables/table69.xml"/><Relationship Id="rId2" Type="http://schemas.openxmlformats.org/officeDocument/2006/relationships/table" Target="../tables/table68.xml"/><Relationship Id="rId1" Type="http://schemas.openxmlformats.org/officeDocument/2006/relationships/vmlDrawing" Target="../drawings/vmlDrawing32.vml"/><Relationship Id="rId5" Type="http://schemas.microsoft.com/office/2017/10/relationships/threadedComment" Target="../threadedComments/threadedComment16.xml"/><Relationship Id="rId4" Type="http://schemas.openxmlformats.org/officeDocument/2006/relationships/comments" Target="../comments32.xml"/></Relationships>
</file>

<file path=xl/worksheets/_rels/sheet35.xml.rels><?xml version="1.0" encoding="UTF-8" standalone="yes"?>
<Relationships xmlns="http://schemas.openxmlformats.org/package/2006/relationships"><Relationship Id="rId3" Type="http://schemas.openxmlformats.org/officeDocument/2006/relationships/table" Target="../tables/table70.xml"/><Relationship Id="rId2" Type="http://schemas.openxmlformats.org/officeDocument/2006/relationships/vmlDrawing" Target="../drawings/vmlDrawing33.vml"/><Relationship Id="rId1" Type="http://schemas.openxmlformats.org/officeDocument/2006/relationships/printerSettings" Target="../printerSettings/printerSettings33.bin"/><Relationship Id="rId6" Type="http://schemas.microsoft.com/office/2017/10/relationships/threadedComment" Target="../threadedComments/threadedComment17.xml"/><Relationship Id="rId5" Type="http://schemas.openxmlformats.org/officeDocument/2006/relationships/comments" Target="../comments33.xml"/><Relationship Id="rId4" Type="http://schemas.openxmlformats.org/officeDocument/2006/relationships/table" Target="../tables/table71.xml"/></Relationships>
</file>

<file path=xl/worksheets/_rels/sheet36.xml.rels><?xml version="1.0" encoding="UTF-8" standalone="yes"?>
<Relationships xmlns="http://schemas.openxmlformats.org/package/2006/relationships"><Relationship Id="rId3" Type="http://schemas.openxmlformats.org/officeDocument/2006/relationships/table" Target="../tables/table72.xml"/><Relationship Id="rId2" Type="http://schemas.openxmlformats.org/officeDocument/2006/relationships/vmlDrawing" Target="../drawings/vmlDrawing34.vml"/><Relationship Id="rId1" Type="http://schemas.openxmlformats.org/officeDocument/2006/relationships/printerSettings" Target="../printerSettings/printerSettings34.bin"/><Relationship Id="rId6" Type="http://schemas.microsoft.com/office/2017/10/relationships/threadedComment" Target="../threadedComments/threadedComment18.xml"/><Relationship Id="rId5" Type="http://schemas.openxmlformats.org/officeDocument/2006/relationships/comments" Target="../comments34.xml"/><Relationship Id="rId4" Type="http://schemas.openxmlformats.org/officeDocument/2006/relationships/table" Target="../tables/table73.xml"/></Relationships>
</file>

<file path=xl/worksheets/_rels/sheet37.xml.rels><?xml version="1.0" encoding="UTF-8" standalone="yes"?>
<Relationships xmlns="http://schemas.openxmlformats.org/package/2006/relationships"><Relationship Id="rId3" Type="http://schemas.openxmlformats.org/officeDocument/2006/relationships/table" Target="../tables/table74.xml"/><Relationship Id="rId2" Type="http://schemas.openxmlformats.org/officeDocument/2006/relationships/vmlDrawing" Target="../drawings/vmlDrawing35.vml"/><Relationship Id="rId1" Type="http://schemas.openxmlformats.org/officeDocument/2006/relationships/printerSettings" Target="../printerSettings/printerSettings35.bin"/><Relationship Id="rId5" Type="http://schemas.openxmlformats.org/officeDocument/2006/relationships/comments" Target="../comments35.xml"/><Relationship Id="rId4" Type="http://schemas.openxmlformats.org/officeDocument/2006/relationships/table" Target="../tables/table75.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1.xml"/><Relationship Id="rId1" Type="http://schemas.openxmlformats.org/officeDocument/2006/relationships/printerSettings" Target="../printerSettings/printerSettings36.bin"/><Relationship Id="rId6" Type="http://schemas.openxmlformats.org/officeDocument/2006/relationships/comments" Target="../comments36.xml"/><Relationship Id="rId5" Type="http://schemas.openxmlformats.org/officeDocument/2006/relationships/table" Target="../tables/table77.xml"/><Relationship Id="rId4" Type="http://schemas.openxmlformats.org/officeDocument/2006/relationships/table" Target="../tables/table76.xml"/></Relationships>
</file>

<file path=xl/worksheets/_rels/sheet39.xml.rels><?xml version="1.0" encoding="UTF-8" standalone="yes"?>
<Relationships xmlns="http://schemas.openxmlformats.org/package/2006/relationships"><Relationship Id="rId3" Type="http://schemas.openxmlformats.org/officeDocument/2006/relationships/table" Target="../tables/table78.xml"/><Relationship Id="rId2" Type="http://schemas.openxmlformats.org/officeDocument/2006/relationships/vmlDrawing" Target="../drawings/vmlDrawing37.vml"/><Relationship Id="rId1" Type="http://schemas.openxmlformats.org/officeDocument/2006/relationships/printerSettings" Target="../printerSettings/printerSettings37.bin"/><Relationship Id="rId5" Type="http://schemas.openxmlformats.org/officeDocument/2006/relationships/comments" Target="../comments37.xml"/><Relationship Id="rId4" Type="http://schemas.openxmlformats.org/officeDocument/2006/relationships/table" Target="../tables/table79.xml"/></Relationships>
</file>

<file path=xl/worksheets/_rels/sheet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table" Target="../tables/table7.xml"/></Relationships>
</file>

<file path=xl/worksheets/_rels/sheet40.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vmlDrawing" Target="../drawings/vmlDrawing38.vml"/><Relationship Id="rId1" Type="http://schemas.openxmlformats.org/officeDocument/2006/relationships/printerSettings" Target="../printerSettings/printerSettings38.bin"/><Relationship Id="rId6" Type="http://schemas.microsoft.com/office/2017/10/relationships/threadedComment" Target="../threadedComments/threadedComment19.xml"/><Relationship Id="rId5" Type="http://schemas.openxmlformats.org/officeDocument/2006/relationships/comments" Target="../comments38.xml"/><Relationship Id="rId4" Type="http://schemas.openxmlformats.org/officeDocument/2006/relationships/table" Target="../tables/table81.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83.xml"/><Relationship Id="rId2" Type="http://schemas.openxmlformats.org/officeDocument/2006/relationships/table" Target="../tables/table82.xml"/><Relationship Id="rId1" Type="http://schemas.openxmlformats.org/officeDocument/2006/relationships/vmlDrawing" Target="../drawings/vmlDrawing41.vml"/><Relationship Id="rId5" Type="http://schemas.microsoft.com/office/2017/10/relationships/threadedComment" Target="../threadedComments/threadedComment20.xml"/><Relationship Id="rId4" Type="http://schemas.openxmlformats.org/officeDocument/2006/relationships/comments" Target="../comments41.xml"/></Relationships>
</file>

<file path=xl/worksheets/_rels/sheet44.xml.rels><?xml version="1.0" encoding="UTF-8" standalone="yes"?>
<Relationships xmlns="http://schemas.openxmlformats.org/package/2006/relationships"><Relationship Id="rId3" Type="http://schemas.openxmlformats.org/officeDocument/2006/relationships/table" Target="../tables/table84.xml"/><Relationship Id="rId2" Type="http://schemas.openxmlformats.org/officeDocument/2006/relationships/vmlDrawing" Target="../drawings/vmlDrawing42.vml"/><Relationship Id="rId1" Type="http://schemas.openxmlformats.org/officeDocument/2006/relationships/printerSettings" Target="../printerSettings/printerSettings41.bin"/><Relationship Id="rId6" Type="http://schemas.microsoft.com/office/2017/10/relationships/threadedComment" Target="../threadedComments/threadedComment21.xml"/><Relationship Id="rId5" Type="http://schemas.openxmlformats.org/officeDocument/2006/relationships/comments" Target="../comments42.xml"/><Relationship Id="rId4" Type="http://schemas.openxmlformats.org/officeDocument/2006/relationships/table" Target="../tables/table85.xml"/></Relationships>
</file>

<file path=xl/worksheets/_rels/sheet45.xml.rels><?xml version="1.0" encoding="UTF-8" standalone="yes"?>
<Relationships xmlns="http://schemas.openxmlformats.org/package/2006/relationships"><Relationship Id="rId3" Type="http://schemas.openxmlformats.org/officeDocument/2006/relationships/table" Target="../tables/table86.xml"/><Relationship Id="rId2" Type="http://schemas.openxmlformats.org/officeDocument/2006/relationships/vmlDrawing" Target="../drawings/vmlDrawing43.vml"/><Relationship Id="rId1" Type="http://schemas.openxmlformats.org/officeDocument/2006/relationships/printerSettings" Target="../printerSettings/printerSettings42.bin"/><Relationship Id="rId6" Type="http://schemas.microsoft.com/office/2017/10/relationships/threadedComment" Target="../threadedComments/threadedComment22.xml"/><Relationship Id="rId5" Type="http://schemas.openxmlformats.org/officeDocument/2006/relationships/comments" Target="../comments43.xml"/><Relationship Id="rId4" Type="http://schemas.openxmlformats.org/officeDocument/2006/relationships/table" Target="../tables/table87.xml"/></Relationships>
</file>

<file path=xl/worksheets/_rels/sheet46.xml.rels><?xml version="1.0" encoding="UTF-8" standalone="yes"?>
<Relationships xmlns="http://schemas.openxmlformats.org/package/2006/relationships"><Relationship Id="rId3" Type="http://schemas.openxmlformats.org/officeDocument/2006/relationships/table" Target="../tables/table88.xml"/><Relationship Id="rId2" Type="http://schemas.openxmlformats.org/officeDocument/2006/relationships/vmlDrawing" Target="../drawings/vmlDrawing44.vml"/><Relationship Id="rId1" Type="http://schemas.openxmlformats.org/officeDocument/2006/relationships/printerSettings" Target="../printerSettings/printerSettings43.bin"/><Relationship Id="rId5" Type="http://schemas.openxmlformats.org/officeDocument/2006/relationships/comments" Target="../comments44.xml"/><Relationship Id="rId4" Type="http://schemas.openxmlformats.org/officeDocument/2006/relationships/table" Target="../tables/table89.xml"/></Relationships>
</file>

<file path=xl/worksheets/_rels/sheet47.xml.rels><?xml version="1.0" encoding="UTF-8" standalone="yes"?>
<Relationships xmlns="http://schemas.openxmlformats.org/package/2006/relationships"><Relationship Id="rId3" Type="http://schemas.openxmlformats.org/officeDocument/2006/relationships/table" Target="../tables/table90.xml"/><Relationship Id="rId2" Type="http://schemas.openxmlformats.org/officeDocument/2006/relationships/vmlDrawing" Target="../drawings/vmlDrawing45.vml"/><Relationship Id="rId1" Type="http://schemas.openxmlformats.org/officeDocument/2006/relationships/printerSettings" Target="../printerSettings/printerSettings44.bin"/><Relationship Id="rId5" Type="http://schemas.openxmlformats.org/officeDocument/2006/relationships/comments" Target="../comments45.xml"/><Relationship Id="rId4" Type="http://schemas.openxmlformats.org/officeDocument/2006/relationships/table" Target="../tables/table91.xml"/></Relationships>
</file>

<file path=xl/worksheets/_rels/sheet48.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vmlDrawing" Target="../drawings/vmlDrawing46.vml"/><Relationship Id="rId1" Type="http://schemas.openxmlformats.org/officeDocument/2006/relationships/printerSettings" Target="../printerSettings/printerSettings45.bin"/><Relationship Id="rId6" Type="http://schemas.microsoft.com/office/2017/10/relationships/threadedComment" Target="../threadedComments/threadedComment23.xml"/><Relationship Id="rId5" Type="http://schemas.openxmlformats.org/officeDocument/2006/relationships/comments" Target="../comments46.xml"/><Relationship Id="rId4" Type="http://schemas.openxmlformats.org/officeDocument/2006/relationships/table" Target="../tables/table93.xml"/></Relationships>
</file>

<file path=xl/worksheets/_rels/sheet49.xml.rels><?xml version="1.0" encoding="UTF-8" standalone="yes"?>
<Relationships xmlns="http://schemas.openxmlformats.org/package/2006/relationships"><Relationship Id="rId3" Type="http://schemas.openxmlformats.org/officeDocument/2006/relationships/table" Target="../tables/table94.xml"/><Relationship Id="rId2" Type="http://schemas.openxmlformats.org/officeDocument/2006/relationships/vmlDrawing" Target="../drawings/vmlDrawing47.vml"/><Relationship Id="rId1" Type="http://schemas.openxmlformats.org/officeDocument/2006/relationships/printerSettings" Target="../printerSettings/printerSettings46.bin"/><Relationship Id="rId6" Type="http://schemas.microsoft.com/office/2017/10/relationships/threadedComment" Target="../threadedComments/threadedComment24.xml"/><Relationship Id="rId5" Type="http://schemas.openxmlformats.org/officeDocument/2006/relationships/comments" Target="../comments47.xml"/><Relationship Id="rId4" Type="http://schemas.openxmlformats.org/officeDocument/2006/relationships/table" Target="../tables/table95.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3.xml"/><Relationship Id="rId4" Type="http://schemas.openxmlformats.org/officeDocument/2006/relationships/table" Target="../tables/table9.xml"/></Relationships>
</file>

<file path=xl/worksheets/_rels/sheet50.xml.rels><?xml version="1.0" encoding="UTF-8" standalone="yes"?>
<Relationships xmlns="http://schemas.openxmlformats.org/package/2006/relationships"><Relationship Id="rId3" Type="http://schemas.openxmlformats.org/officeDocument/2006/relationships/table" Target="../tables/table96.xml"/><Relationship Id="rId2" Type="http://schemas.openxmlformats.org/officeDocument/2006/relationships/vmlDrawing" Target="../drawings/vmlDrawing48.vml"/><Relationship Id="rId1" Type="http://schemas.openxmlformats.org/officeDocument/2006/relationships/printerSettings" Target="../printerSettings/printerSettings47.bin"/><Relationship Id="rId6" Type="http://schemas.microsoft.com/office/2017/10/relationships/threadedComment" Target="../threadedComments/threadedComment25.xml"/><Relationship Id="rId5" Type="http://schemas.openxmlformats.org/officeDocument/2006/relationships/comments" Target="../comments48.xml"/><Relationship Id="rId4" Type="http://schemas.openxmlformats.org/officeDocument/2006/relationships/table" Target="../tables/table97.xml"/></Relationships>
</file>

<file path=xl/worksheets/_rels/sheet51.xml.rels><?xml version="1.0" encoding="UTF-8" standalone="yes"?>
<Relationships xmlns="http://schemas.openxmlformats.org/package/2006/relationships"><Relationship Id="rId3" Type="http://schemas.openxmlformats.org/officeDocument/2006/relationships/table" Target="../tables/table98.xml"/><Relationship Id="rId2" Type="http://schemas.openxmlformats.org/officeDocument/2006/relationships/vmlDrawing" Target="../drawings/vmlDrawing49.vml"/><Relationship Id="rId1" Type="http://schemas.openxmlformats.org/officeDocument/2006/relationships/printerSettings" Target="../printerSettings/printerSettings48.bin"/><Relationship Id="rId6" Type="http://schemas.microsoft.com/office/2017/10/relationships/threadedComment" Target="../threadedComments/threadedComment26.xml"/><Relationship Id="rId5" Type="http://schemas.openxmlformats.org/officeDocument/2006/relationships/comments" Target="../comments49.xml"/><Relationship Id="rId4" Type="http://schemas.openxmlformats.org/officeDocument/2006/relationships/table" Target="../tables/table99.xml"/></Relationships>
</file>

<file path=xl/worksheets/_rels/sheet52.xml.rels><?xml version="1.0" encoding="UTF-8" standalone="yes"?>
<Relationships xmlns="http://schemas.openxmlformats.org/package/2006/relationships"><Relationship Id="rId3" Type="http://schemas.openxmlformats.org/officeDocument/2006/relationships/table" Target="../tables/table100.xml"/><Relationship Id="rId2" Type="http://schemas.openxmlformats.org/officeDocument/2006/relationships/vmlDrawing" Target="../drawings/vmlDrawing50.vml"/><Relationship Id="rId1" Type="http://schemas.openxmlformats.org/officeDocument/2006/relationships/printerSettings" Target="../printerSettings/printerSettings49.bin"/><Relationship Id="rId5" Type="http://schemas.openxmlformats.org/officeDocument/2006/relationships/comments" Target="../comments50.xml"/><Relationship Id="rId4" Type="http://schemas.openxmlformats.org/officeDocument/2006/relationships/table" Target="../tables/table101.xml"/></Relationships>
</file>

<file path=xl/worksheets/_rels/sheet53.xml.rels><?xml version="1.0" encoding="UTF-8" standalone="yes"?>
<Relationships xmlns="http://schemas.openxmlformats.org/package/2006/relationships"><Relationship Id="rId3" Type="http://schemas.openxmlformats.org/officeDocument/2006/relationships/table" Target="../tables/table103.xml"/><Relationship Id="rId2" Type="http://schemas.openxmlformats.org/officeDocument/2006/relationships/table" Target="../tables/table102.xml"/><Relationship Id="rId1" Type="http://schemas.openxmlformats.org/officeDocument/2006/relationships/vmlDrawing" Target="../drawings/vmlDrawing51.vml"/><Relationship Id="rId5" Type="http://schemas.microsoft.com/office/2017/10/relationships/threadedComment" Target="../threadedComments/threadedComment27.xml"/><Relationship Id="rId4" Type="http://schemas.openxmlformats.org/officeDocument/2006/relationships/comments" Target="../comments5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vmlDrawing" Target="../drawings/vmlDrawing4.vml"/><Relationship Id="rId1" Type="http://schemas.openxmlformats.org/officeDocument/2006/relationships/printerSettings" Target="../printerSettings/printerSettings6.bin"/><Relationship Id="rId6" Type="http://schemas.microsoft.com/office/2017/10/relationships/threadedComment" Target="../threadedComments/threadedComment2.xml"/><Relationship Id="rId5" Type="http://schemas.openxmlformats.org/officeDocument/2006/relationships/comments" Target="../comments4.xml"/><Relationship Id="rId4" Type="http://schemas.openxmlformats.org/officeDocument/2006/relationships/table" Target="../tables/table11.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vmlDrawing" Target="../drawings/vmlDrawing5.vml"/><Relationship Id="rId1" Type="http://schemas.openxmlformats.org/officeDocument/2006/relationships/printerSettings" Target="../printerSettings/printerSettings7.bin"/><Relationship Id="rId5" Type="http://schemas.openxmlformats.org/officeDocument/2006/relationships/comments" Target="../comments5.xml"/><Relationship Id="rId4" Type="http://schemas.openxmlformats.org/officeDocument/2006/relationships/table" Target="../tables/table1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vmlDrawing" Target="../drawings/vmlDrawing6.vml"/><Relationship Id="rId1" Type="http://schemas.openxmlformats.org/officeDocument/2006/relationships/printerSettings" Target="../printerSettings/printerSettings8.bin"/><Relationship Id="rId6" Type="http://schemas.microsoft.com/office/2017/10/relationships/threadedComment" Target="../threadedComments/threadedComment3.xml"/><Relationship Id="rId5" Type="http://schemas.openxmlformats.org/officeDocument/2006/relationships/comments" Target="../comments6.xml"/><Relationship Id="rId4" Type="http://schemas.openxmlformats.org/officeDocument/2006/relationships/table" Target="../tables/table15.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vmlDrawing" Target="../drawings/vmlDrawing7.vml"/><Relationship Id="rId1" Type="http://schemas.openxmlformats.org/officeDocument/2006/relationships/printerSettings" Target="../printerSettings/printerSettings9.bin"/><Relationship Id="rId5" Type="http://schemas.openxmlformats.org/officeDocument/2006/relationships/comments" Target="../comments7.xml"/><Relationship Id="rId4" Type="http://schemas.openxmlformats.org/officeDocument/2006/relationships/table" Target="../tables/table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8:K14"/>
  <sheetViews>
    <sheetView showGridLines="0" zoomScaleNormal="100" zoomScalePageLayoutView="89" workbookViewId="0">
      <selection activeCell="B13" sqref="B13:K13"/>
    </sheetView>
  </sheetViews>
  <sheetFormatPr defaultColWidth="8.85546875" defaultRowHeight="12.75"/>
  <cols>
    <col min="11" max="11" width="11.140625" customWidth="1"/>
  </cols>
  <sheetData>
    <row r="8" spans="2:11" ht="13.5" thickBot="1"/>
    <row r="9" spans="2:11" ht="28.5">
      <c r="B9" s="738"/>
      <c r="C9" s="739"/>
      <c r="D9" s="739"/>
      <c r="E9" s="739"/>
      <c r="F9" s="739"/>
      <c r="G9" s="739"/>
      <c r="H9" s="739"/>
      <c r="I9" s="739"/>
      <c r="J9" s="739"/>
      <c r="K9" s="740"/>
    </row>
    <row r="10" spans="2:11" ht="23.25">
      <c r="B10" s="744" t="s">
        <v>0</v>
      </c>
      <c r="C10" s="745"/>
      <c r="D10" s="745"/>
      <c r="E10" s="745"/>
      <c r="F10" s="745"/>
      <c r="G10" s="745"/>
      <c r="H10" s="745"/>
      <c r="I10" s="745"/>
      <c r="J10" s="745"/>
      <c r="K10" s="746"/>
    </row>
    <row r="11" spans="2:11" ht="26.25">
      <c r="B11" s="747" t="s">
        <v>1</v>
      </c>
      <c r="C11" s="748"/>
      <c r="D11" s="748"/>
      <c r="E11" s="748"/>
      <c r="F11" s="748"/>
      <c r="G11" s="748"/>
      <c r="H11" s="748"/>
      <c r="I11" s="748"/>
      <c r="J11" s="748"/>
      <c r="K11" s="749"/>
    </row>
    <row r="12" spans="2:11" ht="23.25">
      <c r="B12" s="750"/>
      <c r="C12" s="751"/>
      <c r="D12" s="751"/>
      <c r="E12" s="751"/>
      <c r="F12" s="751"/>
      <c r="G12" s="751"/>
      <c r="H12" s="751"/>
      <c r="I12" s="751"/>
      <c r="J12" s="751"/>
      <c r="K12" s="752"/>
    </row>
    <row r="13" spans="2:11" ht="21">
      <c r="B13" s="753"/>
      <c r="C13" s="754"/>
      <c r="D13" s="754"/>
      <c r="E13" s="754"/>
      <c r="F13" s="754"/>
      <c r="G13" s="754"/>
      <c r="H13" s="754"/>
      <c r="I13" s="754"/>
      <c r="J13" s="754"/>
      <c r="K13" s="755"/>
    </row>
    <row r="14" spans="2:11" ht="29.25" thickBot="1">
      <c r="B14" s="741"/>
      <c r="C14" s="742"/>
      <c r="D14" s="742"/>
      <c r="E14" s="742"/>
      <c r="F14" s="742"/>
      <c r="G14" s="742"/>
      <c r="H14" s="742"/>
      <c r="I14" s="742"/>
      <c r="J14" s="742"/>
      <c r="K14" s="743"/>
    </row>
  </sheetData>
  <mergeCells count="6">
    <mergeCell ref="B9:K9"/>
    <mergeCell ref="B14:K14"/>
    <mergeCell ref="B10:K10"/>
    <mergeCell ref="B11:K11"/>
    <mergeCell ref="B12:K12"/>
    <mergeCell ref="B13:K13"/>
  </mergeCells>
  <printOptions horizontalCentered="1" verticalCentered="1"/>
  <pageMargins left="0.70866141732283472" right="0.70866141732283472" top="0.74803149606299213" bottom="0.74803149606299213" header="0.31496062992125984" footer="0.31496062992125984"/>
  <pageSetup fitToHeight="0" orientation="landscape" horizontalDpi="203" verticalDpi="98"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theme="1"/>
    <pageSetUpPr fitToPage="1"/>
  </sheetPr>
  <dimension ref="A1:AA40"/>
  <sheetViews>
    <sheetView showGridLines="0" zoomScaleNormal="100" workbookViewId="0">
      <selection activeCell="AA10" sqref="AA10"/>
    </sheetView>
  </sheetViews>
  <sheetFormatPr defaultColWidth="11.42578125" defaultRowHeight="12.75"/>
  <cols>
    <col min="1" max="1" width="14.42578125" customWidth="1"/>
    <col min="2" max="2" width="34.42578125" bestFit="1" customWidth="1"/>
    <col min="3" max="3" width="16.85546875" hidden="1" customWidth="1"/>
    <col min="4" max="7" width="17.42578125" hidden="1" customWidth="1"/>
    <col min="8" max="8" width="16.85546875" hidden="1" customWidth="1"/>
    <col min="9" max="9" width="17.42578125" hidden="1" customWidth="1"/>
    <col min="10" max="13" width="16.85546875" hidden="1" customWidth="1"/>
    <col min="14" max="14" width="16" style="138" hidden="1" customWidth="1"/>
    <col min="15" max="15" width="15.42578125" hidden="1" customWidth="1"/>
    <col min="16" max="16" width="20.42578125" hidden="1" customWidth="1"/>
    <col min="17" max="17" width="17" hidden="1" customWidth="1"/>
    <col min="18" max="18" width="17.140625" hidden="1" customWidth="1"/>
    <col min="19" max="19" width="18" hidden="1" customWidth="1"/>
    <col min="20" max="21" width="16" hidden="1" customWidth="1"/>
    <col min="22" max="23" width="16.42578125" hidden="1" customWidth="1"/>
    <col min="24" max="24" width="16.28515625" hidden="1" customWidth="1"/>
    <col min="25" max="25" width="16" customWidth="1"/>
    <col min="26" max="26" width="15.7109375" customWidth="1"/>
    <col min="27" max="27" width="16.42578125" customWidth="1"/>
  </cols>
  <sheetData>
    <row r="1" spans="1:27" ht="18">
      <c r="A1" s="758" t="s">
        <v>225</v>
      </c>
      <c r="B1" s="759"/>
      <c r="C1" s="11"/>
      <c r="D1" s="11"/>
      <c r="E1" s="11"/>
      <c r="F1" s="11"/>
      <c r="G1" s="11"/>
      <c r="H1" s="11"/>
      <c r="I1" s="11"/>
      <c r="J1" s="11"/>
      <c r="K1" s="11"/>
      <c r="L1" s="11"/>
      <c r="M1" s="11"/>
      <c r="N1" s="132"/>
      <c r="O1" s="11"/>
    </row>
    <row r="2" spans="1:27">
      <c r="A2" s="28" t="s">
        <v>226</v>
      </c>
      <c r="B2" s="11"/>
      <c r="C2" s="11"/>
      <c r="D2" s="11"/>
      <c r="E2" s="11"/>
      <c r="F2" s="11"/>
      <c r="G2" s="11"/>
      <c r="H2" s="11"/>
      <c r="I2" s="11"/>
      <c r="J2" s="11"/>
      <c r="K2" s="11"/>
      <c r="L2" s="11"/>
      <c r="M2" s="11"/>
      <c r="N2" s="132"/>
      <c r="O2" s="11"/>
    </row>
    <row r="3" spans="1:27">
      <c r="A3" s="11"/>
      <c r="B3" s="11"/>
      <c r="C3" s="11"/>
      <c r="D3" s="11"/>
      <c r="E3" s="11"/>
      <c r="F3" s="11"/>
      <c r="G3" s="11"/>
      <c r="H3" s="11"/>
      <c r="I3" s="11"/>
      <c r="J3" s="11"/>
      <c r="K3" s="11"/>
      <c r="L3" s="11"/>
      <c r="M3" s="11"/>
      <c r="N3" s="132"/>
      <c r="O3" s="11"/>
    </row>
    <row r="4" spans="1:27">
      <c r="A4" s="11"/>
      <c r="B4" s="11" t="s">
        <v>72</v>
      </c>
      <c r="C4" s="50" t="s">
        <v>73</v>
      </c>
      <c r="D4" s="50" t="s">
        <v>74</v>
      </c>
      <c r="E4" s="50" t="s">
        <v>75</v>
      </c>
      <c r="F4" s="50" t="s">
        <v>76</v>
      </c>
      <c r="G4" s="50" t="s">
        <v>77</v>
      </c>
      <c r="H4" s="50" t="s">
        <v>78</v>
      </c>
      <c r="I4" s="50" t="s">
        <v>5</v>
      </c>
      <c r="J4" s="50" t="s">
        <v>6</v>
      </c>
      <c r="K4" s="50" t="s">
        <v>7</v>
      </c>
      <c r="L4" s="50" t="s">
        <v>8</v>
      </c>
      <c r="M4" s="50" t="s">
        <v>9</v>
      </c>
      <c r="N4" s="167" t="s">
        <v>10</v>
      </c>
      <c r="O4" s="50" t="s">
        <v>11</v>
      </c>
      <c r="P4" s="50" t="s">
        <v>12</v>
      </c>
      <c r="Q4" s="50" t="s">
        <v>13</v>
      </c>
      <c r="R4" s="50" t="s">
        <v>14</v>
      </c>
      <c r="S4" s="50" t="s">
        <v>15</v>
      </c>
      <c r="T4" s="50" t="s">
        <v>39</v>
      </c>
      <c r="U4" s="50" t="s">
        <v>16</v>
      </c>
      <c r="V4" s="50" t="s">
        <v>81</v>
      </c>
      <c r="W4" s="11" t="s">
        <v>17</v>
      </c>
      <c r="X4" s="50" t="s">
        <v>40</v>
      </c>
      <c r="Y4" s="50" t="s">
        <v>41</v>
      </c>
      <c r="Z4" s="5" t="s">
        <v>42</v>
      </c>
      <c r="AA4" s="5" t="s">
        <v>43</v>
      </c>
    </row>
    <row r="5" spans="1:27" ht="13.5" thickBot="1">
      <c r="A5" s="11"/>
      <c r="B5" s="11" t="s">
        <v>227</v>
      </c>
      <c r="C5" s="178">
        <v>0</v>
      </c>
      <c r="D5" s="178">
        <v>0</v>
      </c>
      <c r="E5" s="178">
        <v>0</v>
      </c>
      <c r="F5" s="178">
        <v>0</v>
      </c>
      <c r="G5" s="178">
        <v>0</v>
      </c>
      <c r="H5" s="178">
        <v>0</v>
      </c>
      <c r="I5" s="178">
        <v>0</v>
      </c>
      <c r="J5" s="178">
        <v>0</v>
      </c>
      <c r="K5" s="178">
        <v>0</v>
      </c>
      <c r="L5" s="178">
        <v>2500</v>
      </c>
      <c r="M5" s="178">
        <v>0</v>
      </c>
      <c r="N5" s="145">
        <v>0</v>
      </c>
      <c r="O5" s="178">
        <v>0</v>
      </c>
      <c r="P5" s="178"/>
      <c r="Q5" s="178"/>
      <c r="R5" s="178"/>
      <c r="S5" s="178"/>
      <c r="T5" s="178"/>
      <c r="U5" s="178"/>
      <c r="V5" s="178"/>
      <c r="W5" s="178"/>
      <c r="X5" s="178"/>
      <c r="Y5" s="178"/>
      <c r="Z5" s="178"/>
      <c r="AA5" s="178"/>
    </row>
    <row r="6" spans="1:27" ht="13.5" thickTop="1">
      <c r="A6" s="11"/>
      <c r="B6" s="287" t="s">
        <v>21</v>
      </c>
      <c r="C6" s="178">
        <f>SUBTOTAL(109,VPINRevenues[Budget 10/11])</f>
        <v>0</v>
      </c>
      <c r="D6" s="178">
        <f>SUBTOTAL(109,VPINRevenues[Actual 10/11])</f>
        <v>0</v>
      </c>
      <c r="E6" s="178">
        <f>SUBTOTAL(109,VPINRevenues[Budget 11/12])</f>
        <v>0</v>
      </c>
      <c r="F6" s="178">
        <f>SUBTOTAL(109,VPINRevenues[Actual 11/12])</f>
        <v>0</v>
      </c>
      <c r="G6" s="178">
        <f>SUBTOTAL(109,VPINRevenues[Budget 12/13])</f>
        <v>0</v>
      </c>
      <c r="H6" s="178">
        <f>SUBTOTAL(109,VPINRevenues[Actual 12/13])</f>
        <v>0</v>
      </c>
      <c r="I6" s="178">
        <f>SUBTOTAL(109,VPINRevenues[Budget 13/14])</f>
        <v>0</v>
      </c>
      <c r="J6" s="178">
        <f>SUBTOTAL(109,VPINRevenues[Actual 13/14])</f>
        <v>0</v>
      </c>
      <c r="K6" s="178">
        <f>SUBTOTAL(109,VPINRevenues[Budget 14/15])</f>
        <v>0</v>
      </c>
      <c r="L6" s="178">
        <f>SUBTOTAL(109,VPINRevenues[Actual 14/15])</f>
        <v>2500</v>
      </c>
      <c r="M6" s="178">
        <f>SUBTOTAL(109,VPINRevenues[Budget 15/16])</f>
        <v>0</v>
      </c>
      <c r="N6" s="145">
        <f>SUBTOTAL(109,VPINRevenues[Actual 15/16])</f>
        <v>0</v>
      </c>
      <c r="O6" s="178">
        <f>SUBTOTAL(109,VPINRevenues[Budget 16/17])</f>
        <v>0</v>
      </c>
      <c r="P6" s="176"/>
      <c r="Q6" s="176"/>
      <c r="R6" s="176"/>
      <c r="S6" s="176"/>
      <c r="T6" s="176"/>
      <c r="U6" s="176"/>
      <c r="V6" s="176"/>
      <c r="W6" s="176"/>
      <c r="X6" s="176"/>
      <c r="Y6" s="176"/>
      <c r="Z6" s="176"/>
      <c r="AA6" s="176"/>
    </row>
    <row r="7" spans="1:27">
      <c r="A7" s="11"/>
      <c r="B7" s="11"/>
      <c r="C7" s="50"/>
      <c r="D7" s="50"/>
      <c r="E7" s="50"/>
      <c r="F7" s="50"/>
      <c r="G7" s="50"/>
      <c r="H7" s="50"/>
      <c r="I7" s="50"/>
      <c r="J7" s="50"/>
      <c r="K7" s="50"/>
      <c r="L7" s="50"/>
      <c r="M7" s="50"/>
      <c r="N7" s="145"/>
      <c r="O7" s="178"/>
    </row>
    <row r="8" spans="1:27">
      <c r="A8" s="48" t="s">
        <v>130</v>
      </c>
      <c r="B8" s="11" t="s">
        <v>22</v>
      </c>
      <c r="C8" s="50" t="s">
        <v>73</v>
      </c>
      <c r="D8" s="50" t="s">
        <v>74</v>
      </c>
      <c r="E8" s="50" t="s">
        <v>75</v>
      </c>
      <c r="F8" s="50" t="s">
        <v>76</v>
      </c>
      <c r="G8" s="50" t="s">
        <v>77</v>
      </c>
      <c r="H8" s="50" t="s">
        <v>78</v>
      </c>
      <c r="I8" s="50" t="s">
        <v>5</v>
      </c>
      <c r="J8" s="50" t="s">
        <v>6</v>
      </c>
      <c r="K8" s="50" t="s">
        <v>7</v>
      </c>
      <c r="L8" s="50" t="s">
        <v>8</v>
      </c>
      <c r="M8" s="50" t="s">
        <v>9</v>
      </c>
      <c r="N8" s="167" t="s">
        <v>10</v>
      </c>
      <c r="O8" s="50" t="s">
        <v>11</v>
      </c>
      <c r="P8" s="50" t="s">
        <v>12</v>
      </c>
      <c r="Q8" s="50" t="s">
        <v>13</v>
      </c>
      <c r="R8" s="50" t="s">
        <v>14</v>
      </c>
      <c r="S8" s="50" t="s">
        <v>15</v>
      </c>
      <c r="T8" s="50" t="s">
        <v>39</v>
      </c>
      <c r="U8" s="50" t="s">
        <v>16</v>
      </c>
      <c r="V8" s="50" t="s">
        <v>81</v>
      </c>
      <c r="W8" s="50" t="s">
        <v>17</v>
      </c>
      <c r="X8" s="50" t="s">
        <v>40</v>
      </c>
      <c r="Y8" s="50" t="s">
        <v>41</v>
      </c>
      <c r="Z8" s="5" t="s">
        <v>42</v>
      </c>
      <c r="AA8" s="5" t="s">
        <v>43</v>
      </c>
    </row>
    <row r="9" spans="1:27">
      <c r="A9" s="48" t="s">
        <v>228</v>
      </c>
      <c r="B9" s="11" t="s">
        <v>85</v>
      </c>
      <c r="C9" s="44">
        <v>45785.18</v>
      </c>
      <c r="D9" s="44">
        <v>45773.84</v>
      </c>
      <c r="E9" s="44">
        <v>46794.6</v>
      </c>
      <c r="F9" s="44">
        <v>46472.08</v>
      </c>
      <c r="G9" s="44">
        <v>47964.47</v>
      </c>
      <c r="H9" s="44">
        <v>48292.28</v>
      </c>
      <c r="I9" s="44">
        <v>49596</v>
      </c>
      <c r="J9" s="44">
        <v>50357.83</v>
      </c>
      <c r="K9" s="44">
        <f>4096.97*12</f>
        <v>49163.64</v>
      </c>
      <c r="L9" s="44">
        <v>48354.77</v>
      </c>
      <c r="M9" s="84">
        <v>46532.4</v>
      </c>
      <c r="N9" s="149">
        <v>48169.27</v>
      </c>
      <c r="O9" s="84">
        <v>47044.26</v>
      </c>
      <c r="P9" s="44">
        <v>47044.26</v>
      </c>
      <c r="Q9" s="44">
        <v>47702.87</v>
      </c>
      <c r="R9" s="44">
        <v>47744.38</v>
      </c>
      <c r="S9" s="44">
        <v>48227.6</v>
      </c>
      <c r="T9" s="44">
        <v>53186.11</v>
      </c>
      <c r="U9" s="44">
        <v>50060.76</v>
      </c>
      <c r="V9" s="117">
        <v>50431.99</v>
      </c>
      <c r="W9" s="44">
        <v>50060.76</v>
      </c>
      <c r="X9" s="458">
        <v>55149.05</v>
      </c>
      <c r="Y9" s="609">
        <v>51520.231397039999</v>
      </c>
      <c r="Z9" s="609">
        <v>56800.18</v>
      </c>
      <c r="AA9" s="117">
        <v>17345.14</v>
      </c>
    </row>
    <row r="10" spans="1:27">
      <c r="A10" s="197"/>
      <c r="B10" s="11" t="s">
        <v>86</v>
      </c>
      <c r="C10" s="44">
        <v>0</v>
      </c>
      <c r="D10" s="44">
        <v>0</v>
      </c>
      <c r="E10" s="44">
        <v>0</v>
      </c>
      <c r="F10" s="44">
        <v>0</v>
      </c>
      <c r="G10" s="44">
        <v>0</v>
      </c>
      <c r="H10" s="44">
        <v>0</v>
      </c>
      <c r="I10" s="44">
        <v>0</v>
      </c>
      <c r="J10" s="44">
        <v>0</v>
      </c>
      <c r="K10" s="44">
        <v>0</v>
      </c>
      <c r="L10" s="44">
        <v>0</v>
      </c>
      <c r="M10" s="44">
        <v>4466.76</v>
      </c>
      <c r="N10" s="149">
        <v>0</v>
      </c>
      <c r="O10" s="44">
        <v>4515.8900000000003</v>
      </c>
      <c r="P10" s="44">
        <v>4515.8900000000003</v>
      </c>
      <c r="Q10" s="44">
        <v>4579.1099999999997</v>
      </c>
      <c r="R10" s="44">
        <v>4537.6000000000004</v>
      </c>
      <c r="S10" s="44">
        <v>4629.4799999999996</v>
      </c>
      <c r="T10" s="44"/>
      <c r="U10" s="44">
        <f>U9*0.13</f>
        <v>6507.8988000000008</v>
      </c>
      <c r="V10" s="117"/>
      <c r="W10" s="44">
        <f>W9*0.13</f>
        <v>6507.8988000000008</v>
      </c>
      <c r="X10" s="458"/>
      <c r="Y10" s="117">
        <f>0.13*Y9</f>
        <v>6697.6300816151997</v>
      </c>
      <c r="Z10" s="117"/>
      <c r="AA10" s="117">
        <v>2254.87</v>
      </c>
    </row>
    <row r="11" spans="1:27">
      <c r="A11" s="49" t="s">
        <v>229</v>
      </c>
      <c r="B11" s="11" t="s">
        <v>230</v>
      </c>
      <c r="C11" s="44">
        <v>0</v>
      </c>
      <c r="D11" s="44">
        <v>0</v>
      </c>
      <c r="E11" s="44">
        <v>0</v>
      </c>
      <c r="F11" s="44">
        <v>0</v>
      </c>
      <c r="G11" s="44">
        <v>0</v>
      </c>
      <c r="H11" s="44">
        <v>0</v>
      </c>
      <c r="I11" s="44">
        <v>0</v>
      </c>
      <c r="J11" s="44">
        <v>0</v>
      </c>
      <c r="K11" s="44">
        <v>6300</v>
      </c>
      <c r="L11" s="44">
        <v>792.55</v>
      </c>
      <c r="M11" s="44">
        <v>3900</v>
      </c>
      <c r="N11" s="149">
        <v>1605.27</v>
      </c>
      <c r="O11" s="44">
        <v>5000</v>
      </c>
      <c r="P11" s="44">
        <v>2295.25</v>
      </c>
      <c r="Q11" s="117">
        <v>5000</v>
      </c>
      <c r="R11" s="117"/>
      <c r="S11" s="117">
        <v>5500</v>
      </c>
      <c r="T11" s="117">
        <v>1654.51</v>
      </c>
      <c r="U11" s="117">
        <v>0</v>
      </c>
      <c r="V11" s="117">
        <v>0</v>
      </c>
      <c r="W11" s="117">
        <v>250</v>
      </c>
      <c r="X11" s="458">
        <v>14.5</v>
      </c>
      <c r="Y11" s="117">
        <v>250</v>
      </c>
      <c r="Z11" s="117">
        <v>994.76</v>
      </c>
      <c r="AA11" s="117">
        <v>250</v>
      </c>
    </row>
    <row r="12" spans="1:27">
      <c r="A12" s="48" t="s">
        <v>231</v>
      </c>
      <c r="B12" s="11" t="s">
        <v>91</v>
      </c>
      <c r="C12" s="44">
        <v>10000</v>
      </c>
      <c r="D12" s="44">
        <v>11042.52</v>
      </c>
      <c r="E12" s="44">
        <v>24000</v>
      </c>
      <c r="F12" s="44">
        <v>23366.68</v>
      </c>
      <c r="G12" s="44">
        <v>26000</v>
      </c>
      <c r="H12" s="44">
        <v>20284.39</v>
      </c>
      <c r="I12" s="44">
        <v>15000</v>
      </c>
      <c r="J12" s="44">
        <v>19679.599999999999</v>
      </c>
      <c r="K12" s="44">
        <v>21000</v>
      </c>
      <c r="L12" s="44">
        <v>20149.990000000002</v>
      </c>
      <c r="M12" s="44">
        <v>21000</v>
      </c>
      <c r="N12" s="149">
        <v>19598.830000000002</v>
      </c>
      <c r="O12" s="44">
        <v>19000</v>
      </c>
      <c r="P12" s="44">
        <v>23198.19</v>
      </c>
      <c r="Q12" s="117">
        <v>21000</v>
      </c>
      <c r="R12" s="117">
        <v>17960.28</v>
      </c>
      <c r="S12" s="117">
        <v>20000</v>
      </c>
      <c r="T12" s="117">
        <v>17654.509999999998</v>
      </c>
      <c r="U12" s="117">
        <v>18000</v>
      </c>
      <c r="V12" s="117">
        <v>8316.67</v>
      </c>
      <c r="W12" s="117">
        <v>15000</v>
      </c>
      <c r="X12" s="458">
        <v>11622.09</v>
      </c>
      <c r="Y12" s="117">
        <v>15000</v>
      </c>
      <c r="Z12" s="117">
        <v>13936.95</v>
      </c>
      <c r="AA12" s="117"/>
    </row>
    <row r="13" spans="1:27">
      <c r="A13" s="48" t="s">
        <v>232</v>
      </c>
      <c r="B13" s="11" t="s">
        <v>93</v>
      </c>
      <c r="C13" s="44">
        <v>250</v>
      </c>
      <c r="D13" s="44">
        <v>243.33</v>
      </c>
      <c r="E13" s="44">
        <v>250</v>
      </c>
      <c r="F13" s="44">
        <v>228.68</v>
      </c>
      <c r="G13" s="44">
        <v>250</v>
      </c>
      <c r="H13" s="44">
        <v>227.94</v>
      </c>
      <c r="I13" s="44">
        <v>250</v>
      </c>
      <c r="J13" s="44">
        <v>227.78</v>
      </c>
      <c r="K13" s="44">
        <v>250</v>
      </c>
      <c r="L13" s="44">
        <v>310.61</v>
      </c>
      <c r="M13" s="44">
        <v>250</v>
      </c>
      <c r="N13" s="149">
        <v>227.98</v>
      </c>
      <c r="O13" s="44">
        <v>250</v>
      </c>
      <c r="P13" s="44">
        <v>191.42</v>
      </c>
      <c r="Q13" s="117">
        <v>250</v>
      </c>
      <c r="R13" s="117">
        <v>208.45</v>
      </c>
      <c r="S13" s="117">
        <v>225</v>
      </c>
      <c r="T13" s="117">
        <v>284.72000000000003</v>
      </c>
      <c r="U13" s="117">
        <v>225</v>
      </c>
      <c r="V13" s="117">
        <v>219.45</v>
      </c>
      <c r="W13" s="117">
        <v>225</v>
      </c>
      <c r="X13" s="458">
        <v>143.69999999999999</v>
      </c>
      <c r="Y13" s="117">
        <v>0</v>
      </c>
      <c r="Z13" s="117"/>
      <c r="AA13" s="117"/>
    </row>
    <row r="14" spans="1:27">
      <c r="A14" s="48" t="s">
        <v>233</v>
      </c>
      <c r="B14" s="11" t="s">
        <v>95</v>
      </c>
      <c r="C14" s="44">
        <v>1150</v>
      </c>
      <c r="D14" s="44">
        <v>877.29</v>
      </c>
      <c r="E14" s="44">
        <v>1150</v>
      </c>
      <c r="F14" s="44">
        <v>1566.08</v>
      </c>
      <c r="G14" s="44">
        <v>1250</v>
      </c>
      <c r="H14" s="44">
        <v>915.25</v>
      </c>
      <c r="I14" s="44">
        <v>840</v>
      </c>
      <c r="J14" s="44">
        <v>782</v>
      </c>
      <c r="K14" s="44">
        <v>930</v>
      </c>
      <c r="L14" s="44">
        <v>500</v>
      </c>
      <c r="M14" s="44">
        <f>67.8*12</f>
        <v>813.59999999999991</v>
      </c>
      <c r="N14" s="149">
        <v>813.6</v>
      </c>
      <c r="O14" s="44">
        <v>813</v>
      </c>
      <c r="P14" s="44">
        <v>813.6</v>
      </c>
      <c r="Q14" s="117">
        <v>813.6</v>
      </c>
      <c r="R14" s="117">
        <v>813.6</v>
      </c>
      <c r="S14" s="117">
        <v>876</v>
      </c>
      <c r="T14" s="117">
        <v>882.6</v>
      </c>
      <c r="U14" s="117"/>
      <c r="V14" s="117">
        <v>734.5</v>
      </c>
      <c r="W14" s="117">
        <f>50*12</f>
        <v>600</v>
      </c>
      <c r="X14" s="458">
        <v>600</v>
      </c>
      <c r="Y14" s="117">
        <v>600</v>
      </c>
      <c r="Z14" s="117">
        <v>600</v>
      </c>
      <c r="AA14" s="117">
        <v>200</v>
      </c>
    </row>
    <row r="15" spans="1:27">
      <c r="A15" s="48" t="s">
        <v>234</v>
      </c>
      <c r="B15" s="11" t="s">
        <v>97</v>
      </c>
      <c r="C15" s="44">
        <v>5</v>
      </c>
      <c r="D15" s="44">
        <v>0</v>
      </c>
      <c r="E15" s="44">
        <v>5</v>
      </c>
      <c r="F15" s="44">
        <v>0</v>
      </c>
      <c r="G15" s="44">
        <v>5</v>
      </c>
      <c r="H15" s="44">
        <v>0</v>
      </c>
      <c r="I15" s="44">
        <v>5</v>
      </c>
      <c r="J15" s="44">
        <v>0</v>
      </c>
      <c r="K15" s="44">
        <v>0</v>
      </c>
      <c r="L15" s="44">
        <v>0</v>
      </c>
      <c r="M15" s="44">
        <v>0</v>
      </c>
      <c r="N15" s="149">
        <v>0</v>
      </c>
      <c r="O15" s="44">
        <v>0</v>
      </c>
      <c r="P15" s="44"/>
      <c r="Q15" s="117"/>
      <c r="R15" s="117"/>
      <c r="S15" s="117"/>
      <c r="T15" s="117"/>
      <c r="U15" s="117"/>
      <c r="V15" s="117">
        <v>0</v>
      </c>
      <c r="W15" s="117"/>
      <c r="X15" s="459"/>
      <c r="Y15" s="117"/>
      <c r="Z15" s="117"/>
      <c r="AA15" s="117"/>
    </row>
    <row r="16" spans="1:27">
      <c r="A16" s="48" t="s">
        <v>235</v>
      </c>
      <c r="B16" s="11" t="s">
        <v>100</v>
      </c>
      <c r="C16" s="44">
        <v>250</v>
      </c>
      <c r="D16" s="44">
        <v>312.94</v>
      </c>
      <c r="E16" s="44">
        <v>300</v>
      </c>
      <c r="F16" s="44">
        <v>242.5</v>
      </c>
      <c r="G16" s="44">
        <v>250</v>
      </c>
      <c r="H16" s="44">
        <v>152.69</v>
      </c>
      <c r="I16" s="44">
        <v>150</v>
      </c>
      <c r="J16" s="44">
        <v>117.84</v>
      </c>
      <c r="K16" s="44">
        <v>200</v>
      </c>
      <c r="L16" s="44">
        <v>156.68</v>
      </c>
      <c r="M16" s="44">
        <v>200</v>
      </c>
      <c r="N16" s="149">
        <v>315.97000000000003</v>
      </c>
      <c r="O16" s="44">
        <v>150</v>
      </c>
      <c r="P16" s="44"/>
      <c r="Q16" s="117">
        <v>150</v>
      </c>
      <c r="R16" s="117">
        <v>61.76</v>
      </c>
      <c r="S16" s="117">
        <v>100</v>
      </c>
      <c r="T16" s="117">
        <v>133.47</v>
      </c>
      <c r="U16" s="117">
        <v>100</v>
      </c>
      <c r="V16" s="117">
        <v>47.73</v>
      </c>
      <c r="W16" s="117">
        <v>100</v>
      </c>
      <c r="X16" s="458">
        <v>12.53</v>
      </c>
      <c r="Y16" s="117">
        <v>100</v>
      </c>
      <c r="Z16" s="117">
        <v>0</v>
      </c>
      <c r="AA16" s="117"/>
    </row>
    <row r="17" spans="1:27">
      <c r="A17" s="48" t="s">
        <v>236</v>
      </c>
      <c r="B17" s="11" t="s">
        <v>237</v>
      </c>
      <c r="C17" s="44">
        <v>50</v>
      </c>
      <c r="D17" s="44">
        <v>13.66</v>
      </c>
      <c r="E17" s="44">
        <v>25</v>
      </c>
      <c r="F17" s="44">
        <v>0</v>
      </c>
      <c r="G17" s="44">
        <v>25</v>
      </c>
      <c r="H17" s="44">
        <v>243.65</v>
      </c>
      <c r="I17" s="44">
        <v>0</v>
      </c>
      <c r="J17" s="44">
        <v>0</v>
      </c>
      <c r="K17" s="44">
        <v>0</v>
      </c>
      <c r="L17" s="44">
        <v>0</v>
      </c>
      <c r="M17" s="44">
        <v>0</v>
      </c>
      <c r="N17" s="149">
        <v>0</v>
      </c>
      <c r="O17" s="44"/>
      <c r="P17" s="44"/>
      <c r="Q17" s="117"/>
      <c r="R17" s="117">
        <v>9.2799999999999994</v>
      </c>
      <c r="S17" s="117"/>
      <c r="T17" s="117"/>
      <c r="U17" s="117"/>
      <c r="V17" s="117">
        <v>0</v>
      </c>
      <c r="W17" s="117"/>
      <c r="X17" s="459"/>
      <c r="Y17" s="117"/>
      <c r="Z17" s="117"/>
      <c r="AA17" s="117"/>
    </row>
    <row r="18" spans="1:27">
      <c r="A18" s="48" t="s">
        <v>238</v>
      </c>
      <c r="B18" s="11" t="s">
        <v>166</v>
      </c>
      <c r="C18" s="44">
        <v>150</v>
      </c>
      <c r="D18" s="44">
        <v>524.79</v>
      </c>
      <c r="E18" s="44">
        <v>300</v>
      </c>
      <c r="F18" s="44">
        <v>267.69</v>
      </c>
      <c r="G18" s="44">
        <v>1300</v>
      </c>
      <c r="H18" s="44">
        <v>0</v>
      </c>
      <c r="I18" s="44">
        <v>500</v>
      </c>
      <c r="J18" s="44">
        <v>0</v>
      </c>
      <c r="K18" s="44">
        <v>50</v>
      </c>
      <c r="L18" s="44">
        <v>120.12</v>
      </c>
      <c r="M18" s="44">
        <v>100</v>
      </c>
      <c r="N18" s="149">
        <v>75.05</v>
      </c>
      <c r="O18" s="44">
        <v>100</v>
      </c>
      <c r="P18" s="44">
        <v>14.43</v>
      </c>
      <c r="Q18" s="117">
        <v>100</v>
      </c>
      <c r="R18" s="117">
        <v>42.07</v>
      </c>
      <c r="S18" s="117">
        <v>50</v>
      </c>
      <c r="T18" s="117">
        <v>86.27</v>
      </c>
      <c r="U18" s="117">
        <v>50</v>
      </c>
      <c r="V18" s="117">
        <v>0</v>
      </c>
      <c r="W18" s="117">
        <v>50</v>
      </c>
      <c r="X18" s="458"/>
      <c r="Y18" s="117">
        <v>50</v>
      </c>
      <c r="Z18" s="117">
        <v>0</v>
      </c>
      <c r="AA18" s="117">
        <v>20</v>
      </c>
    </row>
    <row r="19" spans="1:27">
      <c r="A19" s="48" t="s">
        <v>239</v>
      </c>
      <c r="B19" s="11" t="s">
        <v>104</v>
      </c>
      <c r="C19" s="44">
        <v>2000</v>
      </c>
      <c r="D19" s="44">
        <v>2814.63</v>
      </c>
      <c r="E19" s="44">
        <v>3000</v>
      </c>
      <c r="F19" s="44">
        <v>1254.32</v>
      </c>
      <c r="G19" s="44">
        <v>1250</v>
      </c>
      <c r="H19" s="44">
        <v>680.77</v>
      </c>
      <c r="I19" s="44">
        <v>1000</v>
      </c>
      <c r="J19" s="44">
        <v>382.7</v>
      </c>
      <c r="K19" s="44">
        <v>950</v>
      </c>
      <c r="L19" s="44">
        <v>1034.3800000000001</v>
      </c>
      <c r="M19" s="44">
        <v>600</v>
      </c>
      <c r="N19" s="149">
        <v>1521.42</v>
      </c>
      <c r="O19" s="44">
        <v>500</v>
      </c>
      <c r="P19" s="44">
        <v>459.2</v>
      </c>
      <c r="Q19" s="117">
        <v>600</v>
      </c>
      <c r="R19" s="117">
        <v>512.19000000000005</v>
      </c>
      <c r="S19" s="117">
        <v>550</v>
      </c>
      <c r="T19" s="117">
        <v>494.74</v>
      </c>
      <c r="U19" s="117">
        <v>550</v>
      </c>
      <c r="V19" s="117">
        <v>156.11000000000001</v>
      </c>
      <c r="W19" s="117">
        <v>500</v>
      </c>
      <c r="X19" s="458">
        <v>148.72</v>
      </c>
      <c r="Y19" s="117">
        <v>500</v>
      </c>
      <c r="Z19" s="117">
        <v>0</v>
      </c>
      <c r="AA19" s="117">
        <v>150</v>
      </c>
    </row>
    <row r="20" spans="1:27">
      <c r="A20" s="48" t="s">
        <v>240</v>
      </c>
      <c r="B20" s="11" t="s">
        <v>106</v>
      </c>
      <c r="C20" s="44">
        <v>1000</v>
      </c>
      <c r="D20" s="44">
        <v>162.46</v>
      </c>
      <c r="E20" s="44">
        <v>300</v>
      </c>
      <c r="F20" s="44">
        <v>233</v>
      </c>
      <c r="G20" s="44">
        <v>1300</v>
      </c>
      <c r="H20" s="44">
        <v>1687.77</v>
      </c>
      <c r="I20" s="44">
        <v>4000</v>
      </c>
      <c r="J20" s="44">
        <v>2836.14</v>
      </c>
      <c r="K20" s="44">
        <v>750</v>
      </c>
      <c r="L20" s="44">
        <v>1048.33</v>
      </c>
      <c r="M20" s="44">
        <v>700</v>
      </c>
      <c r="N20" s="149">
        <v>845.98</v>
      </c>
      <c r="O20" s="44">
        <v>700</v>
      </c>
      <c r="P20" s="44">
        <v>208.19</v>
      </c>
      <c r="Q20" s="117">
        <v>700</v>
      </c>
      <c r="R20" s="117">
        <v>829.55</v>
      </c>
      <c r="S20" s="117">
        <v>750</v>
      </c>
      <c r="T20" s="117">
        <v>278.8</v>
      </c>
      <c r="U20" s="117">
        <v>750</v>
      </c>
      <c r="V20" s="117">
        <v>0</v>
      </c>
      <c r="W20" s="117">
        <v>500</v>
      </c>
      <c r="X20" s="458"/>
      <c r="Y20" s="117">
        <v>500</v>
      </c>
      <c r="Z20" s="117">
        <v>0</v>
      </c>
      <c r="AA20" s="117">
        <v>1000</v>
      </c>
    </row>
    <row r="21" spans="1:27">
      <c r="A21" s="48" t="s">
        <v>241</v>
      </c>
      <c r="B21" s="11" t="s">
        <v>110</v>
      </c>
      <c r="C21" s="44">
        <v>0</v>
      </c>
      <c r="D21" s="44">
        <v>0</v>
      </c>
      <c r="E21" s="44">
        <v>20000</v>
      </c>
      <c r="F21" s="44">
        <v>0</v>
      </c>
      <c r="G21" s="44">
        <v>21000</v>
      </c>
      <c r="H21" s="44">
        <v>0</v>
      </c>
      <c r="I21" s="44">
        <v>0</v>
      </c>
      <c r="J21" s="44">
        <v>0</v>
      </c>
      <c r="K21" s="44">
        <v>0</v>
      </c>
      <c r="L21" s="44">
        <v>0</v>
      </c>
      <c r="M21" s="44">
        <v>0</v>
      </c>
      <c r="N21" s="149">
        <v>0</v>
      </c>
      <c r="O21" s="44">
        <v>0</v>
      </c>
      <c r="P21" s="44">
        <v>1001.29</v>
      </c>
      <c r="Q21" s="117"/>
      <c r="R21" s="117">
        <v>572.28</v>
      </c>
      <c r="S21" s="117"/>
      <c r="T21" s="117">
        <v>190.71</v>
      </c>
      <c r="U21" s="117"/>
      <c r="V21" s="117">
        <v>0</v>
      </c>
      <c r="W21" s="117"/>
      <c r="X21" s="459"/>
      <c r="Y21" s="117"/>
      <c r="Z21" s="117"/>
      <c r="AA21" s="117"/>
    </row>
    <row r="22" spans="1:27">
      <c r="A22" s="363" t="s">
        <v>242</v>
      </c>
      <c r="B22" s="11" t="s">
        <v>243</v>
      </c>
      <c r="C22" s="44"/>
      <c r="D22" s="44"/>
      <c r="E22" s="44"/>
      <c r="F22" s="44"/>
      <c r="G22" s="44"/>
      <c r="H22" s="44"/>
      <c r="I22" s="44"/>
      <c r="J22" s="44"/>
      <c r="K22" s="44"/>
      <c r="L22" s="44"/>
      <c r="M22" s="44"/>
      <c r="N22" s="44"/>
      <c r="O22" s="44"/>
      <c r="P22" s="44"/>
      <c r="Q22" s="117"/>
      <c r="R22" s="117"/>
      <c r="S22" s="117"/>
      <c r="T22" s="117"/>
      <c r="U22" s="117"/>
      <c r="V22" s="117"/>
      <c r="W22" s="117">
        <v>2000</v>
      </c>
      <c r="X22" s="458"/>
      <c r="Y22" s="117">
        <v>2000</v>
      </c>
      <c r="Z22" s="117">
        <v>100</v>
      </c>
      <c r="AA22" s="117"/>
    </row>
    <row r="23" spans="1:27">
      <c r="A23" s="48" t="s">
        <v>244</v>
      </c>
      <c r="B23" s="11" t="s">
        <v>114</v>
      </c>
      <c r="C23" s="44">
        <v>1750</v>
      </c>
      <c r="D23" s="44">
        <v>1967.98</v>
      </c>
      <c r="E23" s="44">
        <v>5000</v>
      </c>
      <c r="F23" s="44">
        <v>1991.47</v>
      </c>
      <c r="G23" s="44">
        <v>5000</v>
      </c>
      <c r="H23" s="44">
        <v>2558.46</v>
      </c>
      <c r="I23" s="44">
        <v>0</v>
      </c>
      <c r="J23" s="44">
        <v>2593.96</v>
      </c>
      <c r="K23" s="44">
        <v>0</v>
      </c>
      <c r="L23" s="44">
        <v>11677.95</v>
      </c>
      <c r="M23" s="44">
        <v>0</v>
      </c>
      <c r="N23" s="149">
        <v>9872.7900000000009</v>
      </c>
      <c r="O23" s="44">
        <v>0</v>
      </c>
      <c r="P23" s="44">
        <v>4395.07</v>
      </c>
      <c r="Q23" s="117"/>
      <c r="R23" s="117">
        <v>2613.02</v>
      </c>
      <c r="S23" s="117">
        <v>4250</v>
      </c>
      <c r="T23" s="117">
        <v>8096.24</v>
      </c>
      <c r="U23" s="117"/>
      <c r="V23" s="117">
        <v>588.37</v>
      </c>
      <c r="W23" s="117"/>
      <c r="X23" s="458"/>
      <c r="Y23" s="117">
        <v>3000</v>
      </c>
      <c r="Z23" s="117">
        <v>3194.69</v>
      </c>
      <c r="AA23" s="117"/>
    </row>
    <row r="24" spans="1:27">
      <c r="A24" s="197"/>
      <c r="B24" s="11" t="s">
        <v>245</v>
      </c>
      <c r="C24" s="44">
        <v>0</v>
      </c>
      <c r="D24" s="44">
        <v>0</v>
      </c>
      <c r="E24" s="44">
        <v>0</v>
      </c>
      <c r="F24" s="44">
        <v>0</v>
      </c>
      <c r="G24" s="44">
        <v>0</v>
      </c>
      <c r="H24" s="44">
        <v>0</v>
      </c>
      <c r="I24" s="44">
        <v>1300</v>
      </c>
      <c r="J24" s="44">
        <v>0</v>
      </c>
      <c r="K24" s="44">
        <v>3000</v>
      </c>
      <c r="L24" s="44">
        <v>0</v>
      </c>
      <c r="M24" s="44">
        <v>2500</v>
      </c>
      <c r="N24" s="149">
        <v>0</v>
      </c>
      <c r="O24" s="44">
        <v>2500</v>
      </c>
      <c r="P24" s="44"/>
      <c r="Q24" s="117">
        <v>3000</v>
      </c>
      <c r="R24" s="117"/>
      <c r="S24" s="117">
        <v>2500</v>
      </c>
      <c r="T24" s="117"/>
      <c r="U24" s="117"/>
      <c r="V24" s="117"/>
      <c r="W24" s="117"/>
      <c r="X24" s="459"/>
      <c r="Y24" s="117"/>
      <c r="Z24" s="117"/>
      <c r="AA24" s="117"/>
    </row>
    <row r="25" spans="1:27">
      <c r="A25" s="197"/>
      <c r="B25" s="11" t="s">
        <v>246</v>
      </c>
      <c r="C25" s="44">
        <v>0</v>
      </c>
      <c r="D25" s="44">
        <v>0</v>
      </c>
      <c r="E25" s="44">
        <v>0</v>
      </c>
      <c r="F25" s="44">
        <v>0</v>
      </c>
      <c r="G25" s="44">
        <v>0</v>
      </c>
      <c r="H25" s="44">
        <v>0</v>
      </c>
      <c r="I25" s="44">
        <v>3000</v>
      </c>
      <c r="J25" s="44">
        <v>0</v>
      </c>
      <c r="K25" s="44">
        <v>4000</v>
      </c>
      <c r="L25" s="44">
        <v>0</v>
      </c>
      <c r="M25" s="44">
        <v>1500</v>
      </c>
      <c r="N25" s="149">
        <v>0</v>
      </c>
      <c r="O25" s="44">
        <v>1000</v>
      </c>
      <c r="P25" s="44"/>
      <c r="Q25" s="117">
        <v>1000</v>
      </c>
      <c r="R25" s="117"/>
      <c r="S25" s="117">
        <v>800</v>
      </c>
      <c r="T25" s="117"/>
      <c r="U25" s="117">
        <v>1500</v>
      </c>
      <c r="V25" s="117"/>
      <c r="W25" s="117">
        <v>1000</v>
      </c>
      <c r="X25" s="459"/>
      <c r="Y25" s="117"/>
      <c r="Z25" s="117"/>
      <c r="AA25" s="117"/>
    </row>
    <row r="26" spans="1:27">
      <c r="A26" s="197"/>
      <c r="B26" s="11" t="s">
        <v>247</v>
      </c>
      <c r="C26" s="44"/>
      <c r="D26" s="44"/>
      <c r="E26" s="44"/>
      <c r="F26" s="44"/>
      <c r="G26" s="44"/>
      <c r="H26" s="44"/>
      <c r="I26" s="44"/>
      <c r="J26" s="44"/>
      <c r="K26" s="44"/>
      <c r="L26" s="44"/>
      <c r="M26" s="44"/>
      <c r="N26" s="44"/>
      <c r="O26" s="44"/>
      <c r="P26" s="44"/>
      <c r="Q26" s="117"/>
      <c r="R26" s="117"/>
      <c r="S26" s="117"/>
      <c r="T26" s="117"/>
      <c r="U26" s="117">
        <v>800</v>
      </c>
      <c r="V26" s="117"/>
      <c r="W26" s="404">
        <v>800</v>
      </c>
      <c r="X26" s="459"/>
      <c r="Y26" s="117"/>
      <c r="Z26" s="117"/>
      <c r="AA26" s="117"/>
    </row>
    <row r="27" spans="1:27">
      <c r="A27" s="198"/>
      <c r="B27" s="11" t="s">
        <v>248</v>
      </c>
      <c r="C27" s="44">
        <v>0</v>
      </c>
      <c r="D27" s="44">
        <v>0</v>
      </c>
      <c r="E27" s="44">
        <v>0</v>
      </c>
      <c r="F27" s="44">
        <v>0</v>
      </c>
      <c r="G27" s="44">
        <v>0</v>
      </c>
      <c r="H27" s="44">
        <v>0</v>
      </c>
      <c r="I27" s="44">
        <v>675</v>
      </c>
      <c r="J27" s="44">
        <v>0</v>
      </c>
      <c r="K27" s="44">
        <v>1500</v>
      </c>
      <c r="L27" s="44">
        <v>0</v>
      </c>
      <c r="M27" s="44">
        <v>1500</v>
      </c>
      <c r="N27" s="149">
        <v>0</v>
      </c>
      <c r="O27" s="44">
        <v>1500</v>
      </c>
      <c r="P27" s="44"/>
      <c r="Q27" s="117">
        <v>1500</v>
      </c>
      <c r="R27" s="117"/>
      <c r="S27" s="117">
        <v>950</v>
      </c>
      <c r="T27" s="117"/>
      <c r="U27" s="117"/>
      <c r="V27" s="117"/>
      <c r="W27" s="117"/>
      <c r="X27" s="459"/>
      <c r="Y27" s="117"/>
      <c r="Z27" s="117"/>
      <c r="AA27" s="117"/>
    </row>
    <row r="28" spans="1:27" ht="13.5" thickBot="1">
      <c r="A28" s="48" t="s">
        <v>244</v>
      </c>
      <c r="B28" s="11" t="s">
        <v>249</v>
      </c>
      <c r="C28" s="44"/>
      <c r="D28" s="44"/>
      <c r="E28" s="44"/>
      <c r="F28" s="44"/>
      <c r="G28" s="44"/>
      <c r="H28" s="44"/>
      <c r="I28" s="44"/>
      <c r="J28" s="44"/>
      <c r="K28" s="44"/>
      <c r="L28" s="44"/>
      <c r="M28" s="44"/>
      <c r="N28" s="44"/>
      <c r="O28" s="44"/>
      <c r="P28" s="44"/>
      <c r="Q28" s="117"/>
      <c r="R28" s="117"/>
      <c r="S28" s="117"/>
      <c r="T28" s="117"/>
      <c r="U28" s="117">
        <v>3000</v>
      </c>
      <c r="V28" s="117"/>
      <c r="W28" s="117">
        <v>3000</v>
      </c>
      <c r="X28" s="458">
        <v>1073.8</v>
      </c>
      <c r="Y28" s="117">
        <v>3000</v>
      </c>
      <c r="Z28" s="117"/>
      <c r="AA28" s="117">
        <v>3000</v>
      </c>
    </row>
    <row r="29" spans="1:27" ht="14.45" hidden="1" customHeight="1" thickBot="1">
      <c r="A29" s="48" t="s">
        <v>244</v>
      </c>
      <c r="B29" s="11" t="s">
        <v>250</v>
      </c>
      <c r="C29" s="44">
        <v>30000</v>
      </c>
      <c r="D29" s="47">
        <v>7753.71</v>
      </c>
      <c r="E29" s="45">
        <v>20000</v>
      </c>
      <c r="F29" s="44">
        <v>10061</v>
      </c>
      <c r="G29" s="45">
        <v>16000</v>
      </c>
      <c r="H29" s="47">
        <v>10783.99</v>
      </c>
      <c r="I29" s="45">
        <v>11000</v>
      </c>
      <c r="J29" s="44">
        <v>4851.42</v>
      </c>
      <c r="K29" s="44">
        <v>7000</v>
      </c>
      <c r="L29" s="44">
        <v>1985.65</v>
      </c>
      <c r="M29" s="44">
        <v>6000</v>
      </c>
      <c r="N29" s="149">
        <v>1663.48</v>
      </c>
      <c r="O29" s="116">
        <v>5000</v>
      </c>
      <c r="P29" s="507">
        <v>5000</v>
      </c>
      <c r="Q29" s="117">
        <v>5000</v>
      </c>
      <c r="R29" s="185" t="s">
        <v>45</v>
      </c>
      <c r="S29" s="117"/>
      <c r="T29" s="117"/>
      <c r="U29" s="117"/>
      <c r="V29" s="117"/>
      <c r="W29" s="117"/>
      <c r="X29" s="117"/>
      <c r="Y29" s="117"/>
      <c r="Z29" s="117"/>
      <c r="AA29" s="117"/>
    </row>
    <row r="30" spans="1:27" ht="13.5" thickBot="1">
      <c r="A30" s="48" t="s">
        <v>244</v>
      </c>
      <c r="B30" s="613" t="s">
        <v>121</v>
      </c>
      <c r="C30" s="405">
        <v>250</v>
      </c>
      <c r="D30" s="44">
        <v>228.26</v>
      </c>
      <c r="E30" s="44">
        <v>250</v>
      </c>
      <c r="F30" s="53">
        <v>201.79</v>
      </c>
      <c r="G30" s="44">
        <v>250</v>
      </c>
      <c r="H30" s="44">
        <v>128.69999999999999</v>
      </c>
      <c r="I30" s="56">
        <v>250</v>
      </c>
      <c r="J30" s="53">
        <v>201.9</v>
      </c>
      <c r="K30" s="56">
        <v>200</v>
      </c>
      <c r="L30" s="52">
        <v>157.88999999999999</v>
      </c>
      <c r="M30" s="55">
        <v>100</v>
      </c>
      <c r="N30" s="165">
        <v>0</v>
      </c>
      <c r="O30" s="115">
        <v>200</v>
      </c>
      <c r="P30" s="44"/>
      <c r="Q30" s="117">
        <v>200</v>
      </c>
      <c r="R30" s="185"/>
      <c r="S30" s="117">
        <v>50</v>
      </c>
      <c r="T30" s="117">
        <v>33.9</v>
      </c>
      <c r="U30" s="117">
        <v>50</v>
      </c>
      <c r="V30" s="117"/>
      <c r="W30" s="117">
        <v>50</v>
      </c>
      <c r="X30" s="117"/>
      <c r="Y30" s="117">
        <v>50</v>
      </c>
      <c r="Z30" s="117"/>
      <c r="AA30" s="117"/>
    </row>
    <row r="31" spans="1:27" ht="13.5" thickBot="1">
      <c r="A31" s="48" t="s">
        <v>244</v>
      </c>
      <c r="B31" s="613" t="s">
        <v>153</v>
      </c>
      <c r="C31" s="56">
        <v>300</v>
      </c>
      <c r="D31" s="53">
        <v>500</v>
      </c>
      <c r="E31" s="56">
        <v>500</v>
      </c>
      <c r="F31" s="44">
        <v>1000</v>
      </c>
      <c r="G31" s="56">
        <v>1000</v>
      </c>
      <c r="H31" s="52">
        <v>1000</v>
      </c>
      <c r="I31" s="56">
        <v>1000</v>
      </c>
      <c r="J31" s="53">
        <v>0</v>
      </c>
      <c r="K31" s="56">
        <v>1000</v>
      </c>
      <c r="L31" s="53">
        <v>0</v>
      </c>
      <c r="M31" s="56">
        <v>1000</v>
      </c>
      <c r="N31" s="166">
        <v>0</v>
      </c>
      <c r="O31" s="44">
        <v>1085.5999999999999</v>
      </c>
      <c r="P31" s="44">
        <v>1085.5999999999999</v>
      </c>
      <c r="Q31" s="117">
        <v>1085.5999999999999</v>
      </c>
      <c r="R31" s="117">
        <v>1085.5999999999999</v>
      </c>
      <c r="S31" s="117">
        <v>1085.5999999999999</v>
      </c>
      <c r="T31" s="117">
        <v>1100</v>
      </c>
      <c r="U31" s="117">
        <f>1085.6/2</f>
        <v>542.79999999999995</v>
      </c>
      <c r="V31" s="117"/>
      <c r="W31" s="117">
        <v>542.79999999999995</v>
      </c>
      <c r="X31" s="458">
        <v>644.9</v>
      </c>
      <c r="Y31" s="117">
        <v>542.79999999999995</v>
      </c>
      <c r="Z31" s="117"/>
      <c r="AA31" s="117">
        <v>542.79999999999995</v>
      </c>
    </row>
    <row r="32" spans="1:27" hidden="1">
      <c r="A32" s="48" t="s">
        <v>244</v>
      </c>
      <c r="B32" s="613" t="s">
        <v>251</v>
      </c>
      <c r="C32" s="44">
        <v>0</v>
      </c>
      <c r="D32" s="44">
        <v>-940</v>
      </c>
      <c r="E32" s="44">
        <v>0</v>
      </c>
      <c r="F32" s="52">
        <v>0</v>
      </c>
      <c r="G32" s="44">
        <v>0</v>
      </c>
      <c r="H32" s="52">
        <v>0</v>
      </c>
      <c r="I32" s="44">
        <v>0</v>
      </c>
      <c r="J32" s="44">
        <v>0</v>
      </c>
      <c r="K32" s="44">
        <v>0</v>
      </c>
      <c r="L32" s="57">
        <v>0</v>
      </c>
      <c r="M32" s="44">
        <v>0</v>
      </c>
      <c r="N32" s="149">
        <v>0</v>
      </c>
      <c r="O32" s="114">
        <v>0</v>
      </c>
      <c r="P32" s="44"/>
      <c r="Q32" s="117"/>
      <c r="R32" s="117"/>
      <c r="S32" s="117"/>
      <c r="T32" s="117"/>
      <c r="U32" s="117"/>
      <c r="V32" s="117"/>
      <c r="W32" s="117"/>
      <c r="X32" s="117"/>
      <c r="Y32" s="117"/>
      <c r="Z32" s="117"/>
      <c r="AA32" s="117"/>
    </row>
    <row r="33" spans="1:27" hidden="1">
      <c r="A33" s="48" t="s">
        <v>244</v>
      </c>
      <c r="B33" s="11" t="s">
        <v>252</v>
      </c>
      <c r="C33" s="44">
        <v>0</v>
      </c>
      <c r="D33" s="44">
        <v>532.92999999999995</v>
      </c>
      <c r="E33" s="44">
        <v>0</v>
      </c>
      <c r="F33" s="44">
        <v>0</v>
      </c>
      <c r="G33" s="44">
        <v>0</v>
      </c>
      <c r="H33" s="44">
        <v>0</v>
      </c>
      <c r="I33" s="44">
        <v>0</v>
      </c>
      <c r="J33" s="44">
        <v>0</v>
      </c>
      <c r="K33" s="44">
        <v>0</v>
      </c>
      <c r="L33" s="44">
        <v>0</v>
      </c>
      <c r="M33" s="44">
        <v>0</v>
      </c>
      <c r="N33" s="149">
        <v>0</v>
      </c>
      <c r="O33" s="44">
        <v>0</v>
      </c>
      <c r="P33" s="44"/>
      <c r="Q33" s="117"/>
      <c r="R33" s="117"/>
      <c r="S33" s="117"/>
      <c r="T33" s="117"/>
      <c r="U33" s="117"/>
      <c r="V33" s="117"/>
      <c r="W33" s="117"/>
      <c r="X33" s="117"/>
      <c r="Y33" s="117"/>
      <c r="Z33" s="117"/>
      <c r="AA33" s="117"/>
    </row>
    <row r="34" spans="1:27">
      <c r="A34" s="11"/>
      <c r="B34" s="11" t="s">
        <v>21</v>
      </c>
      <c r="C34" s="178">
        <f>SUBTOTAL(109,VPINExpenses[Budget 10/11])</f>
        <v>62940.18</v>
      </c>
      <c r="D34" s="178">
        <f>SUBTOTAL(109,VPINExpenses[Actual 10/11])</f>
        <v>64461.700000000012</v>
      </c>
      <c r="E34" s="178">
        <f>SUBTOTAL(109,VPINExpenses[Budget 11/12])</f>
        <v>101874.6</v>
      </c>
      <c r="F34" s="178">
        <f>SUBTOTAL(109,VPINExpenses[Actual 11/12])</f>
        <v>76824.290000000008</v>
      </c>
      <c r="G34" s="178">
        <f>SUBTOTAL(109,VPINExpenses[Budget 12/13])</f>
        <v>106844.47</v>
      </c>
      <c r="H34" s="178">
        <f>SUBTOTAL(109,VPINExpenses[Actual 12/13])</f>
        <v>76171.900000000009</v>
      </c>
      <c r="I34" s="178">
        <f>SUBTOTAL(109,VPINExpenses[Budget 13/14])</f>
        <v>77566</v>
      </c>
      <c r="J34" s="178">
        <f>SUBTOTAL(109,VPINExpenses[Actual 13/14])</f>
        <v>77179.749999999985</v>
      </c>
      <c r="K34" s="178">
        <f>SUBTOTAL(109,VPINExpenses[Budget 14/15])</f>
        <v>89293.64</v>
      </c>
      <c r="L34" s="178">
        <f>SUBTOTAL(109,VPINExpenses[Actual 14/15])</f>
        <v>84303.26999999999</v>
      </c>
      <c r="M34" s="178">
        <f>SUBTOTAL(109,VPINExpenses[Budget 15/16])</f>
        <v>85162.760000000009</v>
      </c>
      <c r="N34" s="145">
        <f>SUBTOTAL(109,VPINExpenses[Actual 15/16])</f>
        <v>83046.16</v>
      </c>
      <c r="O34" s="178">
        <f>SUBTOTAL(109,VPINExpenses[Budget 16/17])</f>
        <v>84358.75</v>
      </c>
      <c r="P34" s="178">
        <f>SUBTOTAL(109,VPINExpenses[Actual 16/17])</f>
        <v>85222.389999999985</v>
      </c>
      <c r="Q34" s="178">
        <f>SUBTOTAL(109,VPINExpenses[Budget 17/18])</f>
        <v>87681.180000000022</v>
      </c>
      <c r="R34" s="21">
        <f>SUM(VPINExpenses[Actual 17/18])</f>
        <v>76990.060000000012</v>
      </c>
      <c r="S34" s="178">
        <f>SUM(VPINExpenses[Budget 18/19]) - S23</f>
        <v>86293.680000000008</v>
      </c>
      <c r="T34" s="178">
        <f>SUM(VPINExpenses[Actual 18/19]) - T23</f>
        <v>75980.340000000026</v>
      </c>
      <c r="U34" s="21">
        <f>SUM(VPINExpenses[Budget 19/20])</f>
        <v>82136.458800000008</v>
      </c>
      <c r="V34" s="21">
        <f>SUM(V9:V31)</f>
        <v>60494.82</v>
      </c>
      <c r="W34" s="21">
        <f>SUM(VPINExpenses[Budget 20/21])</f>
        <v>81186.458800000008</v>
      </c>
      <c r="X34" s="21">
        <f>SUM(VPINExpenses[Actual 20/21])</f>
        <v>69409.289999999994</v>
      </c>
      <c r="Y34" s="21">
        <f>SUM(VPINExpenses[Budget 21/22])</f>
        <v>83810.661478655195</v>
      </c>
      <c r="Z34" s="21">
        <f>SUBTOTAL(109,VPINExpenses[Actual 21/22])</f>
        <v>75626.58</v>
      </c>
      <c r="AA34" s="178">
        <f>SUM(AA9:AA31)</f>
        <v>24762.809999999998</v>
      </c>
    </row>
    <row r="35" spans="1:27" s="11" customFormat="1" ht="13.5" thickBot="1">
      <c r="C35" s="14"/>
      <c r="D35" s="14"/>
      <c r="E35" s="14"/>
      <c r="F35" s="14"/>
      <c r="G35" s="14"/>
      <c r="H35" s="14"/>
      <c r="I35" s="14"/>
      <c r="J35" s="14"/>
      <c r="K35" s="14"/>
      <c r="L35" s="14"/>
      <c r="M35" s="14"/>
      <c r="N35" s="132"/>
      <c r="P35" s="13"/>
    </row>
    <row r="36" spans="1:27" ht="19.5" thickBot="1">
      <c r="A36" s="11"/>
      <c r="B36" s="611" t="s">
        <v>127</v>
      </c>
      <c r="C36" s="27">
        <f>VPINRevenues[[#Totals],[Budget 10/11]]-VPINExpenses[[#Totals],[Budget 10/11]]</f>
        <v>-62940.18</v>
      </c>
      <c r="D36" s="27">
        <f>VPINRevenues[[#Totals],[Actual 10/11]]-VPINExpenses[[#Totals],[Actual 10/11]]</f>
        <v>-64461.700000000012</v>
      </c>
      <c r="E36" s="27">
        <f>VPINRevenues[[#Totals],[Budget 11/12]]-VPINExpenses[[#Totals],[Budget 11/12]]</f>
        <v>-101874.6</v>
      </c>
      <c r="F36" s="27">
        <f>VPINRevenues[[#Totals],[Actual 11/12]]-VPINExpenses[[#Totals],[Actual 11/12]]</f>
        <v>-76824.290000000008</v>
      </c>
      <c r="G36" s="27">
        <f>VPINRevenues[[#Totals],[Budget 12/13]]-VPINExpenses[[#Totals],[Budget 12/13]]</f>
        <v>-106844.47</v>
      </c>
      <c r="H36" s="27">
        <f>VPINRevenues[[#Totals],[Actual 12/13]]-VPINExpenses[[#Totals],[Actual 12/13]]</f>
        <v>-76171.900000000009</v>
      </c>
      <c r="I36" s="27">
        <f>VPINRevenues[[#Totals],[Budget 13/14]]-VPINExpenses[[#Totals],[Budget 13/14]]</f>
        <v>-77566</v>
      </c>
      <c r="J36" s="27">
        <f>VPINRevenues[[#Totals],[Actual 13/14]]-VPINExpenses[[#Totals],[Actual 13/14]]</f>
        <v>-77179.749999999985</v>
      </c>
      <c r="K36" s="27">
        <f>VPINRevenues[[#Totals],[Budget 14/15]]-VPINExpenses[[#Totals],[Budget 14/15]]</f>
        <v>-89293.64</v>
      </c>
      <c r="L36" s="27">
        <f>VPINRevenues[[#Totals],[Actual 14/15]]-VPINExpenses[[#Totals],[Actual 14/15]]</f>
        <v>-81803.26999999999</v>
      </c>
      <c r="M36" s="27">
        <f>VPINRevenues[[#Totals],[Budget 15/16]]-VPINExpenses[[#Totals],[Budget 15/16]]</f>
        <v>-85162.760000000009</v>
      </c>
      <c r="N36" s="27">
        <f>VPINRevenues[[#Totals],[Actual 15/16]]-VPINExpenses[[#Totals],[Actual 15/16]]</f>
        <v>-83046.16</v>
      </c>
      <c r="O36" s="27">
        <f>VPINRevenues[[#Totals],[Budget 16/17]]-VPINExpenses[[#Totals],[Budget 16/17]]</f>
        <v>-84358.75</v>
      </c>
      <c r="P36" s="27">
        <f>VPINRevenues[[#Totals],[Actual 16/17]]-VPINExpenses[[#Totals],[Actual 16/17]]</f>
        <v>-85222.389999999985</v>
      </c>
      <c r="Q36" s="27">
        <f>VPINRevenues[[#Totals],[Budget 17/18]]-VPINExpenses[[#Totals],[Budget 17/18]]</f>
        <v>-87681.180000000022</v>
      </c>
      <c r="R36" s="27">
        <f>VPINRevenues[[#Totals],[Actual 17/18]]-VPINExpenses[[#Totals],[Actual 17/18]]</f>
        <v>-76990.060000000012</v>
      </c>
      <c r="S36" s="27">
        <f>VPINRevenues[[#Totals],[Budget 18/19]]-VPINExpenses[[#Totals],[Budget 18/19]]</f>
        <v>-86293.680000000008</v>
      </c>
      <c r="T36" s="27">
        <f>VPINRevenues[[#Totals],[Actual 18/19]]-VPINExpenses[[#Totals],[Actual 18/19]]</f>
        <v>-75980.340000000026</v>
      </c>
      <c r="U36" s="27">
        <f>VPINRevenues[[#Totals],[Budget 19/20]]-VPINExpenses[[#Totals],[Budget 19/20]]</f>
        <v>-82136.458800000008</v>
      </c>
      <c r="V36" s="27">
        <f>VPINRevenues[[#Totals],[Actual P12 19/20]]-VPINExpenses[[#Totals],[Actual P12 19/20]]</f>
        <v>-60494.82</v>
      </c>
      <c r="W36" s="27">
        <f>VPINRevenues[[#Totals],[Actual P12 19/20]]-VPINExpenses[[#Totals],[Budget 20/21]]</f>
        <v>-81186.458800000008</v>
      </c>
      <c r="X36" s="27">
        <f>VPINRevenues[[#Totals],[Budget 20/21]]-VPINExpenses[[#Totals],[Actual 20/21]]</f>
        <v>-69409.289999999994</v>
      </c>
      <c r="Y36" s="27">
        <f>VPINRevenues[[#Totals],[Actual 20/21]]-VPINExpenses[[#Totals],[Budget 21/22]]</f>
        <v>-83810.661478655195</v>
      </c>
      <c r="Z36" s="27">
        <f>VPINRevenues[[#Totals],[Budget 21/22]]-VPINExpenses[[#Totals],[Actual 21/22]]</f>
        <v>-75626.58</v>
      </c>
      <c r="AA36" s="27">
        <f>VPINRevenues[[#Totals],[Actual 21/22]]-VPINExpenses[[#Totals],[Budget 22/23]]</f>
        <v>-24762.809999999998</v>
      </c>
    </row>
    <row r="37" spans="1:27">
      <c r="A37" s="11"/>
      <c r="B37" s="11"/>
      <c r="C37" s="11"/>
      <c r="D37" s="11"/>
      <c r="E37" s="11"/>
      <c r="F37" s="11"/>
      <c r="G37" s="11"/>
      <c r="H37" s="11"/>
      <c r="I37" s="11"/>
      <c r="J37" s="11"/>
      <c r="K37" s="11"/>
      <c r="L37" s="11"/>
      <c r="M37" s="11"/>
      <c r="N37" s="132"/>
      <c r="O37" s="11"/>
    </row>
    <row r="38" spans="1:27">
      <c r="A38" s="11"/>
      <c r="B38" s="11"/>
      <c r="C38" s="11"/>
      <c r="M38" s="11"/>
      <c r="N38" s="132"/>
      <c r="O38" s="11"/>
    </row>
    <row r="39" spans="1:27">
      <c r="A39" s="11"/>
      <c r="B39" s="11"/>
      <c r="C39" s="11"/>
      <c r="M39" s="11"/>
      <c r="N39" s="132"/>
      <c r="O39" s="11"/>
    </row>
    <row r="40" spans="1:27">
      <c r="B40" s="11"/>
      <c r="C40" s="11"/>
      <c r="M40" s="11"/>
      <c r="N40" s="132"/>
      <c r="O40" s="11"/>
    </row>
  </sheetData>
  <customSheetViews>
    <customSheetView guid="{DC934874-AE9C-4DF4-8DA8-4394DABABB42}" showRuler="0">
      <selection activeCell="H20" sqref="H20"/>
      <pageMargins left="0" right="0" top="0" bottom="0" header="0" footer="0"/>
      <pageSetup orientation="portrait"/>
      <headerFooter alignWithMargins="0"/>
    </customSheetView>
    <customSheetView guid="{7FD89B2E-4983-4B8D-ABA2-A07F685A0C6E}" showRuler="0" topLeftCell="A4">
      <selection activeCell="G9" sqref="G9"/>
      <pageMargins left="0" right="0" top="0" bottom="0" header="0" footer="0"/>
      <pageSetup orientation="portrait"/>
      <headerFooter alignWithMargins="0"/>
    </customSheetView>
    <customSheetView guid="{84D8AC11-A493-4338-8044-6F4154C29695}" showRuler="0" topLeftCell="A7">
      <selection activeCell="G16" sqref="G16"/>
      <pageMargins left="0" right="0" top="0" bottom="0" header="0" footer="0"/>
      <pageSetup orientation="portrait"/>
      <headerFooter alignWithMargins="0"/>
    </customSheetView>
    <customSheetView guid="{BB157E55-0A2E-4D9F-A3BF-E83E5442FC27}" showPageBreaks="1" showRuler="0" topLeftCell="A7">
      <selection activeCell="G21" sqref="G21"/>
      <pageMargins left="0" right="0" top="0" bottom="0" header="0" footer="0"/>
      <pageSetup orientation="portrait"/>
      <headerFooter alignWithMargins="0"/>
    </customSheetView>
  </customSheetViews>
  <mergeCells count="1">
    <mergeCell ref="A1:B1"/>
  </mergeCells>
  <phoneticPr fontId="0" type="noConversion"/>
  <pageMargins left="0" right="0" top="0.98425196850393704" bottom="0.98425196850393704" header="0.51181102362204722" footer="0.51181102362204722"/>
  <pageSetup paperSize="5" scale="82" orientation="landscape" r:id="rId1"/>
  <headerFooter alignWithMargins="0"/>
  <legacyDrawing r:id="rId2"/>
  <tableParts count="2">
    <tablePart r:id="rId3"/>
    <tablePart r:id="rId4"/>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1"/>
    <pageSetUpPr fitToPage="1"/>
  </sheetPr>
  <dimension ref="A1:AA61"/>
  <sheetViews>
    <sheetView showGridLines="0" zoomScale="90" zoomScaleNormal="90" workbookViewId="0">
      <selection activeCell="Z19" sqref="Z19"/>
    </sheetView>
  </sheetViews>
  <sheetFormatPr defaultColWidth="11.42578125" defaultRowHeight="12.75"/>
  <cols>
    <col min="1" max="1" width="15" style="258" customWidth="1"/>
    <col min="2" max="2" width="19.85546875" style="258" customWidth="1"/>
    <col min="3" max="13" width="16.85546875" style="258" hidden="1" customWidth="1"/>
    <col min="14" max="14" width="16" style="259" hidden="1" customWidth="1"/>
    <col min="15" max="15" width="16" style="258" hidden="1" customWidth="1"/>
    <col min="16" max="16" width="17.28515625" style="258" hidden="1" customWidth="1"/>
    <col min="17" max="17" width="15.42578125" style="258" hidden="1" customWidth="1"/>
    <col min="18" max="18" width="18.42578125" style="258" hidden="1" customWidth="1"/>
    <col min="19" max="20" width="14.42578125" style="258" hidden="1" customWidth="1"/>
    <col min="21" max="21" width="16" style="258" hidden="1" customWidth="1"/>
    <col min="22" max="22" width="14.140625" style="258" hidden="1" customWidth="1"/>
    <col min="23" max="23" width="15.140625" style="258" hidden="1" customWidth="1"/>
    <col min="24" max="24" width="12.42578125" style="258" hidden="1" customWidth="1"/>
    <col min="25" max="25" width="17.140625" style="258" customWidth="1"/>
    <col min="26" max="26" width="13.140625" style="258" bestFit="1" customWidth="1"/>
    <col min="27" max="27" width="14.42578125" style="258" bestFit="1" customWidth="1"/>
    <col min="28" max="16384" width="11.42578125" style="258"/>
  </cols>
  <sheetData>
    <row r="1" spans="1:27" ht="18">
      <c r="A1" s="760" t="s">
        <v>253</v>
      </c>
      <c r="B1" s="760"/>
      <c r="C1" s="267"/>
      <c r="D1" s="267"/>
      <c r="E1" s="267"/>
      <c r="F1" s="267"/>
      <c r="G1" s="267"/>
      <c r="H1" s="267"/>
      <c r="I1" s="267"/>
      <c r="J1" s="267"/>
      <c r="K1" s="267"/>
      <c r="L1" s="267"/>
      <c r="M1" s="267"/>
    </row>
    <row r="2" spans="1:27">
      <c r="A2" s="282" t="s">
        <v>226</v>
      </c>
      <c r="B2" s="269"/>
      <c r="C2" s="267"/>
      <c r="D2" s="267"/>
      <c r="E2" s="267"/>
      <c r="F2" s="267"/>
      <c r="G2" s="267"/>
      <c r="H2" s="267"/>
      <c r="I2" s="267"/>
      <c r="J2" s="267"/>
      <c r="K2" s="267"/>
      <c r="L2" s="267"/>
      <c r="M2" s="267"/>
    </row>
    <row r="3" spans="1:27">
      <c r="A3" s="267"/>
      <c r="B3" s="267"/>
      <c r="C3" s="267"/>
      <c r="D3" s="267"/>
      <c r="E3" s="267"/>
      <c r="F3" s="267"/>
      <c r="G3" s="267"/>
      <c r="H3" s="267"/>
      <c r="I3" s="267"/>
      <c r="J3" s="267"/>
      <c r="K3" s="267"/>
      <c r="L3" s="267"/>
      <c r="M3" s="267"/>
    </row>
    <row r="4" spans="1:27">
      <c r="A4" s="267"/>
      <c r="B4" s="269" t="s">
        <v>72</v>
      </c>
      <c r="C4" s="280" t="s">
        <v>73</v>
      </c>
      <c r="D4" s="280" t="s">
        <v>74</v>
      </c>
      <c r="E4" s="280" t="s">
        <v>75</v>
      </c>
      <c r="F4" s="280" t="s">
        <v>76</v>
      </c>
      <c r="G4" s="280" t="s">
        <v>77</v>
      </c>
      <c r="H4" s="280" t="s">
        <v>78</v>
      </c>
      <c r="I4" s="280" t="s">
        <v>5</v>
      </c>
      <c r="J4" s="280" t="s">
        <v>6</v>
      </c>
      <c r="K4" s="280" t="s">
        <v>7</v>
      </c>
      <c r="L4" s="280" t="s">
        <v>79</v>
      </c>
      <c r="M4" s="280" t="s">
        <v>9</v>
      </c>
      <c r="N4" s="281" t="s">
        <v>80</v>
      </c>
      <c r="O4" s="280" t="s">
        <v>11</v>
      </c>
      <c r="P4" s="280" t="s">
        <v>12</v>
      </c>
      <c r="Q4" s="280" t="s">
        <v>13</v>
      </c>
      <c r="R4" s="280" t="s">
        <v>14</v>
      </c>
      <c r="S4" s="280" t="s">
        <v>15</v>
      </c>
      <c r="T4" s="280" t="s">
        <v>39</v>
      </c>
      <c r="U4" s="280" t="s">
        <v>16</v>
      </c>
      <c r="V4" s="280" t="s">
        <v>81</v>
      </c>
      <c r="W4" s="31" t="s">
        <v>17</v>
      </c>
      <c r="X4" s="624" t="s">
        <v>40</v>
      </c>
      <c r="Y4" s="624" t="s">
        <v>41</v>
      </c>
      <c r="Z4" s="5" t="s">
        <v>42</v>
      </c>
      <c r="AA4" s="5" t="s">
        <v>43</v>
      </c>
    </row>
    <row r="5" spans="1:27">
      <c r="A5" s="267"/>
      <c r="B5" s="269"/>
      <c r="C5" s="278">
        <v>0</v>
      </c>
      <c r="D5" s="278">
        <v>0</v>
      </c>
      <c r="E5" s="278">
        <v>0</v>
      </c>
      <c r="F5" s="278">
        <v>0</v>
      </c>
      <c r="G5" s="278">
        <v>0</v>
      </c>
      <c r="H5" s="278">
        <v>0</v>
      </c>
      <c r="I5" s="278">
        <v>0</v>
      </c>
      <c r="J5" s="278">
        <v>0</v>
      </c>
      <c r="K5" s="278">
        <v>0</v>
      </c>
      <c r="L5" s="278">
        <v>0</v>
      </c>
      <c r="M5" s="278">
        <v>0</v>
      </c>
      <c r="N5" s="279">
        <v>0</v>
      </c>
      <c r="O5" s="278">
        <v>0</v>
      </c>
      <c r="P5" s="278"/>
      <c r="Q5" s="278"/>
      <c r="R5" s="278"/>
      <c r="S5" s="278"/>
      <c r="T5" s="278"/>
      <c r="U5" s="278"/>
      <c r="V5" s="278"/>
      <c r="W5" s="276"/>
      <c r="X5" s="276"/>
      <c r="Y5" s="276"/>
      <c r="Z5" s="276"/>
      <c r="AA5" s="276"/>
    </row>
    <row r="6" spans="1:27">
      <c r="A6" s="267"/>
      <c r="B6" s="11" t="s">
        <v>21</v>
      </c>
      <c r="C6" s="178">
        <f>SUBTOTAL(109,OrientationRevenues64[Budget 10/11])</f>
        <v>0</v>
      </c>
      <c r="D6" s="178">
        <f>SUBTOTAL(109,OrientationRevenues64[Actual 10/11])</f>
        <v>0</v>
      </c>
      <c r="E6" s="178">
        <f>SUBTOTAL(109,OrientationRevenues64[Budget 11/12])</f>
        <v>0</v>
      </c>
      <c r="F6" s="178">
        <f>SUBTOTAL(109,OrientationRevenues64[Actual 11/12])</f>
        <v>0</v>
      </c>
      <c r="G6" s="178">
        <f>SUBTOTAL(109,OrientationRevenues64[Budget 12/13])</f>
        <v>0</v>
      </c>
      <c r="H6" s="178">
        <f>SUBTOTAL(109,OrientationRevenues64[Actual 12/13])</f>
        <v>0</v>
      </c>
      <c r="I6" s="178">
        <f>SUBTOTAL(109,OrientationRevenues64[Budget 13/14])</f>
        <v>0</v>
      </c>
      <c r="J6" s="178">
        <f>SUBTOTAL(109,OrientationRevenues64[Actual 13/14])</f>
        <v>0</v>
      </c>
      <c r="K6" s="178">
        <f>SUBTOTAL(109,OrientationRevenues64[Budget 14/15])</f>
        <v>0</v>
      </c>
      <c r="L6" s="178">
        <f>SUBTOTAL(109,OrientationRevenues64[Actuals 14/15])</f>
        <v>0</v>
      </c>
      <c r="M6" s="178">
        <f>SUBTOTAL(109,OrientationRevenues64[Budget 15/16])</f>
        <v>0</v>
      </c>
      <c r="N6" s="145">
        <f>SUBTOTAL(109,OrientationRevenues64[Actuals 15/16])</f>
        <v>0</v>
      </c>
      <c r="O6" s="178">
        <f>SUBTOTAL(109,OrientationRevenues64[Budget 16/17])</f>
        <v>0</v>
      </c>
      <c r="P6" s="11"/>
      <c r="Q6" s="11"/>
      <c r="R6" s="11">
        <f>SUBTOTAL(109,OrientationRevenues64[Actual 17/18])</f>
        <v>0</v>
      </c>
      <c r="S6" s="11">
        <f>SUBTOTAL(109,OrientationRevenues64[Revenues])</f>
        <v>0</v>
      </c>
      <c r="T6" s="11"/>
      <c r="U6" s="11">
        <f>SUBTOTAL(109,OrientationRevenues64[Budget 10/11])</f>
        <v>0</v>
      </c>
      <c r="V6" s="11">
        <f>SUBTOTAL(109,OrientationRevenues64[Actual 10/11])</f>
        <v>0</v>
      </c>
      <c r="W6" s="11"/>
      <c r="X6" s="11"/>
      <c r="Y6" s="11"/>
      <c r="Z6"/>
      <c r="AA6"/>
    </row>
    <row r="7" spans="1:27">
      <c r="B7" s="272"/>
      <c r="C7" s="276"/>
      <c r="D7" s="276"/>
      <c r="E7" s="276"/>
      <c r="F7" s="276"/>
      <c r="G7" s="276"/>
      <c r="H7" s="276"/>
      <c r="I7" s="276"/>
      <c r="J7" s="276"/>
      <c r="K7" s="276"/>
      <c r="L7" s="276"/>
      <c r="M7" s="276"/>
    </row>
    <row r="8" spans="1:27">
      <c r="A8" s="275" t="s">
        <v>130</v>
      </c>
      <c r="B8" s="269" t="s">
        <v>22</v>
      </c>
      <c r="C8" s="269" t="s">
        <v>73</v>
      </c>
      <c r="D8" s="269" t="s">
        <v>74</v>
      </c>
      <c r="E8" s="269" t="s">
        <v>75</v>
      </c>
      <c r="F8" s="269" t="s">
        <v>76</v>
      </c>
      <c r="G8" s="269" t="s">
        <v>77</v>
      </c>
      <c r="H8" s="269" t="s">
        <v>78</v>
      </c>
      <c r="I8" s="269" t="s">
        <v>5</v>
      </c>
      <c r="J8" s="269" t="s">
        <v>6</v>
      </c>
      <c r="K8" s="269" t="s">
        <v>7</v>
      </c>
      <c r="L8" s="269" t="s">
        <v>79</v>
      </c>
      <c r="M8" s="269" t="s">
        <v>9</v>
      </c>
      <c r="N8" s="277" t="s">
        <v>80</v>
      </c>
      <c r="O8" s="269" t="s">
        <v>11</v>
      </c>
      <c r="P8" s="269" t="s">
        <v>12</v>
      </c>
      <c r="Q8" s="269" t="s">
        <v>13</v>
      </c>
      <c r="R8" s="269" t="s">
        <v>14</v>
      </c>
      <c r="S8" s="269" t="s">
        <v>15</v>
      </c>
      <c r="T8" s="269" t="s">
        <v>39</v>
      </c>
      <c r="U8" s="269" t="s">
        <v>16</v>
      </c>
      <c r="V8" s="269" t="s">
        <v>81</v>
      </c>
      <c r="W8" s="269" t="s">
        <v>17</v>
      </c>
      <c r="X8" s="624" t="s">
        <v>40</v>
      </c>
      <c r="Y8" s="624" t="s">
        <v>41</v>
      </c>
      <c r="Z8" s="5" t="s">
        <v>42</v>
      </c>
      <c r="AA8" s="5" t="s">
        <v>43</v>
      </c>
    </row>
    <row r="9" spans="1:27">
      <c r="A9" s="275" t="s">
        <v>254</v>
      </c>
      <c r="B9" s="267" t="s">
        <v>91</v>
      </c>
      <c r="C9" s="276">
        <v>0</v>
      </c>
      <c r="D9" s="276">
        <v>10.69</v>
      </c>
      <c r="E9" s="276">
        <v>0</v>
      </c>
      <c r="F9" s="276">
        <v>0</v>
      </c>
      <c r="G9" s="276">
        <v>0</v>
      </c>
      <c r="H9" s="276">
        <v>0</v>
      </c>
      <c r="I9" s="276">
        <v>0</v>
      </c>
      <c r="J9" s="276">
        <v>0</v>
      </c>
      <c r="K9" s="276">
        <v>0</v>
      </c>
      <c r="L9" s="276">
        <v>28.72</v>
      </c>
      <c r="M9" s="276">
        <v>0</v>
      </c>
      <c r="N9" s="274">
        <v>0</v>
      </c>
      <c r="O9" s="273">
        <v>1350</v>
      </c>
      <c r="P9" s="273">
        <v>1820.5</v>
      </c>
      <c r="Q9" s="273">
        <v>1750</v>
      </c>
      <c r="R9" s="273">
        <v>1034.51</v>
      </c>
      <c r="S9" s="273">
        <v>1350</v>
      </c>
      <c r="T9" s="273">
        <v>668.27</v>
      </c>
      <c r="U9" s="273">
        <v>1350</v>
      </c>
      <c r="V9" s="273">
        <v>629.25</v>
      </c>
      <c r="W9" s="273">
        <v>1350</v>
      </c>
      <c r="X9" s="628">
        <v>56.29</v>
      </c>
      <c r="Y9" s="628">
        <v>700</v>
      </c>
      <c r="Z9" s="629">
        <v>544.28</v>
      </c>
      <c r="AA9" s="630">
        <v>720</v>
      </c>
    </row>
    <row r="10" spans="1:27">
      <c r="A10" s="275" t="s">
        <v>255</v>
      </c>
      <c r="B10" s="267" t="s">
        <v>93</v>
      </c>
      <c r="C10" s="271">
        <v>900</v>
      </c>
      <c r="D10" s="271">
        <v>1113.7</v>
      </c>
      <c r="E10" s="271">
        <v>1100</v>
      </c>
      <c r="F10" s="271">
        <v>1101.44</v>
      </c>
      <c r="G10" s="271">
        <v>1100</v>
      </c>
      <c r="H10" s="271">
        <v>829.51</v>
      </c>
      <c r="I10" s="271">
        <v>1200</v>
      </c>
      <c r="J10" s="271">
        <v>682.5</v>
      </c>
      <c r="K10" s="271">
        <v>700</v>
      </c>
      <c r="L10" s="271">
        <v>614.38</v>
      </c>
      <c r="M10" s="271">
        <v>700</v>
      </c>
      <c r="N10" s="274">
        <v>574.33000000000004</v>
      </c>
      <c r="O10" s="273">
        <v>650</v>
      </c>
      <c r="P10" s="273">
        <v>700.56</v>
      </c>
      <c r="Q10" s="273">
        <v>700</v>
      </c>
      <c r="R10" s="273">
        <v>891.97</v>
      </c>
      <c r="S10" s="273"/>
      <c r="T10" s="273">
        <v>428.06</v>
      </c>
      <c r="U10" s="273"/>
      <c r="V10" s="273"/>
      <c r="W10" s="273"/>
      <c r="X10" s="628">
        <v>640.27</v>
      </c>
      <c r="Y10" s="628"/>
      <c r="Z10" s="629"/>
      <c r="AA10" s="630"/>
    </row>
    <row r="11" spans="1:27">
      <c r="A11" s="275"/>
      <c r="B11" s="267" t="s">
        <v>95</v>
      </c>
      <c r="C11" s="273">
        <v>0</v>
      </c>
      <c r="D11" s="273">
        <v>0</v>
      </c>
      <c r="E11" s="273">
        <v>0</v>
      </c>
      <c r="F11" s="273">
        <v>0</v>
      </c>
      <c r="G11" s="273">
        <v>0</v>
      </c>
      <c r="H11" s="273">
        <v>0</v>
      </c>
      <c r="I11" s="273">
        <v>0</v>
      </c>
      <c r="J11" s="273">
        <v>0</v>
      </c>
      <c r="K11" s="273">
        <v>0</v>
      </c>
      <c r="L11" s="273">
        <v>0</v>
      </c>
      <c r="M11" s="273">
        <v>0</v>
      </c>
      <c r="N11" s="274">
        <v>726.8</v>
      </c>
      <c r="O11" s="273">
        <v>606.79999999999995</v>
      </c>
      <c r="P11" s="273">
        <v>566.79999999999995</v>
      </c>
      <c r="Q11" s="273">
        <v>606.79999999999995</v>
      </c>
      <c r="R11" s="273">
        <v>160</v>
      </c>
      <c r="S11" s="273"/>
      <c r="T11" s="273">
        <v>580</v>
      </c>
      <c r="U11" s="273"/>
      <c r="V11" s="273"/>
      <c r="W11" s="273"/>
      <c r="X11" s="628"/>
      <c r="Y11" s="628"/>
      <c r="Z11" s="629"/>
      <c r="AA11" s="630"/>
    </row>
    <row r="12" spans="1:27">
      <c r="A12" s="275" t="s">
        <v>256</v>
      </c>
      <c r="B12" s="267" t="s">
        <v>257</v>
      </c>
      <c r="C12" s="273"/>
      <c r="D12" s="273"/>
      <c r="E12" s="273"/>
      <c r="F12" s="273"/>
      <c r="G12" s="273"/>
      <c r="H12" s="273"/>
      <c r="I12" s="273"/>
      <c r="J12" s="273"/>
      <c r="K12" s="273"/>
      <c r="L12" s="273"/>
      <c r="M12" s="273"/>
      <c r="N12" s="274"/>
      <c r="O12" s="273"/>
      <c r="P12" s="273"/>
      <c r="Q12" s="273">
        <v>180</v>
      </c>
      <c r="R12" s="273"/>
      <c r="S12" s="273">
        <v>140</v>
      </c>
      <c r="T12" s="273">
        <v>153.41</v>
      </c>
      <c r="U12" s="273">
        <v>140</v>
      </c>
      <c r="V12" s="273">
        <v>0</v>
      </c>
      <c r="W12" s="273">
        <v>140</v>
      </c>
      <c r="X12" s="628"/>
      <c r="Y12" s="628">
        <v>120</v>
      </c>
      <c r="Z12" s="629">
        <v>60</v>
      </c>
      <c r="AA12" s="630">
        <v>120</v>
      </c>
    </row>
    <row r="13" spans="1:27">
      <c r="A13" s="275"/>
      <c r="B13" s="267" t="s">
        <v>97</v>
      </c>
      <c r="C13" s="273">
        <v>5</v>
      </c>
      <c r="D13" s="273">
        <v>0</v>
      </c>
      <c r="E13" s="273">
        <v>5</v>
      </c>
      <c r="F13" s="273">
        <v>0</v>
      </c>
      <c r="G13" s="273">
        <v>5</v>
      </c>
      <c r="H13" s="273">
        <v>0</v>
      </c>
      <c r="I13" s="273">
        <v>50</v>
      </c>
      <c r="J13" s="273">
        <v>0</v>
      </c>
      <c r="K13" s="273">
        <v>20</v>
      </c>
      <c r="L13" s="273">
        <v>0</v>
      </c>
      <c r="M13" s="273">
        <v>20</v>
      </c>
      <c r="N13" s="274">
        <v>0</v>
      </c>
      <c r="O13" s="273">
        <v>0</v>
      </c>
      <c r="P13" s="273"/>
      <c r="Q13" s="273"/>
      <c r="R13" s="273"/>
      <c r="S13" s="273"/>
      <c r="T13" s="273"/>
      <c r="U13" s="273"/>
      <c r="V13" s="273"/>
      <c r="W13" s="273"/>
      <c r="X13" s="628"/>
      <c r="Y13" s="628"/>
      <c r="Z13" s="629"/>
      <c r="AA13" s="630"/>
    </row>
    <row r="14" spans="1:27">
      <c r="A14" s="275"/>
      <c r="B14" s="267" t="s">
        <v>100</v>
      </c>
      <c r="C14" s="271">
        <v>1160</v>
      </c>
      <c r="D14" s="271">
        <v>1314.92</v>
      </c>
      <c r="E14" s="271">
        <v>1160</v>
      </c>
      <c r="F14" s="271">
        <v>1251.79</v>
      </c>
      <c r="G14" s="271">
        <v>1160</v>
      </c>
      <c r="H14" s="271">
        <v>1363.67</v>
      </c>
      <c r="I14" s="271">
        <v>1060</v>
      </c>
      <c r="J14" s="271">
        <v>1411.13</v>
      </c>
      <c r="K14" s="271">
        <v>1400</v>
      </c>
      <c r="L14" s="271">
        <v>1375.52</v>
      </c>
      <c r="M14" s="271">
        <v>1260</v>
      </c>
      <c r="N14" s="274">
        <v>1093.1400000000001</v>
      </c>
      <c r="O14" s="273">
        <v>1260</v>
      </c>
      <c r="P14" s="273"/>
      <c r="Q14" s="273">
        <v>1000</v>
      </c>
      <c r="R14" s="273">
        <v>312.55</v>
      </c>
      <c r="S14" s="273"/>
      <c r="T14" s="273">
        <v>10.85</v>
      </c>
      <c r="U14" s="273"/>
      <c r="V14" s="273"/>
      <c r="W14" s="273"/>
      <c r="X14" s="628"/>
      <c r="Y14" s="628"/>
      <c r="Z14" s="629"/>
      <c r="AA14" s="630"/>
    </row>
    <row r="15" spans="1:27">
      <c r="A15" s="275"/>
      <c r="B15" s="267" t="s">
        <v>258</v>
      </c>
      <c r="C15" s="271">
        <v>50</v>
      </c>
      <c r="D15" s="271">
        <v>0</v>
      </c>
      <c r="E15" s="271">
        <v>0</v>
      </c>
      <c r="F15" s="271">
        <v>0</v>
      </c>
      <c r="G15" s="271">
        <v>0</v>
      </c>
      <c r="H15" s="271">
        <v>61.2</v>
      </c>
      <c r="I15" s="271">
        <v>0</v>
      </c>
      <c r="J15" s="271">
        <v>0</v>
      </c>
      <c r="K15" s="271">
        <v>0</v>
      </c>
      <c r="L15" s="271">
        <v>1.98</v>
      </c>
      <c r="M15" s="271">
        <v>0</v>
      </c>
      <c r="N15" s="274">
        <v>0</v>
      </c>
      <c r="O15" s="273">
        <v>0</v>
      </c>
      <c r="P15" s="273"/>
      <c r="Q15" s="273"/>
      <c r="R15" s="273">
        <v>371.16</v>
      </c>
      <c r="S15" s="273"/>
      <c r="T15" s="273"/>
      <c r="U15" s="273"/>
      <c r="V15" s="273"/>
      <c r="W15" s="273"/>
      <c r="X15" s="628"/>
      <c r="Y15" s="628"/>
      <c r="Z15" s="629"/>
      <c r="AA15" s="630"/>
    </row>
    <row r="16" spans="1:27">
      <c r="A16" s="275" t="s">
        <v>259</v>
      </c>
      <c r="B16" s="267" t="s">
        <v>260</v>
      </c>
      <c r="C16" s="271">
        <v>350</v>
      </c>
      <c r="D16" s="271">
        <v>259.74</v>
      </c>
      <c r="E16" s="271">
        <v>250</v>
      </c>
      <c r="F16" s="271">
        <v>208.73</v>
      </c>
      <c r="G16" s="271">
        <v>250</v>
      </c>
      <c r="H16" s="271">
        <v>293.74</v>
      </c>
      <c r="I16" s="271">
        <v>300</v>
      </c>
      <c r="J16" s="271">
        <v>0</v>
      </c>
      <c r="K16" s="271">
        <v>250</v>
      </c>
      <c r="L16" s="271">
        <v>253.59</v>
      </c>
      <c r="M16" s="271">
        <v>150</v>
      </c>
      <c r="N16" s="274">
        <v>31.88</v>
      </c>
      <c r="O16" s="273">
        <v>70</v>
      </c>
      <c r="P16" s="273">
        <v>129.9</v>
      </c>
      <c r="Q16" s="273">
        <v>120</v>
      </c>
      <c r="R16" s="273">
        <v>99.19</v>
      </c>
      <c r="S16" s="273"/>
      <c r="T16" s="273"/>
      <c r="U16" s="273"/>
      <c r="V16" s="273"/>
      <c r="W16" s="273"/>
      <c r="X16" s="628">
        <v>92.4</v>
      </c>
      <c r="Y16" s="628"/>
      <c r="Z16" s="629">
        <v>66</v>
      </c>
      <c r="AA16" s="630">
        <v>500</v>
      </c>
    </row>
    <row r="17" spans="1:27">
      <c r="A17" s="275"/>
      <c r="B17" s="267" t="s">
        <v>104</v>
      </c>
      <c r="C17" s="271">
        <v>1470</v>
      </c>
      <c r="D17" s="271">
        <v>731.12</v>
      </c>
      <c r="E17" s="271">
        <v>1050</v>
      </c>
      <c r="F17" s="271">
        <v>826.24</v>
      </c>
      <c r="G17" s="271">
        <v>1050</v>
      </c>
      <c r="H17" s="271">
        <v>110.98</v>
      </c>
      <c r="I17" s="271">
        <v>650</v>
      </c>
      <c r="J17" s="271">
        <v>386.21</v>
      </c>
      <c r="K17" s="271">
        <v>575</v>
      </c>
      <c r="L17" s="271">
        <v>843.47</v>
      </c>
      <c r="M17" s="271">
        <v>820</v>
      </c>
      <c r="N17" s="274">
        <v>487.09</v>
      </c>
      <c r="O17" s="273">
        <v>730</v>
      </c>
      <c r="P17" s="273">
        <v>855.98</v>
      </c>
      <c r="Q17" s="273">
        <v>100</v>
      </c>
      <c r="R17" s="273">
        <v>5.08</v>
      </c>
      <c r="S17" s="273"/>
      <c r="T17" s="273"/>
      <c r="U17" s="273"/>
      <c r="V17" s="273"/>
      <c r="W17" s="273"/>
      <c r="X17" s="628"/>
      <c r="Y17" s="628"/>
      <c r="Z17" s="629"/>
      <c r="AA17" s="629"/>
    </row>
    <row r="18" spans="1:27">
      <c r="A18" s="275" t="s">
        <v>261</v>
      </c>
      <c r="B18" s="267" t="s">
        <v>262</v>
      </c>
      <c r="C18" s="271">
        <v>2660</v>
      </c>
      <c r="D18" s="271">
        <v>2140.64</v>
      </c>
      <c r="E18" s="271">
        <v>2840</v>
      </c>
      <c r="F18" s="271">
        <v>2398.4299999999998</v>
      </c>
      <c r="G18" s="271">
        <v>2840</v>
      </c>
      <c r="H18" s="271">
        <v>2523.64</v>
      </c>
      <c r="I18" s="271">
        <v>7680</v>
      </c>
      <c r="J18" s="271">
        <v>8183.62</v>
      </c>
      <c r="K18" s="271">
        <v>8700</v>
      </c>
      <c r="L18" s="271">
        <v>10672.44</v>
      </c>
      <c r="M18" s="271">
        <v>8700</v>
      </c>
      <c r="N18" s="274">
        <v>8226.68</v>
      </c>
      <c r="O18" s="273">
        <v>7500</v>
      </c>
      <c r="P18" s="273">
        <v>4950.17</v>
      </c>
      <c r="Q18" s="273">
        <v>3487</v>
      </c>
      <c r="R18" s="273">
        <v>3040.72</v>
      </c>
      <c r="S18" s="273"/>
      <c r="T18" s="273"/>
      <c r="U18" s="273"/>
      <c r="V18" s="273"/>
      <c r="W18" s="273"/>
      <c r="X18" s="628"/>
      <c r="Y18" s="628">
        <v>2500</v>
      </c>
      <c r="Z18" s="629">
        <v>0</v>
      </c>
      <c r="AA18" s="629"/>
    </row>
    <row r="19" spans="1:27">
      <c r="A19" s="275"/>
      <c r="B19" s="267" t="s">
        <v>110</v>
      </c>
      <c r="C19" s="273">
        <v>998.92</v>
      </c>
      <c r="D19" s="273">
        <v>1017.69</v>
      </c>
      <c r="E19" s="273">
        <v>998.92</v>
      </c>
      <c r="F19" s="273">
        <v>668.14</v>
      </c>
      <c r="G19" s="273">
        <v>774.24</v>
      </c>
      <c r="H19" s="273">
        <v>1473.32</v>
      </c>
      <c r="I19" s="273">
        <v>322.54000000000002</v>
      </c>
      <c r="J19" s="273">
        <v>322.56</v>
      </c>
      <c r="K19" s="273">
        <v>322.56</v>
      </c>
      <c r="L19" s="273">
        <v>322.56</v>
      </c>
      <c r="M19" s="273">
        <v>322.56</v>
      </c>
      <c r="N19" s="274">
        <v>1003.68</v>
      </c>
      <c r="O19" s="273">
        <v>1000</v>
      </c>
      <c r="P19" s="273">
        <v>1003.68</v>
      </c>
      <c r="Q19" s="273">
        <v>1000</v>
      </c>
      <c r="R19" s="273">
        <v>1003.68</v>
      </c>
      <c r="S19" s="273"/>
      <c r="T19" s="273"/>
      <c r="U19" s="273"/>
      <c r="V19" s="273"/>
      <c r="W19" s="273"/>
      <c r="X19" s="628"/>
      <c r="Y19" s="628"/>
      <c r="Z19" s="629"/>
      <c r="AA19" s="629"/>
    </row>
    <row r="20" spans="1:27">
      <c r="A20" s="275"/>
      <c r="B20" s="267" t="s">
        <v>263</v>
      </c>
      <c r="C20" s="271">
        <v>4635</v>
      </c>
      <c r="D20" s="271">
        <v>4786.28</v>
      </c>
      <c r="E20" s="271">
        <v>4574.08</v>
      </c>
      <c r="F20" s="271">
        <v>4501.74</v>
      </c>
      <c r="G20" s="271">
        <v>4600</v>
      </c>
      <c r="H20" s="271">
        <v>4618</v>
      </c>
      <c r="I20" s="271">
        <v>2900</v>
      </c>
      <c r="J20" s="271">
        <v>1275.93</v>
      </c>
      <c r="K20" s="271">
        <v>2900</v>
      </c>
      <c r="L20" s="271">
        <v>1252.27</v>
      </c>
      <c r="M20" s="271">
        <v>2800</v>
      </c>
      <c r="N20" s="274">
        <v>825.21</v>
      </c>
      <c r="O20" s="273">
        <v>5600</v>
      </c>
      <c r="P20" s="273">
        <v>803.35</v>
      </c>
      <c r="Q20" s="273">
        <v>2800</v>
      </c>
      <c r="R20" s="273"/>
      <c r="S20" s="273"/>
      <c r="T20" s="273"/>
      <c r="U20" s="273"/>
      <c r="V20" s="273"/>
      <c r="W20" s="273"/>
      <c r="X20" s="628"/>
      <c r="Y20" s="628"/>
      <c r="Z20" s="629"/>
      <c r="AA20" s="629"/>
    </row>
    <row r="21" spans="1:27">
      <c r="A21" s="275"/>
      <c r="B21" s="267" t="s">
        <v>264</v>
      </c>
      <c r="C21" s="273">
        <v>250</v>
      </c>
      <c r="D21" s="273">
        <v>0</v>
      </c>
      <c r="E21" s="273">
        <v>150</v>
      </c>
      <c r="F21" s="273">
        <v>0</v>
      </c>
      <c r="G21" s="273">
        <v>150</v>
      </c>
      <c r="H21" s="273">
        <v>0</v>
      </c>
      <c r="I21" s="273">
        <v>0</v>
      </c>
      <c r="J21" s="273">
        <v>0</v>
      </c>
      <c r="K21" s="273"/>
      <c r="L21" s="273">
        <v>0</v>
      </c>
      <c r="M21" s="273"/>
      <c r="N21" s="274">
        <v>0</v>
      </c>
      <c r="O21" s="273">
        <v>0</v>
      </c>
      <c r="P21" s="273"/>
      <c r="Q21" s="273"/>
      <c r="R21" s="273"/>
      <c r="S21" s="273"/>
      <c r="T21" s="273"/>
      <c r="U21" s="273"/>
      <c r="V21" s="273"/>
      <c r="W21" s="273"/>
      <c r="X21" s="628"/>
      <c r="Y21" s="628"/>
      <c r="Z21" s="629"/>
      <c r="AA21" s="629"/>
    </row>
    <row r="22" spans="1:27">
      <c r="A22" s="267"/>
      <c r="B22" s="267" t="s">
        <v>265</v>
      </c>
      <c r="C22" s="313"/>
      <c r="D22" s="313"/>
      <c r="E22" s="313"/>
      <c r="F22" s="313"/>
      <c r="G22" s="313"/>
      <c r="H22" s="313"/>
      <c r="I22" s="313"/>
      <c r="J22" s="313"/>
      <c r="K22" s="313"/>
      <c r="L22" s="313"/>
      <c r="M22" s="313"/>
      <c r="N22" s="313"/>
      <c r="O22" s="313"/>
      <c r="P22" s="313"/>
      <c r="Q22" s="313"/>
      <c r="R22" s="313"/>
      <c r="S22" s="314"/>
      <c r="T22" s="273">
        <v>6.58</v>
      </c>
      <c r="U22" s="313"/>
      <c r="V22" s="313"/>
      <c r="W22" s="315"/>
      <c r="X22" s="628"/>
      <c r="Y22" s="628"/>
      <c r="Z22" s="629"/>
      <c r="AA22" s="629"/>
    </row>
    <row r="23" spans="1:27" s="269" customFormat="1">
      <c r="B23" s="450" t="s">
        <v>21</v>
      </c>
      <c r="C23" s="465">
        <f>SUBTOTAL(109,OrientationExpenses65[Budget 10/11])</f>
        <v>12478.92</v>
      </c>
      <c r="D23" s="465">
        <f>SUBTOTAL(109,OrientationExpenses65[Actual 10/11])</f>
        <v>11374.779999999999</v>
      </c>
      <c r="E23" s="465">
        <f>SUBTOTAL(109,OrientationExpenses65[Budget 11/12])</f>
        <v>12128</v>
      </c>
      <c r="F23" s="465">
        <f>SUBTOTAL(109,OrientationExpenses65[Actual 11/12])</f>
        <v>10956.509999999998</v>
      </c>
      <c r="G23" s="465">
        <f>SUBTOTAL(109,OrientationExpenses65[Budget 12/13])</f>
        <v>11929.24</v>
      </c>
      <c r="H23" s="465">
        <f>SUBTOTAL(109,OrientationExpenses65[Actual 12/13])</f>
        <v>11274.06</v>
      </c>
      <c r="I23" s="465">
        <f>SUBTOTAL(109,OrientationExpenses65[Budget 13/14])</f>
        <v>14162.54</v>
      </c>
      <c r="J23" s="465">
        <f>SUBTOTAL(109,OrientationExpenses65[Actual 13/14])</f>
        <v>12261.949999999999</v>
      </c>
      <c r="K23" s="465">
        <f>SUBTOTAL(109,OrientationExpenses65[Budget 14/15])</f>
        <v>14867.56</v>
      </c>
      <c r="L23" s="465">
        <f>SUBTOTAL(109,OrientationExpenses65[Actuals 14/15])</f>
        <v>15364.93</v>
      </c>
      <c r="M23" s="465">
        <f>SUBTOTAL(109,OrientationExpenses65[Budget 15/16])</f>
        <v>14772.56</v>
      </c>
      <c r="N23" s="466">
        <f>SUBTOTAL(109,OrientationExpenses65[Actuals 15/16])</f>
        <v>12968.810000000001</v>
      </c>
      <c r="O23" s="465">
        <f>SUBTOTAL(109,OrientationExpenses65[Budget 16/17])</f>
        <v>18766.8</v>
      </c>
      <c r="P23" s="465">
        <f>SUBTOTAL(109,OrientationExpenses65[Actual 16/17])</f>
        <v>10830.94</v>
      </c>
      <c r="Q23" s="465">
        <f>SUBTOTAL(109,OrientationExpenses65[Budget 17/18])</f>
        <v>11743.8</v>
      </c>
      <c r="R23" s="465">
        <f>SUBTOTAL(109,OrientationExpenses65[Actual 17/18])</f>
        <v>6918.8600000000006</v>
      </c>
      <c r="S23" s="465">
        <f>SUM(OrientationExpenses65[Budget 18/19])</f>
        <v>1490</v>
      </c>
      <c r="T23" s="465">
        <f>SUM(OrientationExpenses65[Actual 18/19])</f>
        <v>1847.1699999999998</v>
      </c>
      <c r="U23" s="465">
        <f>SUM(U9:U20)</f>
        <v>1490</v>
      </c>
      <c r="V23" s="465">
        <f>SUM(OrientationExpenses65[Actual P12 19/20])</f>
        <v>629.25</v>
      </c>
      <c r="W23" s="465">
        <f>SUM(W9:W20)</f>
        <v>1490</v>
      </c>
      <c r="X23" s="465">
        <f t="shared" ref="X23:Y23" si="0">SUM(X9:X20)</f>
        <v>788.95999999999992</v>
      </c>
      <c r="Y23" s="465">
        <f t="shared" si="0"/>
        <v>3320</v>
      </c>
      <c r="Z23" s="450">
        <f>SUBTOTAL(109,OrientationExpenses65[Actual 21/22])</f>
        <v>670.28</v>
      </c>
      <c r="AA23" s="590">
        <f>SUM(OrientationExpenses65[Budget 22/23])</f>
        <v>1340</v>
      </c>
    </row>
    <row r="24" spans="1:27" ht="13.5" thickBot="1">
      <c r="B24" s="272"/>
      <c r="C24" s="271"/>
      <c r="D24" s="271"/>
      <c r="E24" s="271"/>
      <c r="F24" s="271"/>
      <c r="G24" s="271"/>
      <c r="H24" s="271"/>
      <c r="I24" s="271"/>
      <c r="J24" s="271"/>
      <c r="K24" s="271"/>
      <c r="L24" s="271"/>
      <c r="M24" s="271"/>
      <c r="P24" s="270"/>
      <c r="Q24" s="269"/>
      <c r="R24" s="269"/>
      <c r="S24" s="269"/>
      <c r="T24" s="269"/>
      <c r="U24" s="269"/>
      <c r="V24" s="269"/>
    </row>
    <row r="25" spans="1:27" ht="19.5" thickBot="1">
      <c r="B25" s="631" t="s">
        <v>127</v>
      </c>
      <c r="C25" s="268">
        <f>OrientationRevenues64[[#Totals],[Budget 10/11]]-OrientationExpenses65[[#Totals],[Budget 10/11]]</f>
        <v>-12478.92</v>
      </c>
      <c r="D25" s="268">
        <f>OrientationRevenues64[[#Totals],[Actual 10/11]]-OrientationExpenses65[[#Totals],[Actual 10/11]]</f>
        <v>-11374.779999999999</v>
      </c>
      <c r="E25" s="268">
        <f>OrientationRevenues64[[#Totals],[Budget 11/12]]-OrientationExpenses65[[#Totals],[Budget 11/12]]</f>
        <v>-12128</v>
      </c>
      <c r="F25" s="268">
        <f>OrientationRevenues64[[#Totals],[Actual 11/12]]-OrientationExpenses65[[#Totals],[Actual 11/12]]</f>
        <v>-10956.509999999998</v>
      </c>
      <c r="G25" s="268">
        <f>OrientationRevenues64[[#Totals],[Budget 12/13]]-OrientationExpenses65[[#Totals],[Budget 12/13]]</f>
        <v>-11929.24</v>
      </c>
      <c r="H25" s="268">
        <f>OrientationRevenues64[[#Totals],[Actual 12/13]]-OrientationExpenses65[[#Totals],[Actual 12/13]]</f>
        <v>-11274.06</v>
      </c>
      <c r="I25" s="268">
        <f>OrientationRevenues64[[#Totals],[Budget 13/14]]-OrientationExpenses65[[#Totals],[Budget 13/14]]</f>
        <v>-14162.54</v>
      </c>
      <c r="J25" s="268">
        <f>OrientationRevenues64[[#Totals],[Actual 13/14]]-OrientationExpenses65[[#Totals],[Actual 13/14]]</f>
        <v>-12261.949999999999</v>
      </c>
      <c r="K25" s="268">
        <f>OrientationRevenues64[[#Totals],[Budget 14/15]]-OrientationExpenses65[[#Totals],[Budget 14/15]]</f>
        <v>-14867.56</v>
      </c>
      <c r="L25" s="268">
        <f>OrientationRevenues64[[#Totals],[Actuals 14/15]]-OrientationExpenses65[[#Totals],[Actuals 14/15]]</f>
        <v>-15364.93</v>
      </c>
      <c r="M25" s="268">
        <f>OrientationRevenues64[[#Totals],[Budget 15/16]]-OrientationExpenses65[[#Totals],[Budget 15/16]]</f>
        <v>-14772.56</v>
      </c>
      <c r="N25" s="268">
        <f>OrientationRevenues64[[#Totals],[Actuals 15/16]]-OrientationExpenses65[[#Totals],[Actuals 15/16]]</f>
        <v>-12968.810000000001</v>
      </c>
      <c r="O25" s="268">
        <f>OrientationRevenues64[[#Totals],[Budget 16/17]]-OrientationExpenses65[[#Totals],[Budget 16/17]]</f>
        <v>-18766.8</v>
      </c>
      <c r="P25" s="268">
        <f>OrientationRevenues64[[#Totals],[Actual 16/17]]-OrientationExpenses65[[#Totals],[Actual 16/17]]</f>
        <v>-10830.94</v>
      </c>
      <c r="Q25" s="268">
        <f>OrientationRevenues64[[#Totals],[Budget 17/18]]-OrientationExpenses65[[#Totals],[Budget 17/18]]</f>
        <v>-11743.8</v>
      </c>
      <c r="R25" s="268">
        <f>OrientationRevenues64[[#Totals],[Actual 17/18]]-OrientationExpenses65[[#Totals],[Actual 17/18]]</f>
        <v>-6918.8600000000006</v>
      </c>
      <c r="S25" s="268">
        <f>OrientationRevenues64[[#Totals],[Budget 18/19]]-OrientationExpenses65[[#Totals],[Budget 18/19]]</f>
        <v>-1490</v>
      </c>
      <c r="T25" s="268">
        <f>OrientationRevenues64[[#Totals],[Actual 18/19]]-OrientationExpenses65[[#Totals],[Actual 18/19]]</f>
        <v>-1847.1699999999998</v>
      </c>
      <c r="U25" s="268">
        <f>OrientationRevenues64[[#Totals],[Budget 19/20]]-OrientationExpenses65[[#Totals],[Budget 19/20]]</f>
        <v>-1490</v>
      </c>
      <c r="V25" s="268">
        <f>OrientationRevenues64[[#Totals],[Actual P12 19/20]]-OrientationExpenses65[[#Totals],[Actual P12 19/20]]</f>
        <v>-629.25</v>
      </c>
      <c r="W25" s="268">
        <f>OrientationRevenues64[[#Totals],[Actual P12 19/20]]-OrientationExpenses65[[#Totals],[Budget 20/21]]</f>
        <v>-1490</v>
      </c>
      <c r="X25" s="268">
        <f>OrientationRevenues64[[#Totals],[Budget 20/21]]-OrientationExpenses65[[#Totals],[Actual 20/21]]</f>
        <v>-788.95999999999992</v>
      </c>
      <c r="Y25" s="268">
        <f>OrientationRevenues64[[#Totals],[Actual 20/21]]-OrientationExpenses65[[#Totals],[Budget 21/22]]</f>
        <v>-3320</v>
      </c>
      <c r="Z25" s="268">
        <f>OrientationRevenues64[[#Totals],[Budget 21/22]]-OrientationExpenses65[[#Totals],[Actual 21/22]]</f>
        <v>-670.28</v>
      </c>
      <c r="AA25" s="268">
        <f>OrientationRevenues64[[#Totals],[Actual 21/22]]-OrientationExpenses65[[#Totals],[Budget 22/23]]</f>
        <v>-1340</v>
      </c>
    </row>
    <row r="26" spans="1:27">
      <c r="B26" s="267"/>
      <c r="C26" s="267"/>
      <c r="D26" s="267"/>
      <c r="E26" s="267"/>
      <c r="F26" s="267"/>
      <c r="G26" s="267"/>
      <c r="H26" s="267"/>
      <c r="I26" s="267"/>
      <c r="J26" s="267"/>
      <c r="K26" s="267"/>
      <c r="L26" s="267"/>
      <c r="M26" s="267"/>
    </row>
    <row r="27" spans="1:27">
      <c r="A27" s="258" t="s">
        <v>266</v>
      </c>
    </row>
    <row r="29" spans="1:27">
      <c r="B29" s="266"/>
    </row>
    <row r="31" spans="1:27">
      <c r="C31" s="260"/>
      <c r="D31" s="260"/>
      <c r="E31" s="260"/>
      <c r="F31" s="260"/>
      <c r="G31" s="260"/>
      <c r="H31" s="260"/>
      <c r="I31" s="260"/>
      <c r="J31" s="260"/>
      <c r="K31" s="260"/>
      <c r="L31" s="260"/>
      <c r="M31" s="260"/>
    </row>
    <row r="36" spans="9:15">
      <c r="I36" s="265"/>
      <c r="J36" s="263"/>
      <c r="K36" s="263"/>
      <c r="L36" s="263"/>
      <c r="M36" s="263"/>
      <c r="N36" s="264"/>
      <c r="O36" s="263"/>
    </row>
    <row r="37" spans="9:15">
      <c r="I37" s="265"/>
      <c r="J37" s="263"/>
      <c r="K37" s="263"/>
      <c r="L37" s="263"/>
      <c r="M37" s="263"/>
      <c r="N37" s="264"/>
      <c r="O37" s="263"/>
    </row>
    <row r="38" spans="9:15">
      <c r="I38" s="265"/>
      <c r="J38" s="263"/>
      <c r="K38" s="263"/>
      <c r="L38" s="263"/>
      <c r="M38" s="263"/>
      <c r="N38" s="264"/>
      <c r="O38" s="263"/>
    </row>
    <row r="39" spans="9:15">
      <c r="I39" s="265"/>
      <c r="J39" s="263"/>
      <c r="K39" s="263"/>
      <c r="L39" s="263"/>
      <c r="M39" s="263"/>
      <c r="N39" s="264"/>
      <c r="O39" s="263"/>
    </row>
    <row r="40" spans="9:15">
      <c r="I40" s="265"/>
      <c r="J40" s="263"/>
      <c r="K40" s="263"/>
      <c r="L40" s="263"/>
      <c r="M40" s="263"/>
      <c r="N40" s="264"/>
      <c r="O40" s="263"/>
    </row>
    <row r="41" spans="9:15">
      <c r="I41" s="265"/>
      <c r="J41" s="263"/>
      <c r="K41" s="263"/>
      <c r="L41" s="263"/>
      <c r="M41" s="263"/>
      <c r="N41" s="264"/>
      <c r="O41" s="263"/>
    </row>
    <row r="42" spans="9:15">
      <c r="I42" s="265"/>
      <c r="J42" s="263"/>
      <c r="K42" s="263"/>
      <c r="L42" s="263"/>
      <c r="M42" s="263"/>
      <c r="N42" s="264"/>
      <c r="O42" s="263"/>
    </row>
    <row r="43" spans="9:15">
      <c r="I43" s="265"/>
      <c r="J43" s="263"/>
      <c r="K43" s="263"/>
      <c r="L43" s="263"/>
      <c r="M43" s="263"/>
      <c r="N43" s="264"/>
      <c r="O43" s="263"/>
    </row>
    <row r="44" spans="9:15">
      <c r="I44" s="265"/>
      <c r="J44" s="263"/>
      <c r="K44" s="263"/>
      <c r="L44" s="263"/>
      <c r="M44" s="263"/>
      <c r="N44" s="264"/>
      <c r="O44" s="263"/>
    </row>
    <row r="59" spans="2:13">
      <c r="B59" s="262"/>
      <c r="C59" s="261"/>
      <c r="D59" s="261"/>
      <c r="E59" s="261"/>
      <c r="F59" s="261"/>
      <c r="G59" s="261"/>
      <c r="H59" s="261"/>
      <c r="I59" s="261"/>
      <c r="J59" s="261"/>
      <c r="K59" s="261"/>
      <c r="L59" s="261"/>
      <c r="M59" s="261"/>
    </row>
    <row r="61" spans="2:13">
      <c r="C61" s="260"/>
      <c r="D61" s="260"/>
      <c r="E61" s="260"/>
      <c r="F61" s="260"/>
      <c r="G61" s="260"/>
      <c r="H61" s="260"/>
      <c r="I61" s="260"/>
      <c r="J61" s="260"/>
      <c r="K61" s="260"/>
      <c r="L61" s="260"/>
      <c r="M61" s="260"/>
    </row>
  </sheetData>
  <mergeCells count="1">
    <mergeCell ref="A1:B1"/>
  </mergeCells>
  <phoneticPr fontId="117" type="noConversion"/>
  <pageMargins left="0" right="0" top="0.98425196850393704" bottom="0.98425196850393704" header="0.51181102362204722" footer="0.51181102362204722"/>
  <pageSetup paperSize="5" orientation="landscape" r:id="rId1"/>
  <headerFooter alignWithMargins="0"/>
  <legacyDrawing r:id="rId2"/>
  <tableParts count="2">
    <tablePart r:id="rId3"/>
    <tablePart r:id="rId4"/>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theme="1"/>
  </sheetPr>
  <dimension ref="A1:U27"/>
  <sheetViews>
    <sheetView showGridLines="0" zoomScale="90" zoomScaleNormal="90" zoomScaleSheetLayoutView="100" workbookViewId="0">
      <selection activeCell="X24" sqref="X24"/>
    </sheetView>
  </sheetViews>
  <sheetFormatPr defaultColWidth="9.140625" defaultRowHeight="12.75"/>
  <cols>
    <col min="1" max="1" width="13.85546875" style="11" customWidth="1"/>
    <col min="2" max="2" width="32.42578125" style="11" customWidth="1"/>
    <col min="3" max="7" width="16.85546875" style="11" hidden="1" customWidth="1"/>
    <col min="8" max="8" width="15.28515625" style="11" hidden="1" customWidth="1"/>
    <col min="9" max="9" width="14.140625" style="11" hidden="1" customWidth="1"/>
    <col min="10" max="10" width="15.28515625" style="11" hidden="1" customWidth="1"/>
    <col min="11" max="13" width="16.85546875" style="11" hidden="1" customWidth="1"/>
    <col min="14" max="14" width="16" style="11" hidden="1" customWidth="1"/>
    <col min="15" max="15" width="14.42578125" style="11" hidden="1" customWidth="1"/>
    <col min="16" max="16" width="21" style="11" hidden="1" customWidth="1"/>
    <col min="17" max="17" width="16" style="11" hidden="1" customWidth="1"/>
    <col min="18" max="18" width="14.28515625" style="11" hidden="1" customWidth="1"/>
    <col min="19" max="19" width="14.7109375" style="11" customWidth="1"/>
    <col min="20" max="20" width="17.85546875" style="11" bestFit="1" customWidth="1"/>
    <col min="21" max="21" width="18.42578125" style="11" customWidth="1"/>
    <col min="22" max="16384" width="9.140625" style="11"/>
  </cols>
  <sheetData>
    <row r="1" spans="1:21" ht="18">
      <c r="A1" s="758" t="s">
        <v>267</v>
      </c>
      <c r="B1" s="758"/>
      <c r="C1" s="758"/>
    </row>
    <row r="2" spans="1:21">
      <c r="A2" s="28" t="s">
        <v>226</v>
      </c>
      <c r="C2" s="89"/>
    </row>
    <row r="3" spans="1:21">
      <c r="A3" s="12"/>
      <c r="B3" s="12"/>
      <c r="C3" s="59"/>
      <c r="D3" s="59"/>
      <c r="E3" s="59"/>
      <c r="F3" s="59"/>
      <c r="G3" s="59"/>
      <c r="H3" s="12"/>
      <c r="I3" s="12"/>
      <c r="J3" s="12"/>
      <c r="K3" s="12"/>
      <c r="L3" s="12"/>
      <c r="M3" s="12"/>
      <c r="N3" s="12"/>
    </row>
    <row r="4" spans="1:21">
      <c r="A4" s="48" t="s">
        <v>130</v>
      </c>
      <c r="B4" s="12" t="s">
        <v>72</v>
      </c>
      <c r="C4" s="12" t="s">
        <v>5</v>
      </c>
      <c r="D4" s="12" t="s">
        <v>6</v>
      </c>
      <c r="E4" s="12" t="s">
        <v>7</v>
      </c>
      <c r="F4" s="12" t="s">
        <v>8</v>
      </c>
      <c r="G4" s="12" t="s">
        <v>9</v>
      </c>
      <c r="H4" s="12" t="s">
        <v>10</v>
      </c>
      <c r="I4" s="12" t="s">
        <v>11</v>
      </c>
      <c r="J4" s="12" t="s">
        <v>12</v>
      </c>
      <c r="K4" s="12" t="s">
        <v>13</v>
      </c>
      <c r="L4" s="12" t="s">
        <v>14</v>
      </c>
      <c r="M4" s="12" t="s">
        <v>15</v>
      </c>
      <c r="N4" s="12" t="s">
        <v>39</v>
      </c>
      <c r="O4" s="12" t="s">
        <v>268</v>
      </c>
      <c r="P4" s="11" t="s">
        <v>81</v>
      </c>
      <c r="Q4" s="12" t="s">
        <v>17</v>
      </c>
      <c r="R4" s="12" t="s">
        <v>269</v>
      </c>
      <c r="S4" s="12" t="s">
        <v>41</v>
      </c>
      <c r="T4" s="5" t="s">
        <v>42</v>
      </c>
      <c r="U4" s="5" t="s">
        <v>43</v>
      </c>
    </row>
    <row r="5" spans="1:21">
      <c r="A5" s="48"/>
      <c r="B5" s="12" t="s">
        <v>192</v>
      </c>
      <c r="C5" s="60">
        <v>0</v>
      </c>
      <c r="D5" s="60">
        <v>0</v>
      </c>
      <c r="E5" s="60">
        <v>0</v>
      </c>
      <c r="F5" s="60">
        <v>0</v>
      </c>
      <c r="G5" s="60">
        <v>0</v>
      </c>
      <c r="H5" s="60">
        <v>0</v>
      </c>
      <c r="I5" s="60">
        <v>0</v>
      </c>
      <c r="J5" s="60"/>
      <c r="K5" s="60"/>
      <c r="L5" s="60"/>
      <c r="M5" s="60"/>
      <c r="N5" s="60"/>
      <c r="O5" s="60"/>
      <c r="Q5" s="60"/>
      <c r="R5" s="60"/>
      <c r="S5" s="60"/>
      <c r="T5" s="434"/>
      <c r="U5" s="434"/>
    </row>
    <row r="6" spans="1:21">
      <c r="A6" s="48"/>
      <c r="B6" s="12" t="s">
        <v>270</v>
      </c>
      <c r="C6" s="60">
        <v>0</v>
      </c>
      <c r="D6" s="60">
        <v>0</v>
      </c>
      <c r="E6" s="60">
        <v>0</v>
      </c>
      <c r="F6" s="60">
        <v>0</v>
      </c>
      <c r="G6" s="60">
        <v>0</v>
      </c>
      <c r="H6" s="60">
        <v>0</v>
      </c>
      <c r="I6" s="60">
        <v>0</v>
      </c>
      <c r="J6" s="60"/>
      <c r="K6" s="60"/>
      <c r="L6" s="60"/>
      <c r="M6" s="60"/>
      <c r="N6" s="60"/>
      <c r="O6" s="60"/>
      <c r="Q6" s="60"/>
      <c r="R6" s="60"/>
      <c r="S6" s="60"/>
      <c r="T6" s="434"/>
      <c r="U6" s="434"/>
    </row>
    <row r="7" spans="1:21">
      <c r="A7" s="48"/>
      <c r="B7" s="11" t="s">
        <v>21</v>
      </c>
      <c r="C7" s="178">
        <f>SUBTOTAL(109,DirectorofCampusLifeRevenues[Budget 13/14])</f>
        <v>0</v>
      </c>
      <c r="D7" s="178">
        <f>SUBTOTAL(109,DirectorofCampusLifeRevenues[Actual 13/14])</f>
        <v>0</v>
      </c>
      <c r="E7" s="178">
        <f>SUBTOTAL(109,DirectorofCampusLifeRevenues[Budget 14/15])</f>
        <v>0</v>
      </c>
      <c r="F7" s="178">
        <f>SUBTOTAL(109,DirectorofCampusLifeRevenues[Actual 14/15])</f>
        <v>0</v>
      </c>
      <c r="G7" s="178">
        <f>SUBTOTAL(109,DirectorofCampusLifeRevenues[Budget 15/16])</f>
        <v>0</v>
      </c>
      <c r="H7" s="178">
        <f>SUBTOTAL(109,DirectorofCampusLifeRevenues[Actual 15/16])</f>
        <v>0</v>
      </c>
      <c r="I7" s="178">
        <f>SUBTOTAL(109,DirectorofCampusLifeRevenues[Budget 16/17])</f>
        <v>0</v>
      </c>
      <c r="J7" s="178">
        <f>SUBTOTAL(109,DirectorofCampusLifeRevenues[Actual 16/17])</f>
        <v>0</v>
      </c>
      <c r="K7" s="178">
        <f>SUBTOTAL(109,DirectorofCampusLifeRevenues[Budget 17/18])</f>
        <v>0</v>
      </c>
      <c r="L7" s="11">
        <f>SUBTOTAL(109,DirectorofCampusLifeRevenues[Revenues])</f>
        <v>0</v>
      </c>
      <c r="M7" s="11">
        <f>SUBTOTAL(109,DirectorofCampusLifeRevenues[Budget 13/14])</f>
        <v>0</v>
      </c>
      <c r="O7" s="11">
        <f>SUBTOTAL(109,DirectorofCampusLifeRevenues[Actual 13/14])</f>
        <v>0</v>
      </c>
      <c r="T7"/>
      <c r="U7"/>
    </row>
    <row r="8" spans="1:21">
      <c r="B8" s="12"/>
      <c r="C8" s="61"/>
      <c r="D8" s="61"/>
      <c r="E8" s="61"/>
      <c r="F8" s="61"/>
      <c r="G8" s="61"/>
    </row>
    <row r="9" spans="1:21">
      <c r="A9" s="48" t="s">
        <v>130</v>
      </c>
      <c r="B9" s="12" t="s">
        <v>22</v>
      </c>
      <c r="C9" s="12" t="s">
        <v>5</v>
      </c>
      <c r="D9" s="12" t="s">
        <v>6</v>
      </c>
      <c r="E9" s="12" t="s">
        <v>7</v>
      </c>
      <c r="F9" s="12" t="s">
        <v>8</v>
      </c>
      <c r="G9" s="12" t="s">
        <v>9</v>
      </c>
      <c r="H9" s="12" t="s">
        <v>10</v>
      </c>
      <c r="I9" s="12" t="s">
        <v>11</v>
      </c>
      <c r="J9" s="12" t="s">
        <v>12</v>
      </c>
      <c r="K9" s="12" t="s">
        <v>13</v>
      </c>
      <c r="L9" s="12" t="s">
        <v>14</v>
      </c>
      <c r="M9" s="12" t="s">
        <v>15</v>
      </c>
      <c r="N9" s="12" t="s">
        <v>39</v>
      </c>
      <c r="O9" s="12" t="s">
        <v>16</v>
      </c>
      <c r="P9" s="12" t="s">
        <v>81</v>
      </c>
      <c r="Q9" s="12" t="s">
        <v>17</v>
      </c>
      <c r="R9" s="12" t="s">
        <v>269</v>
      </c>
      <c r="S9" s="12" t="s">
        <v>41</v>
      </c>
      <c r="T9" s="5" t="s">
        <v>42</v>
      </c>
      <c r="U9" s="5" t="s">
        <v>43</v>
      </c>
    </row>
    <row r="10" spans="1:21">
      <c r="A10" s="48" t="s">
        <v>271</v>
      </c>
      <c r="B10" s="12" t="s">
        <v>272</v>
      </c>
      <c r="C10" s="63">
        <v>0</v>
      </c>
      <c r="D10" s="63">
        <v>0</v>
      </c>
      <c r="E10" s="63">
        <v>0</v>
      </c>
      <c r="F10" s="63">
        <v>0</v>
      </c>
      <c r="G10" s="63">
        <v>0</v>
      </c>
      <c r="H10" s="16"/>
      <c r="I10" s="63">
        <v>0</v>
      </c>
      <c r="J10" s="63"/>
      <c r="K10" s="63"/>
      <c r="L10" s="63">
        <v>3231.77</v>
      </c>
      <c r="M10" s="63"/>
      <c r="N10" s="63"/>
      <c r="O10" s="63"/>
      <c r="P10" s="63"/>
      <c r="Q10" s="63"/>
      <c r="R10" s="63"/>
      <c r="S10" s="63"/>
      <c r="T10" s="63"/>
      <c r="U10" s="632"/>
    </row>
    <row r="11" spans="1:21">
      <c r="A11" s="48" t="s">
        <v>273</v>
      </c>
      <c r="B11" s="12" t="s">
        <v>274</v>
      </c>
      <c r="C11" s="63">
        <v>2250</v>
      </c>
      <c r="D11" s="63">
        <v>0</v>
      </c>
      <c r="E11" s="63">
        <v>0</v>
      </c>
      <c r="F11" s="63">
        <v>0</v>
      </c>
      <c r="G11" s="63">
        <v>0</v>
      </c>
      <c r="H11" s="63">
        <v>0</v>
      </c>
      <c r="I11" s="63">
        <v>0</v>
      </c>
      <c r="J11" s="63"/>
      <c r="K11" s="63"/>
      <c r="L11" s="63">
        <v>70.56</v>
      </c>
      <c r="M11" s="63"/>
      <c r="N11" s="63"/>
      <c r="O11" s="511">
        <v>2000</v>
      </c>
      <c r="P11" s="63">
        <v>0</v>
      </c>
      <c r="Q11" s="364">
        <v>7150</v>
      </c>
      <c r="R11" s="63">
        <v>1276.58</v>
      </c>
      <c r="T11" s="63"/>
      <c r="U11" s="632">
        <f>17*15*14*1.13*2</f>
        <v>8068.1999999999989</v>
      </c>
    </row>
    <row r="12" spans="1:21">
      <c r="A12" s="48" t="s">
        <v>275</v>
      </c>
      <c r="B12" s="12" t="s">
        <v>142</v>
      </c>
      <c r="C12" s="63">
        <v>0</v>
      </c>
      <c r="D12" s="63">
        <v>0</v>
      </c>
      <c r="E12" s="63">
        <v>0</v>
      </c>
      <c r="F12" s="63">
        <v>0</v>
      </c>
      <c r="G12" s="63">
        <v>0</v>
      </c>
      <c r="H12" s="63">
        <v>0</v>
      </c>
      <c r="I12" s="63">
        <v>0</v>
      </c>
      <c r="J12" s="63"/>
      <c r="K12" s="63"/>
      <c r="L12" s="63"/>
      <c r="M12" s="63"/>
      <c r="N12" s="63"/>
      <c r="O12" s="63"/>
      <c r="P12" s="63">
        <v>0</v>
      </c>
      <c r="Q12" s="63"/>
      <c r="R12" s="63"/>
      <c r="S12" s="63"/>
      <c r="T12" s="63"/>
      <c r="U12" s="632"/>
    </row>
    <row r="13" spans="1:21">
      <c r="A13" s="48" t="s">
        <v>276</v>
      </c>
      <c r="B13" s="12" t="s">
        <v>93</v>
      </c>
      <c r="C13" s="63">
        <v>350</v>
      </c>
      <c r="D13" s="63">
        <v>45.76</v>
      </c>
      <c r="E13" s="63">
        <v>350</v>
      </c>
      <c r="F13" s="63">
        <v>275.77999999999997</v>
      </c>
      <c r="G13" s="63">
        <v>350</v>
      </c>
      <c r="H13" s="63">
        <v>256.51</v>
      </c>
      <c r="I13" s="63">
        <v>350</v>
      </c>
      <c r="J13" s="364">
        <v>254.43</v>
      </c>
      <c r="K13" s="63">
        <v>350</v>
      </c>
      <c r="L13" s="63">
        <v>214.07</v>
      </c>
      <c r="M13" s="63">
        <v>250</v>
      </c>
      <c r="N13" s="63">
        <v>230.88</v>
      </c>
      <c r="O13" s="63">
        <v>250</v>
      </c>
      <c r="P13" s="63">
        <v>211.57</v>
      </c>
      <c r="Q13" s="63">
        <v>250</v>
      </c>
      <c r="R13" s="63">
        <v>137.69999999999999</v>
      </c>
      <c r="S13" s="63">
        <v>250</v>
      </c>
      <c r="T13" s="63"/>
      <c r="U13" s="632"/>
    </row>
    <row r="14" spans="1:21">
      <c r="A14" s="48" t="s">
        <v>277</v>
      </c>
      <c r="B14" s="12" t="s">
        <v>97</v>
      </c>
      <c r="C14" s="63">
        <v>5</v>
      </c>
      <c r="D14" s="63">
        <v>0</v>
      </c>
      <c r="E14" s="63">
        <v>5</v>
      </c>
      <c r="F14" s="63">
        <v>0</v>
      </c>
      <c r="G14" s="63">
        <v>5</v>
      </c>
      <c r="H14" s="63">
        <v>0</v>
      </c>
      <c r="I14" s="63">
        <v>0</v>
      </c>
      <c r="J14" s="364"/>
      <c r="K14" s="63"/>
      <c r="L14" s="63"/>
      <c r="M14" s="63"/>
      <c r="N14" s="63"/>
      <c r="O14" s="63"/>
      <c r="P14" s="63">
        <v>0</v>
      </c>
      <c r="Q14" s="63"/>
      <c r="R14" s="63"/>
      <c r="S14" s="63"/>
      <c r="T14" s="63"/>
      <c r="U14" s="632"/>
    </row>
    <row r="15" spans="1:21">
      <c r="A15" s="48" t="s">
        <v>278</v>
      </c>
      <c r="B15" s="12" t="s">
        <v>100</v>
      </c>
      <c r="C15" s="63">
        <v>275</v>
      </c>
      <c r="D15" s="63">
        <v>313.36</v>
      </c>
      <c r="E15" s="63">
        <v>300</v>
      </c>
      <c r="F15" s="63">
        <v>125.84</v>
      </c>
      <c r="G15" s="63">
        <v>200</v>
      </c>
      <c r="H15" s="63">
        <v>89.19</v>
      </c>
      <c r="I15" s="63">
        <v>150</v>
      </c>
      <c r="J15" s="364"/>
      <c r="K15" s="63">
        <v>150</v>
      </c>
      <c r="L15" s="63">
        <v>90.34</v>
      </c>
      <c r="M15" s="63">
        <v>150</v>
      </c>
      <c r="N15" s="63">
        <f>140.97+0.09</f>
        <v>141.06</v>
      </c>
      <c r="O15" s="63">
        <v>100</v>
      </c>
      <c r="P15" s="63">
        <v>82.37</v>
      </c>
      <c r="Q15" s="63">
        <v>100</v>
      </c>
      <c r="R15" s="63">
        <v>1.32</v>
      </c>
      <c r="S15" s="63">
        <v>100</v>
      </c>
      <c r="T15" s="63"/>
      <c r="U15" s="364"/>
    </row>
    <row r="16" spans="1:21">
      <c r="A16" s="48" t="s">
        <v>279</v>
      </c>
      <c r="B16" s="12" t="s">
        <v>280</v>
      </c>
      <c r="C16" s="63">
        <v>500</v>
      </c>
      <c r="D16" s="63">
        <v>0</v>
      </c>
      <c r="E16" s="63">
        <v>350</v>
      </c>
      <c r="F16" s="63">
        <v>10.95</v>
      </c>
      <c r="G16" s="63">
        <v>350</v>
      </c>
      <c r="H16" s="63">
        <v>0</v>
      </c>
      <c r="I16" s="63">
        <v>100</v>
      </c>
      <c r="J16" s="364">
        <v>0.89</v>
      </c>
      <c r="K16" s="63">
        <v>100</v>
      </c>
      <c r="L16" s="63">
        <v>28.08</v>
      </c>
      <c r="M16" s="63">
        <v>100</v>
      </c>
      <c r="N16" s="63">
        <v>95.59</v>
      </c>
      <c r="O16" s="63">
        <v>100</v>
      </c>
      <c r="P16" s="63">
        <v>268.36</v>
      </c>
      <c r="Q16" s="364">
        <v>200</v>
      </c>
      <c r="R16" s="63"/>
      <c r="S16" s="63">
        <v>200</v>
      </c>
      <c r="T16" s="63">
        <v>263.52</v>
      </c>
      <c r="U16" s="364"/>
    </row>
    <row r="17" spans="1:21">
      <c r="A17" s="48" t="s">
        <v>281</v>
      </c>
      <c r="B17" s="12" t="s">
        <v>282</v>
      </c>
      <c r="C17" s="63">
        <v>2000</v>
      </c>
      <c r="D17" s="63">
        <v>880.23</v>
      </c>
      <c r="E17" s="63">
        <v>1000</v>
      </c>
      <c r="F17" s="63">
        <v>1047.4000000000001</v>
      </c>
      <c r="G17" s="63">
        <v>1000</v>
      </c>
      <c r="H17" s="63">
        <v>608.55999999999995</v>
      </c>
      <c r="I17" s="63">
        <v>600</v>
      </c>
      <c r="J17" s="364">
        <v>405.37</v>
      </c>
      <c r="K17" s="63">
        <v>600</v>
      </c>
      <c r="L17" s="63">
        <v>207.58</v>
      </c>
      <c r="M17" s="63">
        <v>400</v>
      </c>
      <c r="N17" s="63">
        <v>130.13999999999999</v>
      </c>
      <c r="O17" s="63">
        <v>250</v>
      </c>
      <c r="P17" s="63">
        <v>0</v>
      </c>
      <c r="Q17" s="63">
        <v>250</v>
      </c>
      <c r="R17" s="63"/>
      <c r="S17" s="63">
        <v>200</v>
      </c>
      <c r="T17" s="63"/>
      <c r="U17" s="364">
        <v>200</v>
      </c>
    </row>
    <row r="18" spans="1:21">
      <c r="A18" s="48" t="s">
        <v>283</v>
      </c>
      <c r="B18" s="12" t="s">
        <v>106</v>
      </c>
      <c r="C18" s="63">
        <v>4500</v>
      </c>
      <c r="D18" s="63">
        <v>2596.0700000000002</v>
      </c>
      <c r="E18" s="63">
        <v>3500</v>
      </c>
      <c r="F18" s="63">
        <v>3755.21</v>
      </c>
      <c r="G18" s="63">
        <v>2000</v>
      </c>
      <c r="H18" s="63">
        <v>0</v>
      </c>
      <c r="I18" s="63">
        <v>3000</v>
      </c>
      <c r="J18" s="364">
        <v>4430.32</v>
      </c>
      <c r="K18" s="63">
        <v>4250</v>
      </c>
      <c r="L18" s="63">
        <v>4967.6899999999996</v>
      </c>
      <c r="M18" s="63">
        <v>5000</v>
      </c>
      <c r="N18" s="63">
        <v>3910.95</v>
      </c>
      <c r="O18" s="63">
        <v>5500</v>
      </c>
      <c r="P18" s="63">
        <v>4061.58</v>
      </c>
      <c r="Q18" s="63">
        <v>2000</v>
      </c>
      <c r="R18" s="63">
        <v>1314.3</v>
      </c>
      <c r="S18" s="63">
        <f>3000+300</f>
        <v>3300</v>
      </c>
      <c r="T18" s="63">
        <v>1820.93</v>
      </c>
      <c r="U18" s="364">
        <v>3000</v>
      </c>
    </row>
    <row r="19" spans="1:21">
      <c r="A19" s="48" t="s">
        <v>284</v>
      </c>
      <c r="B19" s="633" t="s">
        <v>285</v>
      </c>
      <c r="C19" s="63"/>
      <c r="D19" s="63"/>
      <c r="E19" s="63"/>
      <c r="F19" s="63"/>
      <c r="G19" s="63"/>
      <c r="H19" s="63"/>
      <c r="I19" s="63"/>
      <c r="J19" s="63"/>
      <c r="K19" s="63"/>
      <c r="L19" s="63"/>
      <c r="M19" s="44"/>
      <c r="N19" s="63"/>
      <c r="O19" s="44"/>
      <c r="P19" s="63"/>
      <c r="Q19" s="44"/>
      <c r="R19" s="63"/>
      <c r="S19" s="63"/>
      <c r="T19" s="63"/>
      <c r="U19" s="364">
        <v>621.5</v>
      </c>
    </row>
    <row r="20" spans="1:21">
      <c r="A20" s="48" t="s">
        <v>286</v>
      </c>
      <c r="B20" s="12" t="s">
        <v>287</v>
      </c>
      <c r="C20" s="63">
        <v>700</v>
      </c>
      <c r="D20" s="63">
        <v>26.33</v>
      </c>
      <c r="E20" s="63">
        <v>300</v>
      </c>
      <c r="F20" s="63">
        <v>259.74</v>
      </c>
      <c r="G20" s="63">
        <v>400</v>
      </c>
      <c r="H20" s="63">
        <v>252.4</v>
      </c>
      <c r="I20" s="63">
        <v>400</v>
      </c>
      <c r="J20" s="364">
        <v>126.77</v>
      </c>
      <c r="K20" s="63">
        <v>400</v>
      </c>
      <c r="L20" s="63">
        <v>208.86</v>
      </c>
      <c r="M20" s="63">
        <v>400</v>
      </c>
      <c r="N20" s="63">
        <v>284.41000000000003</v>
      </c>
      <c r="O20" s="63">
        <v>400</v>
      </c>
      <c r="P20" s="63">
        <v>326.36</v>
      </c>
      <c r="Q20" s="364">
        <v>500</v>
      </c>
      <c r="R20" s="63"/>
      <c r="S20" s="63">
        <v>500</v>
      </c>
      <c r="T20" s="63">
        <v>216.14</v>
      </c>
      <c r="U20" s="364">
        <v>1200</v>
      </c>
    </row>
    <row r="21" spans="1:21">
      <c r="A21" s="48" t="s">
        <v>288</v>
      </c>
      <c r="B21" s="12" t="s">
        <v>289</v>
      </c>
      <c r="C21" s="63">
        <v>0</v>
      </c>
      <c r="D21" s="63">
        <v>0</v>
      </c>
      <c r="E21" s="63">
        <v>0</v>
      </c>
      <c r="F21" s="63">
        <v>0</v>
      </c>
      <c r="G21" s="63"/>
      <c r="H21" s="63">
        <v>0</v>
      </c>
      <c r="I21" s="63">
        <v>0</v>
      </c>
      <c r="J21" s="63"/>
      <c r="K21" s="63"/>
      <c r="L21" s="63"/>
      <c r="M21" s="63"/>
      <c r="N21" s="63"/>
      <c r="O21" s="63"/>
      <c r="P21" s="63">
        <v>0</v>
      </c>
      <c r="Q21" s="63"/>
      <c r="R21" s="63"/>
      <c r="S21" s="63"/>
      <c r="T21" s="63"/>
      <c r="U21" s="632"/>
    </row>
    <row r="22" spans="1:21">
      <c r="A22" s="48"/>
      <c r="B22" s="12" t="s">
        <v>290</v>
      </c>
      <c r="C22" s="63"/>
      <c r="D22" s="63"/>
      <c r="E22" s="63"/>
      <c r="F22" s="63"/>
      <c r="G22" s="63"/>
      <c r="H22" s="63"/>
      <c r="I22" s="63"/>
      <c r="J22" s="63"/>
      <c r="K22" s="63"/>
      <c r="L22" s="63"/>
      <c r="M22" s="63"/>
      <c r="N22" s="63"/>
      <c r="O22" s="63"/>
      <c r="P22" s="63"/>
      <c r="Q22" s="63"/>
      <c r="R22" s="63"/>
      <c r="S22" s="63"/>
      <c r="T22" s="63"/>
      <c r="U22" s="632"/>
    </row>
    <row r="23" spans="1:21">
      <c r="B23" s="12" t="s">
        <v>291</v>
      </c>
      <c r="C23" s="63"/>
      <c r="D23" s="63"/>
      <c r="E23" s="63"/>
      <c r="F23" s="63"/>
      <c r="G23" s="63"/>
      <c r="H23" s="63"/>
      <c r="I23" s="63"/>
      <c r="J23" s="63"/>
      <c r="K23" s="63"/>
      <c r="L23" s="63"/>
      <c r="M23" s="44"/>
      <c r="N23" s="63">
        <v>11.44</v>
      </c>
      <c r="O23" s="44"/>
      <c r="P23" s="63"/>
      <c r="Q23" s="44"/>
      <c r="R23" s="63"/>
      <c r="S23" s="63"/>
      <c r="T23" s="63"/>
      <c r="U23" s="632"/>
    </row>
    <row r="24" spans="1:21">
      <c r="A24" s="48" t="s">
        <v>292</v>
      </c>
      <c r="B24" s="12" t="s">
        <v>114</v>
      </c>
      <c r="C24" s="63">
        <v>400</v>
      </c>
      <c r="D24" s="63">
        <v>746.32</v>
      </c>
      <c r="E24" s="63">
        <v>400</v>
      </c>
      <c r="F24" s="63">
        <v>142.87</v>
      </c>
      <c r="G24" s="63">
        <v>400</v>
      </c>
      <c r="H24" s="63">
        <v>25.17</v>
      </c>
      <c r="I24" s="63">
        <v>0</v>
      </c>
      <c r="J24" s="63"/>
      <c r="K24" s="63">
        <v>7000</v>
      </c>
      <c r="L24" s="63">
        <v>237.54</v>
      </c>
      <c r="M24" s="63"/>
      <c r="N24" s="63">
        <v>229.91</v>
      </c>
      <c r="O24" s="63"/>
      <c r="P24" s="63">
        <v>206.3</v>
      </c>
      <c r="Q24" s="63">
        <v>500</v>
      </c>
      <c r="R24" s="63"/>
      <c r="S24" s="63">
        <v>500</v>
      </c>
      <c r="T24" s="63">
        <v>237.92</v>
      </c>
      <c r="U24" s="632">
        <v>3000</v>
      </c>
    </row>
    <row r="25" spans="1:21">
      <c r="B25" s="11" t="s">
        <v>21</v>
      </c>
      <c r="C25" s="178">
        <f>SUBTOTAL(109,DirectorofCampusLifeExpenses[Budget 13/14])</f>
        <v>10980</v>
      </c>
      <c r="D25" s="178">
        <f>SUBTOTAL(109,DirectorofCampusLifeExpenses[Actual 13/14])</f>
        <v>4608.07</v>
      </c>
      <c r="E25" s="178">
        <f>SUBTOTAL(109,DirectorofCampusLifeExpenses[Budget 14/15])</f>
        <v>6205</v>
      </c>
      <c r="F25" s="178">
        <f>SUBTOTAL(109,DirectorofCampusLifeExpenses[Actual 14/15])</f>
        <v>5617.79</v>
      </c>
      <c r="G25" s="178">
        <f>SUBTOTAL(109,DirectorofCampusLifeExpenses[Budget 15/16])</f>
        <v>4705</v>
      </c>
      <c r="H25" s="178">
        <f>SUBTOTAL(109,DirectorofCampusLifeExpenses[Actual 15/16])</f>
        <v>1231.8300000000002</v>
      </c>
      <c r="I25" s="178">
        <f>SUBTOTAL(109,DirectorofCampusLifeExpenses[Budget 16/17])</f>
        <v>4600</v>
      </c>
      <c r="J25" s="178">
        <f>SUBTOTAL(109,DirectorofCampusLifeExpenses[Actual 16/17])</f>
        <v>5217.7800000000007</v>
      </c>
      <c r="K25" s="178">
        <f>SUBTOTAL(109,DirectorofCampusLifeExpenses[Budget 17/18])</f>
        <v>12850</v>
      </c>
      <c r="L25" s="178">
        <f>SUM(DirectorofCampusLifeExpenses[Actual 17/18])</f>
        <v>9256.4900000000016</v>
      </c>
      <c r="M25" s="21">
        <f>SUM(DirectorofCampusLifeExpenses[Budget 18/19])</f>
        <v>6300</v>
      </c>
      <c r="N25" s="21">
        <f>SUM(DirectorofCampusLifeExpenses[Actual 18/19])</f>
        <v>5034.3799999999992</v>
      </c>
      <c r="O25" s="21">
        <f>SUM(DirectorofCampusLifeExpenses[Budget 19/20])</f>
        <v>8600</v>
      </c>
      <c r="P25" s="11">
        <f>SUM(DirectorofCampusLifeExpenses[Actual P12 19/20])</f>
        <v>5156.54</v>
      </c>
      <c r="Q25" s="21">
        <f>SUM(DirectorofCampusLifeExpenses[Budget 20/21])</f>
        <v>10950</v>
      </c>
      <c r="R25" s="21">
        <f>SUM(DirectorofCampusLifeExpenses[Actuals 20/21])</f>
        <v>2729.8999999999996</v>
      </c>
      <c r="S25" s="21">
        <f>SUM(DirectorofCampusLifeExpenses[Budget 21/22])</f>
        <v>5050</v>
      </c>
      <c r="T25" s="21">
        <f>SUBTOTAL(109,DirectorofCampusLifeExpenses[Actual 21/22])</f>
        <v>2538.5099999999998</v>
      </c>
      <c r="U25" s="178">
        <f>SUM(DirectorofCampusLifeExpenses[Budget 22/23])</f>
        <v>16089.699999999999</v>
      </c>
    </row>
    <row r="26" spans="1:21" ht="13.5" thickBot="1">
      <c r="C26" s="178"/>
      <c r="D26" s="178"/>
      <c r="E26" s="178"/>
      <c r="F26" s="178"/>
      <c r="G26" s="178"/>
    </row>
    <row r="27" spans="1:21" ht="19.5" thickBot="1">
      <c r="B27" s="611" t="s">
        <v>127</v>
      </c>
      <c r="C27" s="27">
        <f>DirectorofCampusLifeRevenues[[#Totals],[Budget 13/14]]-DirectorofCampusLifeExpenses[[#Totals],[Budget 13/14]]</f>
        <v>-10980</v>
      </c>
      <c r="D27" s="27">
        <f>DirectorofCampusLifeRevenues[[#Totals],[Actual 13/14]]-DirectorofCampusLifeExpenses[[#Totals],[Actual 13/14]]</f>
        <v>-4608.07</v>
      </c>
      <c r="E27" s="27">
        <f>DirectorofCampusLifeRevenues[[#Totals],[Budget 14/15]]-DirectorofCampusLifeExpenses[[#Totals],[Budget 14/15]]</f>
        <v>-6205</v>
      </c>
      <c r="F27" s="27">
        <f>DirectorofCampusLifeRevenues[[#Totals],[Actual 14/15]]-DirectorofCampusLifeExpenses[[#Totals],[Actual 14/15]]</f>
        <v>-5617.79</v>
      </c>
      <c r="G27" s="27">
        <f>DirectorofCampusLifeRevenues[[#Totals],[Budget 15/16]]-DirectorofCampusLifeExpenses[[#Totals],[Budget 15/16]]</f>
        <v>-4705</v>
      </c>
      <c r="H27" s="27">
        <f>DirectorofCampusLifeRevenues[[#Totals],[Actual 15/16]]-DirectorofCampusLifeExpenses[[#Totals],[Actual 15/16]]</f>
        <v>-1231.8300000000002</v>
      </c>
      <c r="I27" s="64">
        <f>DirectorofCampusLifeRevenues[[#Totals],[Budget 16/17]]-DirectorofCampusLifeExpenses[[#Totals],[Budget 16/17]]</f>
        <v>-4600</v>
      </c>
      <c r="J27" s="64">
        <f>DirectorofCampusLifeRevenues[[#Totals],[Actual 16/17]]-DirectorofCampusLifeExpenses[[#Totals],[Actual 16/17]]</f>
        <v>-5217.7800000000007</v>
      </c>
      <c r="K27" s="64">
        <f>DirectorofCampusLifeRevenues[[#Totals],[Budget 17/18]]-DirectorofCampusLifeExpenses[[#Totals],[Budget 17/18]]</f>
        <v>-12850</v>
      </c>
      <c r="L27" s="64">
        <f>DirectorofCampusLifeRevenues[[#Totals],[Actual 17/18]]-DirectorofCampusLifeExpenses[[#Totals],[Actual 17/18]]</f>
        <v>-9256.4900000000016</v>
      </c>
      <c r="M27" s="64">
        <f>DirectorofCampusLifeRevenues[[#Totals],[Budget 18/19]]-DirectorofCampusLifeExpenses[[#Totals],[Budget 18/19]]</f>
        <v>-6300</v>
      </c>
      <c r="N27" s="64">
        <f>DirectorofCampusLifeRevenues[[#Totals],[Actual 18/19]]-DirectorofCampusLifeExpenses[[#Totals],[Actual 18/19]]</f>
        <v>-5034.3799999999992</v>
      </c>
      <c r="O27" s="64">
        <f>DirectorofCampusLifeRevenues[[#Totals],[Budget 18/20]]-DirectorofCampusLifeExpenses[[#Totals],[Budget 19/20]]</f>
        <v>-8600</v>
      </c>
      <c r="P27" s="64">
        <f>DirectorofCampusLifeRevenues[[#Totals],[Actual P12 19/20]]-DirectorofCampusLifeExpenses[[#Totals],[Actual P12 19/20]]</f>
        <v>-5156.54</v>
      </c>
      <c r="Q27" s="64">
        <f>DirectorofCampusLifeRevenues[[#Totals],[Budget 20/21]]-DirectorofCampusLifeExpenses[[#Totals],[Budget 20/21]]</f>
        <v>-10950</v>
      </c>
      <c r="R27" s="64">
        <f>DirectorofCampusLifeRevenues[[#Totals],[Actuals 20/21]]-DirectorofCampusLifeExpenses[[#Totals],[Actuals 20/21]]</f>
        <v>-2729.8999999999996</v>
      </c>
      <c r="S27" s="64">
        <f>DirectorofCampusLifeRevenues[[#Totals],[Budget 21/22]]-DirectorofCampusLifeExpenses[[#Totals],[Budget 21/22]]</f>
        <v>-5050</v>
      </c>
      <c r="T27" s="64">
        <f>SUM(T11:T24)</f>
        <v>2538.5099999999998</v>
      </c>
      <c r="U27" s="64">
        <f>DirectorofCampusLifeRevenues[[#Totals],[Budget 22/23]]-DirectorofCampusLifeExpenses[[#Totals],[Budget 22/23]]</f>
        <v>-16089.699999999999</v>
      </c>
    </row>
  </sheetData>
  <mergeCells count="1">
    <mergeCell ref="A1:C1"/>
  </mergeCells>
  <phoneticPr fontId="117" type="noConversion"/>
  <pageMargins left="0.7" right="0.7" top="0.75" bottom="0.75" header="0.3" footer="0.3"/>
  <pageSetup orientation="portrait" r:id="rId1"/>
  <legacy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1"/>
  </sheetPr>
  <dimension ref="A1:U43"/>
  <sheetViews>
    <sheetView showGridLines="0" zoomScale="90" zoomScaleNormal="90" workbookViewId="0">
      <selection activeCell="Y23" sqref="Y23"/>
    </sheetView>
  </sheetViews>
  <sheetFormatPr defaultColWidth="8.85546875" defaultRowHeight="12.75"/>
  <cols>
    <col min="1" max="1" width="13.7109375" customWidth="1"/>
    <col min="2" max="2" width="25.140625" customWidth="1"/>
    <col min="3" max="3" width="16" hidden="1" customWidth="1"/>
    <col min="4" max="4" width="15" hidden="1" customWidth="1"/>
    <col min="5" max="7" width="16" hidden="1" customWidth="1"/>
    <col min="8" max="8" width="15.42578125" hidden="1" customWidth="1"/>
    <col min="9" max="9" width="16" hidden="1" customWidth="1"/>
    <col min="10" max="10" width="15.42578125" hidden="1" customWidth="1"/>
    <col min="11" max="11" width="16" hidden="1" customWidth="1"/>
    <col min="12" max="12" width="17.140625" hidden="1" customWidth="1"/>
    <col min="13" max="13" width="17.28515625" hidden="1" customWidth="1"/>
    <col min="14" max="15" width="16" hidden="1" customWidth="1"/>
    <col min="16" max="16" width="15.85546875" hidden="1" customWidth="1"/>
    <col min="17" max="17" width="15.140625" hidden="1" customWidth="1"/>
    <col min="18" max="18" width="15.42578125" hidden="1" customWidth="1"/>
    <col min="19" max="19" width="16" bestFit="1" customWidth="1"/>
    <col min="20" max="20" width="15.85546875" customWidth="1"/>
    <col min="21" max="21" width="16" bestFit="1" customWidth="1"/>
  </cols>
  <sheetData>
    <row r="1" spans="1:21" ht="18">
      <c r="A1" s="758" t="s">
        <v>293</v>
      </c>
      <c r="B1" s="758"/>
      <c r="C1" s="11"/>
      <c r="D1" s="11"/>
      <c r="E1" s="11"/>
      <c r="F1" s="11"/>
      <c r="G1" s="11"/>
      <c r="H1" s="11"/>
      <c r="I1" s="11"/>
      <c r="J1" s="11"/>
      <c r="K1" s="11"/>
      <c r="L1" s="11"/>
      <c r="M1" s="11"/>
      <c r="N1" s="11"/>
      <c r="O1" s="11"/>
    </row>
    <row r="2" spans="1:21">
      <c r="A2" s="28" t="s">
        <v>226</v>
      </c>
      <c r="B2" s="11"/>
      <c r="C2" s="11"/>
      <c r="D2" s="11"/>
      <c r="E2" s="11"/>
      <c r="F2" s="11"/>
      <c r="G2" s="11"/>
      <c r="H2" s="11"/>
      <c r="I2" s="11"/>
      <c r="J2" s="11"/>
      <c r="K2" s="11"/>
      <c r="L2" s="11"/>
      <c r="M2" s="11"/>
      <c r="N2" s="11"/>
      <c r="O2" s="11"/>
    </row>
    <row r="3" spans="1:21">
      <c r="A3" s="11"/>
      <c r="B3" s="11"/>
      <c r="C3" s="11"/>
      <c r="D3" s="11"/>
      <c r="E3" s="11"/>
      <c r="F3" s="11"/>
      <c r="G3" s="11"/>
      <c r="H3" s="11"/>
      <c r="I3" s="11"/>
      <c r="J3" s="11"/>
      <c r="K3" s="11"/>
      <c r="L3" s="11"/>
      <c r="M3" s="11"/>
      <c r="N3" s="11"/>
      <c r="O3" s="11"/>
    </row>
    <row r="4" spans="1:21">
      <c r="A4" s="475"/>
      <c r="B4" s="12" t="s">
        <v>72</v>
      </c>
      <c r="C4" s="12" t="s">
        <v>5</v>
      </c>
      <c r="D4" s="12" t="s">
        <v>6</v>
      </c>
      <c r="E4" s="12" t="s">
        <v>7</v>
      </c>
      <c r="F4" s="12" t="s">
        <v>8</v>
      </c>
      <c r="G4" s="12" t="s">
        <v>9</v>
      </c>
      <c r="H4" s="12" t="s">
        <v>10</v>
      </c>
      <c r="I4" s="12" t="s">
        <v>11</v>
      </c>
      <c r="J4" s="12" t="s">
        <v>12</v>
      </c>
      <c r="K4" s="12" t="s">
        <v>13</v>
      </c>
      <c r="L4" s="12" t="s">
        <v>14</v>
      </c>
      <c r="M4" s="12" t="s">
        <v>15</v>
      </c>
      <c r="N4" s="12" t="s">
        <v>39</v>
      </c>
      <c r="O4" s="12" t="s">
        <v>16</v>
      </c>
      <c r="P4" s="12" t="s">
        <v>81</v>
      </c>
      <c r="Q4" s="12" t="s">
        <v>17</v>
      </c>
      <c r="R4" s="11" t="s">
        <v>40</v>
      </c>
      <c r="S4" s="11" t="s">
        <v>41</v>
      </c>
      <c r="T4" s="5" t="s">
        <v>42</v>
      </c>
      <c r="U4" s="5" t="s">
        <v>43</v>
      </c>
    </row>
    <row r="5" spans="1:21">
      <c r="A5" s="475"/>
      <c r="B5" s="12" t="s">
        <v>192</v>
      </c>
      <c r="C5" s="60">
        <v>0</v>
      </c>
      <c r="D5" s="60">
        <v>0</v>
      </c>
      <c r="E5" s="60">
        <v>0</v>
      </c>
      <c r="F5" s="60">
        <v>0</v>
      </c>
      <c r="G5" s="60">
        <v>0</v>
      </c>
      <c r="H5" s="60">
        <v>0</v>
      </c>
      <c r="I5" s="60">
        <v>0</v>
      </c>
      <c r="J5" s="60"/>
      <c r="K5" s="60"/>
      <c r="L5" s="60"/>
      <c r="M5" s="60"/>
      <c r="N5" s="60"/>
      <c r="O5" s="60"/>
      <c r="P5" s="60"/>
      <c r="Q5" s="434"/>
      <c r="R5" s="434"/>
      <c r="S5" s="434"/>
      <c r="T5" s="434"/>
      <c r="U5" s="434"/>
    </row>
    <row r="6" spans="1:21">
      <c r="A6" s="475"/>
      <c r="B6" s="12" t="s">
        <v>270</v>
      </c>
      <c r="C6" s="60">
        <v>0</v>
      </c>
      <c r="D6" s="60">
        <v>0</v>
      </c>
      <c r="E6" s="60">
        <v>0</v>
      </c>
      <c r="F6" s="60">
        <v>0</v>
      </c>
      <c r="G6" s="60">
        <v>0</v>
      </c>
      <c r="H6" s="60">
        <v>0</v>
      </c>
      <c r="I6" s="60">
        <v>0</v>
      </c>
      <c r="J6" s="60"/>
      <c r="K6" s="60"/>
      <c r="L6" s="60"/>
      <c r="M6" s="60"/>
      <c r="N6" s="60"/>
      <c r="O6" s="60"/>
      <c r="P6" s="60"/>
      <c r="Q6" s="434"/>
      <c r="R6" s="434"/>
      <c r="S6" s="434"/>
      <c r="T6" s="434"/>
      <c r="U6" s="434"/>
    </row>
    <row r="7" spans="1:21">
      <c r="A7" s="475" t="s">
        <v>294</v>
      </c>
      <c r="B7" s="12" t="s">
        <v>295</v>
      </c>
      <c r="C7" s="60"/>
      <c r="D7" s="60"/>
      <c r="E7" s="60"/>
      <c r="F7" s="60"/>
      <c r="G7" s="60"/>
      <c r="H7" s="60"/>
      <c r="I7" s="60"/>
      <c r="J7" s="60"/>
      <c r="K7" s="60"/>
      <c r="L7" s="60"/>
      <c r="M7" s="60"/>
      <c r="N7" s="60"/>
      <c r="O7" s="60"/>
      <c r="P7" s="60"/>
      <c r="Q7" s="434"/>
      <c r="R7" s="434">
        <v>1500</v>
      </c>
      <c r="S7" s="434"/>
      <c r="T7" s="434"/>
      <c r="U7" s="434"/>
    </row>
    <row r="8" spans="1:21">
      <c r="A8" s="65"/>
      <c r="B8" s="11" t="s">
        <v>21</v>
      </c>
      <c r="C8" s="178">
        <f>SUBTOTAL(109,ServicesManagerRevenues[Budget 13/14])</f>
        <v>0</v>
      </c>
      <c r="D8" s="178">
        <f>SUBTOTAL(109,ServicesManagerRevenues[Actual 13/14])</f>
        <v>0</v>
      </c>
      <c r="E8" s="178">
        <f>SUBTOTAL(109,ServicesManagerRevenues[Budget 14/15])</f>
        <v>0</v>
      </c>
      <c r="F8" s="178">
        <f>SUBTOTAL(109,ServicesManagerRevenues[Actual 14/15])</f>
        <v>0</v>
      </c>
      <c r="G8" s="178">
        <f>SUBTOTAL(109,ServicesManagerRevenues[Budget 15/16])</f>
        <v>0</v>
      </c>
      <c r="H8" s="178">
        <f>SUBTOTAL(109,ServicesManagerRevenues[Actual 15/16])</f>
        <v>0</v>
      </c>
      <c r="I8" s="178">
        <f>SUBTOTAL(109,ServicesManagerRevenues[Budget 16/17])</f>
        <v>0</v>
      </c>
      <c r="J8" s="11"/>
      <c r="K8" s="11"/>
      <c r="L8" s="11"/>
      <c r="M8" s="11"/>
      <c r="N8" s="11"/>
      <c r="O8" s="11"/>
      <c r="P8" s="11"/>
      <c r="Q8" s="11"/>
      <c r="R8" s="178">
        <f>SUM(R5:R7)</f>
        <v>1500</v>
      </c>
      <c r="S8" s="11"/>
      <c r="T8" s="11"/>
      <c r="U8" s="11"/>
    </row>
    <row r="9" spans="1:21">
      <c r="B9" s="11"/>
      <c r="C9" s="178"/>
      <c r="D9" s="178"/>
      <c r="E9" s="178"/>
      <c r="F9" s="178"/>
      <c r="G9" s="178"/>
      <c r="H9" s="178"/>
      <c r="I9" s="178"/>
      <c r="J9" s="11"/>
      <c r="K9" s="11"/>
      <c r="L9" s="11"/>
      <c r="M9" s="11"/>
      <c r="N9" s="11"/>
      <c r="O9" s="11"/>
    </row>
    <row r="10" spans="1:21">
      <c r="A10" s="48" t="s">
        <v>130</v>
      </c>
      <c r="B10" s="11" t="s">
        <v>22</v>
      </c>
      <c r="C10" s="11" t="s">
        <v>5</v>
      </c>
      <c r="D10" s="11" t="s">
        <v>6</v>
      </c>
      <c r="E10" s="11" t="s">
        <v>7</v>
      </c>
      <c r="F10" s="11" t="s">
        <v>8</v>
      </c>
      <c r="G10" s="11" t="s">
        <v>9</v>
      </c>
      <c r="H10" s="12" t="s">
        <v>10</v>
      </c>
      <c r="I10" s="12" t="s">
        <v>11</v>
      </c>
      <c r="J10" s="12" t="s">
        <v>12</v>
      </c>
      <c r="K10" s="12" t="s">
        <v>13</v>
      </c>
      <c r="L10" s="12" t="s">
        <v>14</v>
      </c>
      <c r="M10" s="12" t="s">
        <v>15</v>
      </c>
      <c r="N10" s="12" t="s">
        <v>39</v>
      </c>
      <c r="O10" s="12" t="s">
        <v>16</v>
      </c>
      <c r="P10" s="12" t="s">
        <v>81</v>
      </c>
      <c r="Q10" s="12" t="s">
        <v>17</v>
      </c>
      <c r="R10" s="11" t="s">
        <v>40</v>
      </c>
      <c r="S10" s="11" t="s">
        <v>41</v>
      </c>
      <c r="T10" s="5" t="s">
        <v>42</v>
      </c>
      <c r="U10" s="5" t="s">
        <v>43</v>
      </c>
    </row>
    <row r="11" spans="1:21">
      <c r="A11" s="48" t="s">
        <v>296</v>
      </c>
      <c r="B11" s="11" t="s">
        <v>297</v>
      </c>
      <c r="C11" s="18">
        <v>7200</v>
      </c>
      <c r="D11" s="18">
        <v>4800</v>
      </c>
      <c r="E11" s="18">
        <v>8400</v>
      </c>
      <c r="F11" s="18">
        <v>9882.7800000000007</v>
      </c>
      <c r="G11" s="18">
        <v>14000</v>
      </c>
      <c r="H11" s="18">
        <v>9866.01</v>
      </c>
      <c r="I11" s="18">
        <v>25200</v>
      </c>
      <c r="J11" s="18">
        <v>21417.200000000001</v>
      </c>
      <c r="K11" s="18">
        <v>29700</v>
      </c>
      <c r="L11" s="18">
        <v>28870</v>
      </c>
      <c r="M11" s="18">
        <v>32000</v>
      </c>
      <c r="N11" s="18">
        <v>29077.62</v>
      </c>
      <c r="O11" s="18">
        <v>30000</v>
      </c>
      <c r="P11" s="18">
        <v>27333.14</v>
      </c>
      <c r="Q11" s="634">
        <v>0</v>
      </c>
      <c r="R11" s="18"/>
      <c r="S11" s="18"/>
      <c r="T11" s="2"/>
      <c r="U11" s="2"/>
    </row>
    <row r="12" spans="1:21">
      <c r="A12" s="48" t="s">
        <v>298</v>
      </c>
      <c r="B12" s="11" t="s">
        <v>142</v>
      </c>
      <c r="C12" s="18">
        <v>2250</v>
      </c>
      <c r="D12" s="62">
        <v>1453.19</v>
      </c>
      <c r="E12" s="18">
        <v>2610</v>
      </c>
      <c r="F12" s="18">
        <v>3346.44</v>
      </c>
      <c r="G12" s="66">
        <v>3480</v>
      </c>
      <c r="H12" s="18">
        <v>1684.23</v>
      </c>
      <c r="I12" s="18">
        <v>4200</v>
      </c>
      <c r="J12" s="18">
        <v>4681.38</v>
      </c>
      <c r="K12" s="18">
        <v>3960</v>
      </c>
      <c r="L12" s="18">
        <v>3693.8</v>
      </c>
      <c r="M12" s="18">
        <v>4320</v>
      </c>
      <c r="N12" s="18">
        <v>3853.06</v>
      </c>
      <c r="O12" s="18">
        <v>3600</v>
      </c>
      <c r="P12" s="18">
        <v>1222.33</v>
      </c>
      <c r="Q12" s="634">
        <v>2000</v>
      </c>
      <c r="R12" s="18">
        <v>2942.27</v>
      </c>
      <c r="S12" s="18"/>
      <c r="T12" s="2">
        <v>420</v>
      </c>
      <c r="U12" s="2"/>
    </row>
    <row r="13" spans="1:21">
      <c r="A13" s="48" t="s">
        <v>299</v>
      </c>
      <c r="B13" s="11" t="s">
        <v>300</v>
      </c>
      <c r="C13" s="18">
        <v>0</v>
      </c>
      <c r="D13" s="62">
        <v>68.53</v>
      </c>
      <c r="E13" s="18">
        <v>0</v>
      </c>
      <c r="F13" s="18">
        <v>1.47</v>
      </c>
      <c r="G13" s="18">
        <v>0</v>
      </c>
      <c r="H13" s="18">
        <v>0</v>
      </c>
      <c r="I13" s="18">
        <v>0</v>
      </c>
      <c r="J13" s="18">
        <v>20.05</v>
      </c>
      <c r="K13" s="18"/>
      <c r="L13" s="18">
        <v>33.81</v>
      </c>
      <c r="M13" s="18">
        <v>100</v>
      </c>
      <c r="N13" s="18">
        <v>100</v>
      </c>
      <c r="O13" s="18">
        <v>100</v>
      </c>
      <c r="P13" s="18">
        <v>13.99</v>
      </c>
      <c r="Q13" s="18">
        <v>100</v>
      </c>
      <c r="R13" s="18">
        <v>-11.03</v>
      </c>
      <c r="S13" s="635">
        <v>250</v>
      </c>
      <c r="T13" s="2">
        <v>599.1</v>
      </c>
      <c r="U13" s="635">
        <v>250</v>
      </c>
    </row>
    <row r="14" spans="1:21">
      <c r="A14" s="48" t="s">
        <v>301</v>
      </c>
      <c r="B14" s="11" t="s">
        <v>302</v>
      </c>
      <c r="C14" s="18"/>
      <c r="D14" s="62"/>
      <c r="E14" s="18"/>
      <c r="F14" s="18"/>
      <c r="G14" s="66"/>
      <c r="H14" s="18"/>
      <c r="I14" s="18"/>
      <c r="J14" s="18"/>
      <c r="K14" s="18"/>
      <c r="L14" s="18"/>
      <c r="M14" s="18"/>
      <c r="N14" s="18"/>
      <c r="O14" s="18">
        <v>750</v>
      </c>
      <c r="P14" s="18">
        <v>211.9</v>
      </c>
      <c r="Q14" s="18">
        <v>400</v>
      </c>
      <c r="R14" s="18"/>
      <c r="S14" s="635">
        <v>100</v>
      </c>
      <c r="T14" s="2"/>
      <c r="U14" s="635">
        <v>0</v>
      </c>
    </row>
    <row r="15" spans="1:21">
      <c r="A15" s="48" t="s">
        <v>303</v>
      </c>
      <c r="B15" s="11" t="s">
        <v>287</v>
      </c>
      <c r="C15" s="18"/>
      <c r="D15" s="62"/>
      <c r="E15" s="18"/>
      <c r="F15" s="18"/>
      <c r="G15" s="66"/>
      <c r="H15" s="18"/>
      <c r="I15" s="18"/>
      <c r="J15" s="18"/>
      <c r="K15" s="18"/>
      <c r="L15" s="18"/>
      <c r="M15" s="18"/>
      <c r="N15" s="18"/>
      <c r="O15" s="18"/>
      <c r="P15" s="18"/>
      <c r="Q15" s="18"/>
      <c r="R15" s="18"/>
      <c r="S15" s="18"/>
      <c r="T15" s="2">
        <v>300.60000000000002</v>
      </c>
      <c r="U15" s="18"/>
    </row>
    <row r="16" spans="1:21">
      <c r="A16" s="48" t="s">
        <v>304</v>
      </c>
      <c r="B16" s="11" t="s">
        <v>104</v>
      </c>
      <c r="C16" s="18">
        <f>600+720+2100</f>
        <v>3420</v>
      </c>
      <c r="D16" s="18">
        <v>1041.33</v>
      </c>
      <c r="E16" s="18">
        <v>1075</v>
      </c>
      <c r="F16" s="18">
        <v>1040.02</v>
      </c>
      <c r="G16" s="66">
        <v>1075</v>
      </c>
      <c r="H16" s="18">
        <v>667.22</v>
      </c>
      <c r="I16" s="18">
        <v>750</v>
      </c>
      <c r="J16" s="18">
        <v>718.1</v>
      </c>
      <c r="K16" s="18">
        <v>750</v>
      </c>
      <c r="L16" s="18">
        <v>1023.11</v>
      </c>
      <c r="M16" s="18">
        <v>1000</v>
      </c>
      <c r="N16" s="18">
        <v>917.8</v>
      </c>
      <c r="O16" s="18">
        <v>390</v>
      </c>
      <c r="P16" s="18">
        <v>209.41</v>
      </c>
      <c r="Q16" s="18">
        <v>100</v>
      </c>
      <c r="R16" s="18">
        <v>20</v>
      </c>
      <c r="S16" s="18"/>
      <c r="T16" s="2"/>
      <c r="U16" s="2"/>
    </row>
    <row r="17" spans="1:21">
      <c r="A17" s="48"/>
      <c r="B17" s="11" t="s">
        <v>287</v>
      </c>
      <c r="C17" s="18">
        <v>0</v>
      </c>
      <c r="D17" s="62">
        <v>29.34</v>
      </c>
      <c r="E17" s="18">
        <v>0</v>
      </c>
      <c r="F17" s="18">
        <v>0</v>
      </c>
      <c r="G17" s="18">
        <v>0</v>
      </c>
      <c r="H17" s="18">
        <v>0</v>
      </c>
      <c r="I17" s="18">
        <v>0</v>
      </c>
      <c r="J17" s="18"/>
      <c r="K17" s="18"/>
      <c r="L17" s="18"/>
      <c r="M17" s="18"/>
      <c r="N17" s="18"/>
      <c r="O17" s="18"/>
      <c r="P17" s="18"/>
      <c r="Q17" s="18"/>
      <c r="R17" s="18"/>
      <c r="S17" s="435">
        <v>1320</v>
      </c>
      <c r="T17" s="2"/>
      <c r="U17" s="636">
        <v>1260</v>
      </c>
    </row>
    <row r="18" spans="1:21">
      <c r="A18" s="48" t="s">
        <v>296</v>
      </c>
      <c r="B18" s="11" t="s">
        <v>305</v>
      </c>
      <c r="C18" s="18">
        <v>0</v>
      </c>
      <c r="D18" s="62">
        <v>0</v>
      </c>
      <c r="E18" s="18">
        <v>0</v>
      </c>
      <c r="F18" s="67">
        <v>0</v>
      </c>
      <c r="G18" s="66">
        <v>600</v>
      </c>
      <c r="H18" s="18">
        <v>254.25</v>
      </c>
      <c r="I18" s="18">
        <v>600</v>
      </c>
      <c r="J18" s="18"/>
      <c r="K18" s="18">
        <v>600</v>
      </c>
      <c r="L18" s="189"/>
      <c r="M18" s="18"/>
      <c r="N18" s="18"/>
      <c r="O18" s="18"/>
      <c r="P18" s="18">
        <v>27333.14</v>
      </c>
      <c r="Q18" s="18"/>
      <c r="R18" s="18"/>
      <c r="S18" s="18"/>
      <c r="T18" s="2">
        <v>248.35</v>
      </c>
      <c r="U18" s="2"/>
    </row>
    <row r="19" spans="1:21">
      <c r="A19" s="48" t="s">
        <v>306</v>
      </c>
      <c r="B19" s="11" t="s">
        <v>114</v>
      </c>
      <c r="C19" s="18">
        <v>500</v>
      </c>
      <c r="D19" s="62">
        <v>792.97</v>
      </c>
      <c r="E19" s="18">
        <v>500</v>
      </c>
      <c r="F19" s="18">
        <v>538.24</v>
      </c>
      <c r="G19" s="66">
        <v>500</v>
      </c>
      <c r="H19" s="18">
        <v>691.52</v>
      </c>
      <c r="I19" s="18">
        <v>500</v>
      </c>
      <c r="J19" s="18">
        <v>304.04000000000002</v>
      </c>
      <c r="K19" s="18">
        <v>500</v>
      </c>
      <c r="L19" s="18">
        <v>1452.02</v>
      </c>
      <c r="M19" s="18">
        <v>375</v>
      </c>
      <c r="N19" s="18">
        <f>30523.23-29077.62</f>
        <v>1445.6100000000006</v>
      </c>
      <c r="O19" s="18">
        <v>375</v>
      </c>
      <c r="P19" s="18">
        <v>59.97</v>
      </c>
      <c r="Q19" s="18">
        <v>0</v>
      </c>
      <c r="R19" s="18">
        <v>-949.01</v>
      </c>
      <c r="S19" s="635">
        <v>300</v>
      </c>
      <c r="T19" s="2">
        <v>170.25</v>
      </c>
      <c r="U19" s="635">
        <v>300</v>
      </c>
    </row>
    <row r="20" spans="1:21">
      <c r="A20" s="48" t="s">
        <v>304</v>
      </c>
      <c r="B20" s="11" t="s">
        <v>100</v>
      </c>
      <c r="C20" s="18">
        <v>75</v>
      </c>
      <c r="D20" s="62">
        <v>142.84</v>
      </c>
      <c r="E20" s="18">
        <v>100</v>
      </c>
      <c r="F20" s="18">
        <v>216.74</v>
      </c>
      <c r="G20" s="66">
        <v>225</v>
      </c>
      <c r="H20" s="18">
        <v>207.27</v>
      </c>
      <c r="I20" s="18">
        <v>200</v>
      </c>
      <c r="J20" s="18"/>
      <c r="K20" s="18">
        <v>200</v>
      </c>
      <c r="L20" s="18">
        <v>135.34</v>
      </c>
      <c r="M20" s="18">
        <v>100</v>
      </c>
      <c r="N20" s="18">
        <v>285.85000000000002</v>
      </c>
      <c r="O20" s="18">
        <v>100</v>
      </c>
      <c r="P20" s="18">
        <v>209.41</v>
      </c>
      <c r="Q20" s="18">
        <v>100</v>
      </c>
      <c r="R20" s="18">
        <v>62.48</v>
      </c>
      <c r="S20" s="635">
        <v>20</v>
      </c>
      <c r="T20" s="2"/>
      <c r="U20" s="635"/>
    </row>
    <row r="21" spans="1:21">
      <c r="A21" s="48"/>
      <c r="B21" s="11" t="s">
        <v>307</v>
      </c>
      <c r="C21" s="18"/>
      <c r="D21" s="62"/>
      <c r="E21" s="18"/>
      <c r="F21" s="18"/>
      <c r="G21" s="66"/>
      <c r="H21" s="18"/>
      <c r="I21" s="18"/>
      <c r="J21" s="18"/>
      <c r="K21" s="18"/>
      <c r="L21" s="18"/>
      <c r="M21" s="18"/>
      <c r="N21" s="18"/>
      <c r="O21" s="18"/>
      <c r="P21" s="18"/>
      <c r="Q21" s="18"/>
      <c r="R21" s="18"/>
      <c r="S21" s="626"/>
      <c r="T21" s="2"/>
      <c r="U21" s="635">
        <v>3000</v>
      </c>
    </row>
    <row r="22" spans="1:21">
      <c r="A22" s="65"/>
      <c r="B22" s="11" t="s">
        <v>93</v>
      </c>
      <c r="C22" s="18">
        <v>350</v>
      </c>
      <c r="D22" s="62">
        <v>45.7</v>
      </c>
      <c r="E22" s="18">
        <v>350</v>
      </c>
      <c r="F22" s="18">
        <v>274.94</v>
      </c>
      <c r="G22" s="66">
        <v>350</v>
      </c>
      <c r="H22" s="18">
        <v>252.85</v>
      </c>
      <c r="I22" s="18">
        <v>350</v>
      </c>
      <c r="J22" s="18">
        <v>251.85</v>
      </c>
      <c r="K22" s="18">
        <v>350</v>
      </c>
      <c r="L22" s="18">
        <v>229.28</v>
      </c>
      <c r="M22" s="18">
        <v>350</v>
      </c>
      <c r="N22" s="18">
        <v>246.83</v>
      </c>
      <c r="O22" s="18">
        <v>350</v>
      </c>
      <c r="P22" s="18"/>
      <c r="Q22" s="634">
        <v>350</v>
      </c>
      <c r="R22" s="18">
        <v>137.69999999999999</v>
      </c>
      <c r="S22" s="635">
        <v>350</v>
      </c>
      <c r="T22" s="2"/>
      <c r="U22" s="635">
        <v>0</v>
      </c>
    </row>
    <row r="23" spans="1:21">
      <c r="A23" s="196" t="s">
        <v>308</v>
      </c>
      <c r="B23" s="11" t="s">
        <v>309</v>
      </c>
      <c r="C23" s="18">
        <v>0</v>
      </c>
      <c r="D23" s="18">
        <v>0</v>
      </c>
      <c r="E23" s="18">
        <v>0</v>
      </c>
      <c r="F23" s="18">
        <v>0</v>
      </c>
      <c r="G23" s="18">
        <v>0</v>
      </c>
      <c r="H23" s="18">
        <v>0</v>
      </c>
      <c r="I23" s="18">
        <v>350</v>
      </c>
      <c r="J23" s="18"/>
      <c r="K23" s="18">
        <v>350</v>
      </c>
      <c r="L23" s="189"/>
      <c r="M23" s="18"/>
      <c r="N23" s="18"/>
      <c r="O23" s="18"/>
      <c r="P23" s="2"/>
      <c r="Q23" s="18"/>
      <c r="R23" s="18"/>
      <c r="S23" s="18"/>
      <c r="T23" s="2"/>
      <c r="U23" s="2"/>
    </row>
    <row r="24" spans="1:21">
      <c r="A24" s="196"/>
      <c r="B24" s="11" t="s">
        <v>310</v>
      </c>
      <c r="C24" s="18"/>
      <c r="D24" s="512"/>
      <c r="E24" s="18"/>
      <c r="F24" s="18"/>
      <c r="G24" s="66"/>
      <c r="H24" s="18"/>
      <c r="I24" s="18"/>
      <c r="J24" s="18"/>
      <c r="K24" s="18"/>
      <c r="L24" s="18"/>
      <c r="M24" s="18"/>
      <c r="N24" s="18"/>
      <c r="O24" s="18"/>
      <c r="P24" s="2"/>
      <c r="Q24" s="18"/>
      <c r="R24" s="18"/>
      <c r="S24" s="18"/>
      <c r="T24" s="2"/>
      <c r="U24" s="635">
        <v>22070</v>
      </c>
    </row>
    <row r="25" spans="1:21">
      <c r="A25" s="65"/>
      <c r="B25" s="11" t="s">
        <v>88</v>
      </c>
      <c r="C25" s="18"/>
      <c r="D25" s="512"/>
      <c r="E25" s="18"/>
      <c r="F25" s="18"/>
      <c r="G25" s="66"/>
      <c r="H25" s="18"/>
      <c r="I25" s="18"/>
      <c r="J25" s="18"/>
      <c r="K25" s="18"/>
      <c r="L25" s="18"/>
      <c r="M25" s="18">
        <v>6830</v>
      </c>
      <c r="N25" s="18">
        <v>4656.7700000000004</v>
      </c>
      <c r="O25" s="18">
        <v>11606.4</v>
      </c>
      <c r="P25" s="18">
        <v>8127.66</v>
      </c>
      <c r="Q25" s="365">
        <v>4730</v>
      </c>
      <c r="R25" s="2">
        <v>7207.27</v>
      </c>
      <c r="S25" s="637">
        <f>16.5*1.13*15*48</f>
        <v>13424.400000000001</v>
      </c>
      <c r="T25" s="2">
        <v>13464.16</v>
      </c>
      <c r="U25" s="636">
        <v>3861</v>
      </c>
    </row>
    <row r="26" spans="1:21" s="11" customFormat="1">
      <c r="B26" s="11" t="s">
        <v>21</v>
      </c>
      <c r="C26" s="382">
        <f>SUBTOTAL(109,ServicesManagerExpenses[Budget 13/14])</f>
        <v>13795</v>
      </c>
      <c r="D26" s="382">
        <f>SUBTOTAL(109,ServicesManagerExpenses[Actual 13/14])</f>
        <v>8373.9000000000015</v>
      </c>
      <c r="E26" s="382">
        <f>SUBTOTAL(109,ServicesManagerExpenses[Budget 14/15])</f>
        <v>13035</v>
      </c>
      <c r="F26" s="382">
        <f>SUBTOTAL(109,ServicesManagerExpenses[Actual 14/15])</f>
        <v>15300.630000000001</v>
      </c>
      <c r="G26" s="382">
        <f>SUBTOTAL(109,ServicesManagerExpenses[Budget 15/16])</f>
        <v>20230</v>
      </c>
      <c r="H26" s="382">
        <f>SUBTOTAL(109,ServicesManagerExpenses[Actual 15/16])</f>
        <v>13623.35</v>
      </c>
      <c r="I26" s="382">
        <f>SUBTOTAL(109,ServicesManagerExpenses[Budget 16/17])</f>
        <v>32150</v>
      </c>
      <c r="J26" s="382">
        <f>SUBTOTAL(109,ServicesManagerExpenses[Actual 16/17])</f>
        <v>27392.62</v>
      </c>
      <c r="K26" s="382">
        <f>SUBTOTAL(109,ServicesManagerExpenses[Budget 17/18])</f>
        <v>36410</v>
      </c>
      <c r="L26" s="383">
        <f>SUM(ServicesManagerExpenses[Actual 17/18])</f>
        <v>35437.359999999993</v>
      </c>
      <c r="M26" s="383">
        <f>SUM(ServicesManagerExpenses[Budget 18/19])</f>
        <v>45075</v>
      </c>
      <c r="N26" s="383">
        <f>SUM(ServicesManagerExpenses[Actual 18/19])</f>
        <v>40583.540000000008</v>
      </c>
      <c r="O26" s="383">
        <f>SUBTOTAL(109,O11:O25)</f>
        <v>47271.4</v>
      </c>
      <c r="P26" s="383">
        <f>SUM(P11:P25)</f>
        <v>64720.950000000012</v>
      </c>
      <c r="Q26" s="383">
        <f>SUBTOTAL(109,Q11:Q25)</f>
        <v>7780</v>
      </c>
      <c r="R26" s="383">
        <f>SUBTOTAL(109,R11:R25)</f>
        <v>9409.68</v>
      </c>
      <c r="S26" s="383">
        <f>SUBTOTAL(109,S11:S25)</f>
        <v>15764.400000000001</v>
      </c>
      <c r="T26" s="383">
        <f>SUBTOTAL(109,ServicesManagerExpenses[Actual 21/22])</f>
        <v>15202.46</v>
      </c>
      <c r="U26" s="383">
        <f>SUM(U11:U25)</f>
        <v>30741</v>
      </c>
    </row>
    <row r="27" spans="1:21" ht="13.5" thickBot="1">
      <c r="A27" s="65"/>
      <c r="B27" s="11"/>
      <c r="C27" s="11"/>
      <c r="D27" s="11"/>
      <c r="E27" s="11"/>
      <c r="F27" s="67"/>
      <c r="G27" s="66"/>
      <c r="H27" s="11"/>
      <c r="I27" s="11"/>
      <c r="J27" s="11"/>
      <c r="K27" s="11"/>
      <c r="L27" s="11"/>
      <c r="M27" s="11"/>
      <c r="N27" s="11"/>
      <c r="O27" s="11"/>
    </row>
    <row r="28" spans="1:21" ht="19.5" thickBot="1">
      <c r="A28" s="11"/>
      <c r="B28" s="611" t="s">
        <v>127</v>
      </c>
      <c r="C28" s="27">
        <f>ServicesManagerRevenues[[#Totals],[Budget 13/14]]-ServicesManagerExpenses[[#Totals],[Budget 13/14]]</f>
        <v>-13795</v>
      </c>
      <c r="D28" s="27">
        <f>ServicesManagerRevenues[[#Totals],[Actual 13/14]]-ServicesManagerExpenses[[#Totals],[Actual 13/14]]</f>
        <v>-8373.9000000000015</v>
      </c>
      <c r="E28" s="27">
        <f>ServicesManagerRevenues[[#Totals],[Budget 14/15]]-ServicesManagerExpenses[[#Totals],[Budget 14/15]]</f>
        <v>-13035</v>
      </c>
      <c r="F28" s="27">
        <f>ServicesManagerRevenues[[#Totals],[Actual 14/15]]-ServicesManagerExpenses[[#Totals],[Actual 14/15]]</f>
        <v>-15300.630000000001</v>
      </c>
      <c r="G28" s="27">
        <f>ServicesManagerRevenues[[#Totals],[Budget 15/16]]-ServicesManagerExpenses[[#Totals],[Budget 15/16]]</f>
        <v>-20230</v>
      </c>
      <c r="H28" s="27">
        <f>ServicesManagerRevenues[[#Totals],[Actual 15/16]]-ServicesManagerExpenses[[#Totals],[Actual 15/16]]</f>
        <v>-13623.35</v>
      </c>
      <c r="I28" s="64">
        <f>ServicesManagerRevenues[[#Totals],[Budget 16/17]]-ServicesManagerExpenses[[#Totals],[Budget 16/17]]</f>
        <v>-32150</v>
      </c>
      <c r="J28" s="64">
        <f>ServicesManagerRevenues[[#Totals],[Actual 16/17]]-ServicesManagerExpenses[[#Totals],[Actual 16/17]]</f>
        <v>-27392.62</v>
      </c>
      <c r="K28" s="64">
        <f>ServicesManagerRevenues[[#Totals],[Budget 17/18]]-ServicesManagerExpenses[[#Totals],[Budget 17/18]]</f>
        <v>-36410</v>
      </c>
      <c r="L28" s="64">
        <f>ServicesManagerRevenues[[#Totals],[Actual 17/18]]-ServicesManagerExpenses[[#Totals],[Actual 17/18]]</f>
        <v>-35437.359999999993</v>
      </c>
      <c r="M28" s="64">
        <f>ServicesManagerRevenues[[#Totals],[Budget 18/19]]-ServicesManagerExpenses[[#Totals],[Budget 18/19]]</f>
        <v>-45075</v>
      </c>
      <c r="N28" s="64">
        <f>ServicesManagerRevenues[[#Totals],[Actual 18/19]]-ServicesManagerExpenses[[#Totals],[Actual 18/19]]</f>
        <v>-40583.540000000008</v>
      </c>
      <c r="O28" s="64">
        <f>ServicesManagerRevenues[[#Totals],[Budget 19/20]]-ServicesManagerExpenses[[#Totals],[Budget 19/20]]</f>
        <v>-47271.4</v>
      </c>
      <c r="P28" s="64">
        <f>ServicesManagerRevenues[[#Totals],[Actual P12 19/20]]-ServicesManagerExpenses[[#Totals],[Actual P12 19/20]]</f>
        <v>-64720.950000000012</v>
      </c>
      <c r="Q28" s="64">
        <f>ServicesManagerRevenues[[#Totals],[Actual P12 19/20]]-ServicesManagerExpenses[[#Totals],[Budget 20/21]]</f>
        <v>-7780</v>
      </c>
      <c r="R28" s="64">
        <f>ServicesManagerRevenues[[#Totals],[Actual 20/21]]-ServicesManagerExpenses[[#Totals],[Actual 20/21]]</f>
        <v>-7909.68</v>
      </c>
      <c r="S28" s="64">
        <f>ServicesManagerRevenues[[#Totals],[Actual 20/21]]-ServicesManagerExpenses[[#Totals],[Budget 21/22]]</f>
        <v>-14264.400000000001</v>
      </c>
      <c r="T28" s="64">
        <f>ServicesManagerRevenues[[#Totals],[Budget 21/22]]-ServicesManagerExpenses[[#Totals],[Actual 21/22]]</f>
        <v>-15202.46</v>
      </c>
      <c r="U28" s="64">
        <f>ServicesManagerRevenues[[#Totals],[Actual 21/22]]-ServicesManagerExpenses[[#Totals],[Budget 22/23]]</f>
        <v>-30741</v>
      </c>
    </row>
    <row r="29" spans="1:21">
      <c r="A29" s="11"/>
      <c r="B29" s="65"/>
      <c r="C29" s="18"/>
      <c r="D29" s="18"/>
      <c r="E29" s="18"/>
      <c r="F29" s="67"/>
      <c r="G29" s="68"/>
      <c r="H29" s="11"/>
      <c r="I29" s="11"/>
      <c r="J29" s="11"/>
      <c r="K29" s="11"/>
      <c r="L29" s="11"/>
      <c r="M29" s="11"/>
      <c r="N29" s="11"/>
      <c r="O29" s="11"/>
    </row>
    <row r="30" spans="1:21">
      <c r="A30" s="11"/>
      <c r="B30" s="287"/>
      <c r="C30" s="21"/>
      <c r="D30" s="21"/>
      <c r="E30" s="21"/>
      <c r="F30" s="21"/>
      <c r="G30" s="21"/>
      <c r="H30" s="11"/>
      <c r="I30" s="11"/>
      <c r="J30" s="11"/>
      <c r="K30" s="11"/>
      <c r="L30" s="11"/>
      <c r="M30" s="11"/>
      <c r="N30" s="21"/>
      <c r="O30" s="11"/>
    </row>
    <row r="31" spans="1:21">
      <c r="A31" s="11"/>
      <c r="B31" s="65"/>
      <c r="C31" s="18"/>
      <c r="D31" s="18"/>
      <c r="E31" s="18"/>
      <c r="F31" s="18"/>
      <c r="G31" s="18"/>
      <c r="H31" s="11"/>
      <c r="I31" s="11"/>
      <c r="J31" s="11"/>
      <c r="K31" s="11"/>
      <c r="L31" s="11"/>
      <c r="M31" s="11"/>
      <c r="N31" s="11"/>
      <c r="O31" s="11"/>
    </row>
    <row r="32" spans="1:21">
      <c r="A32" s="11"/>
      <c r="B32" s="11"/>
      <c r="C32" s="11"/>
      <c r="D32" s="11"/>
      <c r="E32" s="11"/>
      <c r="F32" s="11"/>
      <c r="G32" s="11"/>
      <c r="H32" s="11"/>
      <c r="I32" s="11"/>
      <c r="J32" s="11"/>
      <c r="K32" s="11"/>
      <c r="L32" s="11"/>
      <c r="M32" s="11"/>
      <c r="N32" s="11"/>
      <c r="O32" s="21"/>
    </row>
    <row r="33" spans="1:15">
      <c r="A33" s="11"/>
      <c r="B33" s="11"/>
      <c r="C33" s="11"/>
      <c r="D33" s="11"/>
      <c r="E33" s="11"/>
      <c r="F33" s="11"/>
      <c r="G33" s="11"/>
      <c r="H33" s="11"/>
      <c r="I33" s="11"/>
      <c r="J33" s="11"/>
      <c r="K33" s="11"/>
      <c r="L33" s="11"/>
      <c r="M33" s="11"/>
      <c r="N33" s="11"/>
      <c r="O33" s="11"/>
    </row>
    <row r="34" spans="1:15">
      <c r="A34" s="11"/>
      <c r="B34" s="11"/>
      <c r="C34" s="11"/>
      <c r="D34" s="11"/>
      <c r="E34" s="11"/>
      <c r="F34" s="11"/>
      <c r="G34" s="11"/>
      <c r="H34" s="11"/>
      <c r="I34" s="11"/>
      <c r="J34" s="11"/>
      <c r="K34" s="11"/>
      <c r="L34" s="11"/>
      <c r="M34" s="11"/>
      <c r="N34" s="11"/>
      <c r="O34" s="11"/>
    </row>
    <row r="35" spans="1:15">
      <c r="A35" s="11"/>
      <c r="B35" s="11"/>
      <c r="C35" s="11"/>
      <c r="D35" s="11"/>
      <c r="E35" s="11"/>
      <c r="F35" s="11"/>
      <c r="G35" s="11"/>
      <c r="H35" s="11"/>
      <c r="I35" s="11"/>
      <c r="J35" s="11"/>
      <c r="K35" s="11"/>
      <c r="L35" s="11"/>
      <c r="M35" s="11"/>
      <c r="N35" s="11"/>
      <c r="O35" s="11"/>
    </row>
    <row r="36" spans="1:15">
      <c r="A36" s="11"/>
      <c r="B36" s="11"/>
      <c r="C36" s="11"/>
      <c r="D36" s="11"/>
      <c r="E36" s="11"/>
      <c r="F36" s="11"/>
      <c r="G36" s="11"/>
      <c r="H36" s="11"/>
      <c r="I36" s="11"/>
      <c r="J36" s="11"/>
      <c r="K36" s="11"/>
      <c r="L36" s="11"/>
      <c r="M36" s="11"/>
      <c r="N36" s="11"/>
      <c r="O36" s="11"/>
    </row>
    <row r="37" spans="1:15">
      <c r="A37" s="11"/>
      <c r="B37" s="11"/>
      <c r="C37" s="11"/>
      <c r="D37" s="11"/>
      <c r="E37" s="11"/>
      <c r="F37" s="11"/>
      <c r="G37" s="11"/>
      <c r="H37" s="11"/>
      <c r="I37" s="11"/>
      <c r="J37" s="11"/>
      <c r="K37" s="11"/>
      <c r="L37" s="11"/>
      <c r="M37" s="11"/>
      <c r="N37" s="11"/>
      <c r="O37" s="11"/>
    </row>
    <row r="38" spans="1:15">
      <c r="A38" s="11"/>
      <c r="B38" s="11"/>
      <c r="C38" s="11"/>
      <c r="D38" s="11"/>
      <c r="E38" s="11"/>
      <c r="F38" s="11"/>
      <c r="G38" s="11"/>
      <c r="H38" s="11"/>
      <c r="I38" s="11"/>
      <c r="J38" s="11"/>
      <c r="K38" s="11"/>
      <c r="L38" s="11"/>
      <c r="M38" s="11"/>
      <c r="N38" s="11"/>
      <c r="O38" s="11"/>
    </row>
    <row r="39" spans="1:15">
      <c r="A39" s="11"/>
      <c r="B39" s="11"/>
      <c r="C39" s="11"/>
      <c r="D39" s="11"/>
      <c r="E39" s="11"/>
      <c r="F39" s="11"/>
      <c r="G39" s="11"/>
      <c r="H39" s="11"/>
      <c r="I39" s="11"/>
      <c r="J39" s="11"/>
      <c r="K39" s="11"/>
      <c r="L39" s="11"/>
      <c r="M39" s="11"/>
      <c r="N39" s="11"/>
      <c r="O39" s="11"/>
    </row>
    <row r="40" spans="1:15">
      <c r="B40" s="11"/>
      <c r="C40" s="11"/>
      <c r="D40" s="11"/>
      <c r="E40" s="11"/>
      <c r="F40" s="11"/>
      <c r="G40" s="11"/>
      <c r="H40" s="11"/>
      <c r="I40" s="11"/>
      <c r="J40" s="11"/>
      <c r="K40" s="11"/>
      <c r="L40" s="11"/>
      <c r="M40" s="11"/>
      <c r="N40" s="11"/>
      <c r="O40" s="11"/>
    </row>
    <row r="41" spans="1:15">
      <c r="B41" s="11"/>
      <c r="C41" s="11"/>
      <c r="D41" s="11"/>
      <c r="E41" s="11"/>
      <c r="F41" s="11"/>
      <c r="G41" s="11"/>
      <c r="H41" s="11"/>
      <c r="I41" s="11"/>
    </row>
    <row r="42" spans="1:15">
      <c r="B42" s="11"/>
      <c r="C42" s="11"/>
      <c r="D42" s="11"/>
      <c r="E42" s="11"/>
      <c r="F42" s="11"/>
      <c r="G42" s="11"/>
      <c r="H42" s="11"/>
      <c r="I42" s="11"/>
    </row>
    <row r="43" spans="1:15">
      <c r="B43" s="11"/>
      <c r="C43" s="11"/>
      <c r="D43" s="11"/>
      <c r="E43" s="11"/>
      <c r="F43" s="11"/>
      <c r="G43" s="11"/>
    </row>
  </sheetData>
  <mergeCells count="1">
    <mergeCell ref="A1:B1"/>
  </mergeCells>
  <phoneticPr fontId="90" type="noConversion"/>
  <pageMargins left="0.7" right="0.7" top="0.75" bottom="0.75" header="0.3" footer="0.3"/>
  <pageSetup orientation="portrait" r:id="rId1"/>
  <legacy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tabColor theme="1"/>
    <pageSetUpPr fitToPage="1"/>
  </sheetPr>
  <dimension ref="A1:AB55"/>
  <sheetViews>
    <sheetView showGridLines="0" zoomScale="80" zoomScaleNormal="80" workbookViewId="0">
      <selection activeCell="Z33" sqref="Z33"/>
    </sheetView>
  </sheetViews>
  <sheetFormatPr defaultColWidth="11.42578125" defaultRowHeight="12.75"/>
  <cols>
    <col min="1" max="1" width="13.85546875" style="121" customWidth="1"/>
    <col min="2" max="2" width="24.42578125" style="121" customWidth="1"/>
    <col min="3" max="13" width="16.85546875" style="121" hidden="1" customWidth="1"/>
    <col min="14" max="14" width="16" style="168" hidden="1" customWidth="1"/>
    <col min="15" max="15" width="16" style="121" hidden="1" customWidth="1"/>
    <col min="16" max="16" width="15.85546875" style="121" hidden="1" customWidth="1"/>
    <col min="17" max="17" width="17.28515625" style="121" hidden="1" customWidth="1"/>
    <col min="18" max="18" width="17.7109375" style="121" hidden="1" customWidth="1"/>
    <col min="19" max="20" width="18.85546875" style="121" hidden="1" customWidth="1"/>
    <col min="21" max="21" width="16" style="121" hidden="1" customWidth="1"/>
    <col min="22" max="22" width="18.28515625" style="121" hidden="1" customWidth="1"/>
    <col min="23" max="23" width="16.7109375" style="121" hidden="1" customWidth="1"/>
    <col min="24" max="24" width="17.42578125" style="121" hidden="1" customWidth="1"/>
    <col min="25" max="25" width="16.28515625" style="121" customWidth="1"/>
    <col min="26" max="26" width="15" style="121" customWidth="1"/>
    <col min="27" max="27" width="16.85546875" style="121" bestFit="1" customWidth="1"/>
    <col min="28" max="16384" width="11.42578125" style="121"/>
  </cols>
  <sheetData>
    <row r="1" spans="1:28" ht="19.5" customHeight="1">
      <c r="A1" s="761" t="s">
        <v>311</v>
      </c>
      <c r="B1" s="761"/>
    </row>
    <row r="2" spans="1:28">
      <c r="A2" s="129" t="s">
        <v>226</v>
      </c>
    </row>
    <row r="3" spans="1:28">
      <c r="A3" s="762"/>
      <c r="B3" s="762"/>
    </row>
    <row r="5" spans="1:28">
      <c r="A5" s="125" t="s">
        <v>130</v>
      </c>
      <c r="B5" s="121" t="s">
        <v>72</v>
      </c>
      <c r="C5" s="121" t="s">
        <v>73</v>
      </c>
      <c r="D5" s="121" t="s">
        <v>74</v>
      </c>
      <c r="E5" s="121" t="s">
        <v>75</v>
      </c>
      <c r="F5" s="121" t="s">
        <v>76</v>
      </c>
      <c r="G5" s="121" t="s">
        <v>77</v>
      </c>
      <c r="H5" s="121" t="s">
        <v>78</v>
      </c>
      <c r="I5" s="121" t="s">
        <v>5</v>
      </c>
      <c r="J5" s="121" t="s">
        <v>6</v>
      </c>
      <c r="K5" s="121" t="s">
        <v>7</v>
      </c>
      <c r="L5" s="121" t="s">
        <v>8</v>
      </c>
      <c r="M5" s="121" t="s">
        <v>9</v>
      </c>
      <c r="N5" s="170" t="s">
        <v>10</v>
      </c>
      <c r="O5" s="127" t="s">
        <v>11</v>
      </c>
      <c r="P5" s="127" t="s">
        <v>12</v>
      </c>
      <c r="Q5" s="127" t="s">
        <v>13</v>
      </c>
      <c r="R5" s="127" t="s">
        <v>14</v>
      </c>
      <c r="S5" s="127" t="s">
        <v>15</v>
      </c>
      <c r="T5" s="127" t="s">
        <v>39</v>
      </c>
      <c r="U5" s="127" t="s">
        <v>16</v>
      </c>
      <c r="V5" s="127" t="s">
        <v>81</v>
      </c>
      <c r="W5" s="127" t="s">
        <v>17</v>
      </c>
      <c r="X5" s="127" t="s">
        <v>40</v>
      </c>
      <c r="Y5" s="121" t="s">
        <v>41</v>
      </c>
      <c r="Z5" s="5" t="s">
        <v>42</v>
      </c>
      <c r="AA5" s="5" t="s">
        <v>43</v>
      </c>
    </row>
    <row r="6" spans="1:28">
      <c r="A6" s="125" t="s">
        <v>312</v>
      </c>
      <c r="B6" s="121" t="s">
        <v>192</v>
      </c>
      <c r="C6" s="126">
        <v>0</v>
      </c>
      <c r="D6" s="126">
        <v>0</v>
      </c>
      <c r="E6" s="126">
        <v>0</v>
      </c>
      <c r="F6" s="126">
        <v>1010</v>
      </c>
      <c r="G6" s="126">
        <v>1000</v>
      </c>
      <c r="H6" s="126">
        <v>640</v>
      </c>
      <c r="I6" s="126">
        <v>0</v>
      </c>
      <c r="J6" s="126">
        <v>500</v>
      </c>
      <c r="K6" s="126">
        <v>510</v>
      </c>
      <c r="L6" s="126">
        <v>790</v>
      </c>
      <c r="M6" s="126">
        <v>500</v>
      </c>
      <c r="N6" s="169">
        <v>715</v>
      </c>
      <c r="O6" s="126">
        <v>0</v>
      </c>
      <c r="P6" s="126"/>
      <c r="Q6" s="126"/>
      <c r="R6" s="126">
        <v>1015</v>
      </c>
      <c r="S6" s="126">
        <v>1000</v>
      </c>
      <c r="T6" s="126">
        <v>820</v>
      </c>
      <c r="U6" s="126">
        <v>900</v>
      </c>
      <c r="V6" s="126">
        <v>320</v>
      </c>
      <c r="W6" s="126"/>
      <c r="Y6" s="121">
        <v>0</v>
      </c>
    </row>
    <row r="7" spans="1:28">
      <c r="A7" s="125"/>
      <c r="B7" s="121" t="s">
        <v>313</v>
      </c>
      <c r="C7" s="126">
        <v>0</v>
      </c>
      <c r="D7" s="126">
        <v>0</v>
      </c>
      <c r="E7" s="126">
        <v>0</v>
      </c>
      <c r="F7" s="126">
        <v>0</v>
      </c>
      <c r="G7" s="126">
        <v>1500</v>
      </c>
      <c r="H7" s="126">
        <v>0</v>
      </c>
      <c r="I7" s="126">
        <v>0</v>
      </c>
      <c r="J7" s="126">
        <v>0</v>
      </c>
      <c r="K7" s="126">
        <v>0</v>
      </c>
      <c r="L7" s="126">
        <v>0</v>
      </c>
      <c r="M7" s="126">
        <v>0</v>
      </c>
      <c r="N7" s="169">
        <v>0</v>
      </c>
      <c r="O7" s="126">
        <v>0</v>
      </c>
      <c r="P7" s="126"/>
      <c r="Q7" s="126"/>
      <c r="R7" s="126"/>
      <c r="S7" s="126"/>
      <c r="T7" s="126"/>
      <c r="U7" s="126"/>
      <c r="V7" s="126"/>
      <c r="W7" s="126"/>
    </row>
    <row r="8" spans="1:28">
      <c r="A8" s="125" t="s">
        <v>314</v>
      </c>
      <c r="B8" s="121" t="s">
        <v>315</v>
      </c>
      <c r="C8" s="126">
        <v>0</v>
      </c>
      <c r="D8" s="126">
        <v>0</v>
      </c>
      <c r="E8" s="126">
        <v>0</v>
      </c>
      <c r="F8" s="126">
        <v>20.99</v>
      </c>
      <c r="G8" s="126">
        <v>0</v>
      </c>
      <c r="H8" s="126">
        <v>-8062.94</v>
      </c>
      <c r="I8" s="126">
        <v>0</v>
      </c>
      <c r="J8" s="126">
        <v>0</v>
      </c>
      <c r="K8" s="126">
        <v>0</v>
      </c>
      <c r="L8" s="126">
        <v>0</v>
      </c>
      <c r="M8" s="126">
        <v>0</v>
      </c>
      <c r="N8" s="169">
        <v>-7751</v>
      </c>
      <c r="O8" s="126">
        <v>0</v>
      </c>
      <c r="P8" s="126"/>
      <c r="Q8" s="126"/>
      <c r="R8" s="126">
        <v>483</v>
      </c>
      <c r="S8" s="126">
        <v>400</v>
      </c>
      <c r="T8" s="126"/>
      <c r="U8" s="126">
        <v>400</v>
      </c>
      <c r="V8" s="126">
        <v>0</v>
      </c>
      <c r="W8" s="126">
        <v>400</v>
      </c>
    </row>
    <row r="9" spans="1:28">
      <c r="A9" s="125" t="s">
        <v>316</v>
      </c>
      <c r="B9" s="121" t="s">
        <v>270</v>
      </c>
      <c r="C9" s="124">
        <v>0</v>
      </c>
      <c r="D9" s="124">
        <v>0</v>
      </c>
      <c r="E9" s="124">
        <v>0</v>
      </c>
      <c r="F9" s="124">
        <v>4237.51</v>
      </c>
      <c r="G9" s="124">
        <v>0</v>
      </c>
      <c r="H9" s="124">
        <v>9554.44</v>
      </c>
      <c r="I9" s="124">
        <v>0</v>
      </c>
      <c r="J9" s="124">
        <v>0</v>
      </c>
      <c r="K9" s="124">
        <v>0</v>
      </c>
      <c r="L9" s="124">
        <v>0</v>
      </c>
      <c r="M9" s="124">
        <v>0</v>
      </c>
      <c r="N9" s="155">
        <v>9200.02</v>
      </c>
      <c r="O9" s="124">
        <v>0</v>
      </c>
      <c r="P9" s="126"/>
      <c r="Q9" s="126"/>
      <c r="R9" s="126"/>
      <c r="S9" s="126"/>
      <c r="T9" s="126"/>
      <c r="U9" s="126">
        <f>45813.15/2</f>
        <v>22906.575000000001</v>
      </c>
      <c r="V9" s="126">
        <v>9</v>
      </c>
      <c r="W9" s="126"/>
      <c r="X9" s="121">
        <v>3692.79</v>
      </c>
    </row>
    <row r="10" spans="1:28">
      <c r="A10" s="125"/>
      <c r="B10" s="11" t="s">
        <v>21</v>
      </c>
      <c r="C10" s="178">
        <f>SUBTOTAL(109,ClubsRevenues[Budget 10/11])</f>
        <v>0</v>
      </c>
      <c r="D10" s="178">
        <f>SUBTOTAL(109,ClubsRevenues[Actual 10/11])</f>
        <v>0</v>
      </c>
      <c r="E10" s="178">
        <f>SUBTOTAL(109,ClubsRevenues[Budget 11/12])</f>
        <v>0</v>
      </c>
      <c r="F10" s="178">
        <f>SUBTOTAL(109,ClubsRevenues[Actual 11/12])</f>
        <v>5268.5</v>
      </c>
      <c r="G10" s="178">
        <f>SUBTOTAL(109,ClubsRevenues[Budget 12/13])</f>
        <v>2500</v>
      </c>
      <c r="H10" s="178">
        <f>SUBTOTAL(109,ClubsRevenues[Actual 12/13])</f>
        <v>2131.5000000000009</v>
      </c>
      <c r="I10" s="178">
        <f>SUBTOTAL(109,ClubsRevenues[Budget 13/14])</f>
        <v>0</v>
      </c>
      <c r="J10" s="178">
        <f>SUBTOTAL(109,ClubsRevenues[Actual 13/14])</f>
        <v>500</v>
      </c>
      <c r="K10" s="178">
        <f>SUBTOTAL(109,ClubsRevenues[Budget 14/15])</f>
        <v>510</v>
      </c>
      <c r="L10" s="178">
        <f>SUBTOTAL(109,ClubsRevenues[Actual 14/15])</f>
        <v>790</v>
      </c>
      <c r="M10" s="178">
        <f>SUBTOTAL(109,ClubsRevenues[Budget 15/16])</f>
        <v>500</v>
      </c>
      <c r="N10" s="145">
        <f>SUBTOTAL(109,ClubsRevenues[Actual 15/16])</f>
        <v>2164.0200000000004</v>
      </c>
      <c r="O10" s="178">
        <f>SUBTOTAL(109,ClubsRevenues[Budget 16/17])</f>
        <v>0</v>
      </c>
      <c r="P10" s="178">
        <f>SUBTOTAL(109,ClubsRevenues[Actual 16/17])</f>
        <v>0</v>
      </c>
      <c r="Q10" s="178">
        <f>SUBTOTAL(109,ClubsRevenues[Budget 17/18])</f>
        <v>0</v>
      </c>
      <c r="R10" s="21">
        <f>SUM(ClubsRevenues[Actual 17/18])</f>
        <v>1498</v>
      </c>
      <c r="S10" s="21">
        <f>SUM(ClubsRevenues[Budget 18/19])</f>
        <v>1400</v>
      </c>
      <c r="T10" s="21">
        <f>SUM(ClubsRevenues[Actual 18/19])</f>
        <v>820</v>
      </c>
      <c r="U10" s="21">
        <f>SUM(ClubsRevenues[Budget 19/20])</f>
        <v>24206.575000000001</v>
      </c>
      <c r="V10" s="21">
        <f>SUM(ClubsRevenues[Actual P12 19/20])</f>
        <v>329</v>
      </c>
      <c r="W10" s="21">
        <f>SUM(ClubsRevenues[Budget 20/21])</f>
        <v>400</v>
      </c>
      <c r="X10" s="21">
        <f>SUM(ClubsRevenues[Actual 20/21])</f>
        <v>3692.79</v>
      </c>
      <c r="Y10" s="21">
        <f>SUM(ClubsRevenues[Budget 21/22])</f>
        <v>0</v>
      </c>
      <c r="Z10" s="11"/>
      <c r="AA10" s="11"/>
    </row>
    <row r="11" spans="1:28">
      <c r="A11" s="125"/>
      <c r="B11" s="128"/>
      <c r="C11" s="126"/>
      <c r="D11" s="126"/>
      <c r="E11" s="126"/>
      <c r="F11" s="126"/>
      <c r="G11" s="126"/>
      <c r="H11" s="126"/>
      <c r="I11" s="126"/>
      <c r="J11" s="126"/>
      <c r="K11" s="126"/>
      <c r="L11" s="126"/>
      <c r="M11" s="126"/>
    </row>
    <row r="13" spans="1:28">
      <c r="A13" s="125" t="s">
        <v>130</v>
      </c>
      <c r="B13" s="121" t="s">
        <v>22</v>
      </c>
      <c r="C13" s="121" t="s">
        <v>73</v>
      </c>
      <c r="D13" s="121" t="s">
        <v>74</v>
      </c>
      <c r="E13" s="121" t="s">
        <v>75</v>
      </c>
      <c r="F13" s="121" t="s">
        <v>76</v>
      </c>
      <c r="G13" s="121" t="s">
        <v>77</v>
      </c>
      <c r="H13" s="121" t="s">
        <v>78</v>
      </c>
      <c r="I13" s="121" t="s">
        <v>5</v>
      </c>
      <c r="J13" s="121" t="s">
        <v>6</v>
      </c>
      <c r="K13" s="121" t="s">
        <v>7</v>
      </c>
      <c r="L13" s="121" t="s">
        <v>8</v>
      </c>
      <c r="M13" s="121" t="s">
        <v>9</v>
      </c>
      <c r="N13" s="170" t="s">
        <v>10</v>
      </c>
      <c r="O13" s="127" t="s">
        <v>11</v>
      </c>
      <c r="P13" s="127" t="s">
        <v>12</v>
      </c>
      <c r="Q13" s="127" t="s">
        <v>13</v>
      </c>
      <c r="R13" s="127" t="s">
        <v>14</v>
      </c>
      <c r="S13" s="127" t="s">
        <v>15</v>
      </c>
      <c r="T13" s="127" t="s">
        <v>39</v>
      </c>
      <c r="U13" s="127" t="s">
        <v>16</v>
      </c>
      <c r="V13" s="127" t="s">
        <v>81</v>
      </c>
      <c r="W13" s="121" t="s">
        <v>17</v>
      </c>
      <c r="X13" s="127" t="s">
        <v>40</v>
      </c>
      <c r="Y13" s="121" t="s">
        <v>41</v>
      </c>
      <c r="Z13" s="5" t="s">
        <v>42</v>
      </c>
      <c r="AA13" s="5" t="s">
        <v>43</v>
      </c>
    </row>
    <row r="14" spans="1:28">
      <c r="A14" s="125" t="s">
        <v>317</v>
      </c>
      <c r="B14" s="121" t="s">
        <v>274</v>
      </c>
      <c r="C14" s="20">
        <v>25300</v>
      </c>
      <c r="D14" s="20">
        <v>15734.18</v>
      </c>
      <c r="E14" s="20">
        <v>26800</v>
      </c>
      <c r="F14" s="20">
        <v>12120.77</v>
      </c>
      <c r="G14" s="20">
        <v>8000</v>
      </c>
      <c r="H14" s="20">
        <v>12428.68</v>
      </c>
      <c r="I14" s="20">
        <v>0</v>
      </c>
      <c r="J14" s="20">
        <v>350.56</v>
      </c>
      <c r="K14" s="20">
        <v>1875</v>
      </c>
      <c r="L14" s="20">
        <v>296.47000000000003</v>
      </c>
      <c r="M14" s="20">
        <v>0</v>
      </c>
      <c r="N14" s="155">
        <v>195.02</v>
      </c>
      <c r="O14" s="20">
        <v>300</v>
      </c>
      <c r="P14" s="177">
        <v>1582.06</v>
      </c>
      <c r="Q14" s="177">
        <v>4400</v>
      </c>
      <c r="R14" s="177">
        <v>4617.26</v>
      </c>
      <c r="S14" s="177">
        <v>6316.7</v>
      </c>
      <c r="T14" s="177">
        <v>10428.83</v>
      </c>
      <c r="U14" s="44">
        <v>4000</v>
      </c>
      <c r="V14" s="44">
        <v>531.55999999999995</v>
      </c>
      <c r="W14" s="44">
        <v>3000</v>
      </c>
      <c r="X14" s="177">
        <v>19211.849999999999</v>
      </c>
      <c r="Y14" s="476">
        <v>3000</v>
      </c>
      <c r="Z14" s="286">
        <v>4222.29</v>
      </c>
      <c r="AA14" s="586">
        <f>20*15.25*10*1.13*2</f>
        <v>6892.9999999999991</v>
      </c>
    </row>
    <row r="15" spans="1:28">
      <c r="A15" s="125"/>
      <c r="B15" s="121" t="s">
        <v>318</v>
      </c>
      <c r="C15" s="126"/>
      <c r="D15" s="126"/>
      <c r="E15" s="126"/>
      <c r="F15" s="126"/>
      <c r="G15" s="126"/>
      <c r="H15" s="126"/>
      <c r="I15" s="126"/>
      <c r="J15" s="126"/>
      <c r="K15" s="126"/>
      <c r="L15" s="126"/>
      <c r="M15" s="126"/>
      <c r="N15" s="169"/>
      <c r="O15" s="126"/>
      <c r="P15" s="126"/>
      <c r="Q15" s="126"/>
      <c r="R15" s="177"/>
      <c r="S15" s="177"/>
      <c r="T15" s="177"/>
      <c r="U15" s="44"/>
      <c r="V15" s="44"/>
      <c r="W15" s="18"/>
      <c r="X15" s="177"/>
      <c r="Y15" s="476"/>
      <c r="Z15" s="286"/>
      <c r="AA15" s="586">
        <f>35*18*1.15*15.5*2</f>
        <v>22459.5</v>
      </c>
    </row>
    <row r="16" spans="1:28">
      <c r="A16" s="125" t="s">
        <v>319</v>
      </c>
      <c r="B16" s="121" t="s">
        <v>142</v>
      </c>
      <c r="C16" s="124">
        <v>0</v>
      </c>
      <c r="D16" s="124">
        <v>0</v>
      </c>
      <c r="E16" s="124">
        <v>0</v>
      </c>
      <c r="F16" s="124">
        <v>460</v>
      </c>
      <c r="G16" s="124">
        <v>0</v>
      </c>
      <c r="H16" s="124">
        <v>78.5</v>
      </c>
      <c r="I16" s="124">
        <v>0</v>
      </c>
      <c r="J16" s="124">
        <v>399.3</v>
      </c>
      <c r="K16" s="124">
        <v>600</v>
      </c>
      <c r="L16" s="124">
        <v>633.64</v>
      </c>
      <c r="M16" s="124">
        <v>850</v>
      </c>
      <c r="N16" s="155">
        <v>1790.99</v>
      </c>
      <c r="O16" s="20">
        <v>750</v>
      </c>
      <c r="P16" s="177">
        <v>805.26</v>
      </c>
      <c r="Q16" s="177">
        <v>500</v>
      </c>
      <c r="R16" s="177">
        <v>244.21</v>
      </c>
      <c r="S16" s="177">
        <v>450</v>
      </c>
      <c r="T16" s="177">
        <v>553.05999999999995</v>
      </c>
      <c r="U16" s="44">
        <v>600</v>
      </c>
      <c r="V16" s="44">
        <v>322.81</v>
      </c>
      <c r="W16" s="44">
        <v>400</v>
      </c>
      <c r="X16" s="177"/>
      <c r="Y16" s="476">
        <v>460</v>
      </c>
      <c r="Z16" s="286">
        <v>60</v>
      </c>
      <c r="AA16" s="586">
        <v>460</v>
      </c>
    </row>
    <row r="17" spans="1:27">
      <c r="A17" s="125" t="s">
        <v>320</v>
      </c>
      <c r="B17" s="121" t="s">
        <v>93</v>
      </c>
      <c r="C17" s="124">
        <v>600</v>
      </c>
      <c r="D17" s="124">
        <v>741.75</v>
      </c>
      <c r="E17" s="124">
        <v>780</v>
      </c>
      <c r="F17" s="124">
        <v>732.26</v>
      </c>
      <c r="G17" s="124">
        <v>780</v>
      </c>
      <c r="H17" s="124">
        <v>963.92</v>
      </c>
      <c r="I17" s="124">
        <v>350</v>
      </c>
      <c r="J17" s="124">
        <v>735.7</v>
      </c>
      <c r="K17" s="124">
        <v>350</v>
      </c>
      <c r="L17" s="124">
        <v>277.94</v>
      </c>
      <c r="M17" s="124">
        <v>350</v>
      </c>
      <c r="N17" s="155">
        <v>254.63</v>
      </c>
      <c r="O17" s="20">
        <v>350</v>
      </c>
      <c r="P17" s="177">
        <v>393.7</v>
      </c>
      <c r="Q17" s="177">
        <v>350</v>
      </c>
      <c r="R17" s="177">
        <v>416.9</v>
      </c>
      <c r="S17" s="177">
        <v>350</v>
      </c>
      <c r="T17" s="177">
        <v>454.8</v>
      </c>
      <c r="U17" s="177">
        <v>350</v>
      </c>
      <c r="V17" s="177">
        <v>439.9</v>
      </c>
      <c r="W17" s="177">
        <v>450</v>
      </c>
      <c r="X17" s="177">
        <v>257.39999999999998</v>
      </c>
      <c r="Y17" s="476"/>
      <c r="Z17" s="286"/>
      <c r="AA17" s="607"/>
    </row>
    <row r="18" spans="1:27">
      <c r="A18" s="125" t="s">
        <v>321</v>
      </c>
      <c r="B18" s="121" t="s">
        <v>97</v>
      </c>
      <c r="C18" s="124">
        <v>5</v>
      </c>
      <c r="D18" s="124">
        <v>0</v>
      </c>
      <c r="E18" s="124">
        <v>5</v>
      </c>
      <c r="F18" s="124">
        <v>0</v>
      </c>
      <c r="G18" s="124">
        <v>5</v>
      </c>
      <c r="H18" s="124">
        <v>0</v>
      </c>
      <c r="I18" s="124">
        <v>5</v>
      </c>
      <c r="J18" s="124">
        <v>0</v>
      </c>
      <c r="K18" s="124">
        <v>0</v>
      </c>
      <c r="L18" s="124">
        <v>0</v>
      </c>
      <c r="M18" s="124">
        <v>0</v>
      </c>
      <c r="N18" s="155">
        <v>0</v>
      </c>
      <c r="O18" s="20">
        <v>0</v>
      </c>
      <c r="P18" s="177"/>
      <c r="Q18" s="177"/>
      <c r="R18" s="177"/>
      <c r="S18" s="177"/>
      <c r="T18" s="177"/>
      <c r="U18" s="177"/>
      <c r="V18" s="177">
        <v>0</v>
      </c>
      <c r="W18" s="177"/>
      <c r="X18" s="177"/>
      <c r="Y18" s="476"/>
      <c r="Z18" s="286"/>
      <c r="AA18" s="607"/>
    </row>
    <row r="19" spans="1:27">
      <c r="A19" s="125" t="s">
        <v>322</v>
      </c>
      <c r="B19" s="121" t="s">
        <v>100</v>
      </c>
      <c r="C19" s="124">
        <v>150</v>
      </c>
      <c r="D19" s="124">
        <v>229.29</v>
      </c>
      <c r="E19" s="124">
        <v>275</v>
      </c>
      <c r="F19" s="124">
        <v>235.93</v>
      </c>
      <c r="G19" s="124">
        <v>275</v>
      </c>
      <c r="H19" s="124">
        <v>353.16</v>
      </c>
      <c r="I19" s="124">
        <v>275</v>
      </c>
      <c r="J19" s="124">
        <v>151.63999999999999</v>
      </c>
      <c r="K19" s="124">
        <v>200</v>
      </c>
      <c r="L19" s="124">
        <v>210.81</v>
      </c>
      <c r="M19" s="124">
        <v>200</v>
      </c>
      <c r="N19" s="155">
        <v>178.58</v>
      </c>
      <c r="O19" s="20">
        <v>100</v>
      </c>
      <c r="P19" s="177"/>
      <c r="Q19" s="177">
        <v>100</v>
      </c>
      <c r="R19" s="177">
        <v>174.57</v>
      </c>
      <c r="S19" s="177">
        <v>150</v>
      </c>
      <c r="T19" s="177">
        <v>81.260000000000005</v>
      </c>
      <c r="U19" s="177">
        <v>150</v>
      </c>
      <c r="V19" s="177">
        <v>108.29</v>
      </c>
      <c r="W19" s="177">
        <v>100</v>
      </c>
      <c r="X19" s="177"/>
      <c r="Y19" s="476">
        <v>100</v>
      </c>
      <c r="Z19" s="286">
        <v>0</v>
      </c>
      <c r="AA19" s="586"/>
    </row>
    <row r="20" spans="1:27">
      <c r="A20" s="125" t="s">
        <v>323</v>
      </c>
      <c r="B20" s="121" t="s">
        <v>300</v>
      </c>
      <c r="C20" s="126">
        <v>2500</v>
      </c>
      <c r="D20" s="126">
        <v>365.57</v>
      </c>
      <c r="E20" s="126">
        <v>500</v>
      </c>
      <c r="F20" s="126">
        <v>660.7</v>
      </c>
      <c r="G20" s="126">
        <v>500</v>
      </c>
      <c r="H20" s="126">
        <v>488.47</v>
      </c>
      <c r="I20" s="126">
        <v>0</v>
      </c>
      <c r="J20" s="126">
        <v>1027.7</v>
      </c>
      <c r="K20" s="126">
        <v>600</v>
      </c>
      <c r="L20" s="126">
        <v>661.37</v>
      </c>
      <c r="M20" s="126">
        <v>600</v>
      </c>
      <c r="N20" s="155">
        <v>434.99</v>
      </c>
      <c r="O20" s="20">
        <v>150</v>
      </c>
      <c r="P20" s="177">
        <v>688.34</v>
      </c>
      <c r="Q20" s="177">
        <v>150</v>
      </c>
      <c r="R20" s="177">
        <v>103.36</v>
      </c>
      <c r="S20" s="177">
        <v>150</v>
      </c>
      <c r="T20" s="177">
        <v>18.07</v>
      </c>
      <c r="U20" s="177">
        <v>150</v>
      </c>
      <c r="V20" s="177">
        <v>0</v>
      </c>
      <c r="W20" s="177">
        <v>100</v>
      </c>
      <c r="X20" s="177"/>
      <c r="Y20" s="476">
        <v>100</v>
      </c>
      <c r="Z20" s="286">
        <v>0</v>
      </c>
      <c r="AA20" s="586">
        <v>100</v>
      </c>
    </row>
    <row r="21" spans="1:27">
      <c r="A21" s="125" t="s">
        <v>324</v>
      </c>
      <c r="B21" s="121" t="s">
        <v>282</v>
      </c>
      <c r="C21" s="124">
        <v>2000</v>
      </c>
      <c r="D21" s="124">
        <v>1135.9000000000001</v>
      </c>
      <c r="E21" s="124">
        <v>1500</v>
      </c>
      <c r="F21" s="124">
        <v>1603.13</v>
      </c>
      <c r="G21" s="124">
        <v>2000</v>
      </c>
      <c r="H21" s="124">
        <v>1633.85</v>
      </c>
      <c r="I21" s="124">
        <v>100</v>
      </c>
      <c r="J21" s="124">
        <v>1631.86</v>
      </c>
      <c r="K21" s="124">
        <v>700</v>
      </c>
      <c r="L21" s="124">
        <v>679.15</v>
      </c>
      <c r="M21" s="124">
        <v>500</v>
      </c>
      <c r="N21" s="155">
        <v>465.08</v>
      </c>
      <c r="O21" s="20">
        <v>400</v>
      </c>
      <c r="P21" s="177">
        <v>792.39</v>
      </c>
      <c r="Q21" s="177">
        <v>400</v>
      </c>
      <c r="R21" s="177">
        <f>57.63+307.47</f>
        <v>365.1</v>
      </c>
      <c r="S21" s="177">
        <v>400</v>
      </c>
      <c r="T21" s="177">
        <v>125.85</v>
      </c>
      <c r="U21" s="177">
        <v>200</v>
      </c>
      <c r="V21" s="177">
        <v>40</v>
      </c>
      <c r="W21" s="177">
        <v>100</v>
      </c>
      <c r="X21" s="177">
        <v>125</v>
      </c>
      <c r="Y21" s="476">
        <v>100</v>
      </c>
      <c r="Z21" s="286">
        <v>24.98</v>
      </c>
      <c r="AA21" s="586">
        <v>100</v>
      </c>
    </row>
    <row r="22" spans="1:27">
      <c r="A22" s="125" t="s">
        <v>325</v>
      </c>
      <c r="B22" s="121" t="s">
        <v>106</v>
      </c>
      <c r="C22" s="124">
        <v>1000</v>
      </c>
      <c r="D22" s="124">
        <v>829.31</v>
      </c>
      <c r="E22" s="124">
        <v>1000</v>
      </c>
      <c r="F22" s="124">
        <v>0</v>
      </c>
      <c r="G22" s="124">
        <v>3000</v>
      </c>
      <c r="H22" s="124">
        <v>1234.4000000000001</v>
      </c>
      <c r="I22" s="124">
        <v>0</v>
      </c>
      <c r="J22" s="124">
        <v>755.67</v>
      </c>
      <c r="K22" s="124">
        <v>0</v>
      </c>
      <c r="L22" s="124">
        <v>0</v>
      </c>
      <c r="M22" s="124">
        <v>0</v>
      </c>
      <c r="N22" s="155">
        <v>0</v>
      </c>
      <c r="O22" s="20">
        <v>0</v>
      </c>
      <c r="P22" s="177"/>
      <c r="Q22" s="177"/>
      <c r="R22" s="177"/>
      <c r="S22" s="177"/>
      <c r="T22" s="177"/>
      <c r="U22" s="177"/>
      <c r="V22" s="177">
        <v>0</v>
      </c>
      <c r="W22" s="177"/>
      <c r="X22" s="177"/>
      <c r="Y22" s="476"/>
      <c r="Z22" s="286"/>
      <c r="AA22" s="586">
        <v>3000</v>
      </c>
    </row>
    <row r="23" spans="1:27">
      <c r="A23" s="125" t="s">
        <v>326</v>
      </c>
      <c r="B23" s="121" t="s">
        <v>287</v>
      </c>
      <c r="C23" s="126">
        <v>350</v>
      </c>
      <c r="D23" s="126">
        <v>783.27</v>
      </c>
      <c r="E23" s="126">
        <v>700</v>
      </c>
      <c r="F23" s="126">
        <v>499.89</v>
      </c>
      <c r="G23" s="126">
        <v>700</v>
      </c>
      <c r="H23" s="126">
        <v>455.27</v>
      </c>
      <c r="I23" s="126">
        <v>0</v>
      </c>
      <c r="J23" s="126">
        <v>749.64</v>
      </c>
      <c r="K23" s="126">
        <v>0</v>
      </c>
      <c r="L23" s="126">
        <v>0</v>
      </c>
      <c r="M23" s="126">
        <v>0</v>
      </c>
      <c r="N23" s="155">
        <v>71.31</v>
      </c>
      <c r="O23" s="20">
        <v>0</v>
      </c>
      <c r="P23" s="177"/>
      <c r="Q23" s="177"/>
      <c r="R23" s="177"/>
      <c r="S23" s="177">
        <v>60</v>
      </c>
      <c r="T23" s="177">
        <v>12.08</v>
      </c>
      <c r="U23" s="177">
        <v>40</v>
      </c>
      <c r="V23" s="177">
        <v>0</v>
      </c>
      <c r="W23" s="177">
        <v>40</v>
      </c>
      <c r="X23" s="177"/>
      <c r="Y23" s="476">
        <v>20</v>
      </c>
      <c r="Z23" s="286"/>
      <c r="AA23" s="586">
        <v>80</v>
      </c>
    </row>
    <row r="24" spans="1:27">
      <c r="A24" s="125" t="s">
        <v>327</v>
      </c>
      <c r="B24" s="121" t="s">
        <v>289</v>
      </c>
      <c r="C24" s="124">
        <v>645.96</v>
      </c>
      <c r="D24" s="124">
        <v>785.53</v>
      </c>
      <c r="E24" s="124">
        <v>1500</v>
      </c>
      <c r="F24" s="124">
        <v>1062.56</v>
      </c>
      <c r="G24" s="124">
        <v>2166.66</v>
      </c>
      <c r="H24" s="124">
        <v>13742.96</v>
      </c>
      <c r="I24" s="124">
        <v>13554.48</v>
      </c>
      <c r="J24" s="124">
        <v>13568.65</v>
      </c>
      <c r="K24" s="124">
        <v>13421.83</v>
      </c>
      <c r="L24" s="124">
        <v>13421.76</v>
      </c>
      <c r="M24" s="124">
        <v>13421.83</v>
      </c>
      <c r="N24" s="155">
        <v>14090.6</v>
      </c>
      <c r="O24" s="20">
        <v>13421</v>
      </c>
      <c r="P24" s="177">
        <v>16541.28</v>
      </c>
      <c r="Q24" s="177">
        <v>13421</v>
      </c>
      <c r="R24" s="177">
        <v>3553.56</v>
      </c>
      <c r="S24" s="177">
        <v>765</v>
      </c>
      <c r="T24" s="177">
        <v>764.79</v>
      </c>
      <c r="U24" s="177"/>
      <c r="V24" s="177">
        <v>253.33</v>
      </c>
      <c r="W24" s="177">
        <v>412.65</v>
      </c>
      <c r="X24" s="177">
        <v>412.68</v>
      </c>
      <c r="Y24" s="476"/>
      <c r="Z24" s="286">
        <v>537.57000000000005</v>
      </c>
      <c r="AA24" s="607"/>
    </row>
    <row r="25" spans="1:27">
      <c r="A25" s="125" t="s">
        <v>328</v>
      </c>
      <c r="B25" s="121" t="s">
        <v>114</v>
      </c>
      <c r="C25" s="124">
        <v>200</v>
      </c>
      <c r="D25" s="124">
        <v>0</v>
      </c>
      <c r="E25" s="124">
        <v>200</v>
      </c>
      <c r="F25" s="124">
        <v>126.42</v>
      </c>
      <c r="G25" s="124">
        <v>200</v>
      </c>
      <c r="H25" s="124">
        <v>133.79</v>
      </c>
      <c r="I25" s="124">
        <v>100</v>
      </c>
      <c r="J25" s="124">
        <v>211.02</v>
      </c>
      <c r="K25" s="124">
        <v>100</v>
      </c>
      <c r="L25" s="124">
        <v>128.16999999999999</v>
      </c>
      <c r="M25" s="124">
        <v>350</v>
      </c>
      <c r="N25" s="155">
        <v>502.14</v>
      </c>
      <c r="O25" s="20">
        <v>500</v>
      </c>
      <c r="P25" s="177"/>
      <c r="Q25" s="177">
        <v>500</v>
      </c>
      <c r="R25" s="177">
        <v>9865.01</v>
      </c>
      <c r="S25" s="177">
        <v>4000</v>
      </c>
      <c r="T25" s="177">
        <f>16649.45-T26-T27</f>
        <v>6781.6800000000012</v>
      </c>
      <c r="U25" s="177">
        <v>1050</v>
      </c>
      <c r="V25" s="177">
        <v>7965.19</v>
      </c>
      <c r="W25" s="177">
        <v>1050</v>
      </c>
      <c r="X25" s="177"/>
      <c r="Y25" s="476">
        <v>1050</v>
      </c>
      <c r="Z25" s="286">
        <v>760.52</v>
      </c>
      <c r="AA25" s="586">
        <v>1050</v>
      </c>
    </row>
    <row r="26" spans="1:27">
      <c r="A26" s="125" t="s">
        <v>328</v>
      </c>
      <c r="B26" s="121" t="s">
        <v>329</v>
      </c>
      <c r="C26" s="124">
        <v>15000</v>
      </c>
      <c r="D26" s="124">
        <v>12103.57</v>
      </c>
      <c r="E26" s="124">
        <v>13500</v>
      </c>
      <c r="F26" s="124">
        <v>14008.94</v>
      </c>
      <c r="G26" s="124">
        <v>13500</v>
      </c>
      <c r="H26" s="124">
        <v>13596.32</v>
      </c>
      <c r="I26" s="124">
        <v>14500</v>
      </c>
      <c r="J26" s="124">
        <v>17885.25</v>
      </c>
      <c r="K26" s="124">
        <v>17000</v>
      </c>
      <c r="L26" s="124">
        <f>20410.85+236.32</f>
        <v>20647.169999999998</v>
      </c>
      <c r="M26" s="124">
        <v>20000</v>
      </c>
      <c r="N26" s="155">
        <v>11252.15</v>
      </c>
      <c r="O26" s="20">
        <v>23000</v>
      </c>
      <c r="P26" s="177">
        <v>17613.939999999999</v>
      </c>
      <c r="Q26" s="177">
        <v>23000</v>
      </c>
      <c r="R26" s="177">
        <v>15029.57</v>
      </c>
      <c r="S26" s="177">
        <v>20000</v>
      </c>
      <c r="T26" s="177">
        <v>8637.81</v>
      </c>
      <c r="U26" s="177">
        <v>18750</v>
      </c>
      <c r="V26" s="177"/>
      <c r="W26" s="177">
        <v>15000</v>
      </c>
      <c r="X26" s="177">
        <v>6301.59</v>
      </c>
      <c r="Y26" s="476">
        <v>15000</v>
      </c>
      <c r="Z26" s="286">
        <v>4875.8900000000003</v>
      </c>
      <c r="AA26" s="586">
        <v>20000</v>
      </c>
    </row>
    <row r="27" spans="1:27">
      <c r="A27" s="125" t="s">
        <v>328</v>
      </c>
      <c r="B27" s="121" t="s">
        <v>330</v>
      </c>
      <c r="C27" s="124">
        <v>0</v>
      </c>
      <c r="D27" s="124">
        <v>0</v>
      </c>
      <c r="E27" s="124">
        <v>2750</v>
      </c>
      <c r="F27" s="124">
        <v>931.4</v>
      </c>
      <c r="G27" s="124">
        <v>1000</v>
      </c>
      <c r="H27" s="124">
        <v>381.05</v>
      </c>
      <c r="I27" s="124">
        <v>1350</v>
      </c>
      <c r="J27" s="124">
        <v>1122.3</v>
      </c>
      <c r="K27" s="124">
        <v>1275</v>
      </c>
      <c r="L27" s="124">
        <v>1205.3800000000001</v>
      </c>
      <c r="M27" s="124">
        <v>1475</v>
      </c>
      <c r="N27" s="155">
        <v>461.03</v>
      </c>
      <c r="O27" s="20">
        <v>1000</v>
      </c>
      <c r="P27" s="177">
        <v>800</v>
      </c>
      <c r="Q27" s="177">
        <v>1200</v>
      </c>
      <c r="R27" s="177">
        <v>997.8</v>
      </c>
      <c r="S27" s="177">
        <v>2150</v>
      </c>
      <c r="T27" s="177">
        <v>1229.96</v>
      </c>
      <c r="U27" s="177">
        <v>1000</v>
      </c>
      <c r="V27" s="177"/>
      <c r="W27" s="177">
        <v>700</v>
      </c>
      <c r="X27" s="177">
        <v>125</v>
      </c>
      <c r="Y27" s="476" t="s">
        <v>331</v>
      </c>
      <c r="Z27" s="286"/>
      <c r="AA27" s="586" t="s">
        <v>331</v>
      </c>
    </row>
    <row r="28" spans="1:27">
      <c r="A28" s="125" t="s">
        <v>328</v>
      </c>
      <c r="B28" s="121" t="s">
        <v>332</v>
      </c>
      <c r="C28" s="124">
        <v>4200</v>
      </c>
      <c r="D28" s="124">
        <v>4500</v>
      </c>
      <c r="E28" s="124">
        <v>6400</v>
      </c>
      <c r="F28" s="124">
        <v>6600</v>
      </c>
      <c r="G28" s="124">
        <v>8800</v>
      </c>
      <c r="H28" s="124">
        <v>7000</v>
      </c>
      <c r="I28" s="124"/>
      <c r="J28" s="124">
        <v>-200</v>
      </c>
      <c r="K28" s="124">
        <v>0</v>
      </c>
      <c r="L28" s="124">
        <v>0</v>
      </c>
      <c r="M28" s="124">
        <v>0</v>
      </c>
      <c r="N28" s="155">
        <v>0</v>
      </c>
      <c r="O28" s="20">
        <v>0</v>
      </c>
      <c r="P28" s="177"/>
      <c r="Q28" s="177"/>
      <c r="R28" s="177"/>
      <c r="S28" s="177"/>
      <c r="T28" s="177"/>
      <c r="U28" s="177"/>
      <c r="V28" s="177"/>
      <c r="W28" s="177"/>
      <c r="X28" s="177"/>
      <c r="Y28" s="476"/>
      <c r="Z28" s="286"/>
      <c r="AA28" s="607"/>
    </row>
    <row r="29" spans="1:27">
      <c r="A29" s="199" t="s">
        <v>333</v>
      </c>
      <c r="B29" s="121" t="s">
        <v>334</v>
      </c>
      <c r="C29" s="20">
        <v>0</v>
      </c>
      <c r="D29" s="20">
        <v>0</v>
      </c>
      <c r="E29" s="20">
        <v>0</v>
      </c>
      <c r="F29" s="20">
        <v>0</v>
      </c>
      <c r="G29" s="20">
        <v>0</v>
      </c>
      <c r="H29" s="20">
        <v>0</v>
      </c>
      <c r="I29" s="20">
        <v>0</v>
      </c>
      <c r="J29" s="20">
        <v>118.08</v>
      </c>
      <c r="K29" s="20">
        <v>0</v>
      </c>
      <c r="L29" s="20">
        <v>359.18</v>
      </c>
      <c r="M29" s="20">
        <v>500</v>
      </c>
      <c r="N29" s="155">
        <v>265.33</v>
      </c>
      <c r="O29" s="20">
        <v>400</v>
      </c>
      <c r="P29" s="177">
        <v>828.98</v>
      </c>
      <c r="Q29" s="177">
        <v>400</v>
      </c>
      <c r="R29" s="513"/>
      <c r="S29" s="177">
        <v>400</v>
      </c>
      <c r="T29" s="177">
        <v>204.83</v>
      </c>
      <c r="U29" s="177">
        <v>250</v>
      </c>
      <c r="V29" s="177">
        <v>65.510000000000005</v>
      </c>
      <c r="W29" s="44">
        <v>0</v>
      </c>
      <c r="X29" s="177"/>
      <c r="Y29" s="476">
        <v>250</v>
      </c>
      <c r="Z29" s="286">
        <v>124.21</v>
      </c>
      <c r="AA29" s="586">
        <v>250</v>
      </c>
    </row>
    <row r="30" spans="1:27" ht="12.6" customHeight="1">
      <c r="B30" s="121" t="s">
        <v>335</v>
      </c>
      <c r="C30" s="124">
        <v>0</v>
      </c>
      <c r="D30" s="124">
        <v>0</v>
      </c>
      <c r="E30" s="124">
        <v>0</v>
      </c>
      <c r="F30" s="124">
        <v>0</v>
      </c>
      <c r="G30" s="124">
        <v>0</v>
      </c>
      <c r="H30" s="124">
        <v>0</v>
      </c>
      <c r="I30" s="124">
        <v>0</v>
      </c>
      <c r="J30" s="124">
        <v>0</v>
      </c>
      <c r="K30" s="124">
        <v>2200</v>
      </c>
      <c r="L30" s="124">
        <v>0</v>
      </c>
      <c r="M30" s="124">
        <v>2200</v>
      </c>
      <c r="N30" s="155">
        <v>0</v>
      </c>
      <c r="O30" s="20">
        <v>0</v>
      </c>
      <c r="P30" s="177"/>
      <c r="Q30" s="177"/>
      <c r="R30" s="177"/>
      <c r="S30" s="177"/>
      <c r="T30" s="177"/>
      <c r="U30" s="177"/>
      <c r="V30" s="177"/>
      <c r="W30" s="177"/>
      <c r="X30" s="177"/>
      <c r="Y30" s="476"/>
      <c r="Z30" s="286"/>
      <c r="AA30" s="607"/>
    </row>
    <row r="31" spans="1:27">
      <c r="B31" s="121" t="s">
        <v>336</v>
      </c>
      <c r="C31" s="124"/>
      <c r="D31" s="124"/>
      <c r="E31" s="124"/>
      <c r="F31" s="124"/>
      <c r="G31" s="124"/>
      <c r="H31" s="124"/>
      <c r="I31" s="124"/>
      <c r="J31" s="124"/>
      <c r="K31" s="124"/>
      <c r="L31" s="124"/>
      <c r="M31" s="124">
        <v>0</v>
      </c>
      <c r="N31" s="155">
        <v>19.38</v>
      </c>
      <c r="O31" s="20"/>
      <c r="P31" s="177"/>
      <c r="Q31" s="177"/>
      <c r="R31" s="177"/>
      <c r="S31" s="177"/>
      <c r="T31" s="177">
        <v>19.350000000000001</v>
      </c>
      <c r="U31" s="177"/>
      <c r="V31" s="177"/>
      <c r="W31" s="177"/>
      <c r="X31" s="177"/>
      <c r="Y31" s="476"/>
      <c r="Z31" s="286"/>
      <c r="AA31" s="607"/>
    </row>
    <row r="32" spans="1:27">
      <c r="A32" s="121" t="s">
        <v>314</v>
      </c>
      <c r="B32" s="121" t="s">
        <v>337</v>
      </c>
      <c r="C32" s="126"/>
      <c r="D32" s="126"/>
      <c r="E32" s="126"/>
      <c r="F32" s="126"/>
      <c r="G32" s="126"/>
      <c r="H32" s="126"/>
      <c r="I32" s="126"/>
      <c r="J32" s="126"/>
      <c r="K32" s="126"/>
      <c r="L32" s="126"/>
      <c r="M32" s="126"/>
      <c r="N32" s="169"/>
      <c r="O32" s="126"/>
      <c r="P32" s="126"/>
      <c r="Q32" s="126"/>
      <c r="R32" s="177"/>
      <c r="S32" s="177"/>
      <c r="T32" s="177"/>
      <c r="U32" s="177">
        <v>3695.38</v>
      </c>
      <c r="V32" s="177"/>
      <c r="W32" s="286"/>
      <c r="X32" s="177">
        <v>3700</v>
      </c>
      <c r="Y32" s="476"/>
      <c r="Z32" s="286"/>
      <c r="AA32" s="607"/>
    </row>
    <row r="33" spans="2:27">
      <c r="B33" s="11" t="s">
        <v>21</v>
      </c>
      <c r="C33" s="178">
        <f>SUBTOTAL(109,ClubsExpenses[Budget 10/11])</f>
        <v>51950.96</v>
      </c>
      <c r="D33" s="178">
        <f>SUBTOTAL(109,ClubsExpenses[Actual 10/11])</f>
        <v>37208.370000000003</v>
      </c>
      <c r="E33" s="178">
        <f>SUBTOTAL(109,ClubsExpenses[Budget 11/12])</f>
        <v>55910</v>
      </c>
      <c r="F33" s="178">
        <f>SUBTOTAL(109,ClubsExpenses[Actual 11/12])</f>
        <v>39042</v>
      </c>
      <c r="G33" s="178">
        <f>SUBTOTAL(109,ClubsExpenses[Budget 12/13])</f>
        <v>40926.660000000003</v>
      </c>
      <c r="H33" s="178">
        <f>SUBTOTAL(109,ClubsExpenses[Actual 12/13])</f>
        <v>52490.37</v>
      </c>
      <c r="I33" s="178">
        <f>SUBTOTAL(109,ClubsExpenses[Budget 13/14])</f>
        <v>30234.48</v>
      </c>
      <c r="J33" s="178">
        <f>SUBTOTAL(109,ClubsExpenses[Actual 13/14])</f>
        <v>38507.37000000001</v>
      </c>
      <c r="K33" s="178">
        <f>SUBTOTAL(109,ClubsExpenses[Budget 14/15])</f>
        <v>38321.83</v>
      </c>
      <c r="L33" s="178">
        <f>SUBTOTAL(109,ClubsExpenses[Actual 14/15])</f>
        <v>38521.039999999994</v>
      </c>
      <c r="M33" s="178">
        <f>SUBTOTAL(109,ClubsExpenses[Budget 15/16])</f>
        <v>40446.83</v>
      </c>
      <c r="N33" s="145">
        <f>SUBTOTAL(109,ClubsExpenses[Actual 15/16])</f>
        <v>29981.23</v>
      </c>
      <c r="O33" s="178">
        <f>SUBTOTAL(109,ClubsExpenses[Budget 16/17])</f>
        <v>40371</v>
      </c>
      <c r="P33" s="178">
        <f>SUBTOTAL(109,ClubsExpenses[Actual 16/17])</f>
        <v>40045.950000000004</v>
      </c>
      <c r="Q33" s="178">
        <f>SUBTOTAL(109,ClubsExpenses[Budget 17/18])</f>
        <v>44421</v>
      </c>
      <c r="R33" s="21">
        <f>SUM(ClubsExpenses[Actual 17/18])</f>
        <v>35367.340000000004</v>
      </c>
      <c r="S33" s="21">
        <f>SUM(ClubsExpenses[Budget 18/19])</f>
        <v>35191.699999999997</v>
      </c>
      <c r="T33" s="21">
        <f>SUM(ClubsExpenses[Actual 18/19])</f>
        <v>29312.369999999995</v>
      </c>
      <c r="U33" s="21">
        <f>SUM(ClubsExpenses[Budget 19/20])</f>
        <v>30235.38</v>
      </c>
      <c r="V33" s="21">
        <f>SUM(ClubsExpenses[Actual P12 19/20])</f>
        <v>9726.59</v>
      </c>
      <c r="W33" s="21">
        <f>SUBTOTAL(109,ClubsExpenses[Budget 20/21])</f>
        <v>21352.65</v>
      </c>
      <c r="X33" s="21">
        <f>SUBTOTAL(109,ClubsExpenses[Actual 20/21])</f>
        <v>30133.52</v>
      </c>
      <c r="Y33" s="21">
        <f>SUBTOTAL(109,ClubsExpenses[Budget 21/22])</f>
        <v>20080</v>
      </c>
      <c r="Z33" s="21">
        <f>SUBTOTAL(109,ClubsExpenses[Actual 21/22])</f>
        <v>10605.46</v>
      </c>
      <c r="AA33" s="72">
        <f>SUM(ClubsExpenses[Budget 22/23])</f>
        <v>54392.5</v>
      </c>
    </row>
    <row r="34" spans="2:27" ht="13.5" thickBot="1"/>
    <row r="35" spans="2:27" ht="19.5" thickBot="1">
      <c r="B35" s="638" t="s">
        <v>127</v>
      </c>
      <c r="C35" s="123">
        <f>ClubsRevenues[[#Totals],[Budget 10/11]]-ClubsExpenses[[#Totals],[Budget 10/11]]</f>
        <v>-51950.96</v>
      </c>
      <c r="D35" s="123">
        <f>ClubsRevenues[[#Totals],[Actual 10/11]]-ClubsExpenses[[#Totals],[Actual 10/11]]</f>
        <v>-37208.370000000003</v>
      </c>
      <c r="E35" s="123">
        <f>ClubsRevenues[[#Totals],[Budget 11/12]]-ClubsExpenses[[#Totals],[Budget 11/12]]</f>
        <v>-55910</v>
      </c>
      <c r="F35" s="123">
        <f>ClubsRevenues[[#Totals],[Actual 11/12]]-ClubsExpenses[[#Totals],[Actual 11/12]]</f>
        <v>-33773.5</v>
      </c>
      <c r="G35" s="123">
        <f>ClubsRevenues[[#Totals],[Budget 12/13]]-ClubsExpenses[[#Totals],[Budget 12/13]]</f>
        <v>-38426.660000000003</v>
      </c>
      <c r="H35" s="123">
        <f>ClubsRevenues[[#Totals],[Actual 12/13]]-ClubsExpenses[[#Totals],[Actual 12/13]]</f>
        <v>-50358.87</v>
      </c>
      <c r="I35" s="123">
        <f>ClubsRevenues[[#Totals],[Budget 13/14]]-ClubsExpenses[[#Totals],[Budget 13/14]]</f>
        <v>-30234.48</v>
      </c>
      <c r="J35" s="123">
        <f>ClubsRevenues[[#Totals],[Actual 13/14]]-ClubsExpenses[[#Totals],[Actual 13/14]]</f>
        <v>-38007.37000000001</v>
      </c>
      <c r="K35" s="123">
        <f>ClubsRevenues[[#Totals],[Budget 14/15]]-ClubsExpenses[[#Totals],[Budget 14/15]]</f>
        <v>-37811.83</v>
      </c>
      <c r="L35" s="123">
        <f>ClubsRevenues[[#Totals],[Actual 14/15]]-ClubsExpenses[[#Totals],[Actual 14/15]]</f>
        <v>-37731.039999999994</v>
      </c>
      <c r="M35" s="142">
        <f>ClubsRevenues[[#Totals],[Budget 15/16]]-ClubsExpenses[[#Totals],[Budget 15/16]]</f>
        <v>-39946.83</v>
      </c>
      <c r="N35" s="142">
        <f>ClubsRevenues[[#Totals],[Actual 15/16]]-ClubsExpenses[[#Totals],[Actual 15/16]]</f>
        <v>-27817.21</v>
      </c>
      <c r="O35" s="142">
        <f>ClubsRevenues[[#Totals],[Budget 16/17]]-ClubsExpenses[[#Totals],[Budget 16/17]]</f>
        <v>-40371</v>
      </c>
      <c r="P35" s="142">
        <f>ClubsRevenues[[#Totals],[Actual 16/17]]-ClubsExpenses[[#Totals],[Actual 16/17]]</f>
        <v>-40045.950000000004</v>
      </c>
      <c r="Q35" s="316">
        <f>ClubsRevenues[[#Totals],[Budget 17/18]]-ClubsExpenses[[#Totals],[Budget 17/18]]</f>
        <v>-44421</v>
      </c>
      <c r="R35" s="316">
        <f>ClubsRevenues[[#Totals],[Actual 17/18]]-ClubsExpenses[[#Totals],[Actual 17/18]]</f>
        <v>-33869.340000000004</v>
      </c>
      <c r="S35" s="316">
        <f>ClubsRevenues[[#Totals],[Budget 18/19]]-ClubsExpenses[[#Totals],[Budget 18/19]]</f>
        <v>-33791.699999999997</v>
      </c>
      <c r="T35" s="316">
        <f>ClubsRevenues[[#Totals],[Actual 18/19]]-ClubsExpenses[[#Totals],[Actual 18/19]]</f>
        <v>-28492.369999999995</v>
      </c>
      <c r="U35" s="316">
        <f>ClubsRevenues[[#Totals],[Budget 19/20]]-ClubsExpenses[[#Totals],[Budget 19/20]]</f>
        <v>-6028.8050000000003</v>
      </c>
      <c r="V35" s="316">
        <f>ClubsRevenues[[#Totals],[Actual P12 19/20]]-ClubsExpenses[[#Totals],[Actual P12 19/20]]</f>
        <v>-9397.59</v>
      </c>
      <c r="W35" s="316">
        <f>ClubsRevenues[[#Totals],[Budget 20/21]]-ClubsExpenses[[#Totals],[Budget 20/21]]</f>
        <v>-20952.650000000001</v>
      </c>
      <c r="X35" s="316">
        <f>ClubsRevenues[[#Totals],[Actual 20/21]]-ClubsExpenses[[#Totals],[Actual 20/21]]</f>
        <v>-26440.73</v>
      </c>
      <c r="Y35" s="316">
        <f>ClubsRevenues[[#Totals],[Budget 21/22]]-ClubsExpenses[[#Totals],[Budget 21/22]]</f>
        <v>-20080</v>
      </c>
      <c r="Z35" s="316">
        <f>ClubsRevenues[[#Totals],[Actual 21/22]]-ClubsExpenses[[#Totals],[Actual 21/22]]</f>
        <v>-10605.46</v>
      </c>
      <c r="AA35" s="316">
        <f>ClubsRevenues[[#Totals],[Budget 22/23]]-ClubsExpenses[[#Totals],[Budget 22/23]]</f>
        <v>-54392.5</v>
      </c>
    </row>
    <row r="38" spans="2:27">
      <c r="F38" s="122"/>
      <c r="G38" s="122"/>
      <c r="H38" s="122"/>
      <c r="I38" s="122"/>
      <c r="J38" s="122"/>
      <c r="K38" s="122"/>
      <c r="L38" s="122"/>
      <c r="M38" s="122"/>
    </row>
    <row r="39" spans="2:27">
      <c r="F39" s="122"/>
      <c r="G39" s="122"/>
      <c r="H39" s="122"/>
      <c r="I39" s="122"/>
      <c r="J39" s="122"/>
      <c r="K39" s="122"/>
      <c r="L39" s="122"/>
      <c r="M39" s="122"/>
    </row>
    <row r="40" spans="2:27">
      <c r="F40" s="122"/>
      <c r="G40" s="122"/>
      <c r="H40" s="122"/>
      <c r="I40" s="122"/>
      <c r="J40" s="122"/>
      <c r="K40" s="122"/>
      <c r="L40" s="122"/>
      <c r="M40" s="122"/>
    </row>
    <row r="41" spans="2:27">
      <c r="F41" s="122"/>
      <c r="G41" s="122"/>
      <c r="H41" s="122"/>
      <c r="I41" s="122"/>
      <c r="J41" s="122"/>
      <c r="K41" s="122"/>
      <c r="L41" s="122"/>
      <c r="M41" s="122"/>
    </row>
    <row r="42" spans="2:27">
      <c r="F42" s="122"/>
      <c r="G42" s="122"/>
      <c r="H42" s="122"/>
      <c r="I42" s="122"/>
      <c r="J42" s="122"/>
      <c r="K42" s="122"/>
      <c r="L42" s="122"/>
      <c r="M42" s="122"/>
    </row>
    <row r="43" spans="2:27">
      <c r="F43" s="122"/>
      <c r="G43" s="122"/>
      <c r="H43" s="122"/>
      <c r="I43" s="122"/>
      <c r="J43" s="122"/>
      <c r="K43" s="122"/>
      <c r="L43" s="122"/>
      <c r="M43" s="122"/>
    </row>
    <row r="44" spans="2:27">
      <c r="F44" s="122"/>
      <c r="G44" s="122"/>
      <c r="H44" s="122"/>
      <c r="I44" s="122"/>
      <c r="J44" s="122"/>
      <c r="K44" s="122"/>
      <c r="L44" s="122"/>
      <c r="M44" s="122"/>
    </row>
    <row r="45" spans="2:27">
      <c r="F45" s="122"/>
      <c r="G45" s="122"/>
      <c r="H45" s="122"/>
      <c r="I45" s="122"/>
      <c r="J45" s="122"/>
      <c r="K45" s="122"/>
      <c r="L45" s="122"/>
      <c r="M45" s="122"/>
    </row>
    <row r="46" spans="2:27">
      <c r="F46" s="122"/>
      <c r="G46" s="122"/>
      <c r="H46" s="122"/>
      <c r="I46" s="122"/>
      <c r="J46" s="122"/>
      <c r="K46" s="122"/>
      <c r="L46" s="122"/>
      <c r="M46" s="122"/>
    </row>
    <row r="47" spans="2:27">
      <c r="F47" s="122"/>
      <c r="G47" s="122"/>
      <c r="H47" s="122"/>
      <c r="I47" s="122"/>
      <c r="J47" s="122"/>
      <c r="K47" s="122"/>
      <c r="L47" s="122"/>
      <c r="M47" s="122"/>
    </row>
    <row r="48" spans="2:27">
      <c r="F48" s="122"/>
      <c r="G48" s="122"/>
      <c r="H48" s="122"/>
      <c r="I48" s="122"/>
      <c r="J48" s="122"/>
      <c r="K48" s="122"/>
      <c r="L48" s="122"/>
      <c r="M48" s="122"/>
    </row>
    <row r="49" spans="6:13">
      <c r="F49" s="122"/>
      <c r="G49" s="122"/>
      <c r="H49" s="122"/>
      <c r="I49" s="122"/>
      <c r="J49" s="122"/>
      <c r="K49" s="122"/>
      <c r="L49" s="122"/>
      <c r="M49" s="122"/>
    </row>
    <row r="50" spans="6:13">
      <c r="F50" s="122"/>
      <c r="G50" s="122"/>
      <c r="H50" s="122"/>
      <c r="I50" s="122"/>
      <c r="J50" s="122"/>
      <c r="K50" s="122"/>
      <c r="L50" s="122"/>
      <c r="M50" s="122"/>
    </row>
    <row r="51" spans="6:13">
      <c r="F51" s="122"/>
      <c r="G51" s="122"/>
      <c r="H51" s="122"/>
      <c r="I51" s="122"/>
      <c r="J51" s="122"/>
      <c r="K51" s="122"/>
      <c r="L51" s="122"/>
      <c r="M51" s="122"/>
    </row>
    <row r="52" spans="6:13">
      <c r="F52" s="122"/>
      <c r="G52" s="122"/>
      <c r="H52" s="122"/>
      <c r="I52" s="122"/>
      <c r="J52" s="122"/>
      <c r="K52" s="122"/>
      <c r="L52" s="122"/>
      <c r="M52" s="122"/>
    </row>
    <row r="53" spans="6:13">
      <c r="F53" s="122"/>
      <c r="G53" s="122"/>
      <c r="H53" s="122"/>
      <c r="I53" s="122"/>
      <c r="J53" s="122"/>
      <c r="K53" s="122"/>
      <c r="L53" s="122"/>
      <c r="M53" s="122"/>
    </row>
    <row r="54" spans="6:13">
      <c r="F54" s="122"/>
      <c r="G54" s="122"/>
      <c r="H54" s="122"/>
      <c r="I54" s="122"/>
      <c r="J54" s="122"/>
      <c r="K54" s="122"/>
      <c r="L54" s="122"/>
      <c r="M54" s="122"/>
    </row>
    <row r="55" spans="6:13">
      <c r="F55" s="122"/>
      <c r="G55" s="122"/>
      <c r="H55" s="122"/>
      <c r="I55" s="122"/>
      <c r="J55" s="122"/>
      <c r="K55" s="122"/>
      <c r="L55" s="122"/>
      <c r="M55" s="122"/>
    </row>
  </sheetData>
  <mergeCells count="2">
    <mergeCell ref="A1:B1"/>
    <mergeCell ref="A3:B3"/>
  </mergeCells>
  <phoneticPr fontId="117" type="noConversion"/>
  <pageMargins left="0" right="0" top="0.98425196850393704" bottom="0.98425196850393704" header="0.51181102362204722" footer="0.51181102362204722"/>
  <pageSetup paperSize="5" orientation="landscape" r:id="rId1"/>
  <headerFooter alignWithMargins="0"/>
  <legacyDrawing r:id="rId2"/>
  <tableParts count="2">
    <tablePart r:id="rId3"/>
    <tablePart r:id="rId4"/>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theme="1"/>
    <pageSetUpPr fitToPage="1"/>
  </sheetPr>
  <dimension ref="A1:AC42"/>
  <sheetViews>
    <sheetView showGridLines="0" zoomScale="90" zoomScaleNormal="90" workbookViewId="0">
      <selection activeCell="Z11" sqref="Z11"/>
    </sheetView>
  </sheetViews>
  <sheetFormatPr defaultColWidth="11.42578125" defaultRowHeight="12.75"/>
  <cols>
    <col min="1" max="1" width="13.85546875" customWidth="1"/>
    <col min="2" max="2" width="26.85546875" customWidth="1"/>
    <col min="3" max="4" width="15.42578125" hidden="1" customWidth="1"/>
    <col min="5" max="13" width="16" hidden="1" customWidth="1"/>
    <col min="14" max="14" width="16" style="138" hidden="1" customWidth="1"/>
    <col min="15" max="15" width="16" hidden="1" customWidth="1"/>
    <col min="16" max="17" width="17.42578125" hidden="1" customWidth="1"/>
    <col min="18" max="18" width="18.140625" hidden="1" customWidth="1"/>
    <col min="19" max="19" width="19.42578125" hidden="1" customWidth="1"/>
    <col min="20" max="20" width="16" hidden="1" customWidth="1"/>
    <col min="21" max="21" width="16.42578125" hidden="1" customWidth="1"/>
    <col min="22" max="22" width="16.85546875" hidden="1" customWidth="1"/>
    <col min="23" max="23" width="19.7109375" hidden="1" customWidth="1"/>
    <col min="24" max="24" width="19.28515625" style="394" hidden="1" customWidth="1"/>
    <col min="25" max="25" width="21.7109375" customWidth="1"/>
    <col min="26" max="26" width="16.42578125" customWidth="1"/>
  </cols>
  <sheetData>
    <row r="1" spans="1:27" ht="18">
      <c r="A1" s="758" t="s">
        <v>338</v>
      </c>
      <c r="B1" s="758"/>
      <c r="C1" s="758"/>
      <c r="D1" s="10"/>
      <c r="E1" s="10"/>
      <c r="F1" s="10"/>
      <c r="G1" s="10"/>
      <c r="H1" s="10"/>
      <c r="I1" s="10"/>
      <c r="J1" s="10"/>
      <c r="K1" s="10"/>
      <c r="L1" s="10"/>
      <c r="M1" s="10"/>
    </row>
    <row r="2" spans="1:27">
      <c r="A2" s="28" t="s">
        <v>226</v>
      </c>
      <c r="B2" s="11"/>
      <c r="C2" s="11"/>
      <c r="D2" s="11"/>
      <c r="E2" s="11"/>
      <c r="F2" s="11"/>
      <c r="G2" s="11"/>
      <c r="H2" s="11"/>
      <c r="I2" s="11"/>
      <c r="J2" s="11"/>
      <c r="K2" s="11"/>
      <c r="L2" s="11"/>
      <c r="M2" s="11"/>
      <c r="Y2" t="s">
        <v>339</v>
      </c>
    </row>
    <row r="3" spans="1:27">
      <c r="A3" s="763"/>
      <c r="B3" s="763"/>
      <c r="C3" s="11"/>
      <c r="D3" s="11"/>
      <c r="E3" s="11"/>
      <c r="F3" s="11"/>
      <c r="G3" s="11"/>
      <c r="H3" s="11"/>
      <c r="I3" s="11"/>
      <c r="J3" s="11"/>
      <c r="K3" s="11"/>
      <c r="L3" s="11"/>
      <c r="M3" s="11"/>
      <c r="N3" s="134"/>
      <c r="O3" s="19"/>
      <c r="P3" s="19"/>
      <c r="Q3" s="19"/>
      <c r="R3" s="19"/>
    </row>
    <row r="4" spans="1:27">
      <c r="A4" s="11"/>
      <c r="B4" s="11"/>
      <c r="C4" s="11"/>
      <c r="D4" s="11"/>
      <c r="E4" s="11"/>
      <c r="F4" s="11"/>
      <c r="G4" s="11"/>
      <c r="H4" s="11"/>
      <c r="I4" s="11"/>
      <c r="J4" s="11"/>
      <c r="K4" s="11"/>
      <c r="L4" s="11"/>
      <c r="M4" s="11"/>
      <c r="N4" s="134"/>
      <c r="O4" s="19"/>
      <c r="P4" s="19"/>
      <c r="Q4" s="19"/>
      <c r="R4" s="19"/>
    </row>
    <row r="5" spans="1:27">
      <c r="A5" s="48" t="s">
        <v>130</v>
      </c>
      <c r="B5" s="11" t="s">
        <v>72</v>
      </c>
      <c r="C5" s="11" t="s">
        <v>340</v>
      </c>
      <c r="D5" s="11" t="s">
        <v>74</v>
      </c>
      <c r="E5" s="11" t="s">
        <v>75</v>
      </c>
      <c r="F5" s="11" t="s">
        <v>76</v>
      </c>
      <c r="G5" s="11" t="s">
        <v>77</v>
      </c>
      <c r="H5" s="11" t="s">
        <v>78</v>
      </c>
      <c r="I5" s="11" t="s">
        <v>5</v>
      </c>
      <c r="J5" s="11" t="s">
        <v>6</v>
      </c>
      <c r="K5" s="11" t="s">
        <v>7</v>
      </c>
      <c r="L5" s="11" t="s">
        <v>8</v>
      </c>
      <c r="M5" s="11" t="s">
        <v>9</v>
      </c>
      <c r="N5" s="119" t="s">
        <v>10</v>
      </c>
      <c r="O5" s="11" t="s">
        <v>11</v>
      </c>
      <c r="P5" s="11" t="s">
        <v>12</v>
      </c>
      <c r="Q5" s="11" t="s">
        <v>13</v>
      </c>
      <c r="R5" s="11" t="s">
        <v>341</v>
      </c>
      <c r="S5" s="11" t="s">
        <v>15</v>
      </c>
      <c r="T5" s="11" t="s">
        <v>268</v>
      </c>
      <c r="U5" s="11" t="s">
        <v>16</v>
      </c>
      <c r="V5" s="11" t="s">
        <v>81</v>
      </c>
      <c r="W5" s="11" t="s">
        <v>61</v>
      </c>
      <c r="X5" s="531" t="s">
        <v>40</v>
      </c>
      <c r="Y5" s="11" t="s">
        <v>41</v>
      </c>
      <c r="Z5" s="5" t="s">
        <v>42</v>
      </c>
      <c r="AA5" s="5" t="s">
        <v>43</v>
      </c>
    </row>
    <row r="6" spans="1:27">
      <c r="A6" s="48" t="s">
        <v>342</v>
      </c>
      <c r="B6" s="11" t="s">
        <v>343</v>
      </c>
      <c r="C6" s="178">
        <v>0</v>
      </c>
      <c r="D6" s="178">
        <v>0</v>
      </c>
      <c r="E6" s="178">
        <v>0</v>
      </c>
      <c r="F6" s="178">
        <v>0</v>
      </c>
      <c r="G6" s="178">
        <v>0</v>
      </c>
      <c r="H6" s="178">
        <v>376</v>
      </c>
      <c r="I6" s="178">
        <v>0</v>
      </c>
      <c r="J6" s="178">
        <v>636.78</v>
      </c>
      <c r="K6" s="178">
        <v>0</v>
      </c>
      <c r="L6" s="178">
        <v>2075.5300000000002</v>
      </c>
      <c r="M6" s="178">
        <v>0</v>
      </c>
      <c r="N6" s="145">
        <v>0</v>
      </c>
      <c r="O6" s="178">
        <v>0</v>
      </c>
      <c r="P6" s="178"/>
      <c r="Q6" s="178"/>
      <c r="R6" s="178">
        <v>5263.46</v>
      </c>
      <c r="S6" s="178">
        <v>1250</v>
      </c>
      <c r="T6" s="178">
        <v>4233.75</v>
      </c>
      <c r="U6" s="178">
        <v>800</v>
      </c>
      <c r="V6" s="178">
        <v>1070</v>
      </c>
      <c r="W6" s="178">
        <v>800</v>
      </c>
      <c r="X6" s="532"/>
      <c r="Y6" s="2">
        <v>400</v>
      </c>
      <c r="Z6" s="2">
        <v>0</v>
      </c>
      <c r="AA6" s="2"/>
    </row>
    <row r="7" spans="1:27">
      <c r="A7" s="48" t="s">
        <v>344</v>
      </c>
      <c r="B7" s="11" t="s">
        <v>295</v>
      </c>
      <c r="C7" s="44">
        <v>0</v>
      </c>
      <c r="D7" s="44">
        <v>0</v>
      </c>
      <c r="E7" s="44">
        <v>0</v>
      </c>
      <c r="F7" s="44">
        <v>941.17</v>
      </c>
      <c r="G7" s="44">
        <v>0</v>
      </c>
      <c r="H7" s="44">
        <v>432.59</v>
      </c>
      <c r="I7" s="44">
        <v>0</v>
      </c>
      <c r="J7" s="44">
        <v>350</v>
      </c>
      <c r="K7" s="44">
        <v>0</v>
      </c>
      <c r="L7" s="44">
        <v>556.05999999999995</v>
      </c>
      <c r="M7" s="44">
        <v>0</v>
      </c>
      <c r="N7" s="149">
        <v>1250</v>
      </c>
      <c r="O7" s="44">
        <v>0</v>
      </c>
      <c r="P7" s="178">
        <v>200</v>
      </c>
      <c r="Q7" s="178">
        <v>1250</v>
      </c>
      <c r="R7" s="178"/>
      <c r="S7" s="178"/>
      <c r="T7" s="178"/>
      <c r="U7" s="178"/>
      <c r="V7" s="178">
        <v>0</v>
      </c>
      <c r="W7" s="178"/>
      <c r="X7" s="532"/>
      <c r="Y7" s="2"/>
      <c r="Z7" s="2"/>
      <c r="AA7" s="2"/>
    </row>
    <row r="8" spans="1:27">
      <c r="A8" s="48"/>
      <c r="B8" s="11" t="s">
        <v>21</v>
      </c>
      <c r="C8" s="178">
        <f>SUBTOTAL(109,CRTRevenues[Budget10/11])</f>
        <v>0</v>
      </c>
      <c r="D8" s="178">
        <f>SUBTOTAL(109,CRTRevenues[Actual 10/11])</f>
        <v>0</v>
      </c>
      <c r="E8" s="178">
        <f>SUBTOTAL(109,CRTRevenues[Budget 11/12])</f>
        <v>0</v>
      </c>
      <c r="F8" s="178">
        <f>SUBTOTAL(109,CRTRevenues[Actual 11/12])</f>
        <v>941.17</v>
      </c>
      <c r="G8" s="178">
        <f>SUBTOTAL(109,CRTRevenues[Budget 12/13])</f>
        <v>0</v>
      </c>
      <c r="H8" s="178">
        <f>SUBTOTAL(109,CRTRevenues[Actual 12/13])</f>
        <v>808.58999999999992</v>
      </c>
      <c r="I8" s="178">
        <f>SUBTOTAL(109,CRTRevenues[Budget 13/14])</f>
        <v>0</v>
      </c>
      <c r="J8" s="178">
        <f>SUBTOTAL(109,CRTRevenues[Actual 13/14])</f>
        <v>986.78</v>
      </c>
      <c r="K8" s="178">
        <f>SUBTOTAL(109,CRTRevenues[Budget 14/15])</f>
        <v>0</v>
      </c>
      <c r="L8" s="178">
        <f>SUBTOTAL(109,CRTRevenues[Actual 14/15])</f>
        <v>2631.59</v>
      </c>
      <c r="M8" s="178">
        <f>SUBTOTAL(109,CRTRevenues[Budget 15/16])</f>
        <v>0</v>
      </c>
      <c r="N8" s="145">
        <f>SUBTOTAL(109,CRTRevenues[Actual 15/16])</f>
        <v>1250</v>
      </c>
      <c r="O8" s="145">
        <f>SUBTOTAL(109,CRTRevenues[Budget 16/17])</f>
        <v>0</v>
      </c>
      <c r="P8" s="145">
        <f>SUBTOTAL(109,CRTRevenues[Actual 16/17])</f>
        <v>200</v>
      </c>
      <c r="Q8" s="145">
        <f>SUBTOTAL(109,CRTRevenues[Budget 17/18])</f>
        <v>1250</v>
      </c>
      <c r="R8" s="161">
        <f>SUM(CRTRevenues[Acutal 17/18])</f>
        <v>5263.46</v>
      </c>
      <c r="S8" s="161">
        <f>SUM(CRTRevenues[Budget 18/19])</f>
        <v>1250</v>
      </c>
      <c r="T8" s="161">
        <f>SUM(CRTRevenues[Budget 18/20])</f>
        <v>4233.75</v>
      </c>
      <c r="U8" s="161">
        <f>SUM(CRTRevenues[Budget 19/20])</f>
        <v>800</v>
      </c>
      <c r="V8" s="161">
        <f>SUM(CRTRevenues[Actual P12 19/20])</f>
        <v>1070</v>
      </c>
      <c r="W8" s="161">
        <f>SUM(CRTRevenues[Budget 19/21])</f>
        <v>800</v>
      </c>
      <c r="X8" s="533">
        <f>SUM(CRTRevenues[Actual 20/21])</f>
        <v>0</v>
      </c>
      <c r="Y8" s="161">
        <f>SUM(CRTRevenues[Budget 21/22])</f>
        <v>400</v>
      </c>
      <c r="Z8" s="161">
        <f>SUBTOTAL(109,CRTRevenues[Actual 21/22])</f>
        <v>0</v>
      </c>
      <c r="AA8" s="132"/>
    </row>
    <row r="9" spans="1:27">
      <c r="A9" s="48"/>
      <c r="B9" s="16"/>
      <c r="C9" s="16"/>
      <c r="D9" s="16"/>
      <c r="E9" s="16"/>
      <c r="F9" s="16"/>
      <c r="G9" s="16"/>
      <c r="H9" s="16"/>
      <c r="I9" s="16"/>
      <c r="J9" s="16"/>
      <c r="K9" s="16"/>
      <c r="L9" s="16"/>
      <c r="M9" s="16"/>
      <c r="N9" s="134"/>
      <c r="O9" s="19"/>
      <c r="P9" s="19"/>
      <c r="Q9" s="19"/>
      <c r="R9" s="19"/>
    </row>
    <row r="10" spans="1:27">
      <c r="A10" s="48" t="s">
        <v>130</v>
      </c>
      <c r="B10" s="11" t="s">
        <v>22</v>
      </c>
      <c r="C10" s="11" t="s">
        <v>73</v>
      </c>
      <c r="D10" s="11" t="s">
        <v>74</v>
      </c>
      <c r="E10" s="11" t="s">
        <v>75</v>
      </c>
      <c r="F10" s="11" t="s">
        <v>76</v>
      </c>
      <c r="G10" s="11" t="s">
        <v>77</v>
      </c>
      <c r="H10" s="11" t="s">
        <v>78</v>
      </c>
      <c r="I10" s="11" t="s">
        <v>5</v>
      </c>
      <c r="J10" s="11" t="s">
        <v>6</v>
      </c>
      <c r="K10" s="11" t="s">
        <v>7</v>
      </c>
      <c r="L10" s="11" t="s">
        <v>8</v>
      </c>
      <c r="M10" s="11" t="s">
        <v>9</v>
      </c>
      <c r="N10" s="119" t="s">
        <v>10</v>
      </c>
      <c r="O10" s="11" t="s">
        <v>11</v>
      </c>
      <c r="P10" s="11" t="s">
        <v>12</v>
      </c>
      <c r="Q10" s="11" t="s">
        <v>13</v>
      </c>
      <c r="R10" s="11" t="s">
        <v>14</v>
      </c>
      <c r="S10" s="11" t="s">
        <v>15</v>
      </c>
      <c r="T10" s="11" t="s">
        <v>268</v>
      </c>
      <c r="U10" s="11" t="s">
        <v>16</v>
      </c>
      <c r="V10" s="11" t="s">
        <v>81</v>
      </c>
      <c r="W10" s="11" t="s">
        <v>61</v>
      </c>
      <c r="X10" s="531" t="s">
        <v>40</v>
      </c>
      <c r="Y10" s="11" t="s">
        <v>41</v>
      </c>
      <c r="Z10" s="5" t="s">
        <v>42</v>
      </c>
      <c r="AA10" s="5" t="s">
        <v>43</v>
      </c>
    </row>
    <row r="11" spans="1:27">
      <c r="A11" s="48" t="s">
        <v>345</v>
      </c>
      <c r="B11" s="11" t="s">
        <v>346</v>
      </c>
      <c r="C11" s="178"/>
      <c r="D11" s="178"/>
      <c r="E11" s="178"/>
      <c r="F11" s="178"/>
      <c r="G11" s="178"/>
      <c r="H11" s="178"/>
      <c r="I11" s="178"/>
      <c r="J11" s="178"/>
      <c r="K11" s="178"/>
      <c r="L11" s="178"/>
      <c r="M11" s="178"/>
      <c r="N11" s="178"/>
      <c r="O11" s="178"/>
      <c r="P11" s="178"/>
      <c r="Q11" s="178"/>
      <c r="R11" s="117"/>
      <c r="S11" s="117"/>
      <c r="T11" s="11"/>
      <c r="U11" s="706"/>
      <c r="V11" s="178"/>
      <c r="W11" s="11"/>
      <c r="X11" s="531"/>
      <c r="Y11" s="2"/>
      <c r="Z11" s="21">
        <v>-1143.08</v>
      </c>
      <c r="AA11" s="11"/>
    </row>
    <row r="12" spans="1:27">
      <c r="A12" s="48" t="s">
        <v>347</v>
      </c>
      <c r="B12" s="11" t="s">
        <v>348</v>
      </c>
      <c r="C12" s="178"/>
      <c r="D12" s="178"/>
      <c r="E12" s="178"/>
      <c r="F12" s="178"/>
      <c r="G12" s="178"/>
      <c r="H12" s="178"/>
      <c r="I12" s="178"/>
      <c r="J12" s="178"/>
      <c r="K12" s="178"/>
      <c r="L12" s="178"/>
      <c r="M12" s="178"/>
      <c r="N12" s="178"/>
      <c r="O12" s="178"/>
      <c r="P12" s="178"/>
      <c r="Q12" s="178"/>
      <c r="R12" s="44"/>
      <c r="S12" s="44"/>
      <c r="T12" s="11"/>
      <c r="U12" s="384"/>
      <c r="V12" s="384">
        <v>0</v>
      </c>
      <c r="W12" s="385">
        <v>9600</v>
      </c>
      <c r="X12" s="531">
        <v>9500.35</v>
      </c>
      <c r="Y12" s="2">
        <v>5000</v>
      </c>
      <c r="Z12" s="21">
        <v>10457.26</v>
      </c>
      <c r="AA12" s="11"/>
    </row>
    <row r="13" spans="1:27">
      <c r="A13" s="48"/>
      <c r="B13" s="11" t="s">
        <v>349</v>
      </c>
      <c r="C13" s="178"/>
      <c r="D13" s="178"/>
      <c r="E13" s="178"/>
      <c r="F13" s="178"/>
      <c r="G13" s="178"/>
      <c r="H13" s="178"/>
      <c r="I13" s="178"/>
      <c r="J13" s="178"/>
      <c r="K13" s="178"/>
      <c r="L13" s="178"/>
      <c r="M13" s="178"/>
      <c r="N13" s="178"/>
      <c r="O13" s="178"/>
      <c r="P13" s="178"/>
      <c r="Q13" s="178"/>
      <c r="R13" s="44"/>
      <c r="S13" s="44"/>
      <c r="T13" s="11"/>
      <c r="U13" s="384"/>
      <c r="V13" s="384"/>
      <c r="W13" s="385">
        <v>2000</v>
      </c>
      <c r="X13" s="531"/>
      <c r="Y13" s="2"/>
      <c r="Z13" s="11"/>
      <c r="AA13" s="11"/>
    </row>
    <row r="14" spans="1:27">
      <c r="A14" s="48" t="s">
        <v>350</v>
      </c>
      <c r="B14" s="11" t="s">
        <v>142</v>
      </c>
      <c r="C14" s="178">
        <v>1200</v>
      </c>
      <c r="D14" s="178">
        <v>1222.8699999999999</v>
      </c>
      <c r="E14" s="178">
        <v>1400</v>
      </c>
      <c r="F14" s="178">
        <v>1530.71</v>
      </c>
      <c r="G14" s="178">
        <v>2200</v>
      </c>
      <c r="H14" s="178">
        <v>2029.61</v>
      </c>
      <c r="I14" s="178">
        <v>1950</v>
      </c>
      <c r="J14" s="178">
        <v>1832.63</v>
      </c>
      <c r="K14" s="178">
        <v>2110</v>
      </c>
      <c r="L14" s="178">
        <v>3595.81</v>
      </c>
      <c r="M14" s="178">
        <v>3200</v>
      </c>
      <c r="N14" s="145">
        <v>2486.2600000000002</v>
      </c>
      <c r="O14" s="178">
        <v>3200</v>
      </c>
      <c r="P14" s="178">
        <v>2270.56</v>
      </c>
      <c r="Q14" s="178">
        <v>3510</v>
      </c>
      <c r="R14" s="178">
        <v>2014.58</v>
      </c>
      <c r="S14" s="178">
        <v>2630</v>
      </c>
      <c r="T14" s="178">
        <v>2114.7399999999998</v>
      </c>
      <c r="U14" s="178">
        <v>1950</v>
      </c>
      <c r="V14" s="178">
        <v>598.09</v>
      </c>
      <c r="W14" s="178">
        <v>1800</v>
      </c>
      <c r="X14" s="531">
        <v>3460.43</v>
      </c>
      <c r="Y14" s="2">
        <v>940</v>
      </c>
      <c r="Z14" s="21">
        <v>380</v>
      </c>
      <c r="AA14" s="11"/>
    </row>
    <row r="15" spans="1:27">
      <c r="A15" s="48" t="s">
        <v>351</v>
      </c>
      <c r="B15" s="11" t="s">
        <v>93</v>
      </c>
      <c r="C15" s="178">
        <v>250</v>
      </c>
      <c r="D15" s="178">
        <v>282.45</v>
      </c>
      <c r="E15" s="178">
        <v>275</v>
      </c>
      <c r="F15" s="178">
        <v>278.12</v>
      </c>
      <c r="G15" s="178">
        <v>250</v>
      </c>
      <c r="H15" s="178">
        <v>392.14</v>
      </c>
      <c r="I15" s="178">
        <v>560</v>
      </c>
      <c r="J15" s="178">
        <v>550.34</v>
      </c>
      <c r="K15" s="178">
        <v>560</v>
      </c>
      <c r="L15" s="178">
        <v>535.42999999999995</v>
      </c>
      <c r="M15" s="178">
        <v>330</v>
      </c>
      <c r="N15" s="145">
        <v>365.43</v>
      </c>
      <c r="O15" s="178">
        <v>330</v>
      </c>
      <c r="P15" s="178">
        <v>308.35000000000002</v>
      </c>
      <c r="Q15" s="178">
        <v>400</v>
      </c>
      <c r="R15" s="178">
        <v>365.67</v>
      </c>
      <c r="S15" s="178">
        <v>350</v>
      </c>
      <c r="T15" s="178">
        <v>274.2</v>
      </c>
      <c r="U15" s="178">
        <v>350</v>
      </c>
      <c r="V15" s="178">
        <v>364.79</v>
      </c>
      <c r="W15" s="178">
        <v>400</v>
      </c>
      <c r="X15" s="531">
        <v>274.2</v>
      </c>
      <c r="Y15" s="2"/>
      <c r="Z15" s="21">
        <v>91.4</v>
      </c>
      <c r="AA15" s="11"/>
    </row>
    <row r="16" spans="1:27">
      <c r="A16" s="48" t="s">
        <v>352</v>
      </c>
      <c r="B16" s="11" t="s">
        <v>100</v>
      </c>
      <c r="C16" s="178">
        <v>300</v>
      </c>
      <c r="D16" s="178">
        <v>440.19</v>
      </c>
      <c r="E16" s="178">
        <v>400</v>
      </c>
      <c r="F16" s="178">
        <v>526.9</v>
      </c>
      <c r="G16" s="178">
        <v>400</v>
      </c>
      <c r="H16" s="178">
        <v>520.62</v>
      </c>
      <c r="I16" s="178">
        <v>450</v>
      </c>
      <c r="J16" s="178">
        <v>641.47</v>
      </c>
      <c r="K16" s="178">
        <v>650</v>
      </c>
      <c r="L16" s="178">
        <v>395.84</v>
      </c>
      <c r="M16" s="178">
        <f>600+130</f>
        <v>730</v>
      </c>
      <c r="N16" s="145">
        <v>468</v>
      </c>
      <c r="O16" s="178">
        <v>600</v>
      </c>
      <c r="P16" s="178"/>
      <c r="Q16" s="178">
        <v>400</v>
      </c>
      <c r="R16" s="178">
        <v>521.12</v>
      </c>
      <c r="S16" s="178">
        <v>400</v>
      </c>
      <c r="T16" s="178">
        <v>512</v>
      </c>
      <c r="U16" s="178">
        <v>350</v>
      </c>
      <c r="V16" s="178">
        <v>381.12</v>
      </c>
      <c r="W16" s="178">
        <v>350</v>
      </c>
      <c r="X16" s="531">
        <v>374.56</v>
      </c>
      <c r="Y16" s="2"/>
      <c r="Z16" s="21"/>
      <c r="AA16" s="11"/>
    </row>
    <row r="17" spans="1:29">
      <c r="A17" s="48" t="s">
        <v>353</v>
      </c>
      <c r="B17" s="11" t="s">
        <v>300</v>
      </c>
      <c r="C17" s="178">
        <v>200</v>
      </c>
      <c r="D17" s="178">
        <v>262.32</v>
      </c>
      <c r="E17" s="178">
        <v>300</v>
      </c>
      <c r="F17" s="178">
        <v>351.95</v>
      </c>
      <c r="G17" s="178">
        <v>200</v>
      </c>
      <c r="H17" s="178">
        <v>335.59</v>
      </c>
      <c r="I17" s="178">
        <v>300</v>
      </c>
      <c r="J17" s="178">
        <v>566.71</v>
      </c>
      <c r="K17" s="178">
        <v>450</v>
      </c>
      <c r="L17" s="178">
        <v>1199.93</v>
      </c>
      <c r="M17" s="178">
        <f>500-130</f>
        <v>370</v>
      </c>
      <c r="N17" s="145">
        <v>368.55</v>
      </c>
      <c r="O17" s="178">
        <v>370</v>
      </c>
      <c r="P17" s="178">
        <v>288.11</v>
      </c>
      <c r="Q17" s="178">
        <v>370</v>
      </c>
      <c r="R17" s="178">
        <v>160.28</v>
      </c>
      <c r="S17" s="178">
        <v>200</v>
      </c>
      <c r="T17" s="178">
        <v>104.46</v>
      </c>
      <c r="U17" s="178">
        <v>700</v>
      </c>
      <c r="V17" s="178">
        <v>99.23</v>
      </c>
      <c r="W17" s="178">
        <v>300</v>
      </c>
      <c r="X17" s="531">
        <v>-7.06</v>
      </c>
      <c r="Y17" s="2"/>
      <c r="Z17" s="21">
        <v>728.15</v>
      </c>
      <c r="AA17" s="11"/>
    </row>
    <row r="18" spans="1:29">
      <c r="A18" s="48" t="s">
        <v>354</v>
      </c>
      <c r="B18" s="11" t="s">
        <v>355</v>
      </c>
      <c r="C18" s="178">
        <v>250</v>
      </c>
      <c r="D18" s="178">
        <v>111.3</v>
      </c>
      <c r="E18" s="178">
        <v>150</v>
      </c>
      <c r="F18" s="178">
        <v>187.4</v>
      </c>
      <c r="G18" s="178">
        <v>275</v>
      </c>
      <c r="H18" s="178">
        <v>305.39999999999998</v>
      </c>
      <c r="I18" s="178">
        <v>350</v>
      </c>
      <c r="J18" s="178">
        <v>105.1</v>
      </c>
      <c r="K18" s="178">
        <v>350</v>
      </c>
      <c r="L18" s="178">
        <v>224.6</v>
      </c>
      <c r="M18" s="178">
        <v>300</v>
      </c>
      <c r="N18" s="145">
        <v>220.19</v>
      </c>
      <c r="O18" s="178">
        <v>240</v>
      </c>
      <c r="P18" s="178">
        <v>194.36</v>
      </c>
      <c r="Q18" s="178">
        <v>420</v>
      </c>
      <c r="R18" s="178">
        <v>1116.97</v>
      </c>
      <c r="S18" s="178">
        <v>250</v>
      </c>
      <c r="T18" s="178">
        <v>235.26</v>
      </c>
      <c r="U18" s="178">
        <v>0</v>
      </c>
      <c r="V18" s="178">
        <v>0</v>
      </c>
      <c r="W18" s="178">
        <v>200</v>
      </c>
      <c r="X18" s="531"/>
      <c r="Y18" s="2"/>
      <c r="Z18" s="21"/>
      <c r="AA18" s="11"/>
    </row>
    <row r="19" spans="1:29">
      <c r="A19" s="48" t="s">
        <v>356</v>
      </c>
      <c r="B19" s="11" t="s">
        <v>104</v>
      </c>
      <c r="C19" s="178">
        <v>250</v>
      </c>
      <c r="D19" s="178">
        <v>244.35</v>
      </c>
      <c r="E19" s="178">
        <v>250</v>
      </c>
      <c r="F19" s="178">
        <v>314.39999999999998</v>
      </c>
      <c r="G19" s="178">
        <v>300</v>
      </c>
      <c r="H19" s="178">
        <v>403.44</v>
      </c>
      <c r="I19" s="178">
        <v>450</v>
      </c>
      <c r="J19" s="178">
        <v>367.47</v>
      </c>
      <c r="K19" s="178">
        <v>450</v>
      </c>
      <c r="L19" s="178">
        <v>419.82</v>
      </c>
      <c r="M19" s="178">
        <v>450</v>
      </c>
      <c r="N19" s="145">
        <v>441.49</v>
      </c>
      <c r="O19" s="178">
        <v>360</v>
      </c>
      <c r="P19" s="178">
        <v>354.26</v>
      </c>
      <c r="Q19" s="178">
        <v>540</v>
      </c>
      <c r="R19" s="178">
        <v>339.21</v>
      </c>
      <c r="S19" s="178">
        <v>360</v>
      </c>
      <c r="T19" s="178">
        <v>186.02</v>
      </c>
      <c r="U19" s="178">
        <v>20</v>
      </c>
      <c r="V19" s="178">
        <v>6.75</v>
      </c>
      <c r="W19" s="178">
        <v>50</v>
      </c>
      <c r="X19" s="531"/>
      <c r="Y19" s="2"/>
      <c r="Z19" s="21"/>
      <c r="AA19" s="11"/>
      <c r="AC19" s="489"/>
    </row>
    <row r="20" spans="1:29">
      <c r="A20" s="48" t="s">
        <v>357</v>
      </c>
      <c r="B20" s="11" t="s">
        <v>307</v>
      </c>
      <c r="C20" s="178">
        <v>1750</v>
      </c>
      <c r="D20" s="178">
        <v>1643.05</v>
      </c>
      <c r="E20" s="178">
        <v>2350</v>
      </c>
      <c r="F20" s="178">
        <v>3376.58</v>
      </c>
      <c r="G20" s="178">
        <v>3000</v>
      </c>
      <c r="H20" s="178">
        <v>4095.99</v>
      </c>
      <c r="I20" s="178">
        <v>3500</v>
      </c>
      <c r="J20" s="178">
        <v>1803.04</v>
      </c>
      <c r="K20" s="178">
        <v>3000</v>
      </c>
      <c r="L20" s="178">
        <v>2525.8200000000002</v>
      </c>
      <c r="M20" s="178">
        <v>2000</v>
      </c>
      <c r="N20" s="145">
        <v>1109.4000000000001</v>
      </c>
      <c r="O20" s="178">
        <v>500</v>
      </c>
      <c r="P20" s="178">
        <v>295.04000000000002</v>
      </c>
      <c r="Q20" s="178">
        <v>820</v>
      </c>
      <c r="R20" s="178">
        <v>3595.42</v>
      </c>
      <c r="S20" s="178">
        <v>1000</v>
      </c>
      <c r="T20" s="178">
        <v>920</v>
      </c>
      <c r="U20" s="178">
        <v>1000</v>
      </c>
      <c r="V20" s="178">
        <v>1000</v>
      </c>
      <c r="W20" s="178">
        <v>500</v>
      </c>
      <c r="X20" s="531"/>
      <c r="Y20" s="2"/>
      <c r="Z20" s="21"/>
      <c r="AA20" s="11"/>
    </row>
    <row r="21" spans="1:29">
      <c r="A21" s="48" t="s">
        <v>358</v>
      </c>
      <c r="B21" s="11" t="s">
        <v>359</v>
      </c>
      <c r="C21" s="178">
        <v>0</v>
      </c>
      <c r="D21" s="178">
        <v>0</v>
      </c>
      <c r="E21" s="178">
        <v>0</v>
      </c>
      <c r="F21" s="178">
        <v>0</v>
      </c>
      <c r="G21" s="178">
        <v>0</v>
      </c>
      <c r="H21" s="178">
        <v>0</v>
      </c>
      <c r="I21" s="178">
        <v>0</v>
      </c>
      <c r="J21" s="178">
        <v>0</v>
      </c>
      <c r="K21" s="178">
        <v>0</v>
      </c>
      <c r="L21" s="178">
        <v>0</v>
      </c>
      <c r="M21" s="178">
        <v>0</v>
      </c>
      <c r="N21" s="145">
        <v>0</v>
      </c>
      <c r="O21" s="178">
        <v>0</v>
      </c>
      <c r="P21" s="178"/>
      <c r="Q21" s="178"/>
      <c r="R21" s="178"/>
      <c r="S21" s="178"/>
      <c r="T21" s="178">
        <v>100</v>
      </c>
      <c r="U21" s="178">
        <v>100</v>
      </c>
      <c r="V21" s="178">
        <v>100</v>
      </c>
      <c r="W21" s="178">
        <v>100</v>
      </c>
      <c r="X21" s="531">
        <v>100</v>
      </c>
      <c r="Y21" s="2"/>
      <c r="Z21" s="21"/>
      <c r="AA21" s="11"/>
      <c r="AC21" s="489"/>
    </row>
    <row r="22" spans="1:29">
      <c r="A22" s="48" t="s">
        <v>360</v>
      </c>
      <c r="B22" s="11" t="s">
        <v>336</v>
      </c>
      <c r="C22" s="178">
        <v>112.5</v>
      </c>
      <c r="D22" s="178">
        <v>16.39</v>
      </c>
      <c r="E22" s="178">
        <v>250</v>
      </c>
      <c r="F22" s="178">
        <v>1158.7</v>
      </c>
      <c r="G22" s="178">
        <v>0</v>
      </c>
      <c r="H22" s="178">
        <v>0</v>
      </c>
      <c r="I22" s="178">
        <v>0</v>
      </c>
      <c r="J22" s="178">
        <v>0</v>
      </c>
      <c r="K22" s="178">
        <v>0</v>
      </c>
      <c r="L22" s="178">
        <v>-12.43</v>
      </c>
      <c r="M22" s="178">
        <v>0</v>
      </c>
      <c r="N22" s="145">
        <v>0</v>
      </c>
      <c r="O22" s="178">
        <v>0</v>
      </c>
      <c r="P22" s="178"/>
      <c r="Q22" s="178"/>
      <c r="R22" s="178"/>
      <c r="S22" s="178"/>
      <c r="T22" s="178"/>
      <c r="U22" s="178"/>
      <c r="V22" s="178">
        <v>0</v>
      </c>
      <c r="W22" s="178"/>
      <c r="X22" s="531"/>
      <c r="Y22" s="2"/>
      <c r="Z22" s="21"/>
      <c r="AA22" s="11"/>
    </row>
    <row r="23" spans="1:29">
      <c r="A23" s="48" t="s">
        <v>361</v>
      </c>
      <c r="B23" s="11" t="s">
        <v>291</v>
      </c>
      <c r="C23" s="178">
        <v>0</v>
      </c>
      <c r="D23" s="178">
        <v>0</v>
      </c>
      <c r="E23" s="178">
        <v>0</v>
      </c>
      <c r="F23" s="178">
        <v>0</v>
      </c>
      <c r="G23" s="178">
        <v>0</v>
      </c>
      <c r="H23" s="178">
        <v>0</v>
      </c>
      <c r="I23" s="178">
        <v>0</v>
      </c>
      <c r="J23" s="178">
        <v>0</v>
      </c>
      <c r="K23" s="178">
        <v>0</v>
      </c>
      <c r="L23" s="178">
        <v>0</v>
      </c>
      <c r="M23" s="178">
        <v>0</v>
      </c>
      <c r="N23" s="145">
        <v>115</v>
      </c>
      <c r="O23" s="178">
        <v>0</v>
      </c>
      <c r="P23" s="178">
        <v>-20</v>
      </c>
      <c r="Q23" s="178"/>
      <c r="R23" s="178"/>
      <c r="S23" s="178"/>
      <c r="T23" s="178"/>
      <c r="U23" s="178"/>
      <c r="V23" s="178">
        <v>0</v>
      </c>
      <c r="W23" s="178"/>
      <c r="X23" s="531">
        <v>523.19000000000005</v>
      </c>
      <c r="Y23" s="2"/>
      <c r="Z23" s="21"/>
      <c r="AA23" s="11"/>
      <c r="AC23" s="489"/>
    </row>
    <row r="24" spans="1:29">
      <c r="A24" s="48" t="s">
        <v>362</v>
      </c>
      <c r="B24" s="11" t="s">
        <v>110</v>
      </c>
      <c r="C24" s="178">
        <v>0</v>
      </c>
      <c r="D24" s="178"/>
      <c r="E24" s="178">
        <v>100</v>
      </c>
      <c r="F24" s="178">
        <v>0</v>
      </c>
      <c r="G24" s="178">
        <v>1750</v>
      </c>
      <c r="H24" s="178">
        <v>1238.24</v>
      </c>
      <c r="I24" s="178">
        <v>1857.34</v>
      </c>
      <c r="J24" s="178">
        <v>1857.36</v>
      </c>
      <c r="K24" s="178">
        <v>1857.36</v>
      </c>
      <c r="L24" s="178">
        <v>1857.36</v>
      </c>
      <c r="M24" s="178">
        <v>1857.36</v>
      </c>
      <c r="N24" s="145">
        <v>892.45</v>
      </c>
      <c r="O24" s="178">
        <v>0</v>
      </c>
      <c r="P24" s="178">
        <v>487.44</v>
      </c>
      <c r="Q24" s="178"/>
      <c r="R24" s="178">
        <v>487.44</v>
      </c>
      <c r="S24" s="178"/>
      <c r="T24" s="178"/>
      <c r="U24" s="178"/>
      <c r="V24" s="178">
        <v>0</v>
      </c>
      <c r="W24" s="178"/>
      <c r="X24" s="531"/>
      <c r="Y24" s="2"/>
      <c r="Z24" s="21"/>
      <c r="AA24" s="11"/>
    </row>
    <row r="25" spans="1:29">
      <c r="A25" s="48" t="s">
        <v>363</v>
      </c>
      <c r="B25" s="11" t="s">
        <v>114</v>
      </c>
      <c r="C25" s="178">
        <v>1500</v>
      </c>
      <c r="D25" s="178">
        <v>1197.6099999999999</v>
      </c>
      <c r="E25" s="178">
        <v>400</v>
      </c>
      <c r="F25" s="178">
        <v>1603.55</v>
      </c>
      <c r="G25" s="178">
        <v>400</v>
      </c>
      <c r="H25" s="178">
        <v>208.96</v>
      </c>
      <c r="I25" s="178"/>
      <c r="J25" s="178">
        <v>1706.4</v>
      </c>
      <c r="K25" s="178">
        <v>1500</v>
      </c>
      <c r="L25" s="178">
        <v>1585.26</v>
      </c>
      <c r="M25" s="178">
        <v>1500</v>
      </c>
      <c r="N25" s="145">
        <v>2000.9</v>
      </c>
      <c r="O25" s="178">
        <v>900</v>
      </c>
      <c r="P25" s="178">
        <v>811.23</v>
      </c>
      <c r="Q25" s="178">
        <v>1000</v>
      </c>
      <c r="R25" s="178">
        <v>416.15</v>
      </c>
      <c r="S25" s="178">
        <v>1000</v>
      </c>
      <c r="T25" s="178">
        <f>13113.96-T26-T27-T28</f>
        <v>4410.2499999999991</v>
      </c>
      <c r="U25" s="178">
        <v>400</v>
      </c>
      <c r="V25" s="178">
        <v>6686.03</v>
      </c>
      <c r="W25" s="178">
        <v>400</v>
      </c>
      <c r="X25" s="531">
        <v>1448.88</v>
      </c>
      <c r="Y25" s="2"/>
      <c r="Z25" s="21"/>
      <c r="AA25" s="11"/>
      <c r="AC25" s="489"/>
    </row>
    <row r="26" spans="1:29">
      <c r="A26" s="48" t="s">
        <v>363</v>
      </c>
      <c r="B26" s="11" t="s">
        <v>364</v>
      </c>
      <c r="C26" s="178">
        <v>1500</v>
      </c>
      <c r="D26" s="178">
        <v>1015.87</v>
      </c>
      <c r="E26" s="178">
        <v>4875</v>
      </c>
      <c r="F26" s="178">
        <v>4136.6499999999996</v>
      </c>
      <c r="G26" s="178">
        <v>1425</v>
      </c>
      <c r="H26" s="178">
        <v>1694.12</v>
      </c>
      <c r="I26" s="178">
        <v>2000</v>
      </c>
      <c r="J26" s="178">
        <v>3998.52</v>
      </c>
      <c r="K26" s="178">
        <v>4300</v>
      </c>
      <c r="L26" s="178">
        <v>3351.63</v>
      </c>
      <c r="M26" s="178">
        <v>4920</v>
      </c>
      <c r="N26" s="145">
        <v>2522.5</v>
      </c>
      <c r="O26" s="178">
        <v>4400</v>
      </c>
      <c r="P26" s="178">
        <v>4154.9799999999996</v>
      </c>
      <c r="Q26" s="178">
        <v>6120</v>
      </c>
      <c r="R26" s="178">
        <v>9427.4500000000007</v>
      </c>
      <c r="S26" s="178">
        <v>6500</v>
      </c>
      <c r="T26" s="178">
        <v>7009</v>
      </c>
      <c r="U26" s="178">
        <v>7615</v>
      </c>
      <c r="V26" s="178"/>
      <c r="W26" s="178">
        <v>7000</v>
      </c>
      <c r="X26" s="531">
        <v>1664.71</v>
      </c>
      <c r="Y26" s="2"/>
      <c r="Z26" s="21">
        <v>655.08000000000004</v>
      </c>
      <c r="AA26" s="11"/>
    </row>
    <row r="27" spans="1:29">
      <c r="A27" s="48" t="s">
        <v>363</v>
      </c>
      <c r="B27" s="11" t="s">
        <v>365</v>
      </c>
      <c r="C27" s="178">
        <v>0</v>
      </c>
      <c r="D27" s="178">
        <v>0</v>
      </c>
      <c r="E27" s="178">
        <v>700</v>
      </c>
      <c r="F27" s="178">
        <v>238.32</v>
      </c>
      <c r="G27" s="178">
        <v>1200</v>
      </c>
      <c r="H27" s="178">
        <v>1089.67</v>
      </c>
      <c r="I27" s="178">
        <v>1200</v>
      </c>
      <c r="J27" s="178">
        <v>935.44</v>
      </c>
      <c r="K27" s="178">
        <v>1200</v>
      </c>
      <c r="L27" s="178">
        <v>1268.8699999999999</v>
      </c>
      <c r="M27" s="178">
        <v>1200</v>
      </c>
      <c r="N27" s="145">
        <v>1209.21</v>
      </c>
      <c r="O27" s="178">
        <v>900</v>
      </c>
      <c r="P27" s="178">
        <v>749.12</v>
      </c>
      <c r="Q27" s="178">
        <v>1050</v>
      </c>
      <c r="R27" s="178">
        <v>882.78</v>
      </c>
      <c r="S27" s="178">
        <v>1050</v>
      </c>
      <c r="T27" s="178">
        <v>1155.3499999999999</v>
      </c>
      <c r="U27" s="178">
        <v>650</v>
      </c>
      <c r="V27" s="178"/>
      <c r="W27" s="178">
        <v>1500</v>
      </c>
      <c r="X27" s="531">
        <v>2047.16</v>
      </c>
      <c r="Y27" s="2"/>
      <c r="Z27" s="21"/>
      <c r="AA27" s="11"/>
    </row>
    <row r="28" spans="1:29">
      <c r="A28" s="48" t="s">
        <v>363</v>
      </c>
      <c r="B28" s="11" t="s">
        <v>366</v>
      </c>
      <c r="C28" s="178">
        <v>1100</v>
      </c>
      <c r="D28" s="178">
        <v>1416.18</v>
      </c>
      <c r="E28" s="178">
        <v>3300</v>
      </c>
      <c r="F28" s="178">
        <v>2856.27</v>
      </c>
      <c r="G28" s="178">
        <v>2500</v>
      </c>
      <c r="H28" s="178">
        <v>2341.35</v>
      </c>
      <c r="I28" s="178">
        <v>3000</v>
      </c>
      <c r="J28" s="178">
        <v>2998.96</v>
      </c>
      <c r="K28" s="178">
        <v>3000</v>
      </c>
      <c r="L28" s="178">
        <v>4788.32</v>
      </c>
      <c r="M28" s="178">
        <v>3000</v>
      </c>
      <c r="N28" s="145">
        <v>5388.8</v>
      </c>
      <c r="O28" s="178">
        <v>2970</v>
      </c>
      <c r="P28" s="178">
        <v>2703.86</v>
      </c>
      <c r="Q28" s="178">
        <v>500</v>
      </c>
      <c r="R28" s="178">
        <v>310.06</v>
      </c>
      <c r="S28" s="178">
        <v>500</v>
      </c>
      <c r="T28" s="178">
        <v>539.36</v>
      </c>
      <c r="U28" s="178">
        <v>500</v>
      </c>
      <c r="V28" s="178"/>
      <c r="W28" s="178">
        <v>500</v>
      </c>
      <c r="X28" s="531"/>
      <c r="Y28" s="2"/>
      <c r="Z28" s="21"/>
      <c r="AA28" s="11"/>
    </row>
    <row r="29" spans="1:29">
      <c r="A29" s="48"/>
      <c r="B29" s="11" t="s">
        <v>367</v>
      </c>
      <c r="C29" s="178">
        <v>0</v>
      </c>
      <c r="D29" s="178">
        <v>0</v>
      </c>
      <c r="E29" s="178">
        <v>0</v>
      </c>
      <c r="F29" s="178">
        <v>0</v>
      </c>
      <c r="G29" s="178">
        <v>0</v>
      </c>
      <c r="H29" s="178">
        <v>0</v>
      </c>
      <c r="I29" s="178">
        <v>200</v>
      </c>
      <c r="J29" s="178">
        <v>0</v>
      </c>
      <c r="K29" s="178">
        <v>0</v>
      </c>
      <c r="L29" s="178">
        <v>0</v>
      </c>
      <c r="M29" s="178">
        <v>320</v>
      </c>
      <c r="N29" s="145">
        <v>0</v>
      </c>
      <c r="O29" s="178">
        <v>300</v>
      </c>
      <c r="P29" s="178">
        <v>240</v>
      </c>
      <c r="Q29" s="178">
        <v>300</v>
      </c>
      <c r="R29" s="178"/>
      <c r="S29" s="178">
        <v>300</v>
      </c>
      <c r="T29" s="178">
        <v>313.62</v>
      </c>
      <c r="U29" s="178">
        <v>20</v>
      </c>
      <c r="V29" s="178"/>
      <c r="W29" s="178">
        <v>100</v>
      </c>
      <c r="X29" s="531"/>
      <c r="Y29" s="2">
        <v>2000</v>
      </c>
      <c r="Z29" s="21"/>
      <c r="AA29" s="11"/>
    </row>
    <row r="30" spans="1:29">
      <c r="A30" s="48" t="s">
        <v>368</v>
      </c>
      <c r="B30" s="11" t="s">
        <v>369</v>
      </c>
      <c r="C30" s="178">
        <v>0</v>
      </c>
      <c r="D30" s="178">
        <v>0</v>
      </c>
      <c r="E30" s="178">
        <v>0</v>
      </c>
      <c r="F30" s="178">
        <v>0</v>
      </c>
      <c r="G30" s="178">
        <v>0</v>
      </c>
      <c r="H30" s="178">
        <v>0</v>
      </c>
      <c r="I30" s="178">
        <v>2210</v>
      </c>
      <c r="J30" s="178">
        <v>2256.2600000000002</v>
      </c>
      <c r="K30" s="178">
        <v>2600</v>
      </c>
      <c r="L30" s="178">
        <v>2118.2600000000002</v>
      </c>
      <c r="M30" s="178">
        <v>2640</v>
      </c>
      <c r="N30" s="145">
        <v>2480.5</v>
      </c>
      <c r="O30" s="178">
        <v>1500</v>
      </c>
      <c r="P30" s="178">
        <v>1463.88</v>
      </c>
      <c r="Q30" s="178">
        <v>1800</v>
      </c>
      <c r="R30" s="178">
        <v>1288.53</v>
      </c>
      <c r="S30" s="178">
        <v>1500</v>
      </c>
      <c r="T30" s="178">
        <v>884.59</v>
      </c>
      <c r="U30" s="178">
        <v>762</v>
      </c>
      <c r="V30" s="178">
        <v>711.02</v>
      </c>
      <c r="W30" s="178">
        <v>750</v>
      </c>
      <c r="X30" s="531">
        <v>1448.97</v>
      </c>
      <c r="Y30" s="2"/>
      <c r="Z30" s="21"/>
      <c r="AA30" s="11"/>
    </row>
    <row r="31" spans="1:29">
      <c r="A31" s="48"/>
      <c r="B31" s="11" t="s">
        <v>21</v>
      </c>
      <c r="C31" s="178">
        <f>SUBTOTAL(109,CRTExpenses[Budget 10/11])</f>
        <v>8412.5</v>
      </c>
      <c r="D31" s="178">
        <f>SUBTOTAL(109,CRTExpenses[Actual 10/11])</f>
        <v>7852.58</v>
      </c>
      <c r="E31" s="178">
        <f>SUBTOTAL(109,CRTExpenses[Budget 11/12])</f>
        <v>14750</v>
      </c>
      <c r="F31" s="178">
        <f>SUBTOTAL(109,CRTExpenses[Actual 11/12])</f>
        <v>16559.55</v>
      </c>
      <c r="G31" s="178">
        <f>SUBTOTAL(109,CRTExpenses[Budget 12/13])</f>
        <v>13900</v>
      </c>
      <c r="H31" s="178">
        <f>SUBTOTAL(109,CRTExpenses[Actual 12/13])</f>
        <v>14655.130000000001</v>
      </c>
      <c r="I31" s="178">
        <f>SUBTOTAL(109,CRTExpenses[Budget 13/14])</f>
        <v>18027.34</v>
      </c>
      <c r="J31" s="178">
        <f>SUBTOTAL(109,CRTExpenses[Actual 13/14])</f>
        <v>19619.700000000004</v>
      </c>
      <c r="K31" s="178">
        <f>SUBTOTAL(109,CRTExpenses[Budget 14/15])</f>
        <v>22027.360000000001</v>
      </c>
      <c r="L31" s="178">
        <f>SUBTOTAL(109,CRTExpenses[Actual 14/15])</f>
        <v>23854.519999999997</v>
      </c>
      <c r="M31" s="178">
        <f>SUBTOTAL(109,CRTExpenses[Budget 15/16])</f>
        <v>22817.360000000001</v>
      </c>
      <c r="N31" s="145">
        <f>SUBTOTAL(109,CRTExpenses[Actual 15/16])</f>
        <v>20068.68</v>
      </c>
      <c r="O31" s="178">
        <f>SUBTOTAL(109,CRTExpenses[Budget 16/17])</f>
        <v>16570</v>
      </c>
      <c r="P31" s="178">
        <f>SUBTOTAL(109,CRTExpenses[Actual 16/17])</f>
        <v>14301.190000000002</v>
      </c>
      <c r="Q31" s="178">
        <f>SUBTOTAL(109,CRTExpenses[Budget 17/18])</f>
        <v>17230</v>
      </c>
      <c r="R31" s="21">
        <f>SUBTOTAL(109,CRTExpenses[Actual 17/18])</f>
        <v>20925.66</v>
      </c>
      <c r="S31" s="21">
        <f>SUBTOTAL(109,CRTExpenses[Budget 18/19])</f>
        <v>16040</v>
      </c>
      <c r="T31" s="21">
        <f>SUBTOTAL(109,CRTExpenses[Budget 18/20])</f>
        <v>18758.849999999999</v>
      </c>
      <c r="U31" s="21">
        <f>SUBTOTAL(109,CRTExpenses[Budget 19/20])</f>
        <v>14417</v>
      </c>
      <c r="V31" s="21">
        <f>SUM(CRTExpenses[Actual P12 19/20])</f>
        <v>9947.0300000000007</v>
      </c>
      <c r="W31" s="21">
        <f>SUBTOTAL(109,CRTExpenses[Budget 19/21])</f>
        <v>25550</v>
      </c>
      <c r="X31" s="531">
        <f>SUBTOTAL(109,CRTExpenses[Actual 20/21])</f>
        <v>20835.390000000003</v>
      </c>
      <c r="Y31" s="21">
        <f>SUBTOTAL(109,CRTExpenses[Budget 21/22])</f>
        <v>7940</v>
      </c>
      <c r="Z31" s="21">
        <f>SUBTOTAL(109,CRTExpenses[Actual 21/22])</f>
        <v>11168.81</v>
      </c>
      <c r="AA31" s="11"/>
    </row>
    <row r="32" spans="1:29" ht="19.5" thickBot="1">
      <c r="A32" s="764"/>
      <c r="B32" s="764"/>
      <c r="C32" s="69"/>
      <c r="D32" s="69"/>
      <c r="E32" s="69"/>
      <c r="F32" s="69"/>
      <c r="G32" s="69"/>
      <c r="H32" s="69"/>
      <c r="I32" s="69"/>
      <c r="J32" s="69"/>
      <c r="K32" s="69"/>
      <c r="L32" s="69"/>
      <c r="M32" s="69"/>
      <c r="N32" s="150"/>
      <c r="O32" s="16"/>
      <c r="P32" s="16"/>
      <c r="Q32" s="19"/>
      <c r="R32" s="19"/>
    </row>
    <row r="33" spans="1:27" s="11" customFormat="1" ht="19.5" thickBot="1">
      <c r="B33" s="611" t="s">
        <v>127</v>
      </c>
      <c r="C33" s="27">
        <f>CRTRevenues[[#Totals],[Budget10/11]]-CRTExpenses[[#Totals],[Budget 10/11]]</f>
        <v>-8412.5</v>
      </c>
      <c r="D33" s="27">
        <f>CRTRevenues[[#Totals],[Actual 10/11]]-CRTExpenses[[#Totals],[Actual 10/11]]</f>
        <v>-7852.58</v>
      </c>
      <c r="E33" s="27">
        <f>CRTRevenues[[#Totals],[Budget 11/12]]-CRTExpenses[[#Totals],[Budget 11/12]]</f>
        <v>-14750</v>
      </c>
      <c r="F33" s="27">
        <f>CRTRevenues[[#Totals],[Actual 11/12]]-CRTExpenses[[#Totals],[Actual 11/12]]</f>
        <v>-15618.38</v>
      </c>
      <c r="G33" s="27">
        <f>CRTRevenues[[#Totals],[Budget 12/13]]-CRTExpenses[[#Totals],[Budget 12/13]]</f>
        <v>-13900</v>
      </c>
      <c r="H33" s="27">
        <f>CRTRevenues[[#Totals],[Actual 12/13]]-CRTExpenses[[#Totals],[Actual 12/13]]</f>
        <v>-13846.54</v>
      </c>
      <c r="I33" s="27">
        <f>CRTRevenues[[#Totals],[Budget 13/14]]-CRTExpenses[[#Totals],[Budget 13/14]]</f>
        <v>-18027.34</v>
      </c>
      <c r="J33" s="27">
        <f>CRTRevenues[[#Totals],[Actual 13/14]]-CRTExpenses[[#Totals],[Actual 13/14]]</f>
        <v>-18632.920000000006</v>
      </c>
      <c r="K33" s="27">
        <f>CRTRevenues[[#Totals],[Budget 14/15]]-CRTExpenses[[#Totals],[Budget 14/15]]</f>
        <v>-22027.360000000001</v>
      </c>
      <c r="L33" s="27">
        <f>CRTRevenues[[#Totals],[Actual 14/15]]-CRTExpenses[[#Totals],[Actual 14/15]]</f>
        <v>-21222.929999999997</v>
      </c>
      <c r="M33" s="27">
        <f>CRTRevenues[[#Totals],[Budget 15/16]]-CRTExpenses[[#Totals],[Budget 15/16]]</f>
        <v>-22817.360000000001</v>
      </c>
      <c r="N33" s="27">
        <f>CRTRevenues[[#Totals],[Actual 15/16]]-CRTExpenses[[#Totals],[Actual 15/16]]</f>
        <v>-18818.68</v>
      </c>
      <c r="O33" s="27">
        <f>CRTRevenues[[#Totals],[Budget 16/17]]-CRTExpenses[[#Totals],[Budget 16/17]]</f>
        <v>-16570</v>
      </c>
      <c r="P33" s="27">
        <f>CRTRevenues[[#Totals],[Actual 16/17]]-CRTExpenses[[#Totals],[Actual 16/17]]</f>
        <v>-14101.190000000002</v>
      </c>
      <c r="Q33" s="27">
        <f>CRTRevenues[[#Totals],[Budget 17/18]]-CRTExpenses[[#Totals],[Budget 17/18]]</f>
        <v>-15980</v>
      </c>
      <c r="R33" s="27">
        <f>CRTRevenues[[#Totals],[Acutal 17/18]]-CRTExpenses[[#Totals],[Actual 17/18]]</f>
        <v>-15662.2</v>
      </c>
      <c r="S33" s="27">
        <f>CRTRevenues[[#Totals],[Budget 18/19]]-CRTExpenses[[#Totals],[Budget 18/19]]</f>
        <v>-14790</v>
      </c>
      <c r="T33" s="27">
        <f>CRTRevenues[[#Totals],[Budget 18/20]]-CRTExpenses[[#Totals],[Budget 18/20]]</f>
        <v>-14525.099999999999</v>
      </c>
      <c r="U33" s="27">
        <f>CRTRevenues[[#Totals],[Budget 19/20]]-CRTExpenses[[#Totals],[Budget 19/20]]</f>
        <v>-13617</v>
      </c>
      <c r="V33" s="27">
        <f>CRTRevenues[[#Totals],[Actual P12 19/20]]-CRTExpenses[[#Totals],[Actual P12 19/20]]</f>
        <v>-8877.0300000000007</v>
      </c>
      <c r="W33" s="27">
        <f>CRTRevenues[[#Totals],[Budget 19/21]]-CRTExpenses[[#Totals],[Budget 19/21]]</f>
        <v>-24750</v>
      </c>
      <c r="X33" s="534">
        <f>CRTRevenues[[#Totals],[Actual 20/21]]-CRTExpenses[[#Totals],[Actual 20/21]]</f>
        <v>-20835.390000000003</v>
      </c>
      <c r="Y33" s="27">
        <f>CRTRevenues[[#Totals],[Budget 21/22]]-CRTExpenses[[#Totals],[Budget 21/22]]</f>
        <v>-7540</v>
      </c>
      <c r="Z33" s="27">
        <f>CRTRevenues[[#Totals],[Actual 21/22]]-CRTExpenses[[#Totals],[Actual 21/22]]</f>
        <v>-11168.81</v>
      </c>
      <c r="AA33" s="27">
        <f>CRTRevenues[[#Totals],[Budget 22/23]]-CRTExpenses[[#Totals],[Budget 22/23]]</f>
        <v>0</v>
      </c>
    </row>
    <row r="34" spans="1:27">
      <c r="A34" s="19"/>
      <c r="B34" s="19"/>
      <c r="C34" s="19"/>
      <c r="D34" s="19"/>
      <c r="E34" s="19"/>
      <c r="F34" s="19"/>
      <c r="G34" s="19"/>
      <c r="H34" s="19"/>
      <c r="I34" s="19"/>
      <c r="J34" s="19"/>
      <c r="K34" s="19"/>
      <c r="L34" s="19"/>
      <c r="M34" s="19"/>
      <c r="N34" s="150"/>
      <c r="O34" s="16"/>
      <c r="P34" s="16"/>
      <c r="Q34" s="19"/>
      <c r="R34" s="19"/>
    </row>
    <row r="35" spans="1:27">
      <c r="A35" s="19"/>
      <c r="B35" s="19"/>
      <c r="C35" s="19"/>
      <c r="D35" s="19"/>
      <c r="E35" s="19"/>
      <c r="F35" s="19"/>
      <c r="G35" s="19"/>
      <c r="H35" s="19"/>
      <c r="I35" s="19"/>
    </row>
    <row r="36" spans="1:27">
      <c r="A36" s="19"/>
      <c r="B36" s="19"/>
      <c r="C36" s="19"/>
      <c r="D36" s="19"/>
      <c r="E36" s="19"/>
      <c r="F36" s="19"/>
      <c r="G36" s="19"/>
      <c r="H36" s="19"/>
      <c r="I36" s="19"/>
    </row>
    <row r="37" spans="1:27">
      <c r="A37" s="19"/>
      <c r="B37" s="19"/>
      <c r="C37" s="19"/>
      <c r="D37" s="19"/>
      <c r="E37" s="19"/>
      <c r="F37" s="19"/>
      <c r="G37" s="19"/>
      <c r="H37" s="19"/>
      <c r="I37" s="19"/>
    </row>
    <row r="38" spans="1:27">
      <c r="A38" s="19"/>
      <c r="B38" s="19"/>
      <c r="C38" s="19"/>
      <c r="D38" s="19"/>
      <c r="E38" s="19"/>
      <c r="F38" s="19"/>
      <c r="G38" s="19"/>
      <c r="H38" s="19"/>
      <c r="I38" s="19"/>
    </row>
    <row r="39" spans="1:27">
      <c r="A39" s="19"/>
      <c r="B39" s="19"/>
      <c r="C39" s="19"/>
      <c r="D39" s="19"/>
      <c r="E39" s="19"/>
      <c r="F39" s="19"/>
      <c r="G39" s="19"/>
      <c r="H39" s="19"/>
      <c r="I39" s="19"/>
    </row>
    <row r="40" spans="1:27">
      <c r="A40" s="19"/>
      <c r="B40" s="19"/>
      <c r="C40" s="19"/>
      <c r="D40" s="19"/>
      <c r="E40" s="19"/>
      <c r="F40" s="19"/>
      <c r="G40" s="19"/>
      <c r="H40" s="19"/>
      <c r="I40" s="19"/>
    </row>
    <row r="41" spans="1:27">
      <c r="A41" s="19"/>
      <c r="B41" s="19"/>
      <c r="C41" s="19"/>
      <c r="D41" s="19"/>
      <c r="E41" s="19"/>
      <c r="F41" s="19"/>
      <c r="G41" s="19"/>
      <c r="H41" s="19"/>
      <c r="I41" s="19"/>
    </row>
    <row r="42" spans="1:27">
      <c r="A42" s="19"/>
      <c r="B42" s="19"/>
      <c r="C42" s="19"/>
      <c r="D42" s="19"/>
      <c r="E42" s="19"/>
      <c r="F42" s="19"/>
      <c r="G42" s="19"/>
      <c r="H42" s="19"/>
      <c r="I42" s="19"/>
    </row>
  </sheetData>
  <customSheetViews>
    <customSheetView guid="{DC934874-AE9C-4DF4-8DA8-4394DABABB42}" showRuler="0">
      <selection activeCell="G14" sqref="G14"/>
      <pageMargins left="0" right="0" top="0" bottom="0" header="0" footer="0"/>
      <pageSetup orientation="portrait"/>
      <headerFooter alignWithMargins="0"/>
    </customSheetView>
    <customSheetView guid="{7FD89B2E-4983-4B8D-ABA2-A07F685A0C6E}" showRuler="0">
      <selection activeCell="E18" sqref="E18"/>
      <pageMargins left="0" right="0" top="0" bottom="0" header="0" footer="0"/>
      <pageSetup orientation="portrait"/>
      <headerFooter alignWithMargins="0"/>
    </customSheetView>
    <customSheetView guid="{84D8AC11-A493-4338-8044-6F4154C29695}" showRuler="0">
      <selection activeCell="G18" sqref="G18"/>
      <pageMargins left="0" right="0" top="0" bottom="0" header="0" footer="0"/>
      <pageSetup orientation="portrait"/>
      <headerFooter alignWithMargins="0"/>
    </customSheetView>
    <customSheetView guid="{BB157E55-0A2E-4D9F-A3BF-E83E5442FC27}" showPageBreaks="1" showRuler="0">
      <selection activeCell="G18" sqref="G18"/>
      <pageMargins left="0" right="0" top="0" bottom="0" header="0" footer="0"/>
      <pageSetup orientation="portrait"/>
      <headerFooter alignWithMargins="0"/>
    </customSheetView>
  </customSheetViews>
  <mergeCells count="3">
    <mergeCell ref="A3:B3"/>
    <mergeCell ref="A32:B32"/>
    <mergeCell ref="A1:C1"/>
  </mergeCells>
  <phoneticPr fontId="0" type="noConversion"/>
  <pageMargins left="0" right="0" top="0.98425196850393704" bottom="0.98425196850393704" header="0.51181102362204722" footer="0.51181102362204722"/>
  <pageSetup orientation="landscape" blackAndWhite="1" r:id="rId1"/>
  <headerFooter alignWithMargins="0"/>
  <legacyDrawing r:id="rId2"/>
  <tableParts count="2">
    <tablePart r:id="rId3"/>
    <tablePart r:id="rId4"/>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1"/>
    <pageSetUpPr fitToPage="1"/>
  </sheetPr>
  <dimension ref="A1:Z45"/>
  <sheetViews>
    <sheetView showGridLines="0" topLeftCell="A3" zoomScale="90" zoomScaleNormal="90" workbookViewId="0">
      <selection activeCell="Y7" sqref="Y7"/>
    </sheetView>
  </sheetViews>
  <sheetFormatPr defaultColWidth="11.42578125" defaultRowHeight="12.75"/>
  <cols>
    <col min="1" max="1" width="13.85546875" style="11" customWidth="1"/>
    <col min="2" max="2" width="28.42578125" style="11" customWidth="1"/>
    <col min="3" max="13" width="15.42578125" style="11" hidden="1" customWidth="1"/>
    <col min="14" max="14" width="14.42578125" style="132" hidden="1" customWidth="1"/>
    <col min="15" max="15" width="14.42578125" style="11" hidden="1" customWidth="1"/>
    <col min="16" max="16" width="1.42578125" style="11" hidden="1" customWidth="1"/>
    <col min="17" max="18" width="15.42578125" style="11" hidden="1" customWidth="1"/>
    <col min="19" max="20" width="14.42578125" style="11" hidden="1" customWidth="1"/>
    <col min="21" max="21" width="15.28515625" style="11" hidden="1" customWidth="1"/>
    <col min="22" max="22" width="17.85546875" style="11" hidden="1" customWidth="1"/>
    <col min="23" max="23" width="19.140625" style="11" customWidth="1"/>
    <col min="24" max="24" width="18" style="11" customWidth="1"/>
    <col min="25" max="25" width="18.42578125" style="11" customWidth="1"/>
    <col min="26" max="26" width="17.42578125" style="11" customWidth="1"/>
    <col min="27" max="16384" width="11.42578125" style="11"/>
  </cols>
  <sheetData>
    <row r="1" spans="1:26" ht="18">
      <c r="A1" s="758" t="s">
        <v>370</v>
      </c>
      <c r="B1" s="759"/>
    </row>
    <row r="2" spans="1:26">
      <c r="A2" s="28" t="s">
        <v>226</v>
      </c>
    </row>
    <row r="4" spans="1:26">
      <c r="A4" s="48" t="s">
        <v>130</v>
      </c>
      <c r="B4" s="11" t="s">
        <v>72</v>
      </c>
      <c r="C4" s="11" t="s">
        <v>73</v>
      </c>
      <c r="D4" s="11" t="s">
        <v>74</v>
      </c>
      <c r="E4" s="11" t="s">
        <v>75</v>
      </c>
      <c r="F4" s="11" t="s">
        <v>76</v>
      </c>
      <c r="G4" s="11" t="s">
        <v>77</v>
      </c>
      <c r="H4" s="11" t="s">
        <v>78</v>
      </c>
      <c r="I4" s="11" t="s">
        <v>5</v>
      </c>
      <c r="J4" s="11" t="s">
        <v>6</v>
      </c>
      <c r="K4" s="11" t="s">
        <v>7</v>
      </c>
      <c r="L4" s="11" t="s">
        <v>8</v>
      </c>
      <c r="M4" s="11" t="s">
        <v>9</v>
      </c>
      <c r="N4" s="119" t="s">
        <v>10</v>
      </c>
      <c r="O4" s="11" t="s">
        <v>11</v>
      </c>
      <c r="P4" s="11" t="s">
        <v>12</v>
      </c>
      <c r="Q4" s="11" t="s">
        <v>13</v>
      </c>
      <c r="R4" s="11" t="s">
        <v>14</v>
      </c>
      <c r="S4" s="11" t="s">
        <v>15</v>
      </c>
      <c r="T4" s="11" t="s">
        <v>16</v>
      </c>
      <c r="U4" s="11" t="s">
        <v>81</v>
      </c>
      <c r="V4" s="11" t="s">
        <v>17</v>
      </c>
      <c r="W4" s="11" t="s">
        <v>40</v>
      </c>
      <c r="X4" s="11" t="s">
        <v>41</v>
      </c>
      <c r="Y4" s="5" t="s">
        <v>42</v>
      </c>
      <c r="Z4" s="5" t="s">
        <v>43</v>
      </c>
    </row>
    <row r="5" spans="1:26">
      <c r="A5" s="48" t="s">
        <v>371</v>
      </c>
      <c r="B5" s="11" t="s">
        <v>343</v>
      </c>
      <c r="C5" s="178">
        <v>0</v>
      </c>
      <c r="D5" s="178">
        <v>0</v>
      </c>
      <c r="E5" s="178">
        <v>0</v>
      </c>
      <c r="F5" s="178">
        <v>0</v>
      </c>
      <c r="G5" s="178">
        <v>0</v>
      </c>
      <c r="H5" s="178">
        <v>0</v>
      </c>
      <c r="I5" s="178">
        <v>0</v>
      </c>
      <c r="J5" s="178">
        <v>120.53</v>
      </c>
      <c r="K5" s="178">
        <v>0</v>
      </c>
      <c r="L5" s="178">
        <v>409.05</v>
      </c>
      <c r="M5" s="178">
        <v>0</v>
      </c>
      <c r="N5" s="145">
        <v>443.6</v>
      </c>
      <c r="O5" s="178">
        <v>0</v>
      </c>
      <c r="P5" s="178"/>
      <c r="Q5" s="178"/>
      <c r="R5" s="178">
        <v>521.15</v>
      </c>
      <c r="S5" s="178"/>
      <c r="T5" s="44"/>
      <c r="U5" s="44">
        <v>675.45</v>
      </c>
      <c r="V5" s="44"/>
      <c r="W5" s="44"/>
      <c r="X5" s="44"/>
      <c r="Y5" s="44"/>
      <c r="Z5" s="117"/>
    </row>
    <row r="6" spans="1:26">
      <c r="A6" s="48" t="s">
        <v>372</v>
      </c>
      <c r="B6" s="11" t="s">
        <v>295</v>
      </c>
      <c r="C6" s="178">
        <v>0</v>
      </c>
      <c r="D6" s="178">
        <v>0</v>
      </c>
      <c r="E6" s="178">
        <v>0</v>
      </c>
      <c r="F6" s="178">
        <v>1546.59</v>
      </c>
      <c r="G6" s="178">
        <v>0</v>
      </c>
      <c r="H6" s="178">
        <v>807.47</v>
      </c>
      <c r="I6" s="178">
        <v>0</v>
      </c>
      <c r="J6" s="178">
        <v>483.77</v>
      </c>
      <c r="K6" s="178">
        <v>0</v>
      </c>
      <c r="L6" s="178">
        <v>3857.46</v>
      </c>
      <c r="M6" s="178">
        <v>0</v>
      </c>
      <c r="N6" s="145">
        <v>2704.45</v>
      </c>
      <c r="O6" s="178">
        <v>0</v>
      </c>
      <c r="P6" s="178">
        <v>613.15</v>
      </c>
      <c r="Q6" s="178">
        <v>500</v>
      </c>
      <c r="R6" s="178">
        <v>328.3</v>
      </c>
      <c r="S6" s="178">
        <v>500</v>
      </c>
      <c r="T6" s="514">
        <v>500</v>
      </c>
      <c r="U6" s="514">
        <v>2198.67</v>
      </c>
      <c r="V6" s="44">
        <v>500</v>
      </c>
      <c r="W6" s="44">
        <v>500</v>
      </c>
      <c r="X6" s="44">
        <v>500</v>
      </c>
      <c r="Y6" s="117">
        <v>5974.97</v>
      </c>
      <c r="Z6" s="117">
        <v>1000</v>
      </c>
    </row>
    <row r="7" spans="1:26">
      <c r="A7" s="48"/>
      <c r="B7" s="11" t="s">
        <v>21</v>
      </c>
      <c r="C7" s="178">
        <f>SUBTOTAL(109,FoodbankRevenues[Budget 10/11])</f>
        <v>0</v>
      </c>
      <c r="D7" s="178">
        <f>SUBTOTAL(109,FoodbankRevenues[Actual 10/11])</f>
        <v>0</v>
      </c>
      <c r="E7" s="178">
        <f>SUBTOTAL(109,FoodbankRevenues[Budget 11/12])</f>
        <v>0</v>
      </c>
      <c r="F7" s="178">
        <f>SUBTOTAL(109,FoodbankRevenues[Actual 11/12])</f>
        <v>1546.59</v>
      </c>
      <c r="G7" s="178">
        <f>SUBTOTAL(109,FoodbankRevenues[Budget 12/13])</f>
        <v>0</v>
      </c>
      <c r="H7" s="178">
        <f>SUBTOTAL(109,FoodbankRevenues[Actual 12/13])</f>
        <v>807.47</v>
      </c>
      <c r="I7" s="178">
        <f>SUBTOTAL(109,FoodbankRevenues[Budget 13/14])</f>
        <v>0</v>
      </c>
      <c r="J7" s="178">
        <f>SUBTOTAL(109,FoodbankRevenues[Actual 13/14])</f>
        <v>604.29999999999995</v>
      </c>
      <c r="K7" s="178">
        <f>SUBTOTAL(109,FoodbankRevenues[Budget 14/15])</f>
        <v>0</v>
      </c>
      <c r="L7" s="178">
        <f>SUBTOTAL(109,FoodbankRevenues[Actual 14/15])</f>
        <v>4266.51</v>
      </c>
      <c r="M7" s="178">
        <f>SUBTOTAL(109,FoodbankRevenues[Budget 15/16])</f>
        <v>0</v>
      </c>
      <c r="N7" s="145">
        <f>SUBTOTAL(109,FoodbankRevenues[Actual 15/16])</f>
        <v>3148.0499999999997</v>
      </c>
      <c r="O7" s="178">
        <f>SUBTOTAL(109,FoodbankRevenues[Budget 16/17])</f>
        <v>0</v>
      </c>
      <c r="P7" s="178">
        <f>SUBTOTAL(109,FoodbankRevenues[Actual 16/17])</f>
        <v>613.15</v>
      </c>
      <c r="Q7" s="21">
        <f>SUBTOTAL(109,FoodbankRevenues[Budget 17/18])</f>
        <v>500</v>
      </c>
      <c r="R7" s="21">
        <f>SUBTOTAL(109,FoodbankRevenues[Actual 17/18])</f>
        <v>849.45</v>
      </c>
      <c r="S7" s="21">
        <f>SUBTOTAL(109,FoodbankRevenues[Budget 18/19])</f>
        <v>500</v>
      </c>
      <c r="T7" s="21">
        <f>SUBTOTAL(109,FoodbankRevenues[Budget 19/20])</f>
        <v>500</v>
      </c>
      <c r="U7" s="21">
        <f>SUM(FoodbankRevenues[Actual P12 19/20])</f>
        <v>2874.12</v>
      </c>
      <c r="V7" s="21">
        <f>SUBTOTAL(109,FoodbankRevenues[Budget 20/21])</f>
        <v>500</v>
      </c>
      <c r="W7" s="21">
        <f>SUBTOTAL(109,FoodbankRevenues[Actual 20/21])</f>
        <v>500</v>
      </c>
      <c r="X7" s="21">
        <f>SUBTOTAL(109,FoodbankRevenues[Budget 21/22])</f>
        <v>500</v>
      </c>
      <c r="Y7" s="21">
        <f>SUBTOTAL(109,FoodbankRevenues[Actual 21/22])</f>
        <v>5974.97</v>
      </c>
      <c r="Z7" s="178">
        <f>SUM(FoodbankRevenues[Budget 22/23])</f>
        <v>1000</v>
      </c>
    </row>
    <row r="8" spans="1:26">
      <c r="A8" s="48"/>
    </row>
    <row r="10" spans="1:26">
      <c r="A10" s="48" t="s">
        <v>130</v>
      </c>
      <c r="B10" s="11" t="s">
        <v>22</v>
      </c>
      <c r="C10" s="11" t="s">
        <v>73</v>
      </c>
      <c r="D10" s="11" t="s">
        <v>74</v>
      </c>
      <c r="E10" s="11" t="s">
        <v>75</v>
      </c>
      <c r="F10" s="11" t="s">
        <v>76</v>
      </c>
      <c r="G10" s="11" t="s">
        <v>77</v>
      </c>
      <c r="H10" s="11" t="s">
        <v>78</v>
      </c>
      <c r="I10" s="11" t="s">
        <v>5</v>
      </c>
      <c r="J10" s="11" t="s">
        <v>6</v>
      </c>
      <c r="K10" s="11" t="s">
        <v>7</v>
      </c>
      <c r="L10" s="11" t="s">
        <v>8</v>
      </c>
      <c r="M10" s="11" t="s">
        <v>9</v>
      </c>
      <c r="N10" s="119" t="s">
        <v>10</v>
      </c>
      <c r="O10" s="11" t="s">
        <v>11</v>
      </c>
      <c r="P10" s="11" t="s">
        <v>12</v>
      </c>
      <c r="Q10" s="11" t="s">
        <v>13</v>
      </c>
      <c r="R10" s="11" t="s">
        <v>14</v>
      </c>
      <c r="S10" s="11" t="s">
        <v>15</v>
      </c>
      <c r="T10" s="11" t="s">
        <v>16</v>
      </c>
      <c r="U10" s="11" t="s">
        <v>81</v>
      </c>
      <c r="V10" s="11" t="s">
        <v>17</v>
      </c>
      <c r="W10" s="11" t="s">
        <v>40</v>
      </c>
      <c r="X10" s="11" t="s">
        <v>41</v>
      </c>
      <c r="Y10" s="5" t="s">
        <v>42</v>
      </c>
      <c r="Z10" s="5" t="s">
        <v>43</v>
      </c>
    </row>
    <row r="11" spans="1:26">
      <c r="A11" s="48" t="s">
        <v>373</v>
      </c>
      <c r="B11" s="11" t="s">
        <v>348</v>
      </c>
      <c r="C11" s="44"/>
      <c r="D11" s="44"/>
      <c r="E11" s="44"/>
      <c r="F11" s="44"/>
      <c r="G11" s="44"/>
      <c r="H11" s="44"/>
      <c r="I11" s="44"/>
      <c r="J11" s="44"/>
      <c r="K11" s="44"/>
      <c r="L11" s="44"/>
      <c r="M11" s="44"/>
      <c r="N11" s="149"/>
      <c r="P11" s="44"/>
      <c r="Q11" s="44"/>
      <c r="R11" s="44"/>
      <c r="S11" s="44"/>
      <c r="T11" s="44"/>
      <c r="U11" s="44">
        <v>0</v>
      </c>
      <c r="V11" s="182">
        <v>7200</v>
      </c>
      <c r="W11" s="490">
        <v>7744.07</v>
      </c>
      <c r="X11" s="490">
        <f>3600*1.13*2*3</f>
        <v>24407.999999999996</v>
      </c>
      <c r="Y11" s="117">
        <v>22407.38</v>
      </c>
      <c r="Z11" s="117">
        <v>23594.400000000001</v>
      </c>
    </row>
    <row r="12" spans="1:26">
      <c r="A12" s="48"/>
      <c r="B12" s="11" t="s">
        <v>349</v>
      </c>
      <c r="C12" s="44"/>
      <c r="D12" s="44"/>
      <c r="E12" s="44"/>
      <c r="F12" s="44"/>
      <c r="G12" s="44"/>
      <c r="H12" s="44"/>
      <c r="I12" s="44"/>
      <c r="J12" s="44"/>
      <c r="K12" s="44"/>
      <c r="L12" s="44"/>
      <c r="M12" s="44"/>
      <c r="N12" s="149"/>
      <c r="P12" s="44"/>
      <c r="Q12" s="44"/>
      <c r="R12" s="44"/>
      <c r="S12" s="44"/>
      <c r="T12" s="44"/>
      <c r="U12" s="44"/>
      <c r="V12" s="182">
        <v>2000</v>
      </c>
      <c r="W12" s="182"/>
      <c r="X12" s="182">
        <v>0</v>
      </c>
      <c r="Y12" s="117"/>
      <c r="Z12" s="117"/>
    </row>
    <row r="13" spans="1:26">
      <c r="A13" s="48" t="s">
        <v>374</v>
      </c>
      <c r="B13" s="11" t="s">
        <v>142</v>
      </c>
      <c r="C13" s="44">
        <v>750</v>
      </c>
      <c r="D13" s="44">
        <v>401.57</v>
      </c>
      <c r="E13" s="44">
        <v>750</v>
      </c>
      <c r="F13" s="44">
        <v>647.46</v>
      </c>
      <c r="G13" s="44">
        <v>600</v>
      </c>
      <c r="H13" s="44">
        <v>871.87</v>
      </c>
      <c r="I13" s="44">
        <v>750</v>
      </c>
      <c r="J13" s="44">
        <v>690.54</v>
      </c>
      <c r="K13" s="44">
        <v>750</v>
      </c>
      <c r="L13" s="44">
        <v>503.59</v>
      </c>
      <c r="M13" s="44">
        <v>700</v>
      </c>
      <c r="N13" s="149">
        <v>906.49</v>
      </c>
      <c r="O13" s="44">
        <v>700</v>
      </c>
      <c r="P13" s="44">
        <v>955.24</v>
      </c>
      <c r="Q13" s="44">
        <v>900</v>
      </c>
      <c r="R13" s="44">
        <v>760.12</v>
      </c>
      <c r="S13" s="44">
        <v>700</v>
      </c>
      <c r="T13" s="44">
        <v>1080</v>
      </c>
      <c r="U13" s="44">
        <v>732.94</v>
      </c>
      <c r="V13" s="44">
        <v>810</v>
      </c>
      <c r="W13" s="44">
        <v>2486.02</v>
      </c>
      <c r="X13" s="44">
        <v>810</v>
      </c>
      <c r="Y13" s="117">
        <v>475</v>
      </c>
      <c r="Z13" s="117">
        <v>870</v>
      </c>
    </row>
    <row r="14" spans="1:26">
      <c r="A14" s="48" t="s">
        <v>375</v>
      </c>
      <c r="B14" s="11" t="s">
        <v>93</v>
      </c>
      <c r="C14" s="44">
        <v>250</v>
      </c>
      <c r="D14" s="44">
        <v>227.4</v>
      </c>
      <c r="E14" s="44">
        <v>250</v>
      </c>
      <c r="F14" s="44">
        <v>227.4</v>
      </c>
      <c r="G14" s="44">
        <v>250</v>
      </c>
      <c r="H14" s="44">
        <v>227.4</v>
      </c>
      <c r="I14" s="44">
        <v>250</v>
      </c>
      <c r="J14" s="44">
        <v>227.4</v>
      </c>
      <c r="K14" s="44">
        <v>75</v>
      </c>
      <c r="L14" s="44">
        <v>189.5</v>
      </c>
      <c r="M14" s="44">
        <v>0</v>
      </c>
      <c r="N14" s="149">
        <v>0</v>
      </c>
      <c r="O14" s="44">
        <v>0</v>
      </c>
      <c r="P14" s="44"/>
      <c r="Q14" s="44"/>
      <c r="R14" s="44"/>
      <c r="S14" s="44"/>
      <c r="T14" s="44"/>
      <c r="U14" s="44">
        <v>0</v>
      </c>
      <c r="V14" s="44">
        <v>0</v>
      </c>
      <c r="W14" s="44"/>
      <c r="X14" s="44">
        <v>0</v>
      </c>
      <c r="Y14" s="117"/>
      <c r="Z14" s="117"/>
    </row>
    <row r="15" spans="1:26">
      <c r="A15" s="48" t="s">
        <v>376</v>
      </c>
      <c r="B15" s="11" t="s">
        <v>100</v>
      </c>
      <c r="C15" s="44">
        <v>100</v>
      </c>
      <c r="D15" s="44">
        <v>1.02</v>
      </c>
      <c r="E15" s="44">
        <v>100</v>
      </c>
      <c r="F15" s="44">
        <v>0.61</v>
      </c>
      <c r="G15" s="44">
        <v>50</v>
      </c>
      <c r="H15" s="44">
        <v>0</v>
      </c>
      <c r="I15" s="44">
        <v>25</v>
      </c>
      <c r="J15" s="44">
        <v>12.15</v>
      </c>
      <c r="K15" s="44">
        <v>25</v>
      </c>
      <c r="L15" s="44">
        <v>51.52</v>
      </c>
      <c r="M15" s="44">
        <v>25</v>
      </c>
      <c r="N15" s="149">
        <v>20</v>
      </c>
      <c r="O15" s="44">
        <v>25</v>
      </c>
      <c r="P15" s="44"/>
      <c r="Q15" s="44">
        <v>40</v>
      </c>
      <c r="R15" s="44">
        <v>25.57</v>
      </c>
      <c r="S15" s="44">
        <v>40</v>
      </c>
      <c r="T15" s="44">
        <v>15</v>
      </c>
      <c r="U15" s="44">
        <v>36.799999999999997</v>
      </c>
      <c r="V15" s="44">
        <v>15</v>
      </c>
      <c r="W15" s="44"/>
      <c r="X15" s="44">
        <v>15</v>
      </c>
      <c r="Y15" s="117"/>
      <c r="Z15" s="117"/>
    </row>
    <row r="16" spans="1:26">
      <c r="A16" s="48" t="s">
        <v>377</v>
      </c>
      <c r="B16" s="11" t="s">
        <v>378</v>
      </c>
      <c r="C16" s="44">
        <v>225</v>
      </c>
      <c r="D16" s="44">
        <v>213.77</v>
      </c>
      <c r="E16" s="44">
        <v>225</v>
      </c>
      <c r="F16" s="44">
        <v>10.71</v>
      </c>
      <c r="G16" s="44">
        <v>200</v>
      </c>
      <c r="H16" s="44">
        <v>126.34</v>
      </c>
      <c r="I16" s="44">
        <v>200</v>
      </c>
      <c r="J16" s="44">
        <v>0</v>
      </c>
      <c r="K16" s="44">
        <v>100</v>
      </c>
      <c r="L16" s="44">
        <v>601.07000000000005</v>
      </c>
      <c r="M16" s="44">
        <v>100</v>
      </c>
      <c r="N16" s="149">
        <v>258.7</v>
      </c>
      <c r="O16" s="44">
        <v>150</v>
      </c>
      <c r="P16" s="44">
        <v>481.84</v>
      </c>
      <c r="Q16" s="44">
        <v>150</v>
      </c>
      <c r="R16" s="44">
        <v>68.56</v>
      </c>
      <c r="S16" s="44">
        <v>150</v>
      </c>
      <c r="T16" s="44">
        <v>0</v>
      </c>
      <c r="U16" s="44">
        <v>1699.3</v>
      </c>
      <c r="V16" s="44">
        <v>1000</v>
      </c>
      <c r="W16" s="44">
        <v>1048.8</v>
      </c>
      <c r="X16" s="44">
        <v>300</v>
      </c>
      <c r="Y16" s="117">
        <v>2867.76</v>
      </c>
      <c r="Z16" s="117">
        <v>500</v>
      </c>
    </row>
    <row r="17" spans="1:26">
      <c r="A17" s="48" t="s">
        <v>379</v>
      </c>
      <c r="B17" s="11" t="s">
        <v>380</v>
      </c>
      <c r="C17" s="178">
        <v>50</v>
      </c>
      <c r="D17" s="178">
        <v>0</v>
      </c>
      <c r="E17" s="178">
        <v>50</v>
      </c>
      <c r="F17" s="178">
        <v>0</v>
      </c>
      <c r="G17" s="178">
        <v>100</v>
      </c>
      <c r="H17" s="178">
        <v>192.22</v>
      </c>
      <c r="I17" s="178">
        <v>200</v>
      </c>
      <c r="J17" s="178">
        <v>120.74</v>
      </c>
      <c r="K17" s="178">
        <v>150</v>
      </c>
      <c r="L17" s="178">
        <v>32.56</v>
      </c>
      <c r="M17" s="178">
        <v>150</v>
      </c>
      <c r="N17" s="149">
        <v>40.08</v>
      </c>
      <c r="O17" s="44">
        <v>300</v>
      </c>
      <c r="P17" s="44"/>
      <c r="Q17" s="44">
        <v>300</v>
      </c>
      <c r="R17" s="44"/>
      <c r="S17" s="44">
        <v>150</v>
      </c>
      <c r="T17" s="44">
        <v>50</v>
      </c>
      <c r="U17" s="44">
        <v>5</v>
      </c>
      <c r="V17" s="44">
        <v>50</v>
      </c>
      <c r="W17" s="44">
        <v>-5</v>
      </c>
      <c r="X17" s="44">
        <v>50</v>
      </c>
      <c r="Y17" s="117"/>
      <c r="Z17" s="117">
        <v>50</v>
      </c>
    </row>
    <row r="18" spans="1:26">
      <c r="A18" s="48" t="s">
        <v>381</v>
      </c>
      <c r="B18" s="11" t="s">
        <v>104</v>
      </c>
      <c r="C18" s="44">
        <v>150</v>
      </c>
      <c r="D18" s="44">
        <v>579.01</v>
      </c>
      <c r="E18" s="44">
        <v>800</v>
      </c>
      <c r="F18" s="44">
        <v>509.4</v>
      </c>
      <c r="G18" s="44">
        <v>500</v>
      </c>
      <c r="H18" s="44">
        <v>356.29</v>
      </c>
      <c r="I18" s="44">
        <v>500</v>
      </c>
      <c r="J18" s="44">
        <v>513.16999999999996</v>
      </c>
      <c r="K18" s="44">
        <v>500</v>
      </c>
      <c r="L18" s="44">
        <v>759.62</v>
      </c>
      <c r="M18" s="44">
        <v>400</v>
      </c>
      <c r="N18" s="149">
        <v>295.56</v>
      </c>
      <c r="O18" s="44">
        <v>400</v>
      </c>
      <c r="P18" s="44">
        <v>366.55</v>
      </c>
      <c r="Q18" s="44">
        <v>300</v>
      </c>
      <c r="R18" s="44">
        <v>123.18</v>
      </c>
      <c r="S18" s="44">
        <v>200</v>
      </c>
      <c r="T18" s="44">
        <v>200</v>
      </c>
      <c r="U18" s="44">
        <v>23.27</v>
      </c>
      <c r="V18" s="44">
        <v>100</v>
      </c>
      <c r="W18" s="44">
        <v>-398</v>
      </c>
      <c r="X18" s="44">
        <v>200</v>
      </c>
      <c r="Y18" s="117">
        <v>50</v>
      </c>
      <c r="Z18" s="117">
        <v>250</v>
      </c>
    </row>
    <row r="19" spans="1:26">
      <c r="A19" s="48" t="s">
        <v>382</v>
      </c>
      <c r="B19" s="11" t="s">
        <v>383</v>
      </c>
      <c r="C19" s="178">
        <v>0</v>
      </c>
      <c r="D19" s="178">
        <v>0</v>
      </c>
      <c r="E19" s="178">
        <v>0</v>
      </c>
      <c r="F19" s="178">
        <v>10</v>
      </c>
      <c r="G19" s="178">
        <v>0</v>
      </c>
      <c r="H19" s="178">
        <v>132.88</v>
      </c>
      <c r="I19" s="178">
        <v>0</v>
      </c>
      <c r="J19" s="178">
        <v>0</v>
      </c>
      <c r="K19" s="178">
        <v>0</v>
      </c>
      <c r="L19" s="178">
        <v>21.47</v>
      </c>
      <c r="M19" s="178">
        <v>0</v>
      </c>
      <c r="N19" s="149">
        <v>0</v>
      </c>
      <c r="O19" s="44">
        <v>0</v>
      </c>
      <c r="P19" s="44"/>
      <c r="Q19" s="44"/>
      <c r="R19" s="44"/>
      <c r="S19" s="44"/>
      <c r="T19" s="44"/>
      <c r="U19" s="44">
        <v>0</v>
      </c>
      <c r="V19" s="44">
        <v>0</v>
      </c>
      <c r="W19" s="44">
        <v>0</v>
      </c>
      <c r="X19" s="44">
        <v>0</v>
      </c>
      <c r="Y19" s="117">
        <v>887.04</v>
      </c>
      <c r="Z19" s="117"/>
    </row>
    <row r="20" spans="1:26">
      <c r="A20" s="48" t="s">
        <v>384</v>
      </c>
      <c r="B20" s="11" t="s">
        <v>385</v>
      </c>
      <c r="C20" s="178">
        <v>270</v>
      </c>
      <c r="D20" s="178">
        <v>0</v>
      </c>
      <c r="E20" s="178">
        <v>270</v>
      </c>
      <c r="F20" s="178">
        <v>0</v>
      </c>
      <c r="G20" s="178">
        <v>0</v>
      </c>
      <c r="H20" s="178">
        <v>0</v>
      </c>
      <c r="I20" s="178">
        <v>0</v>
      </c>
      <c r="J20" s="178">
        <v>150</v>
      </c>
      <c r="K20" s="178">
        <v>0</v>
      </c>
      <c r="L20" s="178"/>
      <c r="M20" s="178">
        <v>0</v>
      </c>
      <c r="N20" s="149">
        <v>0</v>
      </c>
      <c r="O20" s="44">
        <v>150</v>
      </c>
      <c r="P20" s="44">
        <v>150</v>
      </c>
      <c r="Q20" s="44">
        <v>150</v>
      </c>
      <c r="R20" s="44">
        <v>150</v>
      </c>
      <c r="S20" s="44">
        <v>150</v>
      </c>
      <c r="T20" s="44">
        <v>100</v>
      </c>
      <c r="U20" s="44">
        <v>67.5</v>
      </c>
      <c r="V20" s="44">
        <v>100</v>
      </c>
      <c r="W20" s="44"/>
      <c r="X20" s="44">
        <v>100</v>
      </c>
      <c r="Y20" s="117"/>
      <c r="Z20" s="117">
        <v>100</v>
      </c>
    </row>
    <row r="21" spans="1:26">
      <c r="A21" s="363" t="s">
        <v>190</v>
      </c>
      <c r="B21" s="450" t="s">
        <v>386</v>
      </c>
      <c r="C21" s="117"/>
      <c r="D21" s="117"/>
      <c r="E21" s="117"/>
      <c r="F21" s="117"/>
      <c r="G21" s="117"/>
      <c r="H21" s="117"/>
      <c r="I21" s="117"/>
      <c r="J21" s="117"/>
      <c r="K21" s="117"/>
      <c r="L21" s="117"/>
      <c r="M21" s="117"/>
      <c r="N21" s="149"/>
      <c r="O21" s="44"/>
      <c r="P21" s="44"/>
      <c r="Q21" s="44"/>
      <c r="R21" s="44"/>
      <c r="S21" s="44"/>
      <c r="T21" s="44"/>
      <c r="U21" s="44"/>
      <c r="V21" s="44"/>
      <c r="W21" s="44"/>
      <c r="X21" s="44"/>
      <c r="Y21" s="117"/>
      <c r="Z21" s="117"/>
    </row>
    <row r="22" spans="1:26">
      <c r="A22" s="48" t="s">
        <v>387</v>
      </c>
      <c r="B22" s="11" t="s">
        <v>110</v>
      </c>
      <c r="C22" s="178">
        <v>262.02999999999997</v>
      </c>
      <c r="D22" s="178">
        <v>262.08</v>
      </c>
      <c r="E22" s="178">
        <v>262.08</v>
      </c>
      <c r="F22" s="178">
        <v>261.98</v>
      </c>
      <c r="G22" s="178">
        <f>12*9.1</f>
        <v>109.19999999999999</v>
      </c>
      <c r="H22" s="178">
        <v>109.2</v>
      </c>
      <c r="I22" s="178">
        <v>0</v>
      </c>
      <c r="J22" s="178">
        <v>-0.02</v>
      </c>
      <c r="K22" s="178">
        <v>0</v>
      </c>
      <c r="L22" s="178">
        <v>0</v>
      </c>
      <c r="M22" s="178">
        <v>0</v>
      </c>
      <c r="N22" s="149">
        <v>0</v>
      </c>
      <c r="O22" s="44">
        <v>0</v>
      </c>
      <c r="P22" s="44">
        <v>53.29</v>
      </c>
      <c r="Q22" s="44"/>
      <c r="R22" s="44"/>
      <c r="S22" s="44"/>
      <c r="T22" s="44"/>
      <c r="U22" s="44">
        <v>0</v>
      </c>
      <c r="V22" s="44">
        <v>0</v>
      </c>
      <c r="W22" s="44"/>
      <c r="X22" s="11">
        <v>1500</v>
      </c>
      <c r="Y22" s="44"/>
      <c r="Z22" s="117"/>
    </row>
    <row r="23" spans="1:26">
      <c r="A23" s="48" t="s">
        <v>388</v>
      </c>
      <c r="B23" s="11" t="s">
        <v>114</v>
      </c>
      <c r="C23" s="178">
        <v>250</v>
      </c>
      <c r="D23" s="178">
        <v>68.59</v>
      </c>
      <c r="E23" s="178">
        <v>400</v>
      </c>
      <c r="F23" s="178">
        <v>214.58</v>
      </c>
      <c r="G23" s="178">
        <v>400</v>
      </c>
      <c r="H23" s="178">
        <v>70.3</v>
      </c>
      <c r="I23" s="178">
        <v>400</v>
      </c>
      <c r="J23" s="178">
        <v>269.92</v>
      </c>
      <c r="K23" s="178">
        <v>400</v>
      </c>
      <c r="L23" s="178">
        <v>1514.2</v>
      </c>
      <c r="M23" s="178">
        <v>625</v>
      </c>
      <c r="N23" s="149">
        <v>3437</v>
      </c>
      <c r="O23" s="44">
        <v>450</v>
      </c>
      <c r="P23" s="44">
        <v>2101.7800000000002</v>
      </c>
      <c r="Q23" s="44">
        <v>2050</v>
      </c>
      <c r="R23" s="44">
        <v>1826</v>
      </c>
      <c r="S23" s="44">
        <v>2000</v>
      </c>
      <c r="T23" s="44">
        <v>975</v>
      </c>
      <c r="U23" s="44">
        <v>682.26</v>
      </c>
      <c r="V23" s="44">
        <v>1000</v>
      </c>
      <c r="W23" s="44">
        <v>1408.55</v>
      </c>
      <c r="X23" s="44">
        <v>2000</v>
      </c>
      <c r="Y23" s="117">
        <v>1142.8900000000001</v>
      </c>
      <c r="Z23" s="117">
        <v>4000</v>
      </c>
    </row>
    <row r="24" spans="1:26">
      <c r="A24" s="363" t="s">
        <v>389</v>
      </c>
      <c r="B24" s="11" t="s">
        <v>390</v>
      </c>
      <c r="C24" s="44"/>
      <c r="D24" s="44"/>
      <c r="E24" s="44"/>
      <c r="F24" s="44"/>
      <c r="G24" s="44"/>
      <c r="H24" s="44"/>
      <c r="I24" s="44"/>
      <c r="J24" s="44"/>
      <c r="K24" s="44"/>
      <c r="L24" s="44"/>
      <c r="M24" s="44"/>
      <c r="N24" s="149"/>
      <c r="O24" s="44"/>
      <c r="P24" s="44"/>
      <c r="Q24" s="44"/>
      <c r="R24" s="44"/>
      <c r="S24" s="44"/>
      <c r="T24" s="44"/>
      <c r="U24" s="44"/>
      <c r="V24" s="44"/>
      <c r="W24" s="44"/>
      <c r="X24" s="44">
        <v>1500</v>
      </c>
      <c r="Y24" s="117">
        <v>934.32</v>
      </c>
      <c r="Z24" s="117">
        <v>2800</v>
      </c>
    </row>
    <row r="25" spans="1:26">
      <c r="A25" s="48" t="s">
        <v>388</v>
      </c>
      <c r="B25" s="11" t="s">
        <v>391</v>
      </c>
      <c r="C25" s="44">
        <v>600</v>
      </c>
      <c r="D25" s="44">
        <v>713.34</v>
      </c>
      <c r="E25" s="44">
        <v>750</v>
      </c>
      <c r="F25" s="44">
        <v>53</v>
      </c>
      <c r="G25" s="44">
        <v>450</v>
      </c>
      <c r="H25" s="44">
        <v>1078.94</v>
      </c>
      <c r="I25" s="44">
        <v>600</v>
      </c>
      <c r="J25" s="44">
        <v>1152.95</v>
      </c>
      <c r="K25" s="44">
        <v>1100</v>
      </c>
      <c r="L25" s="44">
        <v>1386.11</v>
      </c>
      <c r="M25" s="44">
        <v>1100</v>
      </c>
      <c r="N25" s="149">
        <v>885.19</v>
      </c>
      <c r="O25" s="44">
        <v>1100</v>
      </c>
      <c r="P25" s="44"/>
      <c r="Q25" s="44">
        <v>1100</v>
      </c>
      <c r="R25" s="44">
        <v>1197.4000000000001</v>
      </c>
      <c r="S25" s="44">
        <v>1100</v>
      </c>
      <c r="T25" s="44">
        <v>900</v>
      </c>
      <c r="U25" s="44"/>
      <c r="V25" s="44">
        <v>900</v>
      </c>
      <c r="W25" s="44">
        <v>213.87</v>
      </c>
      <c r="X25" s="44">
        <v>0</v>
      </c>
      <c r="Y25" s="117"/>
      <c r="Z25" s="117">
        <v>350</v>
      </c>
    </row>
    <row r="26" spans="1:26">
      <c r="A26" s="363" t="s">
        <v>190</v>
      </c>
      <c r="B26" s="11" t="s">
        <v>392</v>
      </c>
      <c r="C26" s="44"/>
      <c r="D26" s="44"/>
      <c r="E26" s="44"/>
      <c r="F26" s="44"/>
      <c r="G26" s="44"/>
      <c r="H26" s="44"/>
      <c r="I26" s="44"/>
      <c r="J26" s="44"/>
      <c r="K26" s="44"/>
      <c r="L26" s="44"/>
      <c r="M26" s="44"/>
      <c r="N26" s="149"/>
      <c r="O26" s="44"/>
      <c r="P26" s="44"/>
      <c r="Q26" s="44"/>
      <c r="R26" s="44"/>
      <c r="S26" s="44"/>
      <c r="T26" s="44"/>
      <c r="U26" s="44"/>
      <c r="V26" s="44">
        <v>600</v>
      </c>
      <c r="W26" s="44"/>
      <c r="X26" s="44">
        <v>800</v>
      </c>
      <c r="Y26" s="117"/>
      <c r="Z26" s="117"/>
    </row>
    <row r="27" spans="1:26">
      <c r="B27" s="11" t="s">
        <v>21</v>
      </c>
      <c r="C27" s="178">
        <f>SUBTOTAL(109,FoodbankExpenses[Budget 10/11])</f>
        <v>2907.0299999999997</v>
      </c>
      <c r="D27" s="178">
        <f>SUBTOTAL(109,FoodbankExpenses[Actual 10/11])</f>
        <v>2466.7799999999997</v>
      </c>
      <c r="E27" s="178">
        <f>SUBTOTAL(109,FoodbankExpenses[Budget 11/12])</f>
        <v>3857.08</v>
      </c>
      <c r="F27" s="178">
        <f>SUBTOTAL(109,FoodbankExpenses[Actual 11/12])</f>
        <v>1935.1399999999999</v>
      </c>
      <c r="G27" s="178">
        <f>SUBTOTAL(109,FoodbankExpenses[Budget 12/13])</f>
        <v>2659.2</v>
      </c>
      <c r="H27" s="178">
        <f>SUBTOTAL(109,FoodbankExpenses[Actual 12/13])</f>
        <v>3165.44</v>
      </c>
      <c r="I27" s="178">
        <f>SUBTOTAL(109,FoodbankExpenses[Budget 13/14])</f>
        <v>2925</v>
      </c>
      <c r="J27" s="178">
        <f>SUBTOTAL(109,FoodbankExpenses[Actual 13/14])</f>
        <v>3136.8500000000004</v>
      </c>
      <c r="K27" s="178">
        <f>SUBTOTAL(109,FoodbankExpenses[Budget 14/15])</f>
        <v>3100</v>
      </c>
      <c r="L27" s="178">
        <f>SUBTOTAL(109,FoodbankExpenses[Actual 14/15])</f>
        <v>5059.6399999999994</v>
      </c>
      <c r="M27" s="178">
        <f>SUBTOTAL(109,FoodbankExpenses[Budget 15/16])</f>
        <v>3100</v>
      </c>
      <c r="N27" s="145">
        <f>SUBTOTAL(109,FoodbankExpenses[Actual 15/16])</f>
        <v>5843.02</v>
      </c>
      <c r="O27" s="178">
        <f>SUBTOTAL(109,FoodbankExpenses[Budget 16/17])</f>
        <v>3275</v>
      </c>
      <c r="P27" s="178">
        <f>SUBTOTAL(109,FoodbankExpenses[Actual 16/17])</f>
        <v>4108.7</v>
      </c>
      <c r="Q27" s="178">
        <f>SUBTOTAL(109,FoodbankExpenses[Budget 17/18])</f>
        <v>4990</v>
      </c>
      <c r="R27" s="21">
        <f>SUM(FoodbankExpenses[Actual 17/18])</f>
        <v>4150.83</v>
      </c>
      <c r="S27" s="21">
        <f>SUM(FoodbankExpenses[Budget 18/19])</f>
        <v>4490</v>
      </c>
      <c r="T27" s="21">
        <f>SUBTOTAL(109,FoodbankExpenses[Budget 19/20])</f>
        <v>3320</v>
      </c>
      <c r="U27" s="21">
        <f>SUM(FoodbankExpenses[Actual P12 19/20])</f>
        <v>3247.0699999999997</v>
      </c>
      <c r="V27" s="21">
        <f>SUBTOTAL(109,FoodbankExpenses[Budget 20/21])</f>
        <v>13775</v>
      </c>
      <c r="W27" s="21">
        <f>SUBTOTAL(109,FoodbankExpenses[Actual 20/21])</f>
        <v>12498.31</v>
      </c>
      <c r="X27" s="21">
        <f>SUBTOTAL(109,FoodbankExpenses[Budget 21/22])</f>
        <v>31682.999999999996</v>
      </c>
      <c r="Y27" s="21">
        <f>SUBTOTAL(109,FoodbankExpenses[Actual 21/22])</f>
        <v>28764.39</v>
      </c>
      <c r="Z27" s="178">
        <f>SUM(FoodbankExpenses[Budget 22/23])</f>
        <v>32514.400000000001</v>
      </c>
    </row>
    <row r="28" spans="1:26" ht="13.5" thickBot="1">
      <c r="U28" s="178"/>
    </row>
    <row r="29" spans="1:26" ht="19.5" thickBot="1">
      <c r="B29" s="611" t="s">
        <v>127</v>
      </c>
      <c r="C29" s="27">
        <f>FoodbankRevenues[[#Totals],[Budget 10/11]]-FoodbankExpenses[[#Totals],[Budget 10/11]]</f>
        <v>-2907.0299999999997</v>
      </c>
      <c r="D29" s="27">
        <f>FoodbankRevenues[[#Totals],[Actual 10/11]]-FoodbankExpenses[[#Totals],[Actual 10/11]]</f>
        <v>-2466.7799999999997</v>
      </c>
      <c r="E29" s="27">
        <f>FoodbankRevenues[[#Totals],[Budget 11/12]]-FoodbankExpenses[[#Totals],[Budget 11/12]]</f>
        <v>-3857.08</v>
      </c>
      <c r="F29" s="27">
        <f>FoodbankRevenues[[#Totals],[Actual 11/12]]-FoodbankExpenses[[#Totals],[Actual 11/12]]</f>
        <v>-388.54999999999995</v>
      </c>
      <c r="G29" s="27">
        <f>FoodbankRevenues[[#Totals],[Budget 12/13]]-FoodbankExpenses[[#Totals],[Budget 12/13]]</f>
        <v>-2659.2</v>
      </c>
      <c r="H29" s="27">
        <f>FoodbankRevenues[[#Totals],[Actual 12/13]]-FoodbankExpenses[[#Totals],[Actual 12/13]]</f>
        <v>-2357.9700000000003</v>
      </c>
      <c r="I29" s="27">
        <f>FoodbankRevenues[[#Totals],[Budget 13/14]]-FoodbankExpenses[[#Totals],[Budget 13/14]]</f>
        <v>-2925</v>
      </c>
      <c r="J29" s="27">
        <f>FoodbankRevenues[[#Totals],[Actual 13/14]]-FoodbankExpenses[[#Totals],[Actual 13/14]]</f>
        <v>-2532.5500000000002</v>
      </c>
      <c r="K29" s="27">
        <f>FoodbankRevenues[[#Totals],[Budget 14/15]]-FoodbankExpenses[[#Totals],[Budget 14/15]]</f>
        <v>-3100</v>
      </c>
      <c r="L29" s="27">
        <f>FoodbankRevenues[[#Totals],[Actual 14/15]]-FoodbankExpenses[[#Totals],[Actual 14/15]]</f>
        <v>-793.1299999999992</v>
      </c>
      <c r="M29" s="27">
        <f>FoodbankRevenues[[#Totals],[Budget 15/16]]-FoodbankExpenses[[#Totals],[Budget 15/16]]</f>
        <v>-3100</v>
      </c>
      <c r="N29" s="27">
        <f>FoodbankRevenues[[#Totals],[Actual 15/16]]-FoodbankExpenses[[#Totals],[Actual 15/16]]</f>
        <v>-2694.9700000000007</v>
      </c>
      <c r="O29" s="27">
        <f>FoodbankRevenues[[#Totals],[Budget 16/17]]-FoodbankExpenses[[#Totals],[Budget 16/17]]</f>
        <v>-3275</v>
      </c>
      <c r="P29" s="27">
        <f>FoodbankRevenues[[#Totals],[Actual 16/17]]-FoodbankExpenses[[#Totals],[Actual 16/17]]</f>
        <v>-3495.5499999999997</v>
      </c>
      <c r="Q29" s="27">
        <f>FoodbankRevenues[[#Totals],[Budget 17/18]]-FoodbankExpenses[[#Totals],[Budget 17/18]]</f>
        <v>-4490</v>
      </c>
      <c r="R29" s="27">
        <f>FoodbankRevenues[[#Totals],[Actual 17/18]]-FoodbankExpenses[[#Totals],[Actual 17/18]]</f>
        <v>-3301.38</v>
      </c>
      <c r="S29" s="27">
        <f>FoodbankRevenues[[#Totals],[Budget 18/19]]-FoodbankExpenses[[#Totals],[Budget 18/19]]</f>
        <v>-3990</v>
      </c>
      <c r="T29" s="27">
        <f>FoodbankRevenues[[#Totals],[Budget 19/20]]-FoodbankExpenses[[#Totals],[Budget 19/20]]</f>
        <v>-2820</v>
      </c>
      <c r="U29" s="27">
        <f>FoodbankRevenues[[#Totals],[Actual P12 19/20]]-FoodbankExpenses[[#Totals],[Actual P12 19/20]]</f>
        <v>-372.94999999999982</v>
      </c>
      <c r="V29" s="27">
        <f>FoodbankRevenues[[#Totals],[Budget 20/21]]-FoodbankExpenses[[#Totals],[Budget 20/21]]</f>
        <v>-13275</v>
      </c>
      <c r="W29" s="27">
        <f>FoodbankRevenues[[#Totals],[Actual 20/21]]-FoodbankExpenses[[#Totals],[Actual 20/21]]</f>
        <v>-11998.31</v>
      </c>
      <c r="X29" s="27">
        <f>FoodbankRevenues[[#Totals],[Budget 21/22]]-FoodbankExpenses[[#Totals],[Budget 21/22]]</f>
        <v>-31182.999999999996</v>
      </c>
      <c r="Y29" s="27">
        <f>FoodbankRevenues[[#Totals],[Actual 21/22]]-FoodbankExpenses[[#Totals],[Actual 21/22]]</f>
        <v>-22789.42</v>
      </c>
      <c r="Z29" s="27">
        <f>FoodbankRevenues[[#Totals],[Budget 22/23]]-FoodbankExpenses[[#Totals],[Budget 22/23]]</f>
        <v>-31514.400000000001</v>
      </c>
    </row>
    <row r="32" spans="1:26">
      <c r="T32" s="21"/>
    </row>
    <row r="33" spans="11:20">
      <c r="T33" s="21"/>
    </row>
    <row r="35" spans="11:20">
      <c r="K35"/>
      <c r="L35"/>
      <c r="M35"/>
      <c r="N35" s="138"/>
      <c r="O35"/>
      <c r="P35"/>
      <c r="Q35"/>
      <c r="R35"/>
      <c r="S35"/>
      <c r="T35" s="358"/>
    </row>
    <row r="36" spans="11:20">
      <c r="K36"/>
      <c r="L36"/>
      <c r="M36"/>
      <c r="N36" s="138"/>
      <c r="O36"/>
      <c r="P36"/>
      <c r="Q36"/>
      <c r="R36"/>
      <c r="S36"/>
    </row>
    <row r="37" spans="11:20">
      <c r="K37"/>
      <c r="L37"/>
      <c r="M37"/>
      <c r="N37" s="138"/>
      <c r="O37"/>
      <c r="P37"/>
      <c r="Q37"/>
      <c r="R37"/>
      <c r="S37"/>
    </row>
    <row r="38" spans="11:20">
      <c r="K38"/>
      <c r="L38"/>
      <c r="M38"/>
      <c r="N38" s="138"/>
      <c r="O38"/>
      <c r="P38"/>
      <c r="Q38"/>
      <c r="R38"/>
      <c r="S38"/>
    </row>
    <row r="39" spans="11:20">
      <c r="K39"/>
      <c r="L39"/>
      <c r="M39"/>
      <c r="N39" s="138"/>
      <c r="O39"/>
      <c r="P39"/>
      <c r="Q39"/>
      <c r="R39"/>
      <c r="S39"/>
    </row>
    <row r="40" spans="11:20">
      <c r="K40"/>
      <c r="L40"/>
      <c r="M40"/>
      <c r="N40" s="138"/>
      <c r="O40"/>
      <c r="P40"/>
      <c r="Q40"/>
      <c r="R40"/>
      <c r="S40"/>
    </row>
    <row r="41" spans="11:20">
      <c r="K41"/>
      <c r="L41"/>
      <c r="M41"/>
      <c r="N41" s="138"/>
      <c r="O41"/>
      <c r="P41"/>
      <c r="Q41"/>
      <c r="R41"/>
      <c r="S41"/>
    </row>
    <row r="42" spans="11:20">
      <c r="K42"/>
      <c r="L42"/>
      <c r="M42"/>
      <c r="N42" s="138"/>
      <c r="O42"/>
      <c r="P42"/>
      <c r="Q42"/>
      <c r="R42"/>
      <c r="S42"/>
    </row>
    <row r="43" spans="11:20">
      <c r="K43"/>
      <c r="L43"/>
      <c r="M43"/>
      <c r="N43" s="138"/>
      <c r="O43"/>
      <c r="P43"/>
      <c r="Q43"/>
      <c r="R43"/>
      <c r="S43"/>
    </row>
    <row r="44" spans="11:20">
      <c r="K44"/>
      <c r="L44"/>
      <c r="M44"/>
      <c r="N44" s="138"/>
      <c r="O44"/>
      <c r="P44"/>
      <c r="Q44"/>
      <c r="R44"/>
      <c r="S44"/>
    </row>
    <row r="45" spans="11:20">
      <c r="K45"/>
      <c r="L45"/>
      <c r="M45"/>
      <c r="N45" s="138"/>
      <c r="O45"/>
      <c r="P45"/>
      <c r="Q45"/>
      <c r="R45"/>
      <c r="S45"/>
    </row>
  </sheetData>
  <customSheetViews>
    <customSheetView guid="{DC934874-AE9C-4DF4-8DA8-4394DABABB42}" showRuler="0">
      <selection activeCell="G14" sqref="G14"/>
      <pageMargins left="0" right="0" top="0" bottom="0" header="0" footer="0"/>
      <pageSetup orientation="portrait"/>
      <headerFooter alignWithMargins="0"/>
    </customSheetView>
    <customSheetView guid="{7FD89B2E-4983-4B8D-ABA2-A07F685A0C6E}" showRuler="0">
      <selection activeCell="G19" sqref="G19"/>
      <pageMargins left="0" right="0" top="0" bottom="0" header="0" footer="0"/>
      <pageSetup orientation="portrait"/>
      <headerFooter alignWithMargins="0"/>
    </customSheetView>
    <customSheetView guid="{84D8AC11-A493-4338-8044-6F4154C29695}" showRuler="0">
      <selection activeCell="G15" sqref="G15"/>
      <pageMargins left="0" right="0" top="0" bottom="0" header="0" footer="0"/>
      <pageSetup orientation="portrait"/>
      <headerFooter alignWithMargins="0"/>
    </customSheetView>
    <customSheetView guid="{BB157E55-0A2E-4D9F-A3BF-E83E5442FC27}" showPageBreaks="1" showRuler="0">
      <selection activeCell="G14" sqref="G14"/>
      <pageMargins left="0" right="0" top="0" bottom="0" header="0" footer="0"/>
      <pageSetup orientation="portrait"/>
      <headerFooter alignWithMargins="0"/>
    </customSheetView>
  </customSheetViews>
  <mergeCells count="1">
    <mergeCell ref="A1:B1"/>
  </mergeCells>
  <phoneticPr fontId="0" type="noConversion"/>
  <pageMargins left="0" right="0" top="0.98425196850393704" bottom="0.98425196850393704" header="0.51181102362204722" footer="0.51181102362204722"/>
  <pageSetup orientation="landscape" blackAndWhite="1" r:id="rId1"/>
  <headerFooter alignWithMargins="0"/>
  <legacyDrawing r:id="rId2"/>
  <tableParts count="2">
    <tablePart r:id="rId3"/>
    <tablePart r:id="rId4"/>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theme="1"/>
    <pageSetUpPr fitToPage="1"/>
  </sheetPr>
  <dimension ref="A1:Z47"/>
  <sheetViews>
    <sheetView showGridLines="0" zoomScale="90" zoomScaleNormal="90" workbookViewId="0">
      <selection activeCell="Y25" sqref="Y25"/>
    </sheetView>
  </sheetViews>
  <sheetFormatPr defaultColWidth="11.42578125" defaultRowHeight="12.75"/>
  <cols>
    <col min="1" max="1" width="13.85546875" style="11" customWidth="1"/>
    <col min="2" max="2" width="20" style="11" customWidth="1"/>
    <col min="3" max="13" width="16.85546875" style="11" hidden="1" customWidth="1"/>
    <col min="14" max="14" width="16" style="132" hidden="1" customWidth="1"/>
    <col min="15" max="15" width="16" style="11" hidden="1" customWidth="1"/>
    <col min="16" max="17" width="16.7109375" style="11" hidden="1" customWidth="1"/>
    <col min="18" max="18" width="18.140625" style="11" hidden="1" customWidth="1"/>
    <col min="19" max="19" width="16.42578125" style="11" hidden="1" customWidth="1"/>
    <col min="20" max="20" width="18.140625" style="11" hidden="1" customWidth="1"/>
    <col min="21" max="21" width="16.7109375" style="11" hidden="1" customWidth="1"/>
    <col min="22" max="22" width="18.28515625" style="11" hidden="1" customWidth="1"/>
    <col min="23" max="23" width="22.42578125" style="11" hidden="1" customWidth="1"/>
    <col min="24" max="24" width="16.7109375" style="11" customWidth="1"/>
    <col min="25" max="25" width="17.42578125" style="11" customWidth="1"/>
    <col min="26" max="26" width="18.7109375" style="11" customWidth="1"/>
    <col min="27" max="16384" width="11.42578125" style="11"/>
  </cols>
  <sheetData>
    <row r="1" spans="1:26" ht="18">
      <c r="A1" s="758" t="s">
        <v>393</v>
      </c>
      <c r="B1" s="759"/>
    </row>
    <row r="2" spans="1:26">
      <c r="A2" s="28" t="s">
        <v>226</v>
      </c>
    </row>
    <row r="3" spans="1:26">
      <c r="A3" s="763"/>
      <c r="B3" s="763"/>
    </row>
    <row r="5" spans="1:26">
      <c r="A5" s="48" t="s">
        <v>130</v>
      </c>
      <c r="B5" s="11" t="s">
        <v>72</v>
      </c>
      <c r="C5" s="11" t="s">
        <v>73</v>
      </c>
      <c r="D5" s="11" t="s">
        <v>74</v>
      </c>
      <c r="E5" s="11" t="s">
        <v>75</v>
      </c>
      <c r="F5" s="11" t="s">
        <v>76</v>
      </c>
      <c r="G5" s="11" t="s">
        <v>77</v>
      </c>
      <c r="H5" s="11" t="s">
        <v>78</v>
      </c>
      <c r="I5" s="11" t="s">
        <v>5</v>
      </c>
      <c r="J5" s="11" t="s">
        <v>6</v>
      </c>
      <c r="K5" s="11" t="s">
        <v>7</v>
      </c>
      <c r="L5" s="11" t="s">
        <v>8</v>
      </c>
      <c r="M5" s="11" t="s">
        <v>9</v>
      </c>
      <c r="N5" s="119" t="s">
        <v>10</v>
      </c>
      <c r="O5" s="11" t="s">
        <v>11</v>
      </c>
      <c r="P5" s="11" t="s">
        <v>12</v>
      </c>
      <c r="Q5" s="11" t="s">
        <v>13</v>
      </c>
      <c r="R5" s="11" t="s">
        <v>14</v>
      </c>
      <c r="S5" s="11" t="s">
        <v>15</v>
      </c>
      <c r="T5" s="11" t="s">
        <v>16</v>
      </c>
      <c r="U5" s="11" t="s">
        <v>81</v>
      </c>
      <c r="V5" s="11" t="s">
        <v>61</v>
      </c>
      <c r="W5" s="11" t="s">
        <v>394</v>
      </c>
      <c r="X5" s="11" t="s">
        <v>41</v>
      </c>
      <c r="Y5" s="5" t="s">
        <v>42</v>
      </c>
      <c r="Z5" s="5" t="s">
        <v>43</v>
      </c>
    </row>
    <row r="6" spans="1:26">
      <c r="A6" s="363" t="s">
        <v>190</v>
      </c>
      <c r="B6" s="11" t="s">
        <v>395</v>
      </c>
      <c r="C6" s="178"/>
      <c r="D6" s="178"/>
      <c r="E6" s="178"/>
      <c r="F6" s="178"/>
      <c r="G6" s="178"/>
      <c r="H6" s="178"/>
      <c r="I6" s="178"/>
      <c r="J6" s="178"/>
      <c r="K6" s="178"/>
      <c r="L6" s="178"/>
      <c r="M6" s="178"/>
      <c r="N6" s="145"/>
      <c r="O6" s="178"/>
      <c r="P6" s="178"/>
      <c r="Q6" s="178"/>
      <c r="R6" s="178"/>
      <c r="S6" s="44"/>
      <c r="T6" s="44"/>
      <c r="U6" s="44"/>
      <c r="V6" s="18">
        <v>500</v>
      </c>
    </row>
    <row r="7" spans="1:26">
      <c r="A7" s="48" t="s">
        <v>396</v>
      </c>
      <c r="B7" s="11" t="s">
        <v>343</v>
      </c>
      <c r="C7" s="178">
        <v>0</v>
      </c>
      <c r="D7" s="178">
        <v>0</v>
      </c>
      <c r="E7" s="178">
        <v>0</v>
      </c>
      <c r="F7" s="178">
        <v>1087</v>
      </c>
      <c r="G7" s="178">
        <v>0</v>
      </c>
      <c r="H7" s="178">
        <v>1578.12</v>
      </c>
      <c r="I7" s="178">
        <v>0</v>
      </c>
      <c r="J7" s="178">
        <v>2361.25</v>
      </c>
      <c r="K7" s="178">
        <v>0</v>
      </c>
      <c r="L7" s="178">
        <v>718.4</v>
      </c>
      <c r="M7" s="178">
        <v>0</v>
      </c>
      <c r="N7" s="145">
        <v>0</v>
      </c>
      <c r="O7" s="178">
        <v>0</v>
      </c>
      <c r="P7" s="178"/>
      <c r="Q7" s="178"/>
      <c r="R7" s="178"/>
      <c r="S7" s="178">
        <v>400</v>
      </c>
      <c r="T7" s="178">
        <v>400</v>
      </c>
      <c r="U7" s="178">
        <v>0</v>
      </c>
      <c r="V7" s="178">
        <v>0</v>
      </c>
    </row>
    <row r="8" spans="1:26">
      <c r="A8" s="48" t="s">
        <v>397</v>
      </c>
      <c r="B8" s="11" t="s">
        <v>295</v>
      </c>
      <c r="C8" s="44">
        <v>1100</v>
      </c>
      <c r="D8" s="44">
        <v>0</v>
      </c>
      <c r="E8" s="44">
        <v>1400</v>
      </c>
      <c r="F8" s="44">
        <v>1788.38</v>
      </c>
      <c r="G8" s="44">
        <v>0</v>
      </c>
      <c r="H8" s="44">
        <v>181.04</v>
      </c>
      <c r="I8" s="44">
        <v>0</v>
      </c>
      <c r="J8" s="44">
        <v>238.62</v>
      </c>
      <c r="K8" s="44">
        <v>0</v>
      </c>
      <c r="L8" s="44">
        <v>851.7</v>
      </c>
      <c r="M8" s="44">
        <v>0</v>
      </c>
      <c r="N8" s="139">
        <v>1306</v>
      </c>
      <c r="O8" s="44">
        <v>0</v>
      </c>
      <c r="P8" s="178">
        <v>445.33</v>
      </c>
      <c r="Q8" s="178">
        <v>400</v>
      </c>
      <c r="R8" s="178"/>
      <c r="S8" s="178"/>
      <c r="T8" s="178"/>
      <c r="U8" s="178">
        <v>150</v>
      </c>
      <c r="V8" s="178">
        <v>100</v>
      </c>
      <c r="W8" s="11">
        <v>160</v>
      </c>
      <c r="Y8" s="21">
        <v>600</v>
      </c>
    </row>
    <row r="9" spans="1:26">
      <c r="A9" s="48"/>
      <c r="B9" s="11" t="s">
        <v>21</v>
      </c>
      <c r="C9" s="178">
        <f>SUBTOTAL(109,GlowRevenues[Budget 10/11])</f>
        <v>1100</v>
      </c>
      <c r="D9" s="178">
        <f>SUBTOTAL(109,GlowRevenues[Actual 10/11])</f>
        <v>0</v>
      </c>
      <c r="E9" s="178">
        <f>SUBTOTAL(109,GlowRevenues[Budget 11/12])</f>
        <v>1400</v>
      </c>
      <c r="F9" s="178">
        <f>SUBTOTAL(109,GlowRevenues[Actual 11/12])</f>
        <v>2875.38</v>
      </c>
      <c r="G9" s="178">
        <f>SUBTOTAL(109,GlowRevenues[Budget 12/13])</f>
        <v>0</v>
      </c>
      <c r="H9" s="178">
        <f>SUBTOTAL(109,GlowRevenues[Actual 12/13])</f>
        <v>1759.1599999999999</v>
      </c>
      <c r="I9" s="178">
        <f>SUBTOTAL(109,GlowRevenues[Budget 13/14])</f>
        <v>0</v>
      </c>
      <c r="J9" s="178">
        <f>SUBTOTAL(109,GlowRevenues[Actual 13/14])</f>
        <v>2599.87</v>
      </c>
      <c r="K9" s="178">
        <f>SUBTOTAL(109,GlowRevenues[Budget 14/15])</f>
        <v>0</v>
      </c>
      <c r="L9" s="178">
        <f>SUBTOTAL(109,GlowRevenues[Actual 14/15])</f>
        <v>1570.1</v>
      </c>
      <c r="M9" s="178">
        <f>SUBTOTAL(109,GlowRevenues[Budget 15/16])</f>
        <v>0</v>
      </c>
      <c r="N9" s="145">
        <f>SUBTOTAL(109,GlowRevenues[Actual 15/16])</f>
        <v>1306</v>
      </c>
      <c r="O9" s="178">
        <f>SUBTOTAL(109,GlowRevenues[Budget 16/17])</f>
        <v>0</v>
      </c>
      <c r="P9" s="178">
        <f>SUBTOTAL(109,GlowRevenues[Actual 16/17])</f>
        <v>445.33</v>
      </c>
      <c r="Q9" s="178">
        <f>SUBTOTAL(109,GlowRevenues[Budget 17/18])</f>
        <v>400</v>
      </c>
      <c r="R9" s="11">
        <f>SUBTOTAL(109,GlowRevenues[Revenues])</f>
        <v>0</v>
      </c>
      <c r="S9" s="21">
        <f>SUBTOTAL(109,GlowRevenues[Budget 18/19])</f>
        <v>400</v>
      </c>
      <c r="T9" s="21">
        <f>SUBTOTAL(109,GlowRevenues[Budget 19/20])</f>
        <v>400</v>
      </c>
      <c r="U9" s="21">
        <f>SUM(GlowRevenues[Actual P12 19/20])</f>
        <v>150</v>
      </c>
      <c r="V9" s="21">
        <f>SUBTOTAL(109,GlowRevenues[Budget 19/21])</f>
        <v>600</v>
      </c>
      <c r="W9" s="21">
        <f>SUBTOTAL(109,GlowRevenues[Budget 19/22])</f>
        <v>160</v>
      </c>
      <c r="Y9" s="21">
        <f>SUBTOTAL(109,GlowRevenues[Actual 21/22])</f>
        <v>600</v>
      </c>
    </row>
    <row r="10" spans="1:26">
      <c r="A10" s="200"/>
    </row>
    <row r="11" spans="1:26">
      <c r="A11" s="48" t="s">
        <v>130</v>
      </c>
      <c r="B11" s="11" t="s">
        <v>22</v>
      </c>
      <c r="C11" s="11" t="s">
        <v>73</v>
      </c>
      <c r="D11" s="11" t="s">
        <v>74</v>
      </c>
      <c r="E11" s="11" t="s">
        <v>75</v>
      </c>
      <c r="F11" s="11" t="s">
        <v>76</v>
      </c>
      <c r="G11" s="11" t="s">
        <v>77</v>
      </c>
      <c r="H11" s="11" t="s">
        <v>78</v>
      </c>
      <c r="I11" s="11" t="s">
        <v>5</v>
      </c>
      <c r="J11" s="11" t="s">
        <v>6</v>
      </c>
      <c r="K11" s="11" t="s">
        <v>7</v>
      </c>
      <c r="L11" s="11" t="s">
        <v>8</v>
      </c>
      <c r="M11" s="11" t="s">
        <v>9</v>
      </c>
      <c r="N11" s="119" t="s">
        <v>10</v>
      </c>
      <c r="O11" s="11" t="s">
        <v>11</v>
      </c>
      <c r="P11" s="11" t="s">
        <v>12</v>
      </c>
      <c r="Q11" s="11" t="s">
        <v>13</v>
      </c>
      <c r="R11" s="11" t="s">
        <v>14</v>
      </c>
      <c r="S11" s="11" t="s">
        <v>15</v>
      </c>
      <c r="T11" s="11" t="s">
        <v>16</v>
      </c>
      <c r="U11" s="11" t="s">
        <v>81</v>
      </c>
      <c r="V11" s="11" t="s">
        <v>61</v>
      </c>
      <c r="W11" s="11" t="s">
        <v>394</v>
      </c>
      <c r="X11" s="11" t="s">
        <v>41</v>
      </c>
      <c r="Y11" s="5" t="s">
        <v>42</v>
      </c>
      <c r="Z11" s="5" t="s">
        <v>43</v>
      </c>
    </row>
    <row r="12" spans="1:26">
      <c r="A12" s="48" t="s">
        <v>398</v>
      </c>
      <c r="B12" s="11" t="s">
        <v>399</v>
      </c>
      <c r="C12" s="178"/>
      <c r="D12" s="178"/>
      <c r="E12" s="178"/>
      <c r="F12" s="178"/>
      <c r="G12" s="178"/>
      <c r="H12" s="178"/>
      <c r="I12" s="178"/>
      <c r="J12" s="178"/>
      <c r="K12" s="178"/>
      <c r="L12" s="178"/>
      <c r="M12" s="178"/>
      <c r="N12" s="145"/>
      <c r="O12" s="178"/>
      <c r="P12" s="178"/>
      <c r="Q12" s="178"/>
      <c r="R12" s="44"/>
      <c r="S12" s="44"/>
      <c r="T12" s="44"/>
      <c r="U12" s="44">
        <v>0</v>
      </c>
      <c r="V12" s="385">
        <v>12000</v>
      </c>
      <c r="W12" s="44">
        <v>10160.57</v>
      </c>
      <c r="X12" s="44">
        <f>25*15*16*2*3*1.13</f>
        <v>40679.999999999993</v>
      </c>
      <c r="Y12" s="117">
        <v>23925.34</v>
      </c>
      <c r="Z12" s="627">
        <v>39324</v>
      </c>
    </row>
    <row r="13" spans="1:26">
      <c r="A13" s="48"/>
      <c r="B13" s="11" t="s">
        <v>349</v>
      </c>
      <c r="C13" s="178"/>
      <c r="D13" s="178"/>
      <c r="E13" s="178"/>
      <c r="F13" s="178"/>
      <c r="G13" s="178"/>
      <c r="H13" s="178"/>
      <c r="I13" s="178"/>
      <c r="J13" s="178"/>
      <c r="K13" s="178"/>
      <c r="L13" s="178"/>
      <c r="M13" s="178"/>
      <c r="N13" s="145"/>
      <c r="O13" s="178"/>
      <c r="P13" s="178"/>
      <c r="Q13" s="178"/>
      <c r="R13" s="44"/>
      <c r="S13" s="44"/>
      <c r="T13" s="44"/>
      <c r="U13" s="44"/>
      <c r="V13" s="385">
        <v>1500</v>
      </c>
      <c r="W13" s="44"/>
      <c r="X13" s="44"/>
      <c r="Y13" s="117"/>
      <c r="Z13" s="627"/>
    </row>
    <row r="14" spans="1:26">
      <c r="A14" s="48" t="s">
        <v>400</v>
      </c>
      <c r="B14" s="11" t="s">
        <v>401</v>
      </c>
      <c r="C14" s="178">
        <v>700</v>
      </c>
      <c r="D14" s="178">
        <v>698.23</v>
      </c>
      <c r="E14" s="178">
        <v>2000</v>
      </c>
      <c r="F14" s="178">
        <v>2047.88</v>
      </c>
      <c r="G14" s="178">
        <v>1300</v>
      </c>
      <c r="H14" s="178">
        <v>409.2</v>
      </c>
      <c r="I14" s="178">
        <v>1560</v>
      </c>
      <c r="J14" s="178">
        <v>1257.47</v>
      </c>
      <c r="K14" s="178">
        <v>1560</v>
      </c>
      <c r="L14" s="178">
        <v>1128.3699999999999</v>
      </c>
      <c r="M14" s="178">
        <v>1500</v>
      </c>
      <c r="N14" s="139">
        <v>1738.17</v>
      </c>
      <c r="O14" s="178">
        <v>2580</v>
      </c>
      <c r="P14" s="178">
        <v>2339.0300000000002</v>
      </c>
      <c r="Q14" s="178">
        <v>2700</v>
      </c>
      <c r="R14" s="178">
        <v>1024.1500000000001</v>
      </c>
      <c r="S14" s="178">
        <v>2680</v>
      </c>
      <c r="T14" s="178">
        <v>2680</v>
      </c>
      <c r="U14" s="178">
        <v>247.69</v>
      </c>
      <c r="V14" s="178">
        <v>1480</v>
      </c>
      <c r="W14" s="44">
        <v>3058.43</v>
      </c>
      <c r="X14" s="44">
        <v>1770</v>
      </c>
      <c r="Y14" s="117">
        <v>920.9</v>
      </c>
      <c r="Z14" s="627">
        <v>2160</v>
      </c>
    </row>
    <row r="15" spans="1:26">
      <c r="A15" s="48" t="s">
        <v>402</v>
      </c>
      <c r="B15" s="11" t="s">
        <v>93</v>
      </c>
      <c r="C15" s="178">
        <v>500</v>
      </c>
      <c r="D15" s="178">
        <v>544.20000000000005</v>
      </c>
      <c r="E15" s="178">
        <v>550</v>
      </c>
      <c r="F15" s="178">
        <v>493.35</v>
      </c>
      <c r="G15" s="178">
        <v>350</v>
      </c>
      <c r="H15" s="178">
        <v>75.8</v>
      </c>
      <c r="I15" s="178">
        <v>350</v>
      </c>
      <c r="J15" s="178">
        <v>289.89999999999998</v>
      </c>
      <c r="K15" s="178">
        <v>350</v>
      </c>
      <c r="L15" s="178">
        <v>227.4</v>
      </c>
      <c r="M15" s="178">
        <v>350</v>
      </c>
      <c r="N15" s="139">
        <v>208.45</v>
      </c>
      <c r="O15" s="178">
        <v>350</v>
      </c>
      <c r="P15" s="178">
        <v>208.45</v>
      </c>
      <c r="Q15" s="178">
        <v>350</v>
      </c>
      <c r="R15" s="178">
        <v>227.4</v>
      </c>
      <c r="S15" s="178">
        <v>350</v>
      </c>
      <c r="T15" s="178">
        <v>350</v>
      </c>
      <c r="U15" s="178">
        <v>208.45</v>
      </c>
      <c r="V15" s="178">
        <v>350</v>
      </c>
      <c r="W15" s="44">
        <v>227.4</v>
      </c>
      <c r="X15" s="44">
        <v>350</v>
      </c>
      <c r="Y15" s="117">
        <v>227.4</v>
      </c>
      <c r="Z15" s="627">
        <v>350</v>
      </c>
    </row>
    <row r="16" spans="1:26">
      <c r="A16" s="48" t="s">
        <v>403</v>
      </c>
      <c r="B16" s="11" t="s">
        <v>100</v>
      </c>
      <c r="C16" s="178">
        <v>100</v>
      </c>
      <c r="D16" s="178">
        <v>29.23</v>
      </c>
      <c r="E16" s="178">
        <v>50</v>
      </c>
      <c r="F16" s="178">
        <v>62.71</v>
      </c>
      <c r="G16" s="178">
        <v>50</v>
      </c>
      <c r="H16" s="178">
        <v>4.75</v>
      </c>
      <c r="I16" s="178">
        <v>25</v>
      </c>
      <c r="J16" s="178">
        <v>101</v>
      </c>
      <c r="K16" s="178">
        <v>75</v>
      </c>
      <c r="L16" s="178">
        <v>127.56</v>
      </c>
      <c r="M16" s="178">
        <v>75</v>
      </c>
      <c r="N16" s="139">
        <v>59.52</v>
      </c>
      <c r="O16" s="178">
        <v>75</v>
      </c>
      <c r="P16" s="178"/>
      <c r="Q16" s="178">
        <v>15</v>
      </c>
      <c r="R16" s="178">
        <v>39.18</v>
      </c>
      <c r="S16" s="178">
        <v>15</v>
      </c>
      <c r="T16" s="178">
        <v>15</v>
      </c>
      <c r="U16" s="178">
        <v>1.02</v>
      </c>
      <c r="V16" s="178">
        <v>10</v>
      </c>
      <c r="W16" s="44">
        <v>9.2200000000000006</v>
      </c>
      <c r="X16" s="44">
        <v>10</v>
      </c>
      <c r="Y16" s="117"/>
      <c r="Z16" s="627"/>
    </row>
    <row r="17" spans="1:26">
      <c r="A17" s="48" t="s">
        <v>404</v>
      </c>
      <c r="B17" s="11" t="s">
        <v>378</v>
      </c>
      <c r="C17" s="178">
        <v>300</v>
      </c>
      <c r="D17" s="178">
        <v>176.27</v>
      </c>
      <c r="E17" s="178">
        <v>800</v>
      </c>
      <c r="F17" s="178">
        <v>826.5</v>
      </c>
      <c r="G17" s="178">
        <v>600</v>
      </c>
      <c r="H17" s="178">
        <v>219.55</v>
      </c>
      <c r="I17" s="178">
        <v>600</v>
      </c>
      <c r="J17" s="178">
        <v>327.26</v>
      </c>
      <c r="K17" s="178">
        <v>500</v>
      </c>
      <c r="L17" s="178">
        <v>429.44</v>
      </c>
      <c r="M17" s="178">
        <v>500</v>
      </c>
      <c r="N17" s="139">
        <v>321.20999999999998</v>
      </c>
      <c r="O17" s="178">
        <v>400</v>
      </c>
      <c r="P17" s="178">
        <v>470.73</v>
      </c>
      <c r="Q17" s="178">
        <v>300</v>
      </c>
      <c r="R17" s="178">
        <v>371.03</v>
      </c>
      <c r="S17" s="178">
        <v>300</v>
      </c>
      <c r="T17" s="178">
        <v>100</v>
      </c>
      <c r="U17" s="178">
        <v>15.94</v>
      </c>
      <c r="V17" s="178">
        <v>60</v>
      </c>
      <c r="W17" s="44">
        <v>53.34</v>
      </c>
      <c r="X17" s="44">
        <v>600</v>
      </c>
      <c r="Y17" s="117">
        <v>318.83999999999997</v>
      </c>
      <c r="Z17" s="627">
        <v>1100</v>
      </c>
    </row>
    <row r="18" spans="1:26">
      <c r="A18" s="48" t="s">
        <v>405</v>
      </c>
      <c r="B18" s="11" t="s">
        <v>104</v>
      </c>
      <c r="C18" s="178">
        <v>365</v>
      </c>
      <c r="D18" s="178">
        <v>439.12</v>
      </c>
      <c r="E18" s="178">
        <v>800</v>
      </c>
      <c r="F18" s="178">
        <v>656.13</v>
      </c>
      <c r="G18" s="178">
        <v>600</v>
      </c>
      <c r="H18" s="178">
        <v>574.15</v>
      </c>
      <c r="I18" s="178">
        <v>300</v>
      </c>
      <c r="J18" s="178">
        <v>396.98</v>
      </c>
      <c r="K18" s="178">
        <v>100</v>
      </c>
      <c r="L18" s="178">
        <v>59.66</v>
      </c>
      <c r="M18" s="178">
        <v>100</v>
      </c>
      <c r="N18" s="139">
        <v>32.49</v>
      </c>
      <c r="O18" s="178">
        <v>100</v>
      </c>
      <c r="P18" s="178">
        <v>202.58</v>
      </c>
      <c r="Q18" s="178">
        <v>100</v>
      </c>
      <c r="R18" s="178">
        <v>-59.91</v>
      </c>
      <c r="S18" s="178">
        <v>100</v>
      </c>
      <c r="T18" s="178">
        <v>75</v>
      </c>
      <c r="U18" s="178">
        <v>27.41</v>
      </c>
      <c r="V18" s="178">
        <v>50</v>
      </c>
      <c r="W18" s="44">
        <v>-2.56</v>
      </c>
      <c r="X18" s="44">
        <v>50</v>
      </c>
      <c r="Y18" s="117"/>
      <c r="Z18" s="627">
        <v>50</v>
      </c>
    </row>
    <row r="19" spans="1:26">
      <c r="A19" s="48" t="s">
        <v>406</v>
      </c>
      <c r="B19" s="11" t="s">
        <v>307</v>
      </c>
      <c r="C19" s="178">
        <v>1410</v>
      </c>
      <c r="D19" s="178">
        <v>1650</v>
      </c>
      <c r="E19" s="178">
        <v>1500</v>
      </c>
      <c r="F19" s="178">
        <v>1382.6</v>
      </c>
      <c r="G19" s="178">
        <v>1500</v>
      </c>
      <c r="H19" s="178">
        <v>0</v>
      </c>
      <c r="I19" s="178">
        <v>1500</v>
      </c>
      <c r="J19" s="178">
        <v>913.61</v>
      </c>
      <c r="K19" s="178">
        <v>1500</v>
      </c>
      <c r="L19" s="178">
        <v>1126.9100000000001</v>
      </c>
      <c r="M19" s="178">
        <v>750</v>
      </c>
      <c r="N19" s="139">
        <v>230.57</v>
      </c>
      <c r="O19" s="178">
        <v>250</v>
      </c>
      <c r="P19" s="178">
        <v>148.97999999999999</v>
      </c>
      <c r="Q19" s="178">
        <v>250</v>
      </c>
      <c r="R19" s="178">
        <v>354.96</v>
      </c>
      <c r="S19" s="178">
        <v>250</v>
      </c>
      <c r="T19" s="178">
        <v>200</v>
      </c>
      <c r="U19" s="178">
        <v>53.75</v>
      </c>
      <c r="V19" s="178">
        <v>0</v>
      </c>
      <c r="W19" s="44"/>
      <c r="X19" s="44">
        <v>200</v>
      </c>
      <c r="Y19" s="117"/>
      <c r="Z19" s="627">
        <v>200</v>
      </c>
    </row>
    <row r="20" spans="1:26">
      <c r="A20" s="48" t="s">
        <v>407</v>
      </c>
      <c r="B20" s="11" t="s">
        <v>359</v>
      </c>
      <c r="C20" s="178">
        <v>170</v>
      </c>
      <c r="D20" s="178">
        <v>97.5</v>
      </c>
      <c r="E20" s="178">
        <v>100</v>
      </c>
      <c r="F20" s="178">
        <v>38.520000000000003</v>
      </c>
      <c r="G20" s="178">
        <v>235</v>
      </c>
      <c r="H20" s="178">
        <v>41.88</v>
      </c>
      <c r="I20" s="178">
        <v>235</v>
      </c>
      <c r="J20" s="178">
        <v>144.35</v>
      </c>
      <c r="K20" s="178">
        <v>100</v>
      </c>
      <c r="L20" s="178">
        <v>0</v>
      </c>
      <c r="M20" s="178">
        <v>100</v>
      </c>
      <c r="N20" s="139">
        <v>124.51</v>
      </c>
      <c r="O20" s="178">
        <v>100</v>
      </c>
      <c r="P20" s="178">
        <v>82.86</v>
      </c>
      <c r="Q20" s="178">
        <v>150</v>
      </c>
      <c r="R20" s="178">
        <v>79.7</v>
      </c>
      <c r="S20" s="178">
        <v>150</v>
      </c>
      <c r="T20" s="178">
        <v>150</v>
      </c>
      <c r="U20" s="178">
        <v>0</v>
      </c>
      <c r="V20" s="178">
        <v>0</v>
      </c>
      <c r="W20" s="44"/>
      <c r="X20" s="44"/>
      <c r="Y20" s="117"/>
      <c r="Z20" s="627"/>
    </row>
    <row r="21" spans="1:26">
      <c r="A21" s="48" t="s">
        <v>408</v>
      </c>
      <c r="B21" s="11" t="s">
        <v>409</v>
      </c>
      <c r="C21" s="178">
        <v>0</v>
      </c>
      <c r="D21" s="178">
        <v>0</v>
      </c>
      <c r="E21" s="178">
        <v>0</v>
      </c>
      <c r="F21" s="178">
        <v>10.6</v>
      </c>
      <c r="G21" s="178">
        <v>0</v>
      </c>
      <c r="H21" s="178">
        <v>250</v>
      </c>
      <c r="I21" s="178">
        <v>0</v>
      </c>
      <c r="J21" s="178">
        <v>0</v>
      </c>
      <c r="K21" s="178">
        <v>0</v>
      </c>
      <c r="L21" s="178">
        <v>0</v>
      </c>
      <c r="M21" s="178">
        <v>0</v>
      </c>
      <c r="N21" s="145">
        <v>0</v>
      </c>
      <c r="O21" s="178">
        <v>0</v>
      </c>
      <c r="P21" s="178">
        <v>101.73</v>
      </c>
      <c r="Q21" s="178"/>
      <c r="R21" s="178">
        <v>13.72</v>
      </c>
      <c r="S21" s="178"/>
      <c r="T21" s="178"/>
      <c r="U21" s="178">
        <v>0</v>
      </c>
      <c r="V21" s="178">
        <v>0</v>
      </c>
      <c r="W21" s="44"/>
      <c r="X21" s="44"/>
      <c r="Y21" s="117"/>
      <c r="Z21" s="627"/>
    </row>
    <row r="22" spans="1:26">
      <c r="A22" s="48" t="s">
        <v>410</v>
      </c>
      <c r="B22" s="11" t="s">
        <v>114</v>
      </c>
      <c r="C22" s="178">
        <v>2500</v>
      </c>
      <c r="D22" s="178">
        <v>2114.91</v>
      </c>
      <c r="E22" s="178">
        <v>1500</v>
      </c>
      <c r="F22" s="178">
        <v>332.59</v>
      </c>
      <c r="G22" s="178">
        <v>500</v>
      </c>
      <c r="H22" s="178">
        <v>81.83</v>
      </c>
      <c r="I22" s="178">
        <v>350</v>
      </c>
      <c r="J22" s="178">
        <v>240.3</v>
      </c>
      <c r="K22" s="178">
        <v>350</v>
      </c>
      <c r="L22" s="178">
        <v>538.19000000000005</v>
      </c>
      <c r="M22" s="178">
        <v>100</v>
      </c>
      <c r="N22" s="139">
        <v>104</v>
      </c>
      <c r="O22" s="178">
        <v>0</v>
      </c>
      <c r="P22" s="178"/>
      <c r="Q22" s="178"/>
      <c r="R22" s="178"/>
      <c r="S22" s="178"/>
      <c r="T22" s="178">
        <v>700</v>
      </c>
      <c r="U22" s="178">
        <v>4201.4399999999996</v>
      </c>
      <c r="V22" s="178">
        <v>700</v>
      </c>
      <c r="W22" s="44">
        <v>1020.73</v>
      </c>
      <c r="X22" s="44">
        <v>700</v>
      </c>
      <c r="Y22" s="117">
        <v>3211.51</v>
      </c>
      <c r="Z22" s="627">
        <v>800</v>
      </c>
    </row>
    <row r="23" spans="1:26" ht="14.1" hidden="1" customHeight="1">
      <c r="A23" s="48" t="s">
        <v>411</v>
      </c>
      <c r="B23" s="11" t="s">
        <v>412</v>
      </c>
      <c r="C23" s="178">
        <v>0</v>
      </c>
      <c r="D23" s="178">
        <v>0</v>
      </c>
      <c r="E23" s="178">
        <v>0</v>
      </c>
      <c r="F23" s="178">
        <v>0</v>
      </c>
      <c r="G23" s="178">
        <v>0</v>
      </c>
      <c r="H23" s="178">
        <v>0</v>
      </c>
      <c r="I23" s="178">
        <v>0</v>
      </c>
      <c r="J23" s="178">
        <v>0</v>
      </c>
      <c r="K23" s="178">
        <v>0</v>
      </c>
      <c r="L23" s="178">
        <v>0</v>
      </c>
      <c r="M23" s="178">
        <v>0</v>
      </c>
      <c r="N23" s="145">
        <v>0</v>
      </c>
      <c r="O23" s="178">
        <v>0</v>
      </c>
      <c r="P23" s="178"/>
      <c r="Q23" s="178"/>
      <c r="R23" s="178"/>
      <c r="S23" s="178"/>
      <c r="T23" s="178"/>
      <c r="U23" s="178"/>
      <c r="V23" s="178"/>
      <c r="W23" s="44"/>
      <c r="X23" s="44"/>
      <c r="Y23" s="117"/>
      <c r="Z23" s="627"/>
    </row>
    <row r="24" spans="1:26" ht="14.1" hidden="1" customHeight="1">
      <c r="A24" s="48" t="s">
        <v>413</v>
      </c>
      <c r="B24" s="11" t="s">
        <v>414</v>
      </c>
      <c r="C24" s="178">
        <v>600</v>
      </c>
      <c r="D24" s="178">
        <v>356.13</v>
      </c>
      <c r="E24" s="178">
        <v>0</v>
      </c>
      <c r="F24" s="178">
        <v>0</v>
      </c>
      <c r="G24" s="178">
        <v>0</v>
      </c>
      <c r="H24" s="178">
        <v>0</v>
      </c>
      <c r="I24" s="178">
        <v>0</v>
      </c>
      <c r="J24" s="178">
        <v>0</v>
      </c>
      <c r="K24" s="178">
        <v>0</v>
      </c>
      <c r="L24" s="178">
        <v>0</v>
      </c>
      <c r="M24" s="178">
        <v>0</v>
      </c>
      <c r="N24" s="145">
        <v>0</v>
      </c>
      <c r="O24" s="178">
        <v>0</v>
      </c>
      <c r="P24" s="178"/>
      <c r="Q24" s="178"/>
      <c r="R24" s="178"/>
      <c r="S24" s="178"/>
      <c r="T24" s="178"/>
      <c r="U24" s="178"/>
      <c r="V24" s="178"/>
      <c r="W24" s="44"/>
      <c r="X24" s="44"/>
      <c r="Y24" s="117"/>
      <c r="Z24" s="627"/>
    </row>
    <row r="25" spans="1:26">
      <c r="A25" s="48" t="s">
        <v>410</v>
      </c>
      <c r="B25" s="11" t="s">
        <v>415</v>
      </c>
      <c r="C25" s="178">
        <v>706.51</v>
      </c>
      <c r="D25" s="178">
        <v>625.80999999999995</v>
      </c>
      <c r="E25" s="178">
        <v>740.01</v>
      </c>
      <c r="F25" s="178">
        <v>24.92</v>
      </c>
      <c r="G25" s="178">
        <v>800</v>
      </c>
      <c r="H25" s="178">
        <v>811.24</v>
      </c>
      <c r="I25" s="178">
        <v>850</v>
      </c>
      <c r="J25" s="178">
        <v>1462.85</v>
      </c>
      <c r="K25" s="178">
        <v>600</v>
      </c>
      <c r="L25" s="178">
        <v>1331.29</v>
      </c>
      <c r="M25" s="178">
        <v>3000</v>
      </c>
      <c r="N25" s="139">
        <v>4358.84</v>
      </c>
      <c r="O25" s="178">
        <v>3000</v>
      </c>
      <c r="P25" s="178">
        <v>3404.22</v>
      </c>
      <c r="Q25" s="178">
        <v>3600</v>
      </c>
      <c r="R25" s="178">
        <v>3751.65</v>
      </c>
      <c r="S25" s="178">
        <v>3600</v>
      </c>
      <c r="T25" s="515">
        <v>2500</v>
      </c>
      <c r="U25" s="178"/>
      <c r="V25" s="178">
        <v>0</v>
      </c>
      <c r="W25" s="44"/>
      <c r="X25" s="44">
        <v>1000</v>
      </c>
      <c r="Y25" s="117">
        <v>1080.01</v>
      </c>
      <c r="Z25" s="627">
        <v>2500</v>
      </c>
    </row>
    <row r="26" spans="1:26">
      <c r="A26" s="48" t="s">
        <v>410</v>
      </c>
      <c r="B26" s="11" t="s">
        <v>416</v>
      </c>
      <c r="C26" s="178">
        <v>900</v>
      </c>
      <c r="D26" s="178">
        <v>700.75</v>
      </c>
      <c r="E26" s="178">
        <v>1000</v>
      </c>
      <c r="F26" s="178">
        <v>884.23</v>
      </c>
      <c r="G26" s="178">
        <v>300</v>
      </c>
      <c r="H26" s="178">
        <v>98.58</v>
      </c>
      <c r="I26" s="178">
        <v>300</v>
      </c>
      <c r="J26" s="178">
        <v>336.8</v>
      </c>
      <c r="K26" s="178">
        <v>250</v>
      </c>
      <c r="L26" s="178">
        <v>223.14</v>
      </c>
      <c r="M26" s="178">
        <v>250</v>
      </c>
      <c r="N26" s="139">
        <v>274.72000000000003</v>
      </c>
      <c r="O26" s="178">
        <v>150</v>
      </c>
      <c r="P26" s="178">
        <v>122</v>
      </c>
      <c r="Q26" s="178">
        <v>150</v>
      </c>
      <c r="R26" s="178">
        <v>139.26</v>
      </c>
      <c r="S26" s="178">
        <v>150</v>
      </c>
      <c r="T26" s="178">
        <v>120</v>
      </c>
      <c r="U26" s="178"/>
      <c r="V26" s="178">
        <v>250</v>
      </c>
      <c r="W26" s="44">
        <v>249.52</v>
      </c>
      <c r="X26" s="44">
        <v>250</v>
      </c>
      <c r="Y26" s="117">
        <v>99.99</v>
      </c>
      <c r="Z26" s="627">
        <v>300</v>
      </c>
    </row>
    <row r="27" spans="1:26">
      <c r="A27" s="48" t="s">
        <v>410</v>
      </c>
      <c r="B27" s="11" t="s">
        <v>417</v>
      </c>
      <c r="C27" s="178">
        <v>3000</v>
      </c>
      <c r="D27" s="178">
        <v>2360.6</v>
      </c>
      <c r="E27" s="178">
        <v>5000</v>
      </c>
      <c r="F27" s="178">
        <v>3763.36</v>
      </c>
      <c r="G27" s="178">
        <v>4000</v>
      </c>
      <c r="H27" s="178">
        <v>3305.27</v>
      </c>
      <c r="I27" s="178">
        <v>4000</v>
      </c>
      <c r="J27" s="178">
        <v>5992.9</v>
      </c>
      <c r="K27" s="178">
        <v>5000</v>
      </c>
      <c r="L27" s="178">
        <v>4574.8599999999997</v>
      </c>
      <c r="M27" s="178">
        <v>5000</v>
      </c>
      <c r="N27" s="139">
        <v>5111.7700000000004</v>
      </c>
      <c r="O27" s="178">
        <v>4000</v>
      </c>
      <c r="P27" s="178">
        <v>4120.33</v>
      </c>
      <c r="Q27" s="178">
        <v>3800</v>
      </c>
      <c r="R27" s="178">
        <v>4249.91</v>
      </c>
      <c r="S27" s="178">
        <v>4000</v>
      </c>
      <c r="T27" s="178">
        <v>2000</v>
      </c>
      <c r="U27" s="178"/>
      <c r="V27" s="178">
        <v>2500</v>
      </c>
      <c r="W27" s="44">
        <v>921.64</v>
      </c>
      <c r="X27" s="44">
        <v>2000</v>
      </c>
      <c r="Y27" s="117">
        <v>528.91999999999996</v>
      </c>
      <c r="Z27" s="627">
        <v>2250</v>
      </c>
    </row>
    <row r="28" spans="1:26">
      <c r="A28" s="201"/>
      <c r="B28" s="11" t="s">
        <v>418</v>
      </c>
      <c r="C28" s="178">
        <v>0</v>
      </c>
      <c r="D28" s="178">
        <v>0</v>
      </c>
      <c r="E28" s="178">
        <v>0</v>
      </c>
      <c r="F28" s="178">
        <v>376.64</v>
      </c>
      <c r="G28" s="178">
        <v>600</v>
      </c>
      <c r="H28" s="178">
        <v>0</v>
      </c>
      <c r="I28" s="178">
        <v>0</v>
      </c>
      <c r="J28" s="178">
        <v>0</v>
      </c>
      <c r="K28" s="178">
        <v>0</v>
      </c>
      <c r="L28" s="178">
        <v>0</v>
      </c>
      <c r="M28" s="178">
        <v>0</v>
      </c>
      <c r="N28" s="145">
        <v>0</v>
      </c>
      <c r="O28" s="178">
        <v>0</v>
      </c>
      <c r="P28" s="178"/>
      <c r="Q28" s="178"/>
      <c r="R28" s="178"/>
      <c r="S28" s="178"/>
      <c r="T28" s="178"/>
      <c r="U28" s="178"/>
      <c r="V28" s="178"/>
      <c r="W28" s="44"/>
      <c r="X28" s="44"/>
      <c r="Y28" s="117"/>
      <c r="Z28" s="627"/>
    </row>
    <row r="29" spans="1:26">
      <c r="A29" s="203" t="s">
        <v>419</v>
      </c>
      <c r="B29" s="11" t="s">
        <v>302</v>
      </c>
      <c r="C29" s="178">
        <v>0</v>
      </c>
      <c r="D29" s="178">
        <v>0</v>
      </c>
      <c r="E29" s="178">
        <v>0</v>
      </c>
      <c r="F29" s="178">
        <v>0</v>
      </c>
      <c r="G29" s="178">
        <v>0</v>
      </c>
      <c r="H29" s="178">
        <v>0</v>
      </c>
      <c r="I29" s="178">
        <v>680</v>
      </c>
      <c r="J29" s="178">
        <v>512.37</v>
      </c>
      <c r="K29" s="178">
        <v>680</v>
      </c>
      <c r="L29" s="178">
        <v>270.5</v>
      </c>
      <c r="M29" s="178">
        <v>680</v>
      </c>
      <c r="N29" s="139">
        <v>626.58000000000004</v>
      </c>
      <c r="O29" s="178">
        <v>680</v>
      </c>
      <c r="P29" s="178">
        <v>606.22</v>
      </c>
      <c r="Q29" s="178">
        <v>350</v>
      </c>
      <c r="R29" s="178">
        <v>831.11</v>
      </c>
      <c r="S29" s="178">
        <v>800</v>
      </c>
      <c r="T29" s="178">
        <v>700</v>
      </c>
      <c r="U29" s="178">
        <v>247.69</v>
      </c>
      <c r="V29" s="178">
        <v>500</v>
      </c>
      <c r="W29" s="44"/>
      <c r="X29" s="44">
        <v>500</v>
      </c>
      <c r="Y29" s="117">
        <v>773.2</v>
      </c>
      <c r="Z29" s="627">
        <v>400</v>
      </c>
    </row>
    <row r="30" spans="1:26">
      <c r="A30" s="202"/>
      <c r="B30" s="11" t="s">
        <v>309</v>
      </c>
      <c r="C30" s="178">
        <v>0</v>
      </c>
      <c r="D30" s="178">
        <v>0</v>
      </c>
      <c r="E30" s="178">
        <v>0</v>
      </c>
      <c r="F30" s="178">
        <v>0</v>
      </c>
      <c r="G30" s="178">
        <v>0</v>
      </c>
      <c r="H30" s="178">
        <v>0</v>
      </c>
      <c r="I30" s="178">
        <v>0</v>
      </c>
      <c r="J30" s="178">
        <v>0</v>
      </c>
      <c r="K30" s="178">
        <v>0</v>
      </c>
      <c r="L30" s="178">
        <v>0</v>
      </c>
      <c r="M30" s="178">
        <v>0</v>
      </c>
      <c r="N30" s="145">
        <v>0</v>
      </c>
      <c r="O30" s="178">
        <v>350</v>
      </c>
      <c r="P30" s="178"/>
      <c r="Q30" s="178"/>
      <c r="R30" s="178"/>
      <c r="S30" s="178">
        <v>350</v>
      </c>
      <c r="T30" s="178">
        <v>350</v>
      </c>
      <c r="U30" s="178"/>
      <c r="V30" s="178">
        <v>0</v>
      </c>
      <c r="W30" s="44"/>
      <c r="X30" s="44"/>
      <c r="Y30" s="117"/>
      <c r="Z30" s="117"/>
    </row>
    <row r="31" spans="1:26">
      <c r="B31" s="11" t="s">
        <v>21</v>
      </c>
      <c r="C31" s="178">
        <f>SUBTOTAL(109,GlowExpenses[Budget 10/11])</f>
        <v>10651.51</v>
      </c>
      <c r="D31" s="178">
        <f>SUBTOTAL(109,GlowExpenses[Actual 10/11])</f>
        <v>9436.6200000000008</v>
      </c>
      <c r="E31" s="178">
        <f>SUBTOTAL(109,GlowExpenses[Budget 11/12])</f>
        <v>14040.01</v>
      </c>
      <c r="F31" s="178">
        <f>SUBTOTAL(109,GlowExpenses[Actual 11/12])</f>
        <v>10900.03</v>
      </c>
      <c r="G31" s="178">
        <f>SUBTOTAL(109,GlowExpenses[Budget 12/13])</f>
        <v>10835</v>
      </c>
      <c r="H31" s="178">
        <f>SUBTOTAL(109,GlowExpenses[Actual 12/13])</f>
        <v>5872.25</v>
      </c>
      <c r="I31" s="178">
        <f>SUBTOTAL(109,GlowExpenses[Budget 13/14])</f>
        <v>10750</v>
      </c>
      <c r="J31" s="178">
        <f>SUBTOTAL(109,GlowExpenses[Actual 13/14])</f>
        <v>11975.789999999999</v>
      </c>
      <c r="K31" s="178">
        <f>SUBTOTAL(109,GlowExpenses[Budget 14/15])</f>
        <v>11065</v>
      </c>
      <c r="L31" s="178">
        <f>SUBTOTAL(109,GlowExpenses[Actual 14/15])</f>
        <v>10037.32</v>
      </c>
      <c r="M31" s="178">
        <f>SUBTOTAL(109,GlowExpenses[Budget 15/16])</f>
        <v>12405</v>
      </c>
      <c r="N31" s="145">
        <f>SUBTOTAL(109,GlowExpenses[Actual 15/16])</f>
        <v>13190.83</v>
      </c>
      <c r="O31" s="178">
        <f>SUBTOTAL(109,GlowExpenses[Budget 16/17])</f>
        <v>12035</v>
      </c>
      <c r="P31" s="178">
        <f>SUBTOTAL(109,GlowExpenses[Actual 16/17])</f>
        <v>11807.13</v>
      </c>
      <c r="Q31" s="178">
        <f>SUBTOTAL(109,GlowExpenses[Budget 17/18])</f>
        <v>11765</v>
      </c>
      <c r="R31" s="21">
        <f>SUM(GlowExpenses[Actual 17/18])</f>
        <v>11022.16</v>
      </c>
      <c r="S31" s="21">
        <f>SUBTOTAL(109,GlowExpenses[Budget 18/19])</f>
        <v>12745</v>
      </c>
      <c r="T31" s="21">
        <f>SUBTOTAL(109,GlowExpenses[Budget 19/20])</f>
        <v>9940</v>
      </c>
      <c r="U31" s="21">
        <f>SUM(GlowExpenses[Actual P12 19/20])</f>
        <v>5003.3899999999994</v>
      </c>
      <c r="V31" s="21">
        <f>SUBTOTAL(109,GlowExpenses[Budget 19/21])</f>
        <v>19400</v>
      </c>
      <c r="W31" s="21">
        <f>SUBTOTAL(109,GlowExpenses[Budget 19/22])</f>
        <v>15698.289999999999</v>
      </c>
      <c r="X31" s="21">
        <f>SUBTOTAL(109,GlowExpenses[Budget 21/22])</f>
        <v>48109.999999999993</v>
      </c>
      <c r="Y31" s="21">
        <f>SUBTOTAL(109,GlowExpenses[Actual 21/22])</f>
        <v>31086.110000000004</v>
      </c>
      <c r="Z31" s="178">
        <f>SUM(GlowExpenses[Budget 22/23])</f>
        <v>49434</v>
      </c>
    </row>
    <row r="32" spans="1:26" ht="13.5" thickBot="1"/>
    <row r="33" spans="2:26" ht="19.5" thickBot="1">
      <c r="B33" s="611" t="s">
        <v>127</v>
      </c>
      <c r="C33" s="27">
        <f>GlowRevenues[[#Totals],[Budget 10/11]]-GlowExpenses[[#Totals],[Budget 10/11]]</f>
        <v>-9551.51</v>
      </c>
      <c r="D33" s="27">
        <f>GlowRevenues[[#Totals],[Actual 10/11]]-GlowExpenses[[#Totals],[Actual 10/11]]</f>
        <v>-9436.6200000000008</v>
      </c>
      <c r="E33" s="27">
        <f>GlowRevenues[[#Totals],[Budget 11/12]]-GlowExpenses[[#Totals],[Budget 11/12]]</f>
        <v>-12640.01</v>
      </c>
      <c r="F33" s="27">
        <f>GlowRevenues[[#Totals],[Actual 11/12]]-GlowExpenses[[#Totals],[Actual 11/12]]</f>
        <v>-8024.6500000000005</v>
      </c>
      <c r="G33" s="27">
        <f>GlowRevenues[[#Totals],[Budget 12/13]]-GlowExpenses[[#Totals],[Budget 12/13]]</f>
        <v>-10835</v>
      </c>
      <c r="H33" s="27">
        <f>GlowRevenues[[#Totals],[Actual 12/13]]-GlowExpenses[[#Totals],[Actual 12/13]]</f>
        <v>-4113.09</v>
      </c>
      <c r="I33" s="27">
        <f>GlowRevenues[[#Totals],[Budget 13/14]]-GlowExpenses[[#Totals],[Budget 13/14]]</f>
        <v>-10750</v>
      </c>
      <c r="J33" s="27">
        <f>GlowRevenues[[#Totals],[Actual 13/14]]-GlowExpenses[[#Totals],[Actual 13/14]]</f>
        <v>-9375.9199999999983</v>
      </c>
      <c r="K33" s="27">
        <f>GlowRevenues[[#Totals],[Budget 14/15]]-GlowExpenses[[#Totals],[Budget 14/15]]</f>
        <v>-11065</v>
      </c>
      <c r="L33" s="27">
        <f>GlowRevenues[[#Totals],[Actual 14/15]]-GlowExpenses[[#Totals],[Actual 14/15]]</f>
        <v>-8467.2199999999993</v>
      </c>
      <c r="M33" s="27">
        <f>GlowRevenues[[#Totals],[Budget 15/16]]-GlowExpenses[[#Totals],[Budget 15/16]]</f>
        <v>-12405</v>
      </c>
      <c r="N33" s="27">
        <f>GlowRevenues[[#Totals],[Actual 15/16]]-GlowExpenses[[#Totals],[Actual 15/16]]</f>
        <v>-11884.83</v>
      </c>
      <c r="O33" s="64">
        <f>GlowRevenues[[#Totals],[Budget 16/17]]-GlowExpenses[[#Totals],[Budget 16/17]]</f>
        <v>-12035</v>
      </c>
      <c r="P33" s="64">
        <f>GlowRevenues[[#Totals],[Actual 16/17]]-GlowExpenses[[#Totals],[Actual 16/17]]</f>
        <v>-11361.8</v>
      </c>
      <c r="Q33" s="316">
        <f>GlowRevenues[[#Totals],[Budget 17/18]]-GlowExpenses[[#Totals],[Budget 17/18]]</f>
        <v>-11365</v>
      </c>
      <c r="R33" s="316">
        <f>GlowRevenues[[#Totals],[Actual 17/18]]-GlowExpenses[[#Totals],[Actual 17/18]]</f>
        <v>-11022.16</v>
      </c>
      <c r="S33" s="316">
        <f>GlowRevenues[[#Totals],[Budget 18/19]]-GlowExpenses[[#Totals],[Budget 18/19]]</f>
        <v>-12345</v>
      </c>
      <c r="T33" s="316">
        <f>GlowRevenues[[#Totals],[Budget 19/20]]-GlowExpenses[[#Totals],[Budget 19/20]]</f>
        <v>-9540</v>
      </c>
      <c r="U33" s="316">
        <f>GlowRevenues[[#Totals],[Actual P12 19/20]]-GlowExpenses[[#Totals],[Actual P12 19/20]]</f>
        <v>-4853.3899999999994</v>
      </c>
      <c r="V33" s="316">
        <f>GlowRevenues[[#Totals],[Budget 19/21]]-GlowExpenses[[#Totals],[Budget 19/21]]</f>
        <v>-18800</v>
      </c>
      <c r="W33" s="316">
        <f>GlowRevenues[[#Totals],[Budget 19/22]]-GlowExpenses[[#Totals],[Budget 19/22]]</f>
        <v>-15538.289999999999</v>
      </c>
      <c r="X33" s="316">
        <f>GlowRevenues[[#Totals],[Budget 21/22]]-GlowExpenses[[#Totals],[Budget 21/22]]</f>
        <v>-48109.999999999993</v>
      </c>
      <c r="Y33" s="316">
        <f>GlowRevenues[[#Totals],[Actual 21/22]]-GlowExpenses[[#Totals],[Actual 21/22]]</f>
        <v>-30486.110000000004</v>
      </c>
      <c r="Z33" s="316">
        <f>GlowRevenues[[#Totals],[Budget 22/23]]-GlowExpenses[[#Totals],[Budget 22/23]]</f>
        <v>-49434</v>
      </c>
    </row>
    <row r="36" spans="2:26">
      <c r="I36"/>
      <c r="J36"/>
      <c r="K36"/>
      <c r="L36"/>
      <c r="M36"/>
      <c r="N36" s="138"/>
      <c r="O36"/>
      <c r="P36"/>
    </row>
    <row r="37" spans="2:26">
      <c r="I37"/>
      <c r="J37"/>
      <c r="K37"/>
      <c r="L37"/>
      <c r="M37"/>
      <c r="N37" s="138"/>
      <c r="O37"/>
      <c r="P37"/>
    </row>
    <row r="38" spans="2:26">
      <c r="I38"/>
      <c r="J38"/>
      <c r="K38"/>
      <c r="L38"/>
      <c r="M38"/>
      <c r="N38" s="138"/>
      <c r="O38"/>
      <c r="P38"/>
    </row>
    <row r="39" spans="2:26">
      <c r="I39"/>
      <c r="J39"/>
      <c r="K39"/>
      <c r="L39"/>
      <c r="M39"/>
      <c r="N39" s="138"/>
      <c r="O39"/>
      <c r="P39"/>
    </row>
    <row r="40" spans="2:26">
      <c r="I40"/>
      <c r="J40"/>
      <c r="K40"/>
      <c r="L40"/>
      <c r="M40"/>
      <c r="N40" s="138"/>
      <c r="O40"/>
      <c r="P40"/>
    </row>
    <row r="41" spans="2:26">
      <c r="I41"/>
      <c r="J41"/>
      <c r="K41"/>
      <c r="L41"/>
      <c r="M41"/>
      <c r="N41" s="138"/>
      <c r="O41"/>
      <c r="P41"/>
    </row>
    <row r="42" spans="2:26">
      <c r="I42"/>
      <c r="J42"/>
      <c r="K42"/>
      <c r="L42"/>
      <c r="M42"/>
      <c r="N42" s="138"/>
      <c r="O42"/>
      <c r="P42"/>
    </row>
    <row r="43" spans="2:26">
      <c r="I43"/>
      <c r="J43"/>
      <c r="K43"/>
      <c r="L43"/>
      <c r="M43"/>
      <c r="N43" s="138"/>
      <c r="O43"/>
      <c r="P43"/>
    </row>
    <row r="44" spans="2:26">
      <c r="I44"/>
      <c r="J44"/>
      <c r="K44"/>
      <c r="L44"/>
      <c r="M44"/>
      <c r="N44" s="138"/>
      <c r="O44"/>
      <c r="P44"/>
    </row>
    <row r="45" spans="2:26">
      <c r="I45"/>
      <c r="J45"/>
      <c r="K45"/>
      <c r="L45"/>
      <c r="M45"/>
      <c r="N45" s="138"/>
      <c r="O45"/>
      <c r="P45"/>
    </row>
    <row r="46" spans="2:26">
      <c r="I46"/>
      <c r="J46"/>
      <c r="K46"/>
      <c r="L46"/>
      <c r="M46"/>
      <c r="N46" s="138"/>
      <c r="O46"/>
      <c r="P46"/>
    </row>
    <row r="47" spans="2:26">
      <c r="I47"/>
      <c r="J47"/>
      <c r="K47"/>
      <c r="L47"/>
      <c r="M47"/>
      <c r="N47" s="138"/>
      <c r="O47"/>
      <c r="P47"/>
    </row>
  </sheetData>
  <customSheetViews>
    <customSheetView guid="{DC934874-AE9C-4DF4-8DA8-4394DABABB42}" showRuler="0">
      <selection activeCell="G19" sqref="G19"/>
      <pageMargins left="0" right="0" top="0" bottom="0" header="0" footer="0"/>
      <pageSetup orientation="portrait"/>
      <headerFooter alignWithMargins="0"/>
    </customSheetView>
    <customSheetView guid="{7FD89B2E-4983-4B8D-ABA2-A07F685A0C6E}" showRuler="0">
      <selection activeCell="G18" sqref="G18"/>
      <pageMargins left="0" right="0" top="0" bottom="0" header="0" footer="0"/>
      <pageSetup orientation="portrait"/>
      <headerFooter alignWithMargins="0"/>
    </customSheetView>
    <customSheetView guid="{84D8AC11-A493-4338-8044-6F4154C29695}" showRuler="0">
      <selection activeCell="G17" sqref="G17"/>
      <pageMargins left="0" right="0" top="0" bottom="0" header="0" footer="0"/>
      <pageSetup orientation="portrait"/>
      <headerFooter alignWithMargins="0"/>
    </customSheetView>
    <customSheetView guid="{BB157E55-0A2E-4D9F-A3BF-E83E5442FC27}" showPageBreaks="1" showRuler="0">
      <selection activeCell="G15" sqref="G15"/>
      <pageMargins left="0" right="0" top="0" bottom="0" header="0" footer="0"/>
      <pageSetup orientation="portrait"/>
      <headerFooter alignWithMargins="0"/>
    </customSheetView>
  </customSheetViews>
  <mergeCells count="2">
    <mergeCell ref="A1:B1"/>
    <mergeCell ref="A3:B3"/>
  </mergeCells>
  <phoneticPr fontId="0" type="noConversion"/>
  <pageMargins left="0" right="0" top="0.98425196850393704" bottom="0.98425196850393704" header="0.51181102362204722" footer="0.51181102362204722"/>
  <pageSetup orientation="landscape" blackAndWhite="1" r:id="rId1"/>
  <headerFooter alignWithMargins="0"/>
  <legacyDrawing r:id="rId2"/>
  <tableParts count="2">
    <tablePart r:id="rId3"/>
    <tablePart r:id="rId4"/>
  </tablePar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theme="1"/>
    <pageSetUpPr fitToPage="1"/>
  </sheetPr>
  <dimension ref="A1:Z56"/>
  <sheetViews>
    <sheetView showGridLines="0" zoomScale="85" zoomScaleNormal="85" workbookViewId="0">
      <selection activeCell="Y54" sqref="Y54"/>
    </sheetView>
  </sheetViews>
  <sheetFormatPr defaultColWidth="11.42578125" defaultRowHeight="12.75"/>
  <cols>
    <col min="1" max="1" width="20.42578125" style="11" bestFit="1" customWidth="1"/>
    <col min="2" max="2" width="31.42578125" style="11" customWidth="1"/>
    <col min="3" max="13" width="16.85546875" style="11" hidden="1" customWidth="1"/>
    <col min="14" max="14" width="14.28515625" style="132" hidden="1" customWidth="1"/>
    <col min="15" max="15" width="14.28515625" style="11" hidden="1" customWidth="1"/>
    <col min="16" max="16" width="14.85546875" style="11" hidden="1" customWidth="1"/>
    <col min="17" max="17" width="15.42578125" style="11" hidden="1" customWidth="1"/>
    <col min="18" max="18" width="16.7109375" style="11" hidden="1" customWidth="1"/>
    <col min="19" max="19" width="14.28515625" style="11" hidden="1" customWidth="1"/>
    <col min="20" max="21" width="14.42578125" style="11" hidden="1" customWidth="1"/>
    <col min="22" max="22" width="17.42578125" style="11" hidden="1" customWidth="1"/>
    <col min="23" max="23" width="15.42578125" style="11" hidden="1" customWidth="1"/>
    <col min="24" max="24" width="16" style="11" bestFit="1" customWidth="1"/>
    <col min="25" max="25" width="16.42578125" style="11" customWidth="1"/>
    <col min="26" max="26" width="16.28515625" style="11" customWidth="1"/>
    <col min="27" max="16384" width="11.42578125" style="11"/>
  </cols>
  <sheetData>
    <row r="1" spans="1:26" ht="18">
      <c r="A1" s="758" t="s">
        <v>420</v>
      </c>
      <c r="B1" s="759"/>
    </row>
    <row r="2" spans="1:26">
      <c r="A2" s="28" t="s">
        <v>226</v>
      </c>
    </row>
    <row r="4" spans="1:26">
      <c r="A4" s="48" t="s">
        <v>130</v>
      </c>
      <c r="B4" s="11" t="s">
        <v>72</v>
      </c>
      <c r="C4" s="11" t="s">
        <v>73</v>
      </c>
      <c r="D4" s="11" t="s">
        <v>74</v>
      </c>
      <c r="E4" s="11" t="s">
        <v>75</v>
      </c>
      <c r="F4" s="11" t="s">
        <v>76</v>
      </c>
      <c r="G4" s="11" t="s">
        <v>77</v>
      </c>
      <c r="H4" s="11" t="s">
        <v>78</v>
      </c>
      <c r="I4" s="11" t="s">
        <v>5</v>
      </c>
      <c r="J4" s="11" t="s">
        <v>6</v>
      </c>
      <c r="K4" s="11" t="s">
        <v>7</v>
      </c>
      <c r="L4" s="11" t="s">
        <v>8</v>
      </c>
      <c r="M4" s="11" t="s">
        <v>9</v>
      </c>
      <c r="N4" s="119" t="s">
        <v>10</v>
      </c>
      <c r="O4" s="11" t="s">
        <v>11</v>
      </c>
      <c r="P4" s="11" t="s">
        <v>12</v>
      </c>
      <c r="Q4" s="11" t="s">
        <v>13</v>
      </c>
      <c r="R4" s="11" t="s">
        <v>14</v>
      </c>
      <c r="S4" s="11" t="s">
        <v>15</v>
      </c>
      <c r="T4" s="11" t="s">
        <v>16</v>
      </c>
      <c r="U4" s="11" t="s">
        <v>81</v>
      </c>
      <c r="V4" s="11" t="s">
        <v>17</v>
      </c>
      <c r="W4" s="11" t="s">
        <v>40</v>
      </c>
      <c r="X4" s="11" t="s">
        <v>41</v>
      </c>
      <c r="Y4" s="5" t="s">
        <v>42</v>
      </c>
      <c r="Z4" s="5" t="s">
        <v>43</v>
      </c>
    </row>
    <row r="5" spans="1:26">
      <c r="A5" s="48"/>
      <c r="C5" s="70"/>
      <c r="D5" s="70"/>
      <c r="E5" s="70"/>
      <c r="F5" s="70"/>
      <c r="G5" s="70"/>
      <c r="H5" s="70"/>
      <c r="I5" s="70"/>
      <c r="J5" s="70"/>
      <c r="K5" s="70"/>
      <c r="L5" s="70"/>
      <c r="M5" s="70"/>
      <c r="N5" s="153"/>
      <c r="O5" s="70"/>
      <c r="P5" s="70"/>
      <c r="Q5" s="70"/>
      <c r="R5" s="70"/>
      <c r="S5" s="70"/>
      <c r="T5" s="70"/>
      <c r="U5" s="70"/>
      <c r="V5" s="70"/>
      <c r="W5" s="70"/>
      <c r="X5" s="70"/>
      <c r="Y5" s="639"/>
      <c r="Z5" s="639"/>
    </row>
    <row r="6" spans="1:26">
      <c r="A6" s="48" t="s">
        <v>421</v>
      </c>
      <c r="B6" s="11" t="s">
        <v>343</v>
      </c>
      <c r="C6" s="70">
        <v>0</v>
      </c>
      <c r="D6" s="70">
        <v>0</v>
      </c>
      <c r="E6" s="70">
        <v>0</v>
      </c>
      <c r="F6" s="70">
        <v>1267.1300000000001</v>
      </c>
      <c r="G6" s="70">
        <v>0</v>
      </c>
      <c r="H6" s="70">
        <v>1168.75</v>
      </c>
      <c r="I6" s="70">
        <v>0</v>
      </c>
      <c r="J6" s="70">
        <v>2355.9499999999998</v>
      </c>
      <c r="K6" s="70">
        <v>0</v>
      </c>
      <c r="L6" s="70">
        <v>3963.85</v>
      </c>
      <c r="M6" s="70">
        <v>0</v>
      </c>
      <c r="N6" s="153">
        <v>0</v>
      </c>
      <c r="O6" s="70">
        <v>0</v>
      </c>
      <c r="P6" s="70">
        <v>3572.04</v>
      </c>
      <c r="Q6" s="70">
        <v>1500</v>
      </c>
      <c r="R6" s="70">
        <v>3382.06</v>
      </c>
      <c r="S6" s="70">
        <v>3000</v>
      </c>
      <c r="T6" s="70">
        <v>1000</v>
      </c>
      <c r="U6" s="70">
        <v>5165.07</v>
      </c>
      <c r="V6" s="70">
        <v>3000</v>
      </c>
      <c r="W6" s="70"/>
      <c r="X6" s="70">
        <v>1500</v>
      </c>
      <c r="Y6" s="639">
        <v>0</v>
      </c>
      <c r="Z6" s="639"/>
    </row>
    <row r="7" spans="1:26">
      <c r="A7" s="48" t="s">
        <v>422</v>
      </c>
      <c r="B7" s="11" t="s">
        <v>227</v>
      </c>
      <c r="C7" s="70">
        <v>0</v>
      </c>
      <c r="D7" s="70">
        <v>0</v>
      </c>
      <c r="E7" s="70">
        <v>0</v>
      </c>
      <c r="F7" s="70">
        <v>0</v>
      </c>
      <c r="G7" s="70">
        <v>0</v>
      </c>
      <c r="H7" s="70">
        <v>0</v>
      </c>
      <c r="I7" s="70">
        <v>0</v>
      </c>
      <c r="J7" s="70">
        <v>500</v>
      </c>
      <c r="K7" s="70">
        <v>0</v>
      </c>
      <c r="L7" s="70">
        <v>200</v>
      </c>
      <c r="M7" s="70">
        <v>0</v>
      </c>
      <c r="N7" s="153">
        <v>0</v>
      </c>
      <c r="O7" s="70">
        <v>0</v>
      </c>
      <c r="P7" s="70"/>
      <c r="Q7" s="70"/>
      <c r="R7" s="70">
        <v>539.04</v>
      </c>
      <c r="S7" s="70"/>
      <c r="T7" s="70"/>
      <c r="U7" s="70">
        <v>0</v>
      </c>
      <c r="V7" s="70"/>
      <c r="W7" s="70"/>
      <c r="X7" s="70"/>
      <c r="Y7" s="639"/>
      <c r="Z7" s="639"/>
    </row>
    <row r="8" spans="1:26">
      <c r="A8" s="48" t="s">
        <v>423</v>
      </c>
      <c r="B8" s="11" t="s">
        <v>295</v>
      </c>
      <c r="C8" s="70">
        <v>0</v>
      </c>
      <c r="D8" s="70">
        <v>0</v>
      </c>
      <c r="E8" s="70">
        <v>0</v>
      </c>
      <c r="F8" s="70">
        <v>1065.3399999999999</v>
      </c>
      <c r="G8" s="70">
        <v>0</v>
      </c>
      <c r="H8" s="70">
        <v>500</v>
      </c>
      <c r="I8" s="70">
        <v>0</v>
      </c>
      <c r="J8" s="70">
        <v>38.1</v>
      </c>
      <c r="K8" s="70">
        <v>0</v>
      </c>
      <c r="L8" s="70">
        <v>0</v>
      </c>
      <c r="M8" s="70">
        <v>0</v>
      </c>
      <c r="N8" s="149">
        <v>432.5</v>
      </c>
      <c r="O8" s="70">
        <v>0</v>
      </c>
      <c r="P8" s="70"/>
      <c r="Q8" s="70"/>
      <c r="R8" s="70">
        <v>38.549999999999997</v>
      </c>
      <c r="S8" s="70"/>
      <c r="T8" s="70"/>
      <c r="U8" s="70">
        <v>0</v>
      </c>
      <c r="V8" s="70"/>
      <c r="W8" s="70"/>
      <c r="X8" s="70"/>
      <c r="Y8" s="639"/>
      <c r="Z8" s="639"/>
    </row>
    <row r="9" spans="1:26">
      <c r="B9" s="11" t="s">
        <v>21</v>
      </c>
      <c r="C9" s="71">
        <f>SUBTOTAL(109,SCIRevenues[Budget 10/11])</f>
        <v>0</v>
      </c>
      <c r="D9" s="71">
        <f>SUBTOTAL(109,SCIRevenues[Actual 10/11])</f>
        <v>0</v>
      </c>
      <c r="E9" s="71">
        <f>SUBTOTAL(109,SCIRevenues[Budget 11/12])</f>
        <v>0</v>
      </c>
      <c r="F9" s="71">
        <f>SUBTOTAL(109,SCIRevenues[Actual 11/12])</f>
        <v>2332.4700000000003</v>
      </c>
      <c r="G9" s="71">
        <f>SUBTOTAL(109,SCIRevenues[Budget 12/13])</f>
        <v>0</v>
      </c>
      <c r="H9" s="71">
        <f>SUBTOTAL(109,SCIRevenues[Actual 12/13])</f>
        <v>1668.75</v>
      </c>
      <c r="I9" s="71">
        <f>SUBTOTAL(109,SCIRevenues[Budget 13/14])</f>
        <v>0</v>
      </c>
      <c r="J9" s="71">
        <f>SUBTOTAL(109,SCIRevenues[Actual 13/14])</f>
        <v>2894.0499999999997</v>
      </c>
      <c r="K9" s="71">
        <f>SUBTOTAL(109,SCIRevenues[Budget 14/15])</f>
        <v>0</v>
      </c>
      <c r="L9" s="71">
        <f>SUBTOTAL(109,SCIRevenues[Actual 14/15])</f>
        <v>4163.8500000000004</v>
      </c>
      <c r="M9" s="71">
        <f>SUBTOTAL(109,SCIRevenues[Budget 15/16])</f>
        <v>0</v>
      </c>
      <c r="N9" s="399">
        <f>SUBTOTAL(109,SCIRevenues[Actual 15/16])</f>
        <v>432.5</v>
      </c>
      <c r="O9" s="71">
        <f>SUBTOTAL(109,SCIRevenues[Budget 16/17])</f>
        <v>0</v>
      </c>
      <c r="P9" s="71">
        <f>SUBTOTAL(109,SCIRevenues[Actual 16/17])</f>
        <v>3572.04</v>
      </c>
      <c r="Q9" s="71">
        <f>SUBTOTAL(109,SCIRevenues[Budget 17/18])</f>
        <v>1500</v>
      </c>
      <c r="R9" s="400">
        <f>SUBTOTAL(109,SCIRevenues[Actual 17/18])</f>
        <v>3959.65</v>
      </c>
      <c r="S9" s="401">
        <f>SUM(SCIRevenues[Budget 18/19])</f>
        <v>3000</v>
      </c>
      <c r="T9" s="401">
        <f>SUM(SCIRevenues[Budget 19/20])</f>
        <v>1000</v>
      </c>
      <c r="U9" s="401">
        <f>SUM(SCIRevenues[Actual P12 19/20])</f>
        <v>5165.07</v>
      </c>
      <c r="V9" s="401">
        <f>SUM(SCIRevenues[Budget 20/21])</f>
        <v>3000</v>
      </c>
      <c r="W9" s="401">
        <f>SUM(SCIRevenues[Actual 20/21])</f>
        <v>0</v>
      </c>
      <c r="X9" s="401">
        <f>SUM(SCIRevenues[Budget 21/22])</f>
        <v>1500</v>
      </c>
      <c r="Y9" s="401">
        <f>SUBTOTAL(109,SCIRevenues[Actual 21/22])</f>
        <v>0</v>
      </c>
      <c r="Z9" s="559"/>
    </row>
    <row r="10" spans="1:26">
      <c r="C10" s="70"/>
      <c r="D10" s="70"/>
      <c r="E10" s="70"/>
      <c r="F10" s="70"/>
      <c r="G10" s="70"/>
      <c r="H10" s="70"/>
      <c r="I10" s="70"/>
      <c r="J10" s="70"/>
      <c r="K10" s="70"/>
      <c r="L10" s="70"/>
      <c r="M10" s="70"/>
      <c r="P10"/>
      <c r="Q10"/>
      <c r="R10" s="108"/>
      <c r="S10"/>
      <c r="T10"/>
      <c r="U10"/>
      <c r="V10"/>
      <c r="W10"/>
      <c r="X10"/>
      <c r="Y10"/>
    </row>
    <row r="11" spans="1:26">
      <c r="P11"/>
      <c r="Q11"/>
      <c r="R11"/>
      <c r="S11"/>
      <c r="T11"/>
      <c r="U11"/>
      <c r="V11"/>
      <c r="W11"/>
      <c r="X11"/>
      <c r="Y11"/>
    </row>
    <row r="12" spans="1:26">
      <c r="A12" s="48" t="s">
        <v>130</v>
      </c>
      <c r="B12" s="11" t="s">
        <v>22</v>
      </c>
      <c r="C12" s="11" t="s">
        <v>73</v>
      </c>
      <c r="D12" s="11" t="s">
        <v>74</v>
      </c>
      <c r="E12" s="11" t="s">
        <v>75</v>
      </c>
      <c r="F12" s="11" t="s">
        <v>76</v>
      </c>
      <c r="G12" s="11" t="s">
        <v>77</v>
      </c>
      <c r="H12" s="11" t="s">
        <v>78</v>
      </c>
      <c r="I12" s="11" t="s">
        <v>5</v>
      </c>
      <c r="J12" s="11" t="s">
        <v>6</v>
      </c>
      <c r="K12" s="11" t="s">
        <v>7</v>
      </c>
      <c r="L12" s="11" t="s">
        <v>8</v>
      </c>
      <c r="M12" s="11" t="s">
        <v>9</v>
      </c>
      <c r="N12" s="119" t="s">
        <v>10</v>
      </c>
      <c r="O12" s="11" t="s">
        <v>11</v>
      </c>
      <c r="P12" s="11" t="s">
        <v>12</v>
      </c>
      <c r="Q12" s="11" t="s">
        <v>13</v>
      </c>
      <c r="R12" s="11" t="s">
        <v>14</v>
      </c>
      <c r="S12" s="11" t="s">
        <v>15</v>
      </c>
      <c r="T12" s="11" t="s">
        <v>16</v>
      </c>
      <c r="U12" s="11" t="s">
        <v>81</v>
      </c>
      <c r="V12" s="11" t="s">
        <v>17</v>
      </c>
      <c r="W12" s="11" t="s">
        <v>40</v>
      </c>
      <c r="X12" s="11" t="s">
        <v>41</v>
      </c>
      <c r="Y12" s="5" t="s">
        <v>42</v>
      </c>
      <c r="Z12" s="5" t="s">
        <v>43</v>
      </c>
    </row>
    <row r="13" spans="1:26">
      <c r="A13" s="362" t="s">
        <v>424</v>
      </c>
      <c r="B13" s="11" t="s">
        <v>425</v>
      </c>
      <c r="C13" s="44"/>
      <c r="D13" s="44"/>
      <c r="E13" s="44"/>
      <c r="F13" s="44"/>
      <c r="G13" s="44"/>
      <c r="H13" s="44"/>
      <c r="I13" s="44"/>
      <c r="J13" s="44"/>
      <c r="K13" s="44"/>
      <c r="L13" s="44"/>
      <c r="M13" s="44"/>
      <c r="N13" s="149"/>
      <c r="P13" s="44"/>
      <c r="Q13" s="44"/>
      <c r="R13" s="44"/>
      <c r="S13" s="44"/>
      <c r="T13" s="44"/>
      <c r="U13" s="44"/>
      <c r="V13" s="44"/>
      <c r="W13" s="117">
        <v>2527.4499999999998</v>
      </c>
      <c r="X13" s="429">
        <f>12355.2*1.13</f>
        <v>13961.376</v>
      </c>
      <c r="Y13" s="117">
        <v>13294.78</v>
      </c>
      <c r="Z13" s="640">
        <v>12200</v>
      </c>
    </row>
    <row r="14" spans="1:26">
      <c r="A14" s="48"/>
      <c r="B14" s="11" t="s">
        <v>349</v>
      </c>
      <c r="C14" s="44"/>
      <c r="D14" s="44"/>
      <c r="E14" s="44"/>
      <c r="F14" s="44"/>
      <c r="G14" s="44"/>
      <c r="H14" s="44"/>
      <c r="I14" s="44"/>
      <c r="J14" s="44"/>
      <c r="K14" s="44"/>
      <c r="L14" s="44"/>
      <c r="M14" s="44"/>
      <c r="N14" s="149"/>
      <c r="P14" s="44"/>
      <c r="Q14" s="44"/>
      <c r="R14" s="44"/>
      <c r="S14" s="44"/>
      <c r="T14" s="44"/>
      <c r="U14" s="44"/>
      <c r="V14" s="386">
        <v>1500</v>
      </c>
      <c r="W14" s="117"/>
      <c r="X14" s="117">
        <v>2000</v>
      </c>
      <c r="Y14" s="117"/>
      <c r="Z14" s="117">
        <v>1500</v>
      </c>
    </row>
    <row r="15" spans="1:26">
      <c r="A15" s="48" t="s">
        <v>426</v>
      </c>
      <c r="B15" s="11" t="s">
        <v>142</v>
      </c>
      <c r="C15" s="44">
        <v>1200</v>
      </c>
      <c r="D15" s="44">
        <v>2039.78</v>
      </c>
      <c r="E15" s="44">
        <v>2900</v>
      </c>
      <c r="F15" s="44">
        <v>4533.54</v>
      </c>
      <c r="G15" s="44">
        <v>4200</v>
      </c>
      <c r="H15" s="44">
        <v>4076.39</v>
      </c>
      <c r="I15" s="44">
        <f>540+900+270</f>
        <v>1710</v>
      </c>
      <c r="J15" s="44">
        <v>1663.1</v>
      </c>
      <c r="K15" s="44">
        <v>1860</v>
      </c>
      <c r="L15" s="44">
        <v>1219.8</v>
      </c>
      <c r="M15" s="44">
        <v>1500</v>
      </c>
      <c r="N15" s="149">
        <v>1444.65</v>
      </c>
      <c r="O15" s="44">
        <v>1500</v>
      </c>
      <c r="P15" s="117">
        <v>1488.88</v>
      </c>
      <c r="Q15" s="117">
        <v>1500</v>
      </c>
      <c r="R15" s="117">
        <v>1936.95</v>
      </c>
      <c r="S15" s="117">
        <v>1500</v>
      </c>
      <c r="T15" s="117">
        <v>1500</v>
      </c>
      <c r="U15" s="117">
        <v>1003.69</v>
      </c>
      <c r="V15" s="386">
        <v>1040</v>
      </c>
      <c r="W15" s="117">
        <v>1815</v>
      </c>
      <c r="X15" s="117">
        <v>1020</v>
      </c>
      <c r="Y15" s="117">
        <v>2000</v>
      </c>
      <c r="Z15" s="117">
        <v>300</v>
      </c>
    </row>
    <row r="16" spans="1:26">
      <c r="A16" s="48" t="s">
        <v>427</v>
      </c>
      <c r="B16" s="11" t="s">
        <v>93</v>
      </c>
      <c r="C16" s="44">
        <v>250</v>
      </c>
      <c r="D16" s="44">
        <v>227.4</v>
      </c>
      <c r="E16" s="44">
        <v>250</v>
      </c>
      <c r="F16" s="44">
        <v>227.4</v>
      </c>
      <c r="G16" s="44">
        <v>250</v>
      </c>
      <c r="H16" s="44">
        <v>227.4</v>
      </c>
      <c r="I16" s="44">
        <v>250</v>
      </c>
      <c r="J16" s="44">
        <v>227.4</v>
      </c>
      <c r="K16" s="44">
        <v>125</v>
      </c>
      <c r="L16" s="44">
        <v>189.5</v>
      </c>
      <c r="M16" s="44" t="s">
        <v>331</v>
      </c>
      <c r="N16" s="149">
        <v>0</v>
      </c>
      <c r="O16" s="44">
        <v>0</v>
      </c>
      <c r="P16" s="117"/>
      <c r="Q16" s="117"/>
      <c r="R16" s="117"/>
      <c r="S16" s="117"/>
      <c r="T16" s="117"/>
      <c r="U16" s="117">
        <v>0</v>
      </c>
      <c r="V16" s="117"/>
      <c r="W16" s="117"/>
      <c r="X16" s="117"/>
      <c r="Y16" s="117"/>
      <c r="Z16" s="117"/>
    </row>
    <row r="17" spans="1:26">
      <c r="A17" s="48" t="s">
        <v>428</v>
      </c>
      <c r="B17" s="11" t="s">
        <v>100</v>
      </c>
      <c r="C17" s="44">
        <v>100</v>
      </c>
      <c r="D17" s="44">
        <v>24.41</v>
      </c>
      <c r="E17" s="44">
        <v>10</v>
      </c>
      <c r="F17" s="44">
        <v>0</v>
      </c>
      <c r="G17" s="44">
        <v>10</v>
      </c>
      <c r="H17" s="44">
        <v>0</v>
      </c>
      <c r="I17" s="44">
        <v>10</v>
      </c>
      <c r="J17" s="44">
        <v>8.34</v>
      </c>
      <c r="K17" s="44">
        <v>10</v>
      </c>
      <c r="L17" s="44">
        <v>1.63</v>
      </c>
      <c r="M17" s="44"/>
      <c r="N17" s="149">
        <v>0.34</v>
      </c>
      <c r="O17" s="44">
        <v>0</v>
      </c>
      <c r="P17" s="117"/>
      <c r="Q17" s="117">
        <v>200</v>
      </c>
      <c r="R17" s="117"/>
      <c r="S17" s="117">
        <v>20</v>
      </c>
      <c r="T17" s="117"/>
      <c r="U17" s="117">
        <v>2.16</v>
      </c>
      <c r="V17" s="117"/>
      <c r="W17" s="117"/>
      <c r="X17" s="117"/>
      <c r="Y17" s="117"/>
      <c r="Z17" s="117"/>
    </row>
    <row r="18" spans="1:26">
      <c r="A18" s="48" t="s">
        <v>429</v>
      </c>
      <c r="B18" s="11" t="s">
        <v>300</v>
      </c>
      <c r="C18" s="44">
        <v>250</v>
      </c>
      <c r="D18" s="44">
        <v>478.92</v>
      </c>
      <c r="E18" s="44">
        <v>400</v>
      </c>
      <c r="F18" s="44">
        <v>284.16000000000003</v>
      </c>
      <c r="G18" s="44">
        <v>200</v>
      </c>
      <c r="H18" s="44">
        <v>30.01</v>
      </c>
      <c r="I18" s="44">
        <v>200</v>
      </c>
      <c r="J18" s="44">
        <v>156.08000000000001</v>
      </c>
      <c r="K18" s="44">
        <v>200</v>
      </c>
      <c r="L18" s="44">
        <v>11.25</v>
      </c>
      <c r="M18" s="44">
        <v>200</v>
      </c>
      <c r="N18" s="149">
        <v>200.33</v>
      </c>
      <c r="O18" s="44">
        <v>200</v>
      </c>
      <c r="P18" s="117">
        <v>23.68</v>
      </c>
      <c r="Q18" s="117">
        <v>550</v>
      </c>
      <c r="R18" s="117">
        <v>185.43</v>
      </c>
      <c r="S18" s="117">
        <v>350</v>
      </c>
      <c r="T18" s="117"/>
      <c r="U18" s="117">
        <v>0</v>
      </c>
      <c r="V18" s="117"/>
      <c r="W18" s="117"/>
      <c r="X18" s="117"/>
      <c r="Y18" s="117"/>
      <c r="Z18" s="117"/>
    </row>
    <row r="19" spans="1:26" hidden="1">
      <c r="A19" s="48" t="s">
        <v>430</v>
      </c>
      <c r="B19" s="11" t="s">
        <v>104</v>
      </c>
      <c r="C19" s="44">
        <v>600</v>
      </c>
      <c r="D19" s="44">
        <v>565.97</v>
      </c>
      <c r="E19" s="44">
        <v>1400</v>
      </c>
      <c r="F19" s="44">
        <v>516.66999999999996</v>
      </c>
      <c r="G19" s="44">
        <v>1000</v>
      </c>
      <c r="H19" s="44">
        <v>446.82</v>
      </c>
      <c r="I19" s="44">
        <v>1000</v>
      </c>
      <c r="J19" s="44">
        <v>514.63</v>
      </c>
      <c r="K19" s="44">
        <v>817</v>
      </c>
      <c r="L19" s="44">
        <v>1095.74</v>
      </c>
      <c r="M19" s="44">
        <v>800</v>
      </c>
      <c r="N19" s="149">
        <v>588.49</v>
      </c>
      <c r="O19" s="44">
        <v>550</v>
      </c>
      <c r="P19" s="117">
        <v>545.30999999999995</v>
      </c>
      <c r="Q19" s="117"/>
      <c r="R19" s="117">
        <v>101.15</v>
      </c>
      <c r="S19" s="117">
        <v>300</v>
      </c>
      <c r="T19" s="117">
        <v>200</v>
      </c>
      <c r="U19" s="117">
        <v>113.57</v>
      </c>
      <c r="V19" s="117">
        <v>100</v>
      </c>
      <c r="W19" s="117"/>
      <c r="X19" s="117"/>
      <c r="Y19" s="117"/>
      <c r="Z19" s="117"/>
    </row>
    <row r="20" spans="1:26" hidden="1">
      <c r="A20" s="48"/>
      <c r="B20" s="11" t="s">
        <v>307</v>
      </c>
      <c r="C20" s="44">
        <v>1875</v>
      </c>
      <c r="D20" s="44">
        <v>251.65</v>
      </c>
      <c r="E20" s="44">
        <v>750</v>
      </c>
      <c r="F20" s="44">
        <v>798.06</v>
      </c>
      <c r="G20" s="44">
        <v>0</v>
      </c>
      <c r="H20" s="44">
        <v>0</v>
      </c>
      <c r="I20" s="44">
        <v>0</v>
      </c>
      <c r="J20" s="44">
        <v>0</v>
      </c>
      <c r="K20" s="44">
        <v>0</v>
      </c>
      <c r="L20" s="44">
        <v>0</v>
      </c>
      <c r="M20" s="44">
        <v>0</v>
      </c>
      <c r="N20" s="149">
        <v>0</v>
      </c>
      <c r="O20" s="44">
        <v>0</v>
      </c>
      <c r="P20" s="117"/>
      <c r="Q20" s="117"/>
      <c r="R20" s="117"/>
      <c r="S20" s="117"/>
      <c r="T20" s="117"/>
      <c r="U20" s="117"/>
      <c r="V20" s="117"/>
      <c r="W20" s="117"/>
      <c r="X20" s="117"/>
      <c r="Y20" s="117"/>
      <c r="Z20" s="117"/>
    </row>
    <row r="21" spans="1:26">
      <c r="A21" s="48" t="s">
        <v>431</v>
      </c>
      <c r="B21" s="11" t="s">
        <v>336</v>
      </c>
      <c r="C21" s="44">
        <v>600</v>
      </c>
      <c r="D21" s="44">
        <v>46.34</v>
      </c>
      <c r="E21" s="44">
        <v>5226</v>
      </c>
      <c r="F21" s="44">
        <v>5527.69</v>
      </c>
      <c r="G21" s="44">
        <v>0</v>
      </c>
      <c r="H21" s="44">
        <v>0</v>
      </c>
      <c r="I21" s="44">
        <v>0</v>
      </c>
      <c r="J21" s="44">
        <v>700</v>
      </c>
      <c r="K21" s="44">
        <v>0</v>
      </c>
      <c r="L21" s="44">
        <v>0</v>
      </c>
      <c r="M21" s="44">
        <v>0</v>
      </c>
      <c r="N21" s="149">
        <v>0</v>
      </c>
      <c r="O21" s="44">
        <v>0</v>
      </c>
      <c r="P21" s="117"/>
      <c r="Q21" s="117"/>
      <c r="R21" s="117"/>
      <c r="S21" s="117"/>
      <c r="T21" s="117"/>
      <c r="U21" s="117"/>
      <c r="V21" s="117"/>
      <c r="W21" s="117"/>
      <c r="X21" s="117"/>
      <c r="Y21" s="117"/>
      <c r="Z21" s="117"/>
    </row>
    <row r="22" spans="1:26">
      <c r="A22" s="48" t="s">
        <v>432</v>
      </c>
      <c r="B22" s="11" t="s">
        <v>291</v>
      </c>
      <c r="C22" s="44">
        <v>0</v>
      </c>
      <c r="D22" s="44">
        <v>33.270000000000003</v>
      </c>
      <c r="E22" s="44">
        <v>0</v>
      </c>
      <c r="F22" s="44">
        <v>0</v>
      </c>
      <c r="G22" s="44">
        <v>0</v>
      </c>
      <c r="H22" s="44">
        <v>0</v>
      </c>
      <c r="I22" s="44">
        <v>0</v>
      </c>
      <c r="J22" s="44">
        <v>0</v>
      </c>
      <c r="K22" s="44"/>
      <c r="L22" s="44">
        <v>3845</v>
      </c>
      <c r="M22" s="44">
        <v>0</v>
      </c>
      <c r="N22" s="149">
        <v>0</v>
      </c>
      <c r="O22" s="44">
        <v>0</v>
      </c>
      <c r="P22" s="117"/>
      <c r="Q22" s="117"/>
      <c r="R22" s="117">
        <v>11.3</v>
      </c>
      <c r="S22" s="117"/>
      <c r="T22" s="117"/>
      <c r="U22" s="117">
        <v>0</v>
      </c>
      <c r="V22" s="117"/>
      <c r="W22" s="117">
        <v>222.13</v>
      </c>
      <c r="X22" s="117"/>
      <c r="Y22" s="117"/>
      <c r="Z22" s="117"/>
    </row>
    <row r="23" spans="1:26" hidden="1">
      <c r="A23" s="48" t="s">
        <v>433</v>
      </c>
      <c r="B23" s="11" t="s">
        <v>114</v>
      </c>
      <c r="C23" s="44">
        <v>600</v>
      </c>
      <c r="D23" s="44">
        <v>208.72</v>
      </c>
      <c r="E23" s="44">
        <v>2250</v>
      </c>
      <c r="F23" s="44">
        <v>1993.82</v>
      </c>
      <c r="G23" s="44">
        <v>1710</v>
      </c>
      <c r="H23" s="44">
        <v>1182.43</v>
      </c>
      <c r="I23" s="44"/>
      <c r="J23" s="44">
        <v>2759.38</v>
      </c>
      <c r="K23" s="44">
        <v>3750</v>
      </c>
      <c r="L23" s="44">
        <v>3559.82</v>
      </c>
      <c r="M23" s="44">
        <v>3000</v>
      </c>
      <c r="N23" s="149">
        <v>3730.74</v>
      </c>
      <c r="O23" s="44">
        <v>3500</v>
      </c>
      <c r="P23" s="117">
        <v>3445.01</v>
      </c>
      <c r="Q23" s="117">
        <v>3500</v>
      </c>
      <c r="R23" s="117">
        <v>3314.95</v>
      </c>
      <c r="S23" s="117">
        <v>3700</v>
      </c>
      <c r="T23" s="117">
        <v>3000</v>
      </c>
      <c r="U23" s="117">
        <v>1680.31</v>
      </c>
      <c r="V23" s="117">
        <v>300</v>
      </c>
      <c r="W23" s="117"/>
      <c r="X23" s="117"/>
      <c r="Y23" s="117"/>
      <c r="Z23" s="117"/>
    </row>
    <row r="24" spans="1:26" hidden="1">
      <c r="A24" s="48" t="s">
        <v>434</v>
      </c>
      <c r="B24" s="11" t="s">
        <v>416</v>
      </c>
      <c r="C24" s="44">
        <v>200</v>
      </c>
      <c r="D24" s="44">
        <v>26.39</v>
      </c>
      <c r="E24" s="44">
        <v>100</v>
      </c>
      <c r="F24" s="44">
        <v>0</v>
      </c>
      <c r="G24" s="44">
        <v>0</v>
      </c>
      <c r="H24" s="44">
        <v>0</v>
      </c>
      <c r="I24" s="44">
        <v>0</v>
      </c>
      <c r="J24" s="44">
        <v>0</v>
      </c>
      <c r="K24" s="44">
        <v>0</v>
      </c>
      <c r="L24" s="44">
        <v>0</v>
      </c>
      <c r="M24" s="44">
        <v>0</v>
      </c>
      <c r="N24" s="149">
        <v>0</v>
      </c>
      <c r="O24" s="44">
        <v>0</v>
      </c>
      <c r="P24" s="117"/>
      <c r="Q24" s="117"/>
      <c r="R24" s="117"/>
      <c r="S24" s="117"/>
      <c r="T24" s="117"/>
      <c r="U24" s="117"/>
      <c r="V24" s="117"/>
      <c r="W24" s="117"/>
      <c r="X24" s="117"/>
      <c r="Y24" s="117"/>
      <c r="Z24" s="117"/>
    </row>
    <row r="25" spans="1:26" hidden="1">
      <c r="A25" s="48" t="s">
        <v>435</v>
      </c>
      <c r="B25" s="11" t="s">
        <v>436</v>
      </c>
      <c r="C25" s="44">
        <v>0</v>
      </c>
      <c r="D25" s="44">
        <v>0</v>
      </c>
      <c r="E25" s="44">
        <v>0</v>
      </c>
      <c r="F25" s="44">
        <v>0</v>
      </c>
      <c r="G25" s="44">
        <v>0</v>
      </c>
      <c r="H25" s="44">
        <v>0</v>
      </c>
      <c r="I25" s="44">
        <v>0</v>
      </c>
      <c r="J25" s="44">
        <v>0</v>
      </c>
      <c r="K25" s="44">
        <v>0</v>
      </c>
      <c r="L25" s="44">
        <v>0</v>
      </c>
      <c r="M25" s="44">
        <v>0</v>
      </c>
      <c r="N25" s="149">
        <v>0</v>
      </c>
      <c r="O25" s="44">
        <v>0</v>
      </c>
      <c r="P25" s="117"/>
      <c r="Q25" s="117"/>
      <c r="R25" s="117"/>
      <c r="S25" s="117"/>
      <c r="T25" s="117"/>
      <c r="U25" s="117"/>
      <c r="V25" s="117"/>
      <c r="W25" s="117"/>
      <c r="X25" s="117"/>
      <c r="Y25" s="117"/>
      <c r="Z25" s="117"/>
    </row>
    <row r="26" spans="1:26" hidden="1">
      <c r="A26" s="48" t="s">
        <v>437</v>
      </c>
      <c r="B26" s="11" t="s">
        <v>438</v>
      </c>
      <c r="C26" s="44">
        <v>1300</v>
      </c>
      <c r="D26" s="44">
        <v>1300</v>
      </c>
      <c r="E26" s="44">
        <v>2665</v>
      </c>
      <c r="F26" s="44">
        <v>1267.1199999999999</v>
      </c>
      <c r="G26" s="44">
        <v>1000</v>
      </c>
      <c r="H26" s="44">
        <v>-9.1300000000000008</v>
      </c>
      <c r="I26" s="44">
        <v>1000</v>
      </c>
      <c r="J26" s="44">
        <v>3450.78</v>
      </c>
      <c r="K26" s="44">
        <v>0</v>
      </c>
      <c r="L26" s="44">
        <v>134.84</v>
      </c>
      <c r="M26" s="44">
        <v>0</v>
      </c>
      <c r="N26" s="149">
        <v>0</v>
      </c>
      <c r="O26" s="44">
        <v>0</v>
      </c>
      <c r="P26" s="117"/>
      <c r="Q26" s="117"/>
      <c r="R26" s="117"/>
      <c r="S26" s="117"/>
      <c r="T26" s="117"/>
      <c r="U26" s="117"/>
      <c r="V26" s="117"/>
      <c r="W26" s="117"/>
      <c r="X26" s="117"/>
      <c r="Y26" s="117"/>
      <c r="Z26" s="117"/>
    </row>
    <row r="27" spans="1:26" hidden="1">
      <c r="A27" s="48" t="s">
        <v>439</v>
      </c>
      <c r="B27" s="11" t="s">
        <v>440</v>
      </c>
      <c r="C27" s="44">
        <v>0</v>
      </c>
      <c r="D27" s="44">
        <v>0</v>
      </c>
      <c r="E27" s="44">
        <v>0</v>
      </c>
      <c r="F27" s="44">
        <v>272.63</v>
      </c>
      <c r="G27" s="44">
        <v>0</v>
      </c>
      <c r="H27" s="44">
        <v>251.16</v>
      </c>
      <c r="I27" s="44">
        <v>0</v>
      </c>
      <c r="J27" s="44">
        <v>0</v>
      </c>
      <c r="K27" s="44"/>
      <c r="L27" s="44">
        <v>0</v>
      </c>
      <c r="M27" s="44">
        <v>0</v>
      </c>
      <c r="N27" s="149">
        <v>0</v>
      </c>
      <c r="O27" s="44">
        <v>0</v>
      </c>
      <c r="P27" s="117"/>
      <c r="Q27" s="117"/>
      <c r="R27" s="117"/>
      <c r="S27" s="117"/>
      <c r="T27" s="117"/>
      <c r="U27" s="117"/>
      <c r="V27" s="117"/>
      <c r="W27" s="117"/>
      <c r="X27" s="117"/>
      <c r="Y27" s="117"/>
      <c r="Z27" s="117"/>
    </row>
    <row r="28" spans="1:26" hidden="1">
      <c r="A28" s="48" t="s">
        <v>441</v>
      </c>
      <c r="B28" s="11" t="s">
        <v>442</v>
      </c>
      <c r="C28" s="44">
        <v>1500</v>
      </c>
      <c r="D28" s="44">
        <v>1113.6300000000001</v>
      </c>
      <c r="E28" s="44">
        <v>1815</v>
      </c>
      <c r="F28" s="44">
        <v>1033.46</v>
      </c>
      <c r="G28" s="44">
        <v>450</v>
      </c>
      <c r="H28" s="44">
        <v>55.83</v>
      </c>
      <c r="I28" s="44">
        <v>0</v>
      </c>
      <c r="J28" s="44">
        <v>0</v>
      </c>
      <c r="K28" s="44">
        <v>0</v>
      </c>
      <c r="L28" s="44">
        <v>0</v>
      </c>
      <c r="M28" s="44">
        <v>0</v>
      </c>
      <c r="N28" s="149">
        <v>0</v>
      </c>
      <c r="O28" s="44">
        <v>0</v>
      </c>
      <c r="P28" s="117"/>
      <c r="Q28" s="117"/>
      <c r="R28" s="117"/>
      <c r="S28" s="117"/>
      <c r="T28" s="117"/>
      <c r="U28" s="117"/>
      <c r="V28" s="117"/>
      <c r="W28" s="117"/>
      <c r="X28" s="117"/>
      <c r="Y28" s="117"/>
      <c r="Z28" s="117"/>
    </row>
    <row r="29" spans="1:26" hidden="1">
      <c r="A29" s="48" t="s">
        <v>443</v>
      </c>
      <c r="B29" s="11" t="s">
        <v>444</v>
      </c>
      <c r="C29" s="44">
        <v>0</v>
      </c>
      <c r="D29" s="44">
        <v>0</v>
      </c>
      <c r="E29" s="44">
        <v>0</v>
      </c>
      <c r="F29" s="44">
        <v>0</v>
      </c>
      <c r="G29" s="44">
        <v>0</v>
      </c>
      <c r="H29" s="44">
        <v>0</v>
      </c>
      <c r="I29" s="44">
        <v>0</v>
      </c>
      <c r="J29" s="44">
        <v>0</v>
      </c>
      <c r="K29" s="44">
        <v>0</v>
      </c>
      <c r="L29" s="44">
        <v>0</v>
      </c>
      <c r="M29" s="44">
        <v>0</v>
      </c>
      <c r="N29" s="149">
        <v>0</v>
      </c>
      <c r="O29" s="44">
        <v>0</v>
      </c>
      <c r="P29" s="117"/>
      <c r="Q29" s="117"/>
      <c r="R29" s="117"/>
      <c r="S29" s="117"/>
      <c r="T29" s="117"/>
      <c r="U29" s="117"/>
      <c r="V29" s="117"/>
      <c r="W29" s="117"/>
      <c r="X29" s="117"/>
      <c r="Y29" s="117"/>
      <c r="Z29" s="117"/>
    </row>
    <row r="30" spans="1:26" hidden="1">
      <c r="A30" s="48" t="s">
        <v>445</v>
      </c>
      <c r="B30" s="11" t="s">
        <v>446</v>
      </c>
      <c r="C30" s="44">
        <v>0</v>
      </c>
      <c r="D30" s="44">
        <v>0</v>
      </c>
      <c r="E30" s="44">
        <v>0</v>
      </c>
      <c r="F30" s="44">
        <v>0</v>
      </c>
      <c r="G30" s="44">
        <v>0</v>
      </c>
      <c r="H30" s="44">
        <v>0</v>
      </c>
      <c r="I30" s="44">
        <v>0</v>
      </c>
      <c r="J30" s="44">
        <v>0</v>
      </c>
      <c r="K30" s="44">
        <v>0</v>
      </c>
      <c r="L30" s="44">
        <v>0</v>
      </c>
      <c r="M30" s="44">
        <v>0</v>
      </c>
      <c r="N30" s="149">
        <v>0</v>
      </c>
      <c r="O30" s="44">
        <v>0</v>
      </c>
      <c r="P30" s="117"/>
      <c r="Q30" s="117"/>
      <c r="R30" s="117"/>
      <c r="S30" s="117"/>
      <c r="T30" s="117"/>
      <c r="U30" s="117"/>
      <c r="V30" s="117"/>
      <c r="W30" s="117"/>
      <c r="X30" s="117"/>
      <c r="Y30" s="117"/>
      <c r="Z30" s="117"/>
    </row>
    <row r="31" spans="1:26">
      <c r="A31" s="48" t="s">
        <v>447</v>
      </c>
      <c r="B31" s="11" t="s">
        <v>448</v>
      </c>
      <c r="C31" s="44">
        <v>0</v>
      </c>
      <c r="D31" s="44">
        <v>0</v>
      </c>
      <c r="E31" s="44">
        <v>0</v>
      </c>
      <c r="F31" s="44">
        <v>0</v>
      </c>
      <c r="G31" s="44">
        <v>0</v>
      </c>
      <c r="H31" s="44">
        <v>0</v>
      </c>
      <c r="I31" s="44">
        <v>0</v>
      </c>
      <c r="J31" s="44">
        <v>0</v>
      </c>
      <c r="K31" s="44">
        <v>0</v>
      </c>
      <c r="L31" s="44">
        <v>0</v>
      </c>
      <c r="M31" s="44">
        <v>0</v>
      </c>
      <c r="N31" s="149">
        <v>0</v>
      </c>
      <c r="O31" s="44">
        <v>0</v>
      </c>
      <c r="P31" s="117"/>
      <c r="Q31" s="117"/>
      <c r="R31" s="117"/>
      <c r="S31" s="117"/>
      <c r="T31" s="117"/>
      <c r="U31" s="117"/>
      <c r="V31" s="117"/>
      <c r="W31" s="117"/>
      <c r="X31" s="117"/>
      <c r="Y31" s="117"/>
      <c r="Z31" s="117"/>
    </row>
    <row r="32" spans="1:26" hidden="1">
      <c r="A32" s="48" t="s">
        <v>433</v>
      </c>
      <c r="B32" s="11" t="s">
        <v>449</v>
      </c>
      <c r="C32" s="44">
        <v>0</v>
      </c>
      <c r="D32" s="44">
        <v>0</v>
      </c>
      <c r="E32" s="44">
        <v>1500</v>
      </c>
      <c r="F32" s="44">
        <v>4402.41</v>
      </c>
      <c r="G32" s="44">
        <v>2000</v>
      </c>
      <c r="H32" s="44">
        <v>2735.1</v>
      </c>
      <c r="I32" s="44">
        <v>2000</v>
      </c>
      <c r="J32" s="44">
        <v>1507.25</v>
      </c>
      <c r="K32" s="44">
        <v>1000</v>
      </c>
      <c r="L32" s="44">
        <v>1314.49</v>
      </c>
      <c r="M32" s="44">
        <v>1000</v>
      </c>
      <c r="N32" s="149">
        <v>999.62</v>
      </c>
      <c r="O32" s="44">
        <v>1000</v>
      </c>
      <c r="P32" s="117">
        <v>801.64</v>
      </c>
      <c r="Q32" s="117">
        <v>800</v>
      </c>
      <c r="R32" s="117">
        <v>795.91</v>
      </c>
      <c r="S32" s="117">
        <v>800</v>
      </c>
      <c r="T32" s="117">
        <v>500</v>
      </c>
      <c r="U32" s="117"/>
      <c r="V32" s="117"/>
      <c r="W32" s="117"/>
      <c r="X32" s="117"/>
      <c r="Y32" s="117"/>
      <c r="Z32" s="117"/>
    </row>
    <row r="33" spans="1:26" hidden="1">
      <c r="A33" s="48" t="s">
        <v>450</v>
      </c>
      <c r="B33" s="11" t="s">
        <v>451</v>
      </c>
      <c r="C33" s="44">
        <v>0</v>
      </c>
      <c r="D33" s="44">
        <v>0</v>
      </c>
      <c r="E33" s="44">
        <v>0</v>
      </c>
      <c r="F33" s="44">
        <v>0</v>
      </c>
      <c r="G33" s="44">
        <v>0</v>
      </c>
      <c r="H33" s="44">
        <v>0</v>
      </c>
      <c r="I33" s="44">
        <v>0</v>
      </c>
      <c r="J33" s="44">
        <v>0</v>
      </c>
      <c r="K33" s="44">
        <v>0</v>
      </c>
      <c r="L33" s="44">
        <v>0</v>
      </c>
      <c r="M33" s="44">
        <v>0</v>
      </c>
      <c r="N33" s="149">
        <v>0</v>
      </c>
      <c r="O33" s="44">
        <v>0</v>
      </c>
      <c r="P33" s="117"/>
      <c r="Q33" s="117"/>
      <c r="R33" s="117"/>
      <c r="S33" s="117"/>
      <c r="T33" s="117"/>
      <c r="U33" s="117"/>
      <c r="V33" s="117"/>
      <c r="W33" s="117"/>
      <c r="X33" s="117"/>
      <c r="Y33" s="117"/>
      <c r="Z33" s="117"/>
    </row>
    <row r="34" spans="1:26" hidden="1">
      <c r="A34" s="48" t="s">
        <v>452</v>
      </c>
      <c r="B34" s="11" t="s">
        <v>453</v>
      </c>
      <c r="C34" s="44">
        <v>230</v>
      </c>
      <c r="D34" s="44">
        <v>95.31</v>
      </c>
      <c r="E34" s="44">
        <v>550</v>
      </c>
      <c r="F34" s="44">
        <v>471.06</v>
      </c>
      <c r="G34" s="44">
        <v>375</v>
      </c>
      <c r="H34" s="44">
        <v>237.26</v>
      </c>
      <c r="I34" s="44">
        <v>0</v>
      </c>
      <c r="J34" s="44">
        <v>0</v>
      </c>
      <c r="K34" s="44">
        <v>0</v>
      </c>
      <c r="L34" s="44">
        <v>0</v>
      </c>
      <c r="M34" s="44">
        <v>0</v>
      </c>
      <c r="N34" s="149">
        <v>0</v>
      </c>
      <c r="O34" s="44">
        <v>0</v>
      </c>
      <c r="P34" s="117"/>
      <c r="Q34" s="117"/>
      <c r="R34" s="117"/>
      <c r="S34" s="117"/>
      <c r="T34" s="117"/>
      <c r="U34" s="117"/>
      <c r="V34" s="117"/>
      <c r="W34" s="117"/>
      <c r="X34" s="117"/>
      <c r="Y34" s="117"/>
      <c r="Z34" s="117"/>
    </row>
    <row r="35" spans="1:26" hidden="1">
      <c r="A35" s="48" t="s">
        <v>454</v>
      </c>
      <c r="B35" s="11" t="s">
        <v>455</v>
      </c>
      <c r="C35" s="44">
        <v>520</v>
      </c>
      <c r="D35" s="44">
        <v>569.48</v>
      </c>
      <c r="E35" s="44">
        <v>700</v>
      </c>
      <c r="F35" s="44">
        <v>979.74</v>
      </c>
      <c r="G35" s="44">
        <v>810</v>
      </c>
      <c r="H35" s="44">
        <v>120.27</v>
      </c>
      <c r="I35" s="44">
        <v>0</v>
      </c>
      <c r="J35" s="44">
        <v>-22.04</v>
      </c>
      <c r="K35" s="44">
        <v>0</v>
      </c>
      <c r="L35" s="44">
        <v>0</v>
      </c>
      <c r="M35" s="44">
        <v>0</v>
      </c>
      <c r="N35" s="149">
        <v>0</v>
      </c>
      <c r="O35" s="44">
        <v>0</v>
      </c>
      <c r="P35" s="117"/>
      <c r="Q35" s="117"/>
      <c r="R35" s="117"/>
      <c r="S35" s="117"/>
      <c r="T35" s="117"/>
      <c r="U35" s="117"/>
      <c r="V35" s="117"/>
      <c r="W35" s="117"/>
      <c r="X35" s="117"/>
      <c r="Y35" s="117"/>
      <c r="Z35" s="117"/>
    </row>
    <row r="36" spans="1:26" hidden="1">
      <c r="A36" s="48" t="s">
        <v>456</v>
      </c>
      <c r="B36" s="11" t="s">
        <v>457</v>
      </c>
      <c r="C36" s="44">
        <v>180</v>
      </c>
      <c r="D36" s="44">
        <v>221.22</v>
      </c>
      <c r="E36" s="44">
        <v>605</v>
      </c>
      <c r="F36" s="44">
        <v>186.11</v>
      </c>
      <c r="G36" s="44">
        <v>1000</v>
      </c>
      <c r="H36" s="44">
        <v>64.05</v>
      </c>
      <c r="I36" s="44">
        <v>0</v>
      </c>
      <c r="J36" s="44">
        <v>0</v>
      </c>
      <c r="K36" s="44">
        <v>0</v>
      </c>
      <c r="L36" s="44">
        <v>0</v>
      </c>
      <c r="M36" s="44">
        <v>0</v>
      </c>
      <c r="N36" s="149">
        <v>0</v>
      </c>
      <c r="O36" s="44">
        <v>0</v>
      </c>
      <c r="P36" s="117"/>
      <c r="Q36" s="117"/>
      <c r="R36" s="117"/>
      <c r="S36" s="117"/>
      <c r="T36" s="117"/>
      <c r="U36" s="117"/>
      <c r="V36" s="117"/>
      <c r="W36" s="117"/>
      <c r="X36" s="117"/>
      <c r="Y36" s="117"/>
      <c r="Z36" s="117"/>
    </row>
    <row r="37" spans="1:26" hidden="1">
      <c r="A37" s="48" t="s">
        <v>458</v>
      </c>
      <c r="B37" s="11" t="s">
        <v>459</v>
      </c>
      <c r="C37" s="44">
        <v>0</v>
      </c>
      <c r="D37" s="44">
        <v>0</v>
      </c>
      <c r="E37" s="44">
        <v>600</v>
      </c>
      <c r="F37" s="44">
        <v>421.46</v>
      </c>
      <c r="G37" s="44">
        <v>1500</v>
      </c>
      <c r="H37" s="44">
        <v>2539.5500000000002</v>
      </c>
      <c r="I37" s="44">
        <v>500</v>
      </c>
      <c r="J37" s="44">
        <v>39.43</v>
      </c>
      <c r="K37" s="44">
        <v>0</v>
      </c>
      <c r="L37" s="44">
        <v>0</v>
      </c>
      <c r="M37" s="44">
        <v>500</v>
      </c>
      <c r="N37" s="149">
        <v>0</v>
      </c>
      <c r="O37" s="44">
        <v>0</v>
      </c>
      <c r="P37" s="44"/>
      <c r="Q37" s="44"/>
      <c r="R37" s="44"/>
      <c r="S37" s="44"/>
      <c r="T37" s="44"/>
      <c r="U37" s="44"/>
      <c r="V37" s="44"/>
      <c r="W37" s="44"/>
      <c r="X37" s="44"/>
      <c r="Y37" s="117"/>
      <c r="Z37" s="117"/>
    </row>
    <row r="38" spans="1:26" hidden="1">
      <c r="A38" s="48" t="s">
        <v>460</v>
      </c>
      <c r="B38" s="11" t="s">
        <v>461</v>
      </c>
      <c r="C38" s="44">
        <v>350</v>
      </c>
      <c r="D38" s="44">
        <v>335.64</v>
      </c>
      <c r="E38" s="44">
        <v>1180</v>
      </c>
      <c r="F38" s="44">
        <v>603.39</v>
      </c>
      <c r="G38" s="44">
        <v>750</v>
      </c>
      <c r="H38" s="44">
        <v>181.54</v>
      </c>
      <c r="I38" s="44">
        <v>0</v>
      </c>
      <c r="J38" s="44">
        <v>0</v>
      </c>
      <c r="K38" s="44">
        <v>0</v>
      </c>
      <c r="L38" s="44">
        <v>0</v>
      </c>
      <c r="M38" s="44">
        <v>0</v>
      </c>
      <c r="N38" s="149">
        <v>0</v>
      </c>
      <c r="O38" s="44">
        <v>0</v>
      </c>
      <c r="P38" s="44"/>
      <c r="Q38" s="44"/>
      <c r="R38" s="44"/>
      <c r="S38" s="44"/>
      <c r="T38" s="44"/>
      <c r="U38" s="44"/>
      <c r="V38" s="44"/>
      <c r="W38" s="44"/>
      <c r="X38" s="44"/>
      <c r="Y38" s="117"/>
      <c r="Z38" s="117"/>
    </row>
    <row r="39" spans="1:26" hidden="1">
      <c r="A39" s="48" t="s">
        <v>462</v>
      </c>
      <c r="B39" s="11" t="s">
        <v>463</v>
      </c>
      <c r="C39" s="44">
        <v>0</v>
      </c>
      <c r="D39" s="44">
        <v>0</v>
      </c>
      <c r="E39" s="44">
        <v>0</v>
      </c>
      <c r="F39" s="44">
        <v>0</v>
      </c>
      <c r="G39" s="44">
        <v>0</v>
      </c>
      <c r="H39" s="44">
        <v>0</v>
      </c>
      <c r="I39" s="44">
        <v>0</v>
      </c>
      <c r="J39" s="44">
        <v>0</v>
      </c>
      <c r="K39" s="44">
        <v>0</v>
      </c>
      <c r="L39" s="44">
        <v>0</v>
      </c>
      <c r="M39" s="44">
        <v>0</v>
      </c>
      <c r="N39" s="149">
        <v>0</v>
      </c>
      <c r="O39" s="44">
        <v>0</v>
      </c>
      <c r="P39" s="44"/>
      <c r="Q39" s="44"/>
      <c r="R39" s="44"/>
      <c r="S39" s="44"/>
      <c r="T39" s="44"/>
      <c r="U39" s="44"/>
      <c r="V39" s="44"/>
      <c r="W39" s="44"/>
      <c r="X39" s="44"/>
      <c r="Y39" s="117"/>
      <c r="Z39" s="117"/>
    </row>
    <row r="40" spans="1:26" hidden="1">
      <c r="A40" s="48" t="s">
        <v>464</v>
      </c>
      <c r="B40" s="11" t="s">
        <v>465</v>
      </c>
      <c r="C40" s="44">
        <v>0</v>
      </c>
      <c r="D40" s="44">
        <v>0</v>
      </c>
      <c r="E40" s="44">
        <v>0</v>
      </c>
      <c r="F40" s="44">
        <v>0</v>
      </c>
      <c r="G40" s="44">
        <v>0</v>
      </c>
      <c r="H40" s="44">
        <v>0</v>
      </c>
      <c r="I40" s="44">
        <v>0</v>
      </c>
      <c r="J40" s="44">
        <v>0</v>
      </c>
      <c r="K40" s="44">
        <v>0</v>
      </c>
      <c r="L40" s="44">
        <v>0</v>
      </c>
      <c r="M40" s="44">
        <v>0</v>
      </c>
      <c r="N40" s="149">
        <v>0</v>
      </c>
      <c r="O40" s="44">
        <v>0</v>
      </c>
      <c r="P40" s="44"/>
      <c r="Q40" s="44"/>
      <c r="R40" s="44"/>
      <c r="S40" s="44"/>
      <c r="T40" s="44"/>
      <c r="U40" s="44"/>
      <c r="V40" s="44"/>
      <c r="W40" s="44"/>
      <c r="X40" s="44"/>
      <c r="Y40" s="117"/>
      <c r="Z40" s="117"/>
    </row>
    <row r="41" spans="1:26" hidden="1">
      <c r="A41" s="48" t="s">
        <v>466</v>
      </c>
      <c r="B41" s="11" t="s">
        <v>467</v>
      </c>
      <c r="C41" s="44">
        <v>730</v>
      </c>
      <c r="D41" s="44">
        <v>1201.45</v>
      </c>
      <c r="E41" s="44">
        <v>1120</v>
      </c>
      <c r="F41" s="44">
        <v>804.92</v>
      </c>
      <c r="G41" s="44">
        <v>350</v>
      </c>
      <c r="H41" s="44">
        <v>214.59</v>
      </c>
      <c r="I41" s="44">
        <v>0</v>
      </c>
      <c r="J41" s="44">
        <v>0</v>
      </c>
      <c r="K41" s="44">
        <v>0</v>
      </c>
      <c r="L41" s="44">
        <v>0</v>
      </c>
      <c r="M41" s="44">
        <v>0</v>
      </c>
      <c r="N41" s="149">
        <v>0</v>
      </c>
      <c r="O41" s="44">
        <v>0</v>
      </c>
      <c r="P41" s="44"/>
      <c r="Q41" s="44"/>
      <c r="R41" s="44"/>
      <c r="S41" s="44"/>
      <c r="T41" s="44"/>
      <c r="U41" s="44"/>
      <c r="V41" s="44"/>
      <c r="W41" s="44"/>
      <c r="X41" s="44"/>
      <c r="Y41" s="117"/>
      <c r="Z41" s="117"/>
    </row>
    <row r="42" spans="1:26" hidden="1">
      <c r="A42" s="48" t="s">
        <v>468</v>
      </c>
      <c r="B42" s="11" t="s">
        <v>469</v>
      </c>
      <c r="C42" s="44">
        <v>0</v>
      </c>
      <c r="D42" s="44">
        <v>-37</v>
      </c>
      <c r="E42" s="44">
        <v>0</v>
      </c>
      <c r="F42" s="44">
        <v>0</v>
      </c>
      <c r="G42" s="44">
        <v>0</v>
      </c>
      <c r="H42" s="44">
        <v>0</v>
      </c>
      <c r="I42" s="44">
        <v>0</v>
      </c>
      <c r="J42" s="44">
        <v>0</v>
      </c>
      <c r="K42" s="44">
        <v>0</v>
      </c>
      <c r="L42" s="44">
        <v>0</v>
      </c>
      <c r="M42" s="44">
        <v>0</v>
      </c>
      <c r="N42" s="149">
        <v>0</v>
      </c>
      <c r="O42" s="44">
        <v>0</v>
      </c>
      <c r="P42" s="44"/>
      <c r="Q42" s="44"/>
      <c r="R42" s="44"/>
      <c r="S42" s="44"/>
      <c r="T42" s="44"/>
      <c r="U42" s="44"/>
      <c r="V42" s="44"/>
      <c r="W42" s="44"/>
      <c r="X42" s="44"/>
      <c r="Y42" s="117"/>
      <c r="Z42" s="117"/>
    </row>
    <row r="43" spans="1:26" hidden="1">
      <c r="B43" s="11" t="s">
        <v>367</v>
      </c>
      <c r="C43" s="44">
        <v>0</v>
      </c>
      <c r="D43" s="44">
        <v>0</v>
      </c>
      <c r="E43" s="44">
        <v>0</v>
      </c>
      <c r="F43" s="44">
        <v>0</v>
      </c>
      <c r="G43" s="44">
        <v>0</v>
      </c>
      <c r="H43" s="44">
        <v>0</v>
      </c>
      <c r="I43" s="44">
        <v>400</v>
      </c>
      <c r="J43" s="44">
        <v>0</v>
      </c>
      <c r="K43" s="44">
        <v>0</v>
      </c>
      <c r="L43" s="44">
        <v>0</v>
      </c>
      <c r="M43" s="44">
        <v>0</v>
      </c>
      <c r="N43" s="149">
        <v>0</v>
      </c>
      <c r="O43" s="44">
        <v>0</v>
      </c>
      <c r="P43" s="44"/>
      <c r="Q43" s="44"/>
      <c r="R43" s="44"/>
      <c r="S43" s="44"/>
      <c r="T43" s="44"/>
      <c r="U43" s="44"/>
      <c r="V43" s="44"/>
      <c r="W43" s="44"/>
      <c r="X43" s="44"/>
      <c r="Y43" s="117"/>
      <c r="Z43" s="117"/>
    </row>
    <row r="44" spans="1:26" hidden="1">
      <c r="B44" s="11" t="s">
        <v>470</v>
      </c>
      <c r="C44" s="44">
        <v>0</v>
      </c>
      <c r="D44" s="44">
        <v>0</v>
      </c>
      <c r="E44" s="44">
        <v>0</v>
      </c>
      <c r="F44" s="44">
        <v>0</v>
      </c>
      <c r="G44" s="44">
        <v>0</v>
      </c>
      <c r="H44" s="44">
        <v>0</v>
      </c>
      <c r="I44" s="44">
        <v>533</v>
      </c>
      <c r="J44" s="44">
        <v>1626.05</v>
      </c>
      <c r="K44" s="44">
        <v>0</v>
      </c>
      <c r="L44" s="44">
        <v>0</v>
      </c>
      <c r="M44" s="44">
        <v>0</v>
      </c>
      <c r="N44" s="149">
        <v>0</v>
      </c>
      <c r="O44" s="44">
        <v>0</v>
      </c>
      <c r="P44" s="44"/>
      <c r="Q44" s="44"/>
      <c r="R44" s="44"/>
      <c r="S44" s="44"/>
      <c r="T44" s="44"/>
      <c r="U44" s="44"/>
      <c r="V44" s="44"/>
      <c r="W44" s="44"/>
      <c r="X44" s="44"/>
      <c r="Y44" s="117"/>
      <c r="Z44" s="117"/>
    </row>
    <row r="45" spans="1:26" hidden="1">
      <c r="B45" s="11" t="s">
        <v>471</v>
      </c>
      <c r="C45" s="44">
        <v>0</v>
      </c>
      <c r="D45" s="44">
        <v>0</v>
      </c>
      <c r="E45" s="44">
        <v>0</v>
      </c>
      <c r="F45" s="44">
        <v>0</v>
      </c>
      <c r="G45" s="44">
        <v>0</v>
      </c>
      <c r="H45" s="44">
        <v>0</v>
      </c>
      <c r="I45" s="44">
        <v>533</v>
      </c>
      <c r="J45" s="44">
        <v>85.79</v>
      </c>
      <c r="K45" s="44">
        <v>0</v>
      </c>
      <c r="L45" s="44">
        <v>0</v>
      </c>
      <c r="M45" s="44">
        <v>0</v>
      </c>
      <c r="N45" s="149">
        <v>0</v>
      </c>
      <c r="O45" s="44">
        <v>0</v>
      </c>
      <c r="P45" s="44"/>
      <c r="Q45" s="44"/>
      <c r="R45" s="44"/>
      <c r="S45" s="44"/>
      <c r="T45" s="44"/>
      <c r="U45" s="44"/>
      <c r="V45" s="44"/>
      <c r="W45" s="44"/>
      <c r="X45" s="44"/>
      <c r="Y45" s="117"/>
      <c r="Z45" s="117"/>
    </row>
    <row r="46" spans="1:26" ht="13.5" customHeight="1">
      <c r="B46" s="11" t="s">
        <v>472</v>
      </c>
      <c r="C46" s="44">
        <v>0</v>
      </c>
      <c r="D46" s="44">
        <v>0</v>
      </c>
      <c r="E46" s="44">
        <v>0</v>
      </c>
      <c r="F46" s="44">
        <v>0</v>
      </c>
      <c r="G46" s="44">
        <v>0</v>
      </c>
      <c r="H46" s="44">
        <v>0</v>
      </c>
      <c r="I46" s="44">
        <v>533</v>
      </c>
      <c r="J46" s="44">
        <v>0</v>
      </c>
      <c r="K46" s="44">
        <v>0</v>
      </c>
      <c r="L46" s="44">
        <v>0</v>
      </c>
      <c r="M46" s="44">
        <v>0</v>
      </c>
      <c r="N46" s="149">
        <v>0</v>
      </c>
      <c r="O46" s="44">
        <v>0</v>
      </c>
      <c r="P46" s="44"/>
      <c r="Q46" s="44"/>
      <c r="R46" s="44"/>
      <c r="S46" s="44"/>
      <c r="T46" s="44"/>
      <c r="U46" s="44"/>
      <c r="V46" s="44"/>
      <c r="W46" s="44"/>
      <c r="X46" s="44"/>
      <c r="Y46" s="117"/>
      <c r="Z46" s="117"/>
    </row>
    <row r="47" spans="1:26">
      <c r="A47" s="49" t="s">
        <v>433</v>
      </c>
      <c r="B47" s="11" t="s">
        <v>473</v>
      </c>
      <c r="C47" s="44">
        <v>0</v>
      </c>
      <c r="D47" s="44">
        <v>0</v>
      </c>
      <c r="E47" s="44">
        <v>0</v>
      </c>
      <c r="F47" s="44">
        <v>0</v>
      </c>
      <c r="G47" s="44">
        <v>0</v>
      </c>
      <c r="H47" s="44">
        <v>0</v>
      </c>
      <c r="I47" s="44">
        <v>300</v>
      </c>
      <c r="J47" s="44">
        <v>114.83</v>
      </c>
      <c r="K47" s="44">
        <v>300</v>
      </c>
      <c r="L47" s="44">
        <v>65.040000000000006</v>
      </c>
      <c r="M47" s="44">
        <v>150</v>
      </c>
      <c r="N47" s="149">
        <v>103.64</v>
      </c>
      <c r="O47" s="44">
        <v>150</v>
      </c>
      <c r="P47" s="44">
        <v>57.6</v>
      </c>
      <c r="Q47" s="44">
        <v>150</v>
      </c>
      <c r="R47" s="44"/>
      <c r="S47" s="44">
        <v>150</v>
      </c>
      <c r="T47" s="44">
        <v>100</v>
      </c>
      <c r="U47" s="44"/>
      <c r="V47" s="44">
        <v>150</v>
      </c>
      <c r="W47" s="44"/>
      <c r="X47" s="44"/>
      <c r="Y47" s="117"/>
      <c r="Z47" s="44">
        <v>150</v>
      </c>
    </row>
    <row r="48" spans="1:26">
      <c r="A48" s="49" t="s">
        <v>433</v>
      </c>
      <c r="B48" s="11" t="s">
        <v>474</v>
      </c>
      <c r="C48" s="44">
        <v>0</v>
      </c>
      <c r="D48" s="44">
        <v>0</v>
      </c>
      <c r="E48" s="44">
        <v>0</v>
      </c>
      <c r="F48" s="44">
        <v>0</v>
      </c>
      <c r="G48" s="44">
        <v>0</v>
      </c>
      <c r="H48" s="44">
        <v>0</v>
      </c>
      <c r="I48" s="44">
        <v>1000</v>
      </c>
      <c r="J48" s="44">
        <v>0</v>
      </c>
      <c r="K48" s="44">
        <v>750</v>
      </c>
      <c r="L48" s="44">
        <v>543.47</v>
      </c>
      <c r="M48" s="44">
        <v>650</v>
      </c>
      <c r="N48" s="149">
        <v>562.66</v>
      </c>
      <c r="O48" s="44">
        <v>650</v>
      </c>
      <c r="P48" s="44">
        <v>575.25</v>
      </c>
      <c r="Q48" s="44">
        <v>650</v>
      </c>
      <c r="R48" s="44">
        <v>284.22000000000003</v>
      </c>
      <c r="S48" s="44">
        <v>450</v>
      </c>
      <c r="T48" s="44"/>
      <c r="U48" s="44"/>
      <c r="V48" s="44"/>
      <c r="W48" s="44"/>
      <c r="X48" s="44"/>
      <c r="Y48" s="117"/>
      <c r="Z48" s="117"/>
    </row>
    <row r="49" spans="1:26">
      <c r="A49" s="49" t="s">
        <v>433</v>
      </c>
      <c r="B49" s="11" t="s">
        <v>475</v>
      </c>
      <c r="C49" s="44">
        <v>0</v>
      </c>
      <c r="D49" s="44">
        <v>0</v>
      </c>
      <c r="E49" s="44">
        <v>0</v>
      </c>
      <c r="F49" s="44"/>
      <c r="G49" s="44">
        <v>0</v>
      </c>
      <c r="H49" s="44">
        <v>0</v>
      </c>
      <c r="I49" s="44"/>
      <c r="J49" s="44"/>
      <c r="K49" s="44">
        <v>750</v>
      </c>
      <c r="L49" s="44">
        <v>837.37</v>
      </c>
      <c r="M49" s="44">
        <v>750</v>
      </c>
      <c r="N49" s="149">
        <v>808.24</v>
      </c>
      <c r="O49" s="44">
        <v>750</v>
      </c>
      <c r="P49" s="44">
        <v>725.25</v>
      </c>
      <c r="Q49" s="44">
        <v>800</v>
      </c>
      <c r="R49" s="44">
        <v>755.43</v>
      </c>
      <c r="S49" s="44">
        <v>900</v>
      </c>
      <c r="T49" s="44">
        <v>500</v>
      </c>
      <c r="U49" s="44"/>
      <c r="V49" s="44"/>
      <c r="W49" s="44"/>
      <c r="X49" s="44"/>
      <c r="Y49" s="117"/>
      <c r="Z49" s="117"/>
    </row>
    <row r="50" spans="1:26">
      <c r="A50" s="49" t="s">
        <v>433</v>
      </c>
      <c r="B50" s="11" t="s">
        <v>476</v>
      </c>
      <c r="C50" s="44">
        <v>0</v>
      </c>
      <c r="D50" s="44">
        <v>0</v>
      </c>
      <c r="E50" s="44">
        <v>0</v>
      </c>
      <c r="F50" s="44">
        <v>0</v>
      </c>
      <c r="G50" s="44">
        <v>0</v>
      </c>
      <c r="H50" s="44">
        <v>0</v>
      </c>
      <c r="I50" s="44">
        <v>750</v>
      </c>
      <c r="J50" s="44">
        <v>0</v>
      </c>
      <c r="K50" s="44">
        <v>250</v>
      </c>
      <c r="L50" s="44">
        <v>247.91</v>
      </c>
      <c r="M50" s="44">
        <v>250</v>
      </c>
      <c r="N50" s="149">
        <v>241.8</v>
      </c>
      <c r="O50" s="44">
        <v>250</v>
      </c>
      <c r="P50" s="44">
        <v>234.55</v>
      </c>
      <c r="Q50" s="44">
        <v>200</v>
      </c>
      <c r="R50" s="44"/>
      <c r="S50" s="44">
        <v>200</v>
      </c>
      <c r="T50" s="44"/>
      <c r="U50" s="44"/>
      <c r="V50" s="44"/>
      <c r="W50" s="44"/>
      <c r="X50" s="44"/>
      <c r="Y50" s="117"/>
      <c r="Z50" s="117"/>
    </row>
    <row r="51" spans="1:26">
      <c r="A51" s="362" t="s">
        <v>190</v>
      </c>
      <c r="B51" s="11" t="s">
        <v>477</v>
      </c>
      <c r="C51" s="44"/>
      <c r="D51" s="44"/>
      <c r="E51" s="44"/>
      <c r="F51" s="44"/>
      <c r="G51" s="44"/>
      <c r="H51" s="44"/>
      <c r="I51" s="44"/>
      <c r="J51" s="44"/>
      <c r="K51" s="44"/>
      <c r="L51" s="44"/>
      <c r="M51" s="44"/>
      <c r="N51" s="149"/>
      <c r="O51" s="44"/>
      <c r="P51" s="44"/>
      <c r="Q51" s="44"/>
      <c r="R51" s="44"/>
      <c r="S51" s="44"/>
      <c r="T51" s="44"/>
      <c r="U51" s="44"/>
      <c r="V51" s="44">
        <v>1000</v>
      </c>
      <c r="W51" s="44"/>
      <c r="X51" s="44">
        <v>1000</v>
      </c>
      <c r="Y51" s="117">
        <v>799.72</v>
      </c>
      <c r="Z51" s="44">
        <v>1000</v>
      </c>
    </row>
    <row r="52" spans="1:26">
      <c r="A52" s="362" t="s">
        <v>478</v>
      </c>
      <c r="B52" s="11" t="s">
        <v>479</v>
      </c>
      <c r="C52" s="44"/>
      <c r="D52" s="44"/>
      <c r="E52" s="44"/>
      <c r="F52" s="44"/>
      <c r="G52" s="44"/>
      <c r="H52" s="44"/>
      <c r="I52" s="44"/>
      <c r="J52" s="44"/>
      <c r="K52" s="44"/>
      <c r="L52" s="44"/>
      <c r="M52" s="44"/>
      <c r="N52" s="149"/>
      <c r="O52" s="44"/>
      <c r="P52" s="44"/>
      <c r="Q52" s="44"/>
      <c r="R52" s="44"/>
      <c r="S52" s="44"/>
      <c r="T52" s="44"/>
      <c r="U52" s="44"/>
      <c r="V52" s="514">
        <v>1500</v>
      </c>
      <c r="W52" s="44"/>
      <c r="X52" s="44">
        <v>5430</v>
      </c>
      <c r="Y52" s="117">
        <v>3026.12</v>
      </c>
      <c r="Z52" s="117"/>
    </row>
    <row r="53" spans="1:26">
      <c r="A53" s="49" t="s">
        <v>480</v>
      </c>
      <c r="B53" s="11" t="s">
        <v>110</v>
      </c>
      <c r="C53" s="44"/>
      <c r="D53" s="44"/>
      <c r="E53" s="44"/>
      <c r="F53" s="44"/>
      <c r="G53" s="44"/>
      <c r="H53" s="44"/>
      <c r="I53" s="44"/>
      <c r="J53" s="44"/>
      <c r="K53" s="44"/>
      <c r="L53" s="44"/>
      <c r="M53" s="44"/>
      <c r="N53" s="149">
        <v>521.19000000000005</v>
      </c>
      <c r="O53" s="44"/>
      <c r="P53" s="44">
        <v>1387.44</v>
      </c>
      <c r="Q53" s="44"/>
      <c r="R53" s="44">
        <v>1563.36</v>
      </c>
      <c r="S53" s="44">
        <v>260</v>
      </c>
      <c r="T53" s="44"/>
      <c r="U53" s="44">
        <v>382.23</v>
      </c>
      <c r="V53" s="44">
        <v>1066.6600000000001</v>
      </c>
      <c r="W53" s="44">
        <v>1066.67</v>
      </c>
      <c r="X53" s="44">
        <v>2566.66</v>
      </c>
      <c r="Y53" s="117">
        <v>1340.91</v>
      </c>
      <c r="Z53" s="117"/>
    </row>
    <row r="54" spans="1:26">
      <c r="B54" s="11" t="s">
        <v>21</v>
      </c>
      <c r="C54" s="178">
        <f>SUBTOTAL(109,SCIExpenses[Budget 10/11])</f>
        <v>2400</v>
      </c>
      <c r="D54" s="178">
        <f>SUBTOTAL(109,SCIExpenses[Actual 10/11])</f>
        <v>2850.12</v>
      </c>
      <c r="E54" s="178">
        <f>SUBTOTAL(109,SCIExpenses[Budget 11/12])</f>
        <v>8786</v>
      </c>
      <c r="F54" s="178">
        <f>SUBTOTAL(109,SCIExpenses[Actual 11/12])</f>
        <v>10572.789999999999</v>
      </c>
      <c r="G54" s="178">
        <f>SUBTOTAL(109,SCIExpenses[Budget 12/13])</f>
        <v>4660</v>
      </c>
      <c r="H54" s="178">
        <f>SUBTOTAL(109,SCIExpenses[Actual 12/13])</f>
        <v>4333.8</v>
      </c>
      <c r="I54" s="178">
        <f>SUBTOTAL(109,SCIExpenses[Budget 13/14])</f>
        <v>4753</v>
      </c>
      <c r="J54" s="178">
        <f>SUBTOTAL(109,SCIExpenses[Actual 13/14])</f>
        <v>2869.75</v>
      </c>
      <c r="K54" s="178">
        <f>SUBTOTAL(109,SCIExpenses[Budget 14/15])</f>
        <v>4245</v>
      </c>
      <c r="L54" s="178">
        <f>SUBTOTAL(109,SCIExpenses[Actual 14/15])</f>
        <v>6960.97</v>
      </c>
      <c r="M54" s="178">
        <f>SUBTOTAL(109,SCIExpenses[Budget 15/16])</f>
        <v>3500</v>
      </c>
      <c r="N54" s="145">
        <f>SUBTOTAL(109,SCIExpenses[Actual 15/16])</f>
        <v>3882.85</v>
      </c>
      <c r="O54" s="178">
        <f>SUBTOTAL(109,SCIExpenses[Budget 16/17])</f>
        <v>3500</v>
      </c>
      <c r="P54" s="178">
        <f>SUBTOTAL(109,SCIExpenses[Actual 16/17])</f>
        <v>4492.6499999999996</v>
      </c>
      <c r="Q54" s="178">
        <f>SUBTOTAL(109,SCIExpenses[Budget 17/18])</f>
        <v>4050</v>
      </c>
      <c r="R54" s="21">
        <f>SUBTOTAL(109,SCIExpenses[Actual 17/18])</f>
        <v>4736.6900000000005</v>
      </c>
      <c r="S54" s="21">
        <f>SUBTOTAL(109,SCIExpenses[Budget 18/19])</f>
        <v>3830</v>
      </c>
      <c r="T54" s="21">
        <f>SUBTOTAL(109,SCIExpenses[Budget 19/20])</f>
        <v>2100</v>
      </c>
      <c r="U54" s="21">
        <f>SUM(SCIExpenses[Actual P12 19/20])</f>
        <v>3181.96</v>
      </c>
      <c r="V54" s="21">
        <f>SUBTOTAL(109,SCIExpenses[Budget 20/21])</f>
        <v>6256.66</v>
      </c>
      <c r="W54" s="21">
        <f>SUBTOTAL(109,SCIExpenses[Actual 20/21])</f>
        <v>5631.25</v>
      </c>
      <c r="X54" s="21">
        <f>SUBTOTAL(109,SCIExpenses[Budget 21/22])</f>
        <v>25978.036</v>
      </c>
      <c r="Y54" s="21">
        <f>SUBTOTAL(109,SCIExpenses[Actual 21/22])</f>
        <v>20461.53</v>
      </c>
      <c r="Z54" s="592">
        <f>SUM(SCIExpenses[Budget 22/23])</f>
        <v>15150</v>
      </c>
    </row>
    <row r="55" spans="1:26" ht="13.5" thickBot="1"/>
    <row r="56" spans="1:26" ht="19.5" thickBot="1">
      <c r="B56" s="611" t="s">
        <v>127</v>
      </c>
      <c r="C56" s="27">
        <f>SCIRevenues[[#Totals],[Budget 10/11]]-SCIExpenses[[#Totals],[Budget 10/11]]</f>
        <v>-2400</v>
      </c>
      <c r="D56" s="27">
        <f>SCIRevenues[[#Totals],[Actual 10/11]]-SCIExpenses[[#Totals],[Actual 10/11]]</f>
        <v>-2850.12</v>
      </c>
      <c r="E56" s="27">
        <f>SCIRevenues[[#Totals],[Budget 11/12]]-SCIExpenses[[#Totals],[Budget 11/12]]</f>
        <v>-8786</v>
      </c>
      <c r="F56" s="27">
        <f>SCIRevenues[[#Totals],[Actual 11/12]]-SCIExpenses[[#Totals],[Actual 11/12]]</f>
        <v>-8240.32</v>
      </c>
      <c r="G56" s="27">
        <f>SCIRevenues[[#Totals],[Budget 12/13]]-SCIExpenses[[#Totals],[Budget 12/13]]</f>
        <v>-4660</v>
      </c>
      <c r="H56" s="27">
        <f>SCIRevenues[[#Totals],[Actual 12/13]]-SCIExpenses[[#Totals],[Actual 12/13]]</f>
        <v>-2665.05</v>
      </c>
      <c r="I56" s="27">
        <f>SCIRevenues[[#Totals],[Budget 13/14]]-SCIExpenses[[#Totals],[Budget 13/14]]</f>
        <v>-4753</v>
      </c>
      <c r="J56" s="27">
        <f>SCIRevenues[[#Totals],[Actual 13/14]]-SCIExpenses[[#Totals],[Actual 13/14]]</f>
        <v>24.299999999999727</v>
      </c>
      <c r="K56" s="27">
        <f>SCIRevenues[[#Totals],[Budget 14/15]]-SCIExpenses[[#Totals],[Budget 14/15]]</f>
        <v>-4245</v>
      </c>
      <c r="L56" s="27">
        <f>SCIRevenues[[#Totals],[Actual 14/15]]-SCIExpenses[[#Totals],[Actual 14/15]]</f>
        <v>-2797.12</v>
      </c>
      <c r="M56" s="27">
        <f>SCIRevenues[[#Totals],[Budget 15/16]]-SCIExpenses[[#Totals],[Budget 15/16]]</f>
        <v>-3500</v>
      </c>
      <c r="N56" s="27">
        <f>SCIRevenues[[#Totals],[Actual 15/16]]-SCIExpenses[[#Totals],[Actual 15/16]]</f>
        <v>-3450.35</v>
      </c>
      <c r="O56" s="64">
        <f>SCIRevenues[[#Totals],[Budget 16/17]]-SCIExpenses[[#Totals],[Budget 16/17]]</f>
        <v>-3500</v>
      </c>
      <c r="P56" s="64">
        <f>SCIRevenues[[#Totals],[Actual 16/17]]-SCIExpenses[[#Totals],[Actual 16/17]]</f>
        <v>-920.60999999999967</v>
      </c>
      <c r="Q56" s="64">
        <f>SCIRevenues[[#Totals],[Budget 17/18]]-SCIExpenses[[#Totals],[Budget 17/18]]</f>
        <v>-2550</v>
      </c>
      <c r="R56" s="64">
        <f>SCIRevenues[[#Totals],[Actual 17/18]]-SCIExpenses[[#Totals],[Actual 17/18]]</f>
        <v>-777.04000000000042</v>
      </c>
      <c r="S56" s="64">
        <f>SCIRevenues[[#Totals],[Budget 18/19]]-SCIExpenses[[#Totals],[Budget 18/19]]</f>
        <v>-830</v>
      </c>
      <c r="T56" s="64">
        <f>SCIRevenues[[#Totals],[Budget 19/20]]-SCIExpenses[[#Totals],[Budget 19/20]]</f>
        <v>-1100</v>
      </c>
      <c r="U56" s="64">
        <f>SCIRevenues[[#Totals],[Actual P12 19/20]]-SCIExpenses[[#Totals],[Actual P12 19/20]]</f>
        <v>1983.1099999999997</v>
      </c>
      <c r="V56" s="64">
        <f>SCIRevenues[[#Totals],[Budget 20/21]]-SCIExpenses[[#Totals],[Budget 20/21]]</f>
        <v>-3256.66</v>
      </c>
      <c r="W56" s="64">
        <f>SCIRevenues[[#Totals],[Actual 20/21]]-SCIExpenses[[#Totals],[Actual 20/21]]</f>
        <v>-5631.25</v>
      </c>
      <c r="X56" s="64">
        <f>SCIRevenues[[#Totals],[Budget 21/22]]-SCIExpenses[[#Totals],[Budget 21/22]]</f>
        <v>-24478.036</v>
      </c>
      <c r="Y56" s="64">
        <f>SCIRevenues[[#Totals],[Actual 21/22]]-SCIExpenses[[#Totals],[Actual 21/22]]</f>
        <v>-20461.53</v>
      </c>
      <c r="Z56" s="64">
        <f>SCIRevenues[[#Totals],[Budget 22/23]]-SCIExpenses[[#Totals],[Budget 22/23]]</f>
        <v>-15150</v>
      </c>
    </row>
  </sheetData>
  <customSheetViews>
    <customSheetView guid="{DC934874-AE9C-4DF4-8DA8-4394DABABB42}" showRuler="0">
      <selection activeCell="E32" sqref="E32"/>
      <pageMargins left="0" right="0" top="0" bottom="0" header="0" footer="0"/>
      <pageSetup orientation="portrait"/>
      <headerFooter alignWithMargins="0"/>
    </customSheetView>
    <customSheetView guid="{7FD89B2E-4983-4B8D-ABA2-A07F685A0C6E}" showRuler="0">
      <selection activeCell="F14" sqref="F14"/>
      <pageMargins left="0" right="0" top="0" bottom="0" header="0" footer="0"/>
      <pageSetup orientation="portrait"/>
      <headerFooter alignWithMargins="0"/>
    </customSheetView>
    <customSheetView guid="{84D8AC11-A493-4338-8044-6F4154C29695}" showRuler="0">
      <selection activeCell="G21" sqref="G21"/>
      <pageMargins left="0" right="0" top="0" bottom="0" header="0" footer="0"/>
      <pageSetup orientation="portrait"/>
      <headerFooter alignWithMargins="0"/>
    </customSheetView>
    <customSheetView guid="{BB157E55-0A2E-4D9F-A3BF-E83E5442FC27}" showPageBreaks="1" showRuler="0">
      <selection activeCell="A15" sqref="A15"/>
      <pageMargins left="0" right="0" top="0" bottom="0" header="0" footer="0"/>
      <pageSetup orientation="portrait"/>
      <headerFooter alignWithMargins="0"/>
    </customSheetView>
  </customSheetViews>
  <mergeCells count="1">
    <mergeCell ref="A1:B1"/>
  </mergeCells>
  <phoneticPr fontId="0" type="noConversion"/>
  <pageMargins left="0" right="0" top="0.98425196850393704" bottom="0.98425196850393704" header="0.51181102362204722" footer="0.51181102362204722"/>
  <pageSetup orientation="landscape" blackAndWhite="1" r:id="rId1"/>
  <headerFooter alignWithMargins="0"/>
  <legacyDrawing r:id="rId2"/>
  <tableParts count="2">
    <tablePart r:id="rId3"/>
    <tablePart r:id="rId4"/>
  </tablePar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1"/>
    <pageSetUpPr fitToPage="1"/>
  </sheetPr>
  <dimension ref="A1:Z45"/>
  <sheetViews>
    <sheetView showGridLines="0" zoomScaleNormal="100" workbookViewId="0">
      <selection activeCell="Y33" sqref="Y33"/>
    </sheetView>
  </sheetViews>
  <sheetFormatPr defaultColWidth="11.42578125" defaultRowHeight="12.75"/>
  <cols>
    <col min="1" max="1" width="13.85546875" style="11" customWidth="1"/>
    <col min="2" max="2" width="27.28515625" style="11" customWidth="1"/>
    <col min="3" max="13" width="16.85546875" style="11" hidden="1" customWidth="1"/>
    <col min="14" max="14" width="16" style="132" hidden="1" customWidth="1"/>
    <col min="15" max="15" width="14.42578125" style="11" hidden="1" customWidth="1"/>
    <col min="16" max="16" width="14.7109375" style="11" hidden="1" customWidth="1"/>
    <col min="17" max="17" width="15.42578125" style="11" hidden="1" customWidth="1"/>
    <col min="18" max="18" width="16.7109375" style="11" hidden="1" customWidth="1"/>
    <col min="19" max="19" width="15.42578125" style="11" hidden="1" customWidth="1"/>
    <col min="20" max="20" width="15.28515625" style="11" hidden="1" customWidth="1"/>
    <col min="21" max="21" width="19.140625" style="11" hidden="1" customWidth="1"/>
    <col min="22" max="22" width="18" style="11" hidden="1" customWidth="1"/>
    <col min="23" max="23" width="16.42578125" style="11" hidden="1" customWidth="1"/>
    <col min="24" max="24" width="16.85546875" style="11" bestFit="1" customWidth="1"/>
    <col min="25" max="25" width="17.140625" style="11" customWidth="1"/>
    <col min="26" max="26" width="18.85546875" style="11" customWidth="1"/>
    <col min="27" max="16384" width="11.42578125" style="11"/>
  </cols>
  <sheetData>
    <row r="1" spans="1:26" ht="18">
      <c r="A1" s="758" t="s">
        <v>481</v>
      </c>
      <c r="B1" s="758"/>
      <c r="C1" s="758"/>
    </row>
    <row r="2" spans="1:26">
      <c r="A2" s="28" t="s">
        <v>226</v>
      </c>
    </row>
    <row r="3" spans="1:26">
      <c r="A3" s="763"/>
      <c r="B3" s="763"/>
    </row>
    <row r="5" spans="1:26">
      <c r="A5" s="48" t="s">
        <v>130</v>
      </c>
      <c r="B5" s="11" t="s">
        <v>72</v>
      </c>
      <c r="C5" s="11" t="s">
        <v>73</v>
      </c>
      <c r="D5" s="11" t="s">
        <v>74</v>
      </c>
      <c r="E5" s="11" t="s">
        <v>75</v>
      </c>
      <c r="F5" s="11" t="s">
        <v>76</v>
      </c>
      <c r="G5" s="11" t="s">
        <v>77</v>
      </c>
      <c r="H5" s="11" t="s">
        <v>78</v>
      </c>
      <c r="I5" s="11" t="s">
        <v>5</v>
      </c>
      <c r="J5" s="11" t="s">
        <v>6</v>
      </c>
      <c r="K5" s="11" t="s">
        <v>7</v>
      </c>
      <c r="L5" s="11" t="s">
        <v>8</v>
      </c>
      <c r="M5" s="11" t="s">
        <v>9</v>
      </c>
      <c r="N5" s="119" t="s">
        <v>10</v>
      </c>
      <c r="O5" s="11" t="s">
        <v>11</v>
      </c>
      <c r="P5" s="11" t="s">
        <v>12</v>
      </c>
      <c r="Q5" s="11" t="s">
        <v>13</v>
      </c>
      <c r="R5" s="11" t="s">
        <v>14</v>
      </c>
      <c r="S5" s="11" t="s">
        <v>15</v>
      </c>
      <c r="T5" s="11" t="s">
        <v>16</v>
      </c>
      <c r="U5" s="11" t="s">
        <v>81</v>
      </c>
      <c r="V5" s="11" t="s">
        <v>17</v>
      </c>
      <c r="W5" s="11" t="s">
        <v>40</v>
      </c>
      <c r="X5" s="11" t="s">
        <v>41</v>
      </c>
      <c r="Y5" s="5" t="s">
        <v>42</v>
      </c>
      <c r="Z5" s="5" t="s">
        <v>43</v>
      </c>
    </row>
    <row r="6" spans="1:26">
      <c r="A6" s="48" t="s">
        <v>482</v>
      </c>
      <c r="B6" s="11" t="s">
        <v>295</v>
      </c>
      <c r="C6" s="70">
        <v>0</v>
      </c>
      <c r="D6" s="70">
        <v>0</v>
      </c>
      <c r="E6" s="70">
        <v>0</v>
      </c>
      <c r="F6" s="70">
        <v>0</v>
      </c>
      <c r="G6" s="70">
        <v>0</v>
      </c>
      <c r="H6" s="70">
        <v>0</v>
      </c>
      <c r="I6" s="70">
        <v>0</v>
      </c>
      <c r="J6" s="70">
        <v>0</v>
      </c>
      <c r="K6" s="70">
        <v>0</v>
      </c>
      <c r="L6" s="70">
        <v>0</v>
      </c>
      <c r="M6" s="70">
        <v>0</v>
      </c>
      <c r="N6" s="153"/>
      <c r="O6" s="70">
        <v>0</v>
      </c>
      <c r="P6" s="70"/>
      <c r="Q6" s="70"/>
      <c r="R6" s="70"/>
      <c r="S6" s="70"/>
      <c r="T6" s="70"/>
      <c r="U6" s="70">
        <v>0</v>
      </c>
      <c r="V6" s="70"/>
      <c r="W6" s="70"/>
      <c r="X6" s="70"/>
      <c r="Y6" s="639"/>
      <c r="Z6" s="639"/>
    </row>
    <row r="7" spans="1:26">
      <c r="A7" s="48" t="s">
        <v>483</v>
      </c>
      <c r="B7" s="11" t="s">
        <v>343</v>
      </c>
      <c r="C7" s="70">
        <v>0</v>
      </c>
      <c r="D7" s="70">
        <v>0</v>
      </c>
      <c r="E7" s="70">
        <v>0</v>
      </c>
      <c r="F7" s="70">
        <v>921</v>
      </c>
      <c r="G7" s="70">
        <v>0</v>
      </c>
      <c r="H7" s="70">
        <v>1206.82</v>
      </c>
      <c r="I7" s="70">
        <v>0</v>
      </c>
      <c r="J7" s="70">
        <v>688.27</v>
      </c>
      <c r="K7" s="70">
        <v>0</v>
      </c>
      <c r="L7" s="70">
        <v>2200.1</v>
      </c>
      <c r="M7" s="70">
        <v>0</v>
      </c>
      <c r="N7" s="153">
        <v>1353.8</v>
      </c>
      <c r="O7" s="70">
        <v>0</v>
      </c>
      <c r="P7" s="70">
        <v>1493.85</v>
      </c>
      <c r="Q7" s="70">
        <v>1200</v>
      </c>
      <c r="R7" s="70">
        <v>600</v>
      </c>
      <c r="S7" s="70">
        <v>600</v>
      </c>
      <c r="T7" s="70">
        <v>1000</v>
      </c>
      <c r="U7" s="70">
        <v>610.42999999999995</v>
      </c>
      <c r="V7" s="70">
        <v>500</v>
      </c>
      <c r="W7" s="70"/>
      <c r="X7" s="70">
        <v>500</v>
      </c>
      <c r="Y7" s="639"/>
      <c r="Z7" s="639"/>
    </row>
    <row r="8" spans="1:26">
      <c r="A8" s="48">
        <v>51280</v>
      </c>
      <c r="B8" s="11" t="s">
        <v>484</v>
      </c>
      <c r="C8" s="70"/>
      <c r="D8" s="70"/>
      <c r="E8" s="70"/>
      <c r="F8" s="70"/>
      <c r="G8" s="70"/>
      <c r="H8" s="70"/>
      <c r="I8" s="70"/>
      <c r="J8" s="70"/>
      <c r="K8" s="70"/>
      <c r="L8" s="70"/>
      <c r="M8" s="70"/>
      <c r="N8" s="153"/>
      <c r="O8" s="70"/>
      <c r="P8" s="70"/>
      <c r="Q8" s="70"/>
      <c r="R8" s="70"/>
      <c r="S8" s="70"/>
      <c r="T8" s="70"/>
      <c r="U8" s="70"/>
      <c r="V8" s="70"/>
      <c r="W8" s="70"/>
      <c r="X8" s="70"/>
      <c r="Y8" s="639">
        <v>-75</v>
      </c>
      <c r="Z8" s="639"/>
    </row>
    <row r="9" spans="1:26">
      <c r="A9" s="48" t="s">
        <v>485</v>
      </c>
      <c r="B9" s="11" t="s">
        <v>227</v>
      </c>
      <c r="C9" s="70">
        <v>0</v>
      </c>
      <c r="D9" s="70">
        <v>0</v>
      </c>
      <c r="E9" s="70">
        <v>0</v>
      </c>
      <c r="F9" s="70">
        <v>0</v>
      </c>
      <c r="G9" s="70">
        <v>0</v>
      </c>
      <c r="H9" s="70">
        <v>0</v>
      </c>
      <c r="I9" s="70">
        <v>0</v>
      </c>
      <c r="J9" s="70">
        <v>0</v>
      </c>
      <c r="K9" s="70">
        <v>0</v>
      </c>
      <c r="L9" s="70">
        <v>0</v>
      </c>
      <c r="M9" s="70">
        <v>0</v>
      </c>
      <c r="N9" s="153">
        <v>0</v>
      </c>
      <c r="O9" s="70">
        <v>0</v>
      </c>
      <c r="P9" s="70"/>
      <c r="Q9" s="70"/>
      <c r="R9" s="70"/>
      <c r="S9" s="70"/>
      <c r="T9" s="70"/>
      <c r="U9" s="70">
        <v>0</v>
      </c>
      <c r="V9" s="70"/>
      <c r="W9" s="70"/>
      <c r="X9" s="70"/>
      <c r="Y9" s="639"/>
      <c r="Z9" s="639"/>
    </row>
    <row r="10" spans="1:26">
      <c r="A10" s="48"/>
      <c r="B10" s="11" t="s">
        <v>21</v>
      </c>
      <c r="C10" s="71">
        <f>SUBTOTAL(109,OCCRevenues[Budget 10/11])</f>
        <v>0</v>
      </c>
      <c r="D10" s="71">
        <f>SUBTOTAL(109,OCCRevenues[Actual 10/11])</f>
        <v>0</v>
      </c>
      <c r="E10" s="71">
        <f>SUBTOTAL(109,OCCRevenues[Budget 11/12])</f>
        <v>0</v>
      </c>
      <c r="F10" s="71">
        <f>SUBTOTAL(109,OCCRevenues[Actual 11/12])</f>
        <v>921</v>
      </c>
      <c r="G10" s="71">
        <f>SUBTOTAL(109,OCCRevenues[Budget 12/13])</f>
        <v>0</v>
      </c>
      <c r="H10" s="71">
        <f>SUBTOTAL(109,OCCRevenues[Actual 12/13])</f>
        <v>1206.82</v>
      </c>
      <c r="I10" s="71">
        <f>SUBTOTAL(109,OCCRevenues[Budget 13/14])</f>
        <v>0</v>
      </c>
      <c r="J10" s="71">
        <f>SUBTOTAL(109,OCCRevenues[Actual 13/14])</f>
        <v>688.27</v>
      </c>
      <c r="K10" s="71">
        <f>SUBTOTAL(109,OCCRevenues[Budget 14/15])</f>
        <v>0</v>
      </c>
      <c r="L10" s="71">
        <f>SUBTOTAL(109,OCCRevenues[Actual 14/15])</f>
        <v>2200.1</v>
      </c>
      <c r="M10" s="71">
        <f>SUBTOTAL(109,OCCRevenues[Budget 15/16])</f>
        <v>0</v>
      </c>
      <c r="N10" s="399">
        <f>SUBTOTAL(109,OCCRevenues[Actual 15/16])</f>
        <v>1353.8</v>
      </c>
      <c r="O10" s="71">
        <f>SUBTOTAL(109,OCCRevenues[Budget 16/17])</f>
        <v>0</v>
      </c>
      <c r="P10" s="71">
        <f>SUBTOTAL(109,OCCRevenues[Actual 16/17])</f>
        <v>1493.85</v>
      </c>
      <c r="Q10" s="71">
        <f>SUBTOTAL(109,OCCRevenues[Budget 17/18])</f>
        <v>1200</v>
      </c>
      <c r="R10" s="390">
        <f>SUM(OCCRevenues[Actual 17/18])</f>
        <v>600</v>
      </c>
      <c r="S10" s="390">
        <f>SUBTOTAL(109,OCCRevenues[Budget 18/19])</f>
        <v>600</v>
      </c>
      <c r="T10" s="401">
        <f>SUBTOTAL(109,OCCRevenues[Budget 19/20])</f>
        <v>1000</v>
      </c>
      <c r="U10" s="401">
        <f>SUM(OCCRevenues[Actual P12 19/20])</f>
        <v>610.42999999999995</v>
      </c>
      <c r="V10" s="401">
        <f>SUBTOTAL(109,OCCRevenues[Budget 20/21])</f>
        <v>500</v>
      </c>
      <c r="W10" s="401">
        <f>SUBTOTAL(109,OCCRevenues[Actual 20/21])</f>
        <v>0</v>
      </c>
      <c r="X10" s="401">
        <f>SUBTOTAL(109,OCCRevenues[Budget 21/22])</f>
        <v>500</v>
      </c>
      <c r="Y10" s="401">
        <f>SUBTOTAL(109,OCCRevenues[Actual 21/22])</f>
        <v>-75</v>
      </c>
      <c r="Z10" s="559"/>
    </row>
    <row r="11" spans="1:26">
      <c r="A11" s="48"/>
      <c r="B11" s="287"/>
      <c r="C11" s="71"/>
      <c r="D11" s="71"/>
      <c r="E11" s="71"/>
      <c r="F11" s="71"/>
      <c r="G11" s="71"/>
      <c r="H11" s="71"/>
      <c r="I11" s="71"/>
      <c r="J11" s="71"/>
      <c r="K11" s="71"/>
      <c r="L11" s="71"/>
      <c r="M11" s="71"/>
    </row>
    <row r="12" spans="1:26">
      <c r="A12" s="48"/>
    </row>
    <row r="13" spans="1:26">
      <c r="A13" s="48" t="s">
        <v>130</v>
      </c>
      <c r="B13" s="11" t="s">
        <v>22</v>
      </c>
      <c r="C13" s="11" t="s">
        <v>73</v>
      </c>
      <c r="D13" s="11" t="s">
        <v>74</v>
      </c>
      <c r="E13" s="11" t="s">
        <v>75</v>
      </c>
      <c r="F13" s="11" t="s">
        <v>76</v>
      </c>
      <c r="G13" s="11" t="s">
        <v>77</v>
      </c>
      <c r="H13" s="11" t="s">
        <v>78</v>
      </c>
      <c r="I13" s="11" t="s">
        <v>5</v>
      </c>
      <c r="J13" s="11" t="s">
        <v>6</v>
      </c>
      <c r="K13" s="11" t="s">
        <v>7</v>
      </c>
      <c r="L13" s="11" t="s">
        <v>8</v>
      </c>
      <c r="M13" s="11" t="s">
        <v>9</v>
      </c>
      <c r="N13" s="119" t="s">
        <v>10</v>
      </c>
      <c r="O13" s="11" t="s">
        <v>11</v>
      </c>
      <c r="P13" s="11" t="s">
        <v>12</v>
      </c>
      <c r="Q13" s="11" t="s">
        <v>13</v>
      </c>
      <c r="R13" s="11" t="s">
        <v>14</v>
      </c>
      <c r="S13" s="11" t="s">
        <v>15</v>
      </c>
      <c r="T13" s="11" t="s">
        <v>16</v>
      </c>
      <c r="U13" s="11" t="s">
        <v>81</v>
      </c>
      <c r="V13" s="11" t="s">
        <v>17</v>
      </c>
      <c r="W13" s="11" t="s">
        <v>40</v>
      </c>
      <c r="X13" s="11" t="s">
        <v>41</v>
      </c>
      <c r="Y13" s="5" t="s">
        <v>42</v>
      </c>
      <c r="Z13" s="5" t="s">
        <v>43</v>
      </c>
    </row>
    <row r="14" spans="1:26">
      <c r="A14" s="48" t="s">
        <v>486</v>
      </c>
      <c r="B14" s="11" t="s">
        <v>348</v>
      </c>
      <c r="C14" s="178"/>
      <c r="D14" s="178"/>
      <c r="E14" s="178"/>
      <c r="F14" s="178"/>
      <c r="G14" s="178"/>
      <c r="H14" s="178"/>
      <c r="I14" s="178"/>
      <c r="J14" s="178"/>
      <c r="K14" s="178"/>
      <c r="L14" s="178"/>
      <c r="M14" s="178"/>
      <c r="N14" s="145"/>
      <c r="O14" s="178"/>
      <c r="P14" s="178"/>
      <c r="Q14" s="178"/>
      <c r="R14" s="44"/>
      <c r="S14" s="44"/>
      <c r="T14" s="178"/>
      <c r="U14" s="178">
        <v>0</v>
      </c>
      <c r="V14" s="387">
        <v>7200</v>
      </c>
      <c r="W14" s="44">
        <v>7293.28</v>
      </c>
      <c r="X14" s="44">
        <f>15*15*16*1.13*2*3</f>
        <v>24407.999999999996</v>
      </c>
      <c r="Y14" s="117">
        <v>19451.78</v>
      </c>
      <c r="Z14" s="641">
        <v>19527</v>
      </c>
    </row>
    <row r="15" spans="1:26">
      <c r="A15" s="48"/>
      <c r="B15" s="11" t="s">
        <v>349</v>
      </c>
      <c r="C15" s="178"/>
      <c r="D15" s="178"/>
      <c r="E15" s="178"/>
      <c r="F15" s="178"/>
      <c r="G15" s="178"/>
      <c r="H15" s="178"/>
      <c r="I15" s="178"/>
      <c r="J15" s="178"/>
      <c r="K15" s="178"/>
      <c r="L15" s="178"/>
      <c r="M15" s="178"/>
      <c r="N15" s="145"/>
      <c r="O15" s="178"/>
      <c r="P15" s="178"/>
      <c r="Q15" s="178"/>
      <c r="R15" s="44"/>
      <c r="S15" s="44"/>
      <c r="T15" s="178"/>
      <c r="U15" s="178"/>
      <c r="V15" s="398">
        <v>2000</v>
      </c>
      <c r="W15" s="44"/>
      <c r="X15" s="44"/>
      <c r="Y15" s="117"/>
      <c r="Z15" s="117"/>
    </row>
    <row r="16" spans="1:26">
      <c r="A16" s="48" t="s">
        <v>487</v>
      </c>
      <c r="B16" s="11" t="s">
        <v>488</v>
      </c>
      <c r="C16" s="178">
        <v>0</v>
      </c>
      <c r="D16" s="178">
        <v>0</v>
      </c>
      <c r="E16" s="178">
        <v>0</v>
      </c>
      <c r="F16" s="178">
        <v>0</v>
      </c>
      <c r="G16" s="178">
        <v>0</v>
      </c>
      <c r="H16" s="178">
        <v>0</v>
      </c>
      <c r="I16" s="178">
        <v>0</v>
      </c>
      <c r="J16" s="178"/>
      <c r="K16" s="178">
        <v>0</v>
      </c>
      <c r="L16" s="178">
        <v>0</v>
      </c>
      <c r="M16" s="178">
        <v>0</v>
      </c>
      <c r="N16" s="145">
        <v>0</v>
      </c>
      <c r="O16" s="178">
        <v>0</v>
      </c>
      <c r="P16" s="178"/>
      <c r="Q16" s="178"/>
      <c r="R16" s="178">
        <v>2617.62</v>
      </c>
      <c r="S16" s="178"/>
      <c r="T16" s="178"/>
      <c r="U16" s="178">
        <v>0</v>
      </c>
      <c r="V16" s="178"/>
      <c r="W16" s="44"/>
      <c r="X16" s="44"/>
      <c r="Y16" s="117"/>
      <c r="Z16" s="117"/>
    </row>
    <row r="17" spans="1:26">
      <c r="A17" s="48" t="s">
        <v>489</v>
      </c>
      <c r="B17" s="11" t="s">
        <v>142</v>
      </c>
      <c r="C17" s="178">
        <v>2600</v>
      </c>
      <c r="D17" s="178">
        <v>2697.31</v>
      </c>
      <c r="E17" s="178">
        <v>3839</v>
      </c>
      <c r="F17" s="178">
        <v>2863.15</v>
      </c>
      <c r="G17" s="178">
        <v>1860</v>
      </c>
      <c r="H17" s="178">
        <v>1239.82</v>
      </c>
      <c r="I17" s="178">
        <v>1230</v>
      </c>
      <c r="J17" s="178">
        <v>1183.1300000000001</v>
      </c>
      <c r="K17" s="178">
        <v>2040</v>
      </c>
      <c r="L17" s="178">
        <v>4424.49</v>
      </c>
      <c r="M17" s="178">
        <v>1830</v>
      </c>
      <c r="N17" s="145">
        <v>2223.25</v>
      </c>
      <c r="O17" s="178">
        <v>1620</v>
      </c>
      <c r="P17" s="178">
        <v>1911.83</v>
      </c>
      <c r="Q17" s="178">
        <v>1620</v>
      </c>
      <c r="R17" s="178">
        <v>1298.6099999999999</v>
      </c>
      <c r="S17" s="178">
        <v>1540</v>
      </c>
      <c r="T17" s="178">
        <v>1560</v>
      </c>
      <c r="U17" s="178">
        <v>1367.1</v>
      </c>
      <c r="V17" s="178">
        <v>1300</v>
      </c>
      <c r="W17" s="44">
        <v>2632.3</v>
      </c>
      <c r="X17" s="178">
        <v>1600</v>
      </c>
      <c r="Y17" s="117">
        <v>885.92</v>
      </c>
      <c r="Z17" s="642">
        <v>1600</v>
      </c>
    </row>
    <row r="18" spans="1:26">
      <c r="A18" s="48" t="s">
        <v>490</v>
      </c>
      <c r="B18" s="11" t="s">
        <v>93</v>
      </c>
      <c r="C18" s="178">
        <v>250</v>
      </c>
      <c r="D18" s="178">
        <v>227.56</v>
      </c>
      <c r="E18" s="178">
        <v>250</v>
      </c>
      <c r="F18" s="178">
        <v>227.42</v>
      </c>
      <c r="G18" s="178">
        <v>250</v>
      </c>
      <c r="H18" s="178">
        <v>228.14</v>
      </c>
      <c r="I18" s="178">
        <v>250</v>
      </c>
      <c r="J18" s="178">
        <v>227.58</v>
      </c>
      <c r="K18" s="178">
        <v>250</v>
      </c>
      <c r="L18" s="178">
        <v>189.54</v>
      </c>
      <c r="M18" s="178">
        <v>0</v>
      </c>
      <c r="N18" s="145">
        <v>0</v>
      </c>
      <c r="O18" s="178">
        <v>0</v>
      </c>
      <c r="P18" s="178"/>
      <c r="Q18" s="178"/>
      <c r="R18" s="178"/>
      <c r="S18" s="178"/>
      <c r="T18" s="178">
        <v>315</v>
      </c>
      <c r="U18" s="178">
        <v>259.60000000000002</v>
      </c>
      <c r="V18" s="178">
        <v>315</v>
      </c>
      <c r="W18" s="44">
        <v>239.4</v>
      </c>
      <c r="X18" s="178">
        <v>315</v>
      </c>
      <c r="Y18" s="117">
        <v>239.4</v>
      </c>
      <c r="Z18" s="642">
        <v>315</v>
      </c>
    </row>
    <row r="19" spans="1:26">
      <c r="A19" s="48" t="s">
        <v>491</v>
      </c>
      <c r="B19" s="11" t="s">
        <v>100</v>
      </c>
      <c r="C19" s="178">
        <v>75</v>
      </c>
      <c r="D19" s="178">
        <v>8.5399999999999991</v>
      </c>
      <c r="E19" s="178">
        <v>75</v>
      </c>
      <c r="F19" s="178">
        <v>38.85</v>
      </c>
      <c r="G19" s="178">
        <v>50</v>
      </c>
      <c r="H19" s="178">
        <v>2.85</v>
      </c>
      <c r="I19" s="178">
        <v>25</v>
      </c>
      <c r="J19" s="178">
        <v>55.55</v>
      </c>
      <c r="K19" s="178">
        <v>25</v>
      </c>
      <c r="L19" s="178">
        <v>47.57</v>
      </c>
      <c r="M19" s="178">
        <v>25</v>
      </c>
      <c r="N19" s="145">
        <v>10.25</v>
      </c>
      <c r="O19" s="178">
        <v>25</v>
      </c>
      <c r="P19" s="178"/>
      <c r="Q19" s="178">
        <v>25</v>
      </c>
      <c r="R19" s="178"/>
      <c r="S19" s="178">
        <v>20</v>
      </c>
      <c r="T19" s="178">
        <v>20</v>
      </c>
      <c r="U19" s="178">
        <v>4.41</v>
      </c>
      <c r="V19" s="178">
        <v>20</v>
      </c>
      <c r="W19" s="44"/>
      <c r="X19" s="178">
        <v>20</v>
      </c>
      <c r="Y19" s="117"/>
      <c r="Z19" s="642"/>
    </row>
    <row r="20" spans="1:26">
      <c r="A20" s="48" t="s">
        <v>492</v>
      </c>
      <c r="B20" s="11" t="s">
        <v>300</v>
      </c>
      <c r="C20" s="178">
        <v>150</v>
      </c>
      <c r="D20" s="178">
        <v>80.73</v>
      </c>
      <c r="E20" s="178">
        <v>680</v>
      </c>
      <c r="F20" s="178">
        <v>16.940000000000001</v>
      </c>
      <c r="G20" s="178">
        <v>100</v>
      </c>
      <c r="H20" s="178">
        <v>89.08</v>
      </c>
      <c r="I20" s="178">
        <v>100</v>
      </c>
      <c r="J20" s="178">
        <v>131.16</v>
      </c>
      <c r="K20" s="178">
        <v>150</v>
      </c>
      <c r="L20" s="178">
        <v>116.25</v>
      </c>
      <c r="M20" s="178">
        <v>200</v>
      </c>
      <c r="N20" s="145">
        <v>25.38</v>
      </c>
      <c r="O20" s="178">
        <v>200</v>
      </c>
      <c r="P20" s="178">
        <v>144.63999999999999</v>
      </c>
      <c r="Q20" s="178">
        <v>200</v>
      </c>
      <c r="R20" s="178"/>
      <c r="S20" s="178">
        <v>60</v>
      </c>
      <c r="T20" s="178">
        <v>60</v>
      </c>
      <c r="U20" s="178">
        <v>23.79</v>
      </c>
      <c r="V20" s="178">
        <v>60</v>
      </c>
      <c r="W20" s="44">
        <v>27.61</v>
      </c>
      <c r="X20" s="178">
        <v>60</v>
      </c>
      <c r="Y20" s="117">
        <v>70.84</v>
      </c>
      <c r="Z20" s="642">
        <v>1000</v>
      </c>
    </row>
    <row r="21" spans="1:26">
      <c r="A21" s="48" t="s">
        <v>493</v>
      </c>
      <c r="B21" s="11" t="s">
        <v>494</v>
      </c>
      <c r="C21" s="178">
        <v>100</v>
      </c>
      <c r="D21" s="178">
        <v>10</v>
      </c>
      <c r="E21" s="178">
        <v>200</v>
      </c>
      <c r="F21" s="178">
        <v>174.42</v>
      </c>
      <c r="G21" s="178">
        <v>200</v>
      </c>
      <c r="H21" s="178">
        <v>125.23</v>
      </c>
      <c r="I21" s="178">
        <v>150</v>
      </c>
      <c r="J21" s="178">
        <v>81.489999999999995</v>
      </c>
      <c r="K21" s="178">
        <v>200</v>
      </c>
      <c r="L21" s="178">
        <v>178.92</v>
      </c>
      <c r="M21" s="178">
        <v>200</v>
      </c>
      <c r="N21" s="145">
        <v>218.09</v>
      </c>
      <c r="O21" s="178">
        <v>200</v>
      </c>
      <c r="P21" s="178">
        <v>328.3</v>
      </c>
      <c r="Q21" s="178">
        <v>300</v>
      </c>
      <c r="R21" s="178">
        <v>169.26</v>
      </c>
      <c r="S21" s="178">
        <v>200</v>
      </c>
      <c r="T21" s="178">
        <v>200</v>
      </c>
      <c r="U21" s="178">
        <v>233.22</v>
      </c>
      <c r="V21" s="178">
        <v>200</v>
      </c>
      <c r="W21" s="44"/>
      <c r="X21" s="178">
        <v>200</v>
      </c>
      <c r="Y21" s="117"/>
      <c r="Z21" s="642">
        <v>200</v>
      </c>
    </row>
    <row r="22" spans="1:26" hidden="1">
      <c r="A22" s="48" t="s">
        <v>495</v>
      </c>
      <c r="B22" s="11" t="s">
        <v>336</v>
      </c>
      <c r="C22" s="178">
        <v>450</v>
      </c>
      <c r="D22" s="178">
        <v>1.67</v>
      </c>
      <c r="E22" s="178">
        <v>578</v>
      </c>
      <c r="F22" s="178">
        <v>876.72</v>
      </c>
      <c r="G22" s="178">
        <v>0</v>
      </c>
      <c r="H22" s="178">
        <v>0</v>
      </c>
      <c r="I22" s="178">
        <v>0</v>
      </c>
      <c r="J22" s="178">
        <v>0</v>
      </c>
      <c r="K22" s="178">
        <v>0</v>
      </c>
      <c r="L22" s="178">
        <v>0</v>
      </c>
      <c r="M22" s="178">
        <v>0</v>
      </c>
      <c r="N22" s="145">
        <v>0</v>
      </c>
      <c r="O22" s="178">
        <v>0</v>
      </c>
      <c r="P22" s="178"/>
      <c r="Q22" s="178"/>
      <c r="R22" s="178"/>
      <c r="S22" s="178"/>
      <c r="T22" s="178"/>
      <c r="U22" s="178"/>
      <c r="V22" s="178"/>
      <c r="W22" s="44"/>
      <c r="X22" s="178"/>
      <c r="Y22" s="117"/>
      <c r="Z22" s="117"/>
    </row>
    <row r="23" spans="1:26">
      <c r="A23" s="48" t="s">
        <v>496</v>
      </c>
      <c r="B23" s="11" t="s">
        <v>291</v>
      </c>
      <c r="C23" s="178">
        <v>0</v>
      </c>
      <c r="D23" s="178">
        <v>0</v>
      </c>
      <c r="E23" s="178">
        <v>0</v>
      </c>
      <c r="F23" s="178">
        <v>0</v>
      </c>
      <c r="G23" s="178">
        <v>0</v>
      </c>
      <c r="H23" s="178">
        <v>0</v>
      </c>
      <c r="I23" s="178">
        <v>0</v>
      </c>
      <c r="J23" s="178">
        <v>233.71</v>
      </c>
      <c r="K23" s="178">
        <v>0</v>
      </c>
      <c r="L23" s="178">
        <v>0</v>
      </c>
      <c r="M23" s="178">
        <v>0</v>
      </c>
      <c r="N23" s="145">
        <v>0</v>
      </c>
      <c r="O23" s="178">
        <v>0</v>
      </c>
      <c r="P23" s="178"/>
      <c r="Q23" s="178"/>
      <c r="R23" s="178">
        <v>47.44</v>
      </c>
      <c r="S23" s="178"/>
      <c r="T23" s="178"/>
      <c r="U23" s="178">
        <v>0</v>
      </c>
      <c r="V23" s="178"/>
      <c r="W23" s="44"/>
      <c r="X23" s="178"/>
      <c r="Y23" s="117"/>
      <c r="Z23" s="117"/>
    </row>
    <row r="24" spans="1:26">
      <c r="A24" s="48" t="s">
        <v>497</v>
      </c>
      <c r="B24" s="72" t="s">
        <v>110</v>
      </c>
      <c r="C24" s="178">
        <v>541.27</v>
      </c>
      <c r="D24" s="178">
        <v>541.32000000000005</v>
      </c>
      <c r="E24" s="178">
        <v>840</v>
      </c>
      <c r="F24" s="178">
        <v>541.19000000000005</v>
      </c>
      <c r="G24" s="178">
        <f>22.55*12</f>
        <v>270.60000000000002</v>
      </c>
      <c r="H24" s="178">
        <v>270.60000000000002</v>
      </c>
      <c r="I24" s="178">
        <v>0</v>
      </c>
      <c r="J24" s="178">
        <v>0.04</v>
      </c>
      <c r="K24" s="178">
        <v>0</v>
      </c>
      <c r="L24" s="178">
        <v>0</v>
      </c>
      <c r="M24" s="178">
        <v>0</v>
      </c>
      <c r="N24" s="145">
        <v>0</v>
      </c>
      <c r="O24" s="178">
        <v>0</v>
      </c>
      <c r="P24" s="178"/>
      <c r="Q24" s="178"/>
      <c r="R24" s="178"/>
      <c r="S24" s="178"/>
      <c r="T24" s="178"/>
      <c r="U24" s="178">
        <v>0</v>
      </c>
      <c r="V24" s="178"/>
      <c r="W24" s="44"/>
      <c r="X24" s="178"/>
      <c r="Y24" s="117"/>
      <c r="Z24" s="117"/>
    </row>
    <row r="25" spans="1:26">
      <c r="A25" s="48" t="s">
        <v>498</v>
      </c>
      <c r="B25" s="11" t="s">
        <v>302</v>
      </c>
      <c r="C25" s="178">
        <v>5500</v>
      </c>
      <c r="D25" s="178">
        <v>7037.87</v>
      </c>
      <c r="E25" s="178">
        <v>3877</v>
      </c>
      <c r="F25" s="178">
        <v>1133.6099999999999</v>
      </c>
      <c r="G25" s="178">
        <v>1500</v>
      </c>
      <c r="H25" s="178">
        <v>0</v>
      </c>
      <c r="I25" s="178">
        <v>4100</v>
      </c>
      <c r="J25" s="178">
        <v>4063.18</v>
      </c>
      <c r="K25" s="178">
        <v>4500</v>
      </c>
      <c r="L25" s="178">
        <v>4332.42</v>
      </c>
      <c r="M25" s="178">
        <v>4500</v>
      </c>
      <c r="N25" s="145">
        <v>3922.94</v>
      </c>
      <c r="O25" s="178">
        <v>4000</v>
      </c>
      <c r="P25" s="178">
        <v>3368.55</v>
      </c>
      <c r="Q25" s="178">
        <v>4100</v>
      </c>
      <c r="R25" s="178">
        <v>2515.48</v>
      </c>
      <c r="S25" s="178">
        <v>4100</v>
      </c>
      <c r="T25" s="178">
        <v>4100</v>
      </c>
      <c r="U25" s="178">
        <v>3482.43</v>
      </c>
      <c r="V25" s="178">
        <v>500</v>
      </c>
      <c r="W25" s="44"/>
      <c r="X25" s="178">
        <v>500</v>
      </c>
      <c r="Y25" s="117"/>
      <c r="Z25" s="642">
        <v>2000</v>
      </c>
    </row>
    <row r="26" spans="1:26">
      <c r="A26" s="48" t="s">
        <v>499</v>
      </c>
      <c r="B26" s="11" t="s">
        <v>500</v>
      </c>
      <c r="C26" s="178">
        <v>2200</v>
      </c>
      <c r="D26" s="178">
        <v>1455.7</v>
      </c>
      <c r="E26" s="178">
        <v>4540</v>
      </c>
      <c r="F26" s="178"/>
      <c r="G26" s="178">
        <v>2000</v>
      </c>
      <c r="H26" s="178">
        <v>3199.86</v>
      </c>
      <c r="I26" s="178">
        <v>2000</v>
      </c>
      <c r="J26" s="178">
        <v>2540.52</v>
      </c>
      <c r="K26" s="178">
        <v>3000</v>
      </c>
      <c r="L26" s="178">
        <v>3516.05</v>
      </c>
      <c r="M26" s="178">
        <v>2500</v>
      </c>
      <c r="N26" s="145">
        <v>3287.05</v>
      </c>
      <c r="O26" s="178">
        <v>2500</v>
      </c>
      <c r="P26" s="178">
        <v>3400.09</v>
      </c>
      <c r="Q26" s="178">
        <v>2500</v>
      </c>
      <c r="R26" s="178"/>
      <c r="S26" s="178">
        <v>2500</v>
      </c>
      <c r="T26" s="178">
        <v>2300</v>
      </c>
      <c r="U26" s="178">
        <v>1737.96</v>
      </c>
      <c r="V26" s="178">
        <v>2000</v>
      </c>
      <c r="W26" s="44">
        <v>199.75</v>
      </c>
      <c r="X26" s="178">
        <v>2000</v>
      </c>
      <c r="Y26" s="117">
        <v>314.69</v>
      </c>
      <c r="Z26" s="642">
        <v>2500</v>
      </c>
    </row>
    <row r="27" spans="1:26">
      <c r="A27" s="48" t="s">
        <v>501</v>
      </c>
      <c r="B27" s="11" t="s">
        <v>114</v>
      </c>
      <c r="C27" s="178">
        <v>3000</v>
      </c>
      <c r="D27" s="178">
        <v>2285.8200000000002</v>
      </c>
      <c r="E27" s="178">
        <v>3222</v>
      </c>
      <c r="F27" s="178">
        <v>3672.64</v>
      </c>
      <c r="G27" s="178">
        <v>1000</v>
      </c>
      <c r="H27" s="178">
        <v>1164.98</v>
      </c>
      <c r="I27" s="178"/>
      <c r="J27" s="178">
        <v>673.1</v>
      </c>
      <c r="K27" s="178">
        <v>0</v>
      </c>
      <c r="L27" s="178">
        <v>1728.72</v>
      </c>
      <c r="M27" s="178">
        <v>1200</v>
      </c>
      <c r="N27" s="145">
        <v>2753.21</v>
      </c>
      <c r="O27" s="178">
        <v>1200</v>
      </c>
      <c r="P27" s="178">
        <v>693.44</v>
      </c>
      <c r="Q27" s="178">
        <v>1200</v>
      </c>
      <c r="R27" s="178">
        <v>258.35000000000002</v>
      </c>
      <c r="S27" s="178">
        <v>750</v>
      </c>
      <c r="T27" s="178">
        <v>600</v>
      </c>
      <c r="U27" s="178">
        <v>196.2</v>
      </c>
      <c r="V27" s="178">
        <v>500</v>
      </c>
      <c r="W27" s="44"/>
      <c r="X27" s="178">
        <v>500</v>
      </c>
      <c r="Y27" s="117">
        <v>450.1</v>
      </c>
      <c r="Z27" s="642">
        <v>600</v>
      </c>
    </row>
    <row r="28" spans="1:26" hidden="1">
      <c r="B28" s="72" t="s">
        <v>502</v>
      </c>
      <c r="C28" s="178">
        <v>500</v>
      </c>
      <c r="D28" s="178">
        <v>0</v>
      </c>
      <c r="E28" s="178">
        <v>0</v>
      </c>
      <c r="F28" s="178">
        <v>0</v>
      </c>
      <c r="G28" s="178">
        <v>0</v>
      </c>
      <c r="H28" s="178">
        <v>0</v>
      </c>
      <c r="I28" s="178">
        <v>0</v>
      </c>
      <c r="J28" s="178">
        <v>0</v>
      </c>
      <c r="K28" s="178">
        <v>0</v>
      </c>
      <c r="L28" s="178">
        <v>0</v>
      </c>
      <c r="M28" s="178">
        <v>0</v>
      </c>
      <c r="N28" s="145">
        <v>0</v>
      </c>
      <c r="O28" s="178">
        <v>0</v>
      </c>
      <c r="P28" s="178"/>
      <c r="Q28" s="178"/>
      <c r="R28" s="178"/>
      <c r="S28" s="178"/>
      <c r="T28" s="178"/>
      <c r="U28" s="178"/>
      <c r="V28" s="178"/>
      <c r="W28" s="44"/>
      <c r="X28" s="44"/>
      <c r="Y28" s="117"/>
      <c r="Z28" s="117"/>
    </row>
    <row r="29" spans="1:26" hidden="1">
      <c r="B29" s="11" t="s">
        <v>503</v>
      </c>
      <c r="C29" s="178">
        <v>0</v>
      </c>
      <c r="D29" s="178">
        <v>0</v>
      </c>
      <c r="E29" s="178">
        <v>0</v>
      </c>
      <c r="F29" s="178">
        <v>0</v>
      </c>
      <c r="G29" s="178">
        <v>0</v>
      </c>
      <c r="H29" s="178">
        <v>0</v>
      </c>
      <c r="I29" s="178">
        <v>400</v>
      </c>
      <c r="J29" s="178">
        <v>0</v>
      </c>
      <c r="K29" s="178">
        <v>0</v>
      </c>
      <c r="L29" s="178">
        <v>0</v>
      </c>
      <c r="M29" s="178">
        <v>0</v>
      </c>
      <c r="N29" s="145">
        <v>0</v>
      </c>
      <c r="O29" s="178">
        <v>0</v>
      </c>
      <c r="P29" s="178"/>
      <c r="Q29" s="178"/>
      <c r="R29" s="178"/>
      <c r="S29" s="178"/>
      <c r="T29" s="178"/>
      <c r="U29" s="178"/>
      <c r="V29" s="178"/>
      <c r="W29" s="44"/>
      <c r="X29" s="44"/>
      <c r="Y29" s="117"/>
      <c r="Z29" s="117"/>
    </row>
    <row r="30" spans="1:26" hidden="1">
      <c r="B30" s="11" t="s">
        <v>504</v>
      </c>
      <c r="C30" s="178">
        <v>0</v>
      </c>
      <c r="D30" s="178">
        <v>0</v>
      </c>
      <c r="E30" s="178">
        <v>0</v>
      </c>
      <c r="F30" s="178">
        <v>0</v>
      </c>
      <c r="G30" s="178">
        <v>0</v>
      </c>
      <c r="H30" s="178">
        <v>0</v>
      </c>
      <c r="I30" s="178">
        <v>400</v>
      </c>
      <c r="J30" s="178">
        <v>0</v>
      </c>
      <c r="K30" s="178">
        <v>0</v>
      </c>
      <c r="L30" s="178">
        <v>0</v>
      </c>
      <c r="M30" s="178">
        <v>0</v>
      </c>
      <c r="N30" s="145">
        <v>0</v>
      </c>
      <c r="O30" s="178">
        <v>0</v>
      </c>
      <c r="P30" s="178"/>
      <c r="Q30" s="178"/>
      <c r="R30" s="178"/>
      <c r="S30" s="178"/>
      <c r="T30" s="178"/>
      <c r="U30" s="178"/>
      <c r="V30" s="178"/>
      <c r="W30" s="44"/>
      <c r="X30" s="44"/>
      <c r="Y30" s="117"/>
      <c r="Z30" s="117"/>
    </row>
    <row r="31" spans="1:26" hidden="1">
      <c r="B31" s="11" t="s">
        <v>505</v>
      </c>
      <c r="C31" s="178">
        <v>0</v>
      </c>
      <c r="D31" s="178">
        <v>0</v>
      </c>
      <c r="E31" s="178">
        <v>0</v>
      </c>
      <c r="F31" s="178">
        <v>0</v>
      </c>
      <c r="G31" s="178">
        <v>0</v>
      </c>
      <c r="H31" s="178">
        <v>0</v>
      </c>
      <c r="I31" s="178">
        <v>400</v>
      </c>
      <c r="J31" s="178">
        <v>0</v>
      </c>
      <c r="K31" s="178">
        <v>0</v>
      </c>
      <c r="L31" s="178">
        <v>0</v>
      </c>
      <c r="M31" s="178">
        <v>0</v>
      </c>
      <c r="N31" s="145">
        <v>0</v>
      </c>
      <c r="O31" s="178">
        <v>0</v>
      </c>
      <c r="P31" s="178"/>
      <c r="Q31" s="178"/>
      <c r="R31" s="178"/>
      <c r="S31" s="178"/>
      <c r="T31" s="178"/>
      <c r="U31" s="178"/>
      <c r="V31" s="178"/>
      <c r="W31" s="44"/>
      <c r="X31" s="44"/>
      <c r="Y31" s="117"/>
      <c r="Z31" s="117"/>
    </row>
    <row r="32" spans="1:26" hidden="1">
      <c r="B32" s="11" t="s">
        <v>243</v>
      </c>
      <c r="C32" s="178">
        <v>0</v>
      </c>
      <c r="D32" s="178">
        <v>0</v>
      </c>
      <c r="E32" s="178">
        <v>0</v>
      </c>
      <c r="F32" s="178">
        <v>0</v>
      </c>
      <c r="G32" s="178">
        <v>0</v>
      </c>
      <c r="H32" s="178">
        <v>0</v>
      </c>
      <c r="I32" s="178">
        <v>0</v>
      </c>
      <c r="J32" s="178">
        <v>0</v>
      </c>
      <c r="K32" s="178">
        <v>300</v>
      </c>
      <c r="L32" s="178">
        <v>0</v>
      </c>
      <c r="M32" s="178">
        <v>300</v>
      </c>
      <c r="N32" s="145">
        <v>0</v>
      </c>
      <c r="O32" s="178">
        <v>0</v>
      </c>
      <c r="P32" s="178"/>
      <c r="Q32" s="178"/>
      <c r="R32" s="178"/>
      <c r="S32" s="178"/>
      <c r="T32" s="178"/>
      <c r="U32" s="178"/>
      <c r="V32" s="178"/>
      <c r="W32" s="44"/>
      <c r="X32" s="44"/>
      <c r="Y32" s="117"/>
      <c r="Z32" s="117"/>
    </row>
    <row r="33" spans="2:26">
      <c r="B33" s="11" t="s">
        <v>21</v>
      </c>
      <c r="C33" s="178">
        <f>SUBTOTAL(109,OCCExpenses[Budget 10/11])</f>
        <v>14416.27</v>
      </c>
      <c r="D33" s="178">
        <f>SUBTOTAL(109,OCCExpenses[Actual 10/11])</f>
        <v>14344.85</v>
      </c>
      <c r="E33" s="178">
        <f>SUBTOTAL(109,OCCExpenses[Budget 11/12])</f>
        <v>17523</v>
      </c>
      <c r="F33" s="178">
        <f>SUBTOTAL(109,OCCExpenses[Actual 11/12])</f>
        <v>8668.2199999999993</v>
      </c>
      <c r="G33" s="178">
        <f>SUBTOTAL(109,OCCExpenses[Budget 12/13])</f>
        <v>7230.6</v>
      </c>
      <c r="H33" s="178">
        <f>SUBTOTAL(109,OCCExpenses[Actual 12/13])</f>
        <v>6320.5599999999995</v>
      </c>
      <c r="I33" s="178">
        <f>SUBTOTAL(109,OCCExpenses[Budget 13/14])</f>
        <v>7855</v>
      </c>
      <c r="J33" s="178">
        <f>SUBTOTAL(109,OCCExpenses[Actual 13/14])</f>
        <v>9189.4600000000009</v>
      </c>
      <c r="K33" s="178">
        <f>SUBTOTAL(109,OCCExpenses[Budget 14/15])</f>
        <v>10165</v>
      </c>
      <c r="L33" s="178">
        <f>SUBTOTAL(109,OCCExpenses[Actual 14/15])</f>
        <v>14533.959999999997</v>
      </c>
      <c r="M33" s="178">
        <f>SUBTOTAL(109,OCCExpenses[Budget 15/16])</f>
        <v>10455</v>
      </c>
      <c r="N33" s="145">
        <f>SUBTOTAL(109,OCCExpenses[Actual 15/16])</f>
        <v>12440.169999999998</v>
      </c>
      <c r="O33" s="178">
        <f>SUBTOTAL(109,OCCExpenses[Budget 16/17])</f>
        <v>9745</v>
      </c>
      <c r="P33" s="178">
        <f>SUBTOTAL(109,OCCExpenses[Actual 16/17])</f>
        <v>9846.85</v>
      </c>
      <c r="Q33" s="178">
        <f>SUBTOTAL(109,OCCExpenses[Budget 17/18])</f>
        <v>9945</v>
      </c>
      <c r="R33" s="21">
        <f>SUM(OCCExpenses[Actual 17/18])</f>
        <v>6906.76</v>
      </c>
      <c r="S33" s="21">
        <f>SUM(OCCExpenses[Budget 18/19])</f>
        <v>9170</v>
      </c>
      <c r="T33" s="178">
        <f>SUM(T16:T27)</f>
        <v>9155</v>
      </c>
      <c r="U33" s="178">
        <f>SUM(U14:U27)</f>
        <v>7304.7099999999991</v>
      </c>
      <c r="V33" s="178">
        <f>SUM(V14:V27)</f>
        <v>14095</v>
      </c>
      <c r="W33" s="178">
        <f>SUM(W14:W27)</f>
        <v>10392.34</v>
      </c>
      <c r="X33" s="178">
        <f>SUM(X14:X27)</f>
        <v>29602.999999999996</v>
      </c>
      <c r="Y33" s="21">
        <f>SUBTOTAL(109,OCCExpenses[Actual 21/22])</f>
        <v>21412.729999999996</v>
      </c>
      <c r="Z33" s="178">
        <f>SUM(Z14:Z27)</f>
        <v>27742</v>
      </c>
    </row>
    <row r="34" spans="2:26" ht="13.5" thickBot="1"/>
    <row r="35" spans="2:26" ht="19.5" thickBot="1">
      <c r="B35" s="611" t="s">
        <v>127</v>
      </c>
      <c r="C35" s="27">
        <f>OCCRevenues[[#Totals],[Budget 10/11]]-OCCExpenses[[#Totals],[Budget 10/11]]</f>
        <v>-14416.27</v>
      </c>
      <c r="D35" s="27">
        <f>OCCRevenues[[#Totals],[Actual 10/11]]-OCCExpenses[[#Totals],[Actual 10/11]]</f>
        <v>-14344.85</v>
      </c>
      <c r="E35" s="27">
        <f>OCCRevenues[[#Totals],[Budget 11/12]]-OCCExpenses[[#Totals],[Budget 11/12]]</f>
        <v>-17523</v>
      </c>
      <c r="F35" s="27">
        <f>OCCRevenues[[#Totals],[Actual 11/12]]-OCCExpenses[[#Totals],[Actual 11/12]]</f>
        <v>-7747.2199999999993</v>
      </c>
      <c r="G35" s="27">
        <f>OCCRevenues[[#Totals],[Budget 12/13]]-OCCExpenses[[#Totals],[Budget 12/13]]</f>
        <v>-7230.6</v>
      </c>
      <c r="H35" s="27">
        <f>OCCRevenues[[#Totals],[Actual 12/13]]-OCCExpenses[[#Totals],[Actual 12/13]]</f>
        <v>-5113.74</v>
      </c>
      <c r="I35" s="27">
        <f>OCCRevenues[[#Totals],[Budget 13/14]]-OCCExpenses[[#Totals],[Budget 13/14]]</f>
        <v>-7855</v>
      </c>
      <c r="J35" s="27">
        <f>OCCRevenues[[#Totals],[Actual 13/14]]-OCCExpenses[[#Totals],[Actual 13/14]]</f>
        <v>-8501.19</v>
      </c>
      <c r="K35" s="27">
        <f>OCCRevenues[[#Totals],[Budget 14/15]]-OCCExpenses[[#Totals],[Budget 14/15]]</f>
        <v>-10165</v>
      </c>
      <c r="L35" s="27">
        <f>OCCRevenues[[#Totals],[Actual 14/15]]-OCCExpenses[[#Totals],[Actual 14/15]]</f>
        <v>-12333.859999999997</v>
      </c>
      <c r="M35" s="27">
        <f>OCCRevenues[[#Totals],[Budget 15/16]]-OCCExpenses[[#Totals],[Budget 15/16]]</f>
        <v>-10455</v>
      </c>
      <c r="N35" s="27">
        <f>OCCRevenues[[#Totals],[Actual 15/16]]-OCCExpenses[[#Totals],[Actual 15/16]]</f>
        <v>-11086.369999999999</v>
      </c>
      <c r="O35" s="64">
        <f>OCCRevenues[[#Totals],[Budget 16/17]]-OCCExpenses[[#Totals],[Budget 16/17]]</f>
        <v>-9745</v>
      </c>
      <c r="P35" s="64">
        <f>OCCRevenues[[#Totals],[Actual 16/17]]-OCCExpenses[[#Totals],[Actual 16/17]]</f>
        <v>-8353</v>
      </c>
      <c r="Q35" s="316">
        <f>OCCRevenues[[#Totals],[Budget 17/18]]-OCCExpenses[[#Totals],[Budget 17/18]]</f>
        <v>-8745</v>
      </c>
      <c r="R35" s="316">
        <f>OCCRevenues[[#Totals],[Actual 17/18]]-OCCExpenses[[#Totals],[Actual 17/18]]</f>
        <v>-6306.76</v>
      </c>
      <c r="S35" s="316">
        <f>OCCRevenues[[#Totals],[Budget 18/19]]-OCCExpenses[[#Totals],[Budget 18/19]]</f>
        <v>-8570</v>
      </c>
      <c r="T35" s="316">
        <f>OCCRevenues[[#Totals],[Budget 19/20]]-OCCExpenses[[#Totals],[Budget 19/20]]</f>
        <v>-8155</v>
      </c>
      <c r="U35" s="316">
        <f>OCCRevenues[[#Totals],[Actual P12 19/20]]-OCCExpenses[[#Totals],[Actual P12 19/20]]</f>
        <v>-6694.2799999999988</v>
      </c>
      <c r="V35" s="316">
        <f>OCCRevenues[[#Totals],[Budget 20/21]]-OCCExpenses[[#Totals],[Budget 20/21]]</f>
        <v>-13595</v>
      </c>
      <c r="W35" s="316">
        <f>OCCRevenues[[#Totals],[Actual 20/21]]-OCCExpenses[[#Totals],[Actual 20/21]]</f>
        <v>-10392.34</v>
      </c>
      <c r="X35" s="316">
        <f>OCCRevenues[[#Totals],[Budget 21/22]]-OCCExpenses[[#Totals],[Budget 21/22]]</f>
        <v>-29102.999999999996</v>
      </c>
      <c r="Y35" s="316">
        <f>OCCRevenues[[#Totals],[Actual 21/22]]-OCCExpenses[[#Totals],[Actual 21/22]]</f>
        <v>-21487.729999999996</v>
      </c>
      <c r="Z35" s="316">
        <f>OCCRevenues[[#Totals],[Budget 22/23]]-OCCExpenses[[#Totals],[Budget 22/23]]</f>
        <v>-27742</v>
      </c>
    </row>
    <row r="37" spans="2:26">
      <c r="I37"/>
      <c r="J37"/>
      <c r="K37"/>
      <c r="L37"/>
      <c r="M37"/>
      <c r="N37" s="138"/>
      <c r="O37"/>
      <c r="P37"/>
      <c r="Q37"/>
    </row>
    <row r="38" spans="2:26">
      <c r="I38"/>
      <c r="J38"/>
      <c r="K38"/>
      <c r="L38"/>
      <c r="M38"/>
      <c r="N38" s="138"/>
      <c r="O38"/>
      <c r="P38"/>
      <c r="Q38"/>
    </row>
    <row r="39" spans="2:26">
      <c r="I39"/>
      <c r="J39"/>
      <c r="K39"/>
      <c r="L39"/>
      <c r="M39"/>
      <c r="N39" s="138"/>
      <c r="O39"/>
      <c r="P39"/>
      <c r="Q39"/>
    </row>
    <row r="40" spans="2:26">
      <c r="I40"/>
      <c r="J40"/>
      <c r="K40"/>
      <c r="L40"/>
      <c r="M40"/>
      <c r="N40" s="138"/>
      <c r="O40"/>
      <c r="P40"/>
      <c r="Q40"/>
    </row>
    <row r="41" spans="2:26">
      <c r="I41"/>
      <c r="J41"/>
      <c r="K41"/>
      <c r="L41"/>
      <c r="M41"/>
      <c r="N41" s="138"/>
      <c r="O41"/>
      <c r="P41"/>
      <c r="Q41"/>
    </row>
    <row r="42" spans="2:26">
      <c r="I42"/>
      <c r="J42"/>
      <c r="K42"/>
      <c r="L42"/>
      <c r="M42"/>
      <c r="N42" s="138"/>
      <c r="O42"/>
      <c r="P42"/>
      <c r="Q42"/>
    </row>
    <row r="43" spans="2:26">
      <c r="I43"/>
      <c r="J43"/>
      <c r="K43"/>
      <c r="L43"/>
      <c r="M43"/>
      <c r="N43" s="138"/>
      <c r="O43"/>
      <c r="P43"/>
      <c r="Q43"/>
    </row>
    <row r="44" spans="2:26">
      <c r="I44"/>
      <c r="J44"/>
      <c r="K44"/>
      <c r="L44"/>
      <c r="M44"/>
      <c r="N44" s="138"/>
      <c r="O44"/>
      <c r="P44"/>
      <c r="Q44"/>
    </row>
    <row r="45" spans="2:26">
      <c r="I45"/>
      <c r="J45"/>
      <c r="K45"/>
      <c r="L45"/>
      <c r="M45"/>
      <c r="N45" s="138"/>
      <c r="O45"/>
      <c r="P45"/>
      <c r="Q45"/>
    </row>
  </sheetData>
  <customSheetViews>
    <customSheetView guid="{DC934874-AE9C-4DF4-8DA8-4394DABABB42}" showRuler="0">
      <selection activeCell="G20" sqref="G20"/>
      <pageMargins left="0" right="0" top="0" bottom="0" header="0" footer="0"/>
      <pageSetup orientation="portrait"/>
      <headerFooter alignWithMargins="0"/>
    </customSheetView>
    <customSheetView guid="{7FD89B2E-4983-4B8D-ABA2-A07F685A0C6E}" showRuler="0">
      <selection activeCell="F18" sqref="F18"/>
      <pageMargins left="0" right="0" top="0" bottom="0" header="0" footer="0"/>
      <pageSetup orientation="portrait"/>
      <headerFooter alignWithMargins="0"/>
    </customSheetView>
    <customSheetView guid="{84D8AC11-A493-4338-8044-6F4154C29695}" showRuler="0">
      <selection activeCell="G17" sqref="G17"/>
      <pageMargins left="0" right="0" top="0" bottom="0" header="0" footer="0"/>
      <pageSetup orientation="portrait"/>
      <headerFooter alignWithMargins="0"/>
    </customSheetView>
    <customSheetView guid="{BB157E55-0A2E-4D9F-A3BF-E83E5442FC27}" showPageBreaks="1" showRuler="0">
      <selection activeCell="A13" sqref="A13"/>
      <pageMargins left="0" right="0" top="0" bottom="0" header="0" footer="0"/>
      <pageSetup orientation="portrait"/>
      <headerFooter alignWithMargins="0"/>
    </customSheetView>
  </customSheetViews>
  <mergeCells count="2">
    <mergeCell ref="A3:B3"/>
    <mergeCell ref="A1:C1"/>
  </mergeCells>
  <phoneticPr fontId="0" type="noConversion"/>
  <pageMargins left="0" right="0" top="0.98425196850393704" bottom="0.98425196850393704" header="0.51181102362204722" footer="0.51181102362204722"/>
  <pageSetup orientation="landscape" blackAndWhite="1" r:id="rId1"/>
  <headerFooter alignWithMargins="0"/>
  <legacy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pageSetUpPr fitToPage="1"/>
  </sheetPr>
  <dimension ref="A1:P49"/>
  <sheetViews>
    <sheetView showGridLines="0" zoomScaleNormal="100" workbookViewId="0">
      <selection activeCell="S29" sqref="S29"/>
    </sheetView>
  </sheetViews>
  <sheetFormatPr defaultColWidth="11.42578125" defaultRowHeight="12.75"/>
  <cols>
    <col min="1" max="1" width="50" customWidth="1"/>
    <col min="2" max="2" width="18.28515625" hidden="1" customWidth="1"/>
    <col min="3" max="3" width="18.85546875" hidden="1" customWidth="1"/>
    <col min="4" max="4" width="18.28515625" hidden="1" customWidth="1"/>
    <col min="5" max="5" width="18.140625" hidden="1" customWidth="1"/>
    <col min="6" max="7" width="20.7109375" hidden="1" customWidth="1"/>
    <col min="8" max="8" width="17.28515625" hidden="1" customWidth="1"/>
    <col min="9" max="9" width="23.28515625" hidden="1" customWidth="1"/>
    <col min="10" max="10" width="16.42578125" bestFit="1" customWidth="1"/>
    <col min="11" max="11" width="21.7109375" customWidth="1"/>
    <col min="12" max="12" width="20.28515625" customWidth="1"/>
    <col min="13" max="13" width="14.140625" bestFit="1" customWidth="1"/>
    <col min="14" max="14" width="15.140625" customWidth="1"/>
    <col min="15" max="15" width="13.85546875" customWidth="1"/>
  </cols>
  <sheetData>
    <row r="1" spans="1:16" ht="18">
      <c r="A1" s="552" t="s">
        <v>2</v>
      </c>
    </row>
    <row r="2" spans="1:16">
      <c r="A2" s="28" t="s">
        <v>3</v>
      </c>
    </row>
    <row r="3" spans="1:16">
      <c r="A3" s="19" t="s">
        <v>4</v>
      </c>
      <c r="B3" s="19" t="s">
        <v>5</v>
      </c>
      <c r="C3" s="19" t="s">
        <v>6</v>
      </c>
      <c r="D3" s="19" t="s">
        <v>7</v>
      </c>
      <c r="E3" s="19" t="s">
        <v>8</v>
      </c>
      <c r="F3" s="19" t="s">
        <v>9</v>
      </c>
      <c r="G3" s="19" t="s">
        <v>10</v>
      </c>
      <c r="H3" s="19" t="s">
        <v>11</v>
      </c>
      <c r="I3" t="s">
        <v>12</v>
      </c>
      <c r="J3" t="s">
        <v>13</v>
      </c>
      <c r="K3" s="19" t="s">
        <v>14</v>
      </c>
      <c r="L3" s="19" t="s">
        <v>15</v>
      </c>
      <c r="M3" s="19" t="s">
        <v>16</v>
      </c>
      <c r="N3" s="19" t="s">
        <v>17</v>
      </c>
      <c r="P3" s="19"/>
    </row>
    <row r="4" spans="1:16">
      <c r="A4" t="s">
        <v>18</v>
      </c>
      <c r="B4" s="39">
        <v>2515000</v>
      </c>
      <c r="C4" s="39">
        <v>2482517.77</v>
      </c>
      <c r="D4" s="39">
        <v>2522221.5</v>
      </c>
      <c r="E4" s="39">
        <v>2540216.2799999998</v>
      </c>
      <c r="F4" s="39">
        <v>2825510.49</v>
      </c>
      <c r="G4" s="39">
        <v>2801783.38</v>
      </c>
      <c r="H4" s="39">
        <v>3008787.04</v>
      </c>
      <c r="I4" s="4">
        <v>3032507.85</v>
      </c>
      <c r="J4" s="39">
        <v>3074928.57</v>
      </c>
      <c r="K4" s="39">
        <v>3245853.09</v>
      </c>
      <c r="L4" s="39">
        <v>3419622.61</v>
      </c>
      <c r="M4" s="4"/>
      <c r="N4" s="4"/>
      <c r="P4" s="292"/>
    </row>
    <row r="5" spans="1:16">
      <c r="A5" t="s">
        <v>19</v>
      </c>
      <c r="B5" s="39">
        <v>0</v>
      </c>
      <c r="C5" s="39">
        <v>5401.6</v>
      </c>
      <c r="D5" s="39">
        <v>0</v>
      </c>
      <c r="E5" s="39">
        <v>113736.6</v>
      </c>
      <c r="F5" s="39">
        <v>0</v>
      </c>
      <c r="G5" s="39"/>
      <c r="H5" s="39">
        <v>0</v>
      </c>
      <c r="I5" s="4">
        <v>8152.46</v>
      </c>
      <c r="J5" s="4"/>
      <c r="K5" s="4"/>
      <c r="L5" s="4"/>
      <c r="M5" s="4"/>
      <c r="N5" s="4"/>
      <c r="P5" s="292"/>
    </row>
    <row r="6" spans="1:16">
      <c r="A6" t="s">
        <v>20</v>
      </c>
      <c r="B6" s="39">
        <v>12000</v>
      </c>
      <c r="C6" s="39">
        <v>21393</v>
      </c>
      <c r="D6" s="39">
        <v>10000</v>
      </c>
      <c r="E6" s="39">
        <v>10032.82</v>
      </c>
      <c r="F6" s="39">
        <v>13000</v>
      </c>
      <c r="G6" s="39">
        <v>10220.51</v>
      </c>
      <c r="H6" s="39">
        <v>9600</v>
      </c>
      <c r="I6" s="4">
        <v>12622.44</v>
      </c>
      <c r="J6" s="4">
        <v>12000</v>
      </c>
      <c r="K6" s="4"/>
      <c r="L6" s="4">
        <f>0.8*24000</f>
        <v>19200</v>
      </c>
      <c r="M6" s="4"/>
      <c r="N6" s="4"/>
      <c r="P6" s="292"/>
    </row>
    <row r="7" spans="1:16">
      <c r="A7" s="302" t="s">
        <v>21</v>
      </c>
      <c r="B7" s="21">
        <f>SUBTOTAL(109,SummaryRevenues[Budget 13/14])</f>
        <v>2527000</v>
      </c>
      <c r="C7" s="21">
        <f>SUBTOTAL(109,SummaryRevenues[Actual 13/14])</f>
        <v>2509312.37</v>
      </c>
      <c r="D7" s="21">
        <f>SUBTOTAL(109,SummaryRevenues[Budget 14/15])</f>
        <v>2532221.5</v>
      </c>
      <c r="E7" s="21">
        <f>SUBTOTAL(109,SummaryRevenues[Actual 14/15])</f>
        <v>2663985.6999999997</v>
      </c>
      <c r="F7" s="21">
        <f>SUBTOTAL(109,SummaryRevenues[Budget 15/16])</f>
        <v>2838510.49</v>
      </c>
      <c r="G7" s="21">
        <f>SUBTOTAL(109,SummaryRevenues[Actual 15/16])</f>
        <v>2812003.8899999997</v>
      </c>
      <c r="H7" s="21">
        <f>SUBTOTAL(109,SummaryRevenues[Budget 16/17])</f>
        <v>3018387.04</v>
      </c>
      <c r="I7" s="21">
        <f>SUBTOTAL(109,SummaryRevenues[Actual 16/17])</f>
        <v>3053282.75</v>
      </c>
      <c r="J7" s="21">
        <f>SUBTOTAL(109,SummaryRevenues[Budget 17/18])</f>
        <v>3086928.57</v>
      </c>
      <c r="K7" s="21">
        <f>SUBTOTAL(109,SummaryRevenues[Actual 17/18])</f>
        <v>3245853.09</v>
      </c>
      <c r="L7" s="21">
        <f>L4+L6</f>
        <v>3438822.61</v>
      </c>
      <c r="M7" s="18"/>
      <c r="N7" s="18"/>
      <c r="P7" s="292"/>
    </row>
    <row r="8" spans="1:16">
      <c r="K8" s="171"/>
    </row>
    <row r="9" spans="1:16">
      <c r="K9" s="171"/>
    </row>
    <row r="10" spans="1:16">
      <c r="A10" t="s">
        <v>22</v>
      </c>
      <c r="B10" s="602" t="s">
        <v>5</v>
      </c>
      <c r="C10" s="491" t="s">
        <v>6</v>
      </c>
      <c r="D10" s="491" t="s">
        <v>7</v>
      </c>
      <c r="E10" s="491" t="s">
        <v>8</v>
      </c>
      <c r="F10" s="491" t="s">
        <v>9</v>
      </c>
      <c r="G10" s="491" t="s">
        <v>10</v>
      </c>
      <c r="H10" s="491" t="s">
        <v>11</v>
      </c>
      <c r="I10" s="130" t="s">
        <v>12</v>
      </c>
      <c r="J10" s="130" t="s">
        <v>13</v>
      </c>
      <c r="K10" s="130" t="s">
        <v>14</v>
      </c>
      <c r="L10" s="130" t="s">
        <v>15</v>
      </c>
      <c r="M10" s="130" t="s">
        <v>16</v>
      </c>
      <c r="N10" s="130" t="s">
        <v>17</v>
      </c>
      <c r="P10" s="19"/>
    </row>
    <row r="11" spans="1:16">
      <c r="A11" s="19" t="s">
        <v>23</v>
      </c>
      <c r="B11" s="39">
        <v>-135818.81</v>
      </c>
      <c r="C11" s="39">
        <v>-127592.44</v>
      </c>
      <c r="D11" s="39">
        <v>-124316.2</v>
      </c>
      <c r="E11" s="39">
        <v>-104258.97</v>
      </c>
      <c r="F11" s="39">
        <v>-117634.33</v>
      </c>
      <c r="G11" s="39">
        <f>PresidentSummary[[#Totals],[Actual 15/16]]</f>
        <v>-71514.200000000012</v>
      </c>
      <c r="H11" s="39">
        <f>PresidentSummary[[#Totals],[Budget 16/17]]</f>
        <v>-88711.010760000005</v>
      </c>
      <c r="I11" s="39">
        <f>PresidentSummary[[#Totals],[Actual 16/17]]</f>
        <v>-80631.200000000012</v>
      </c>
      <c r="J11" s="39">
        <f>PresidentSummary[[#Totals],[Budget 17/18]]</f>
        <v>-84957.180000000008</v>
      </c>
      <c r="K11" s="39">
        <f>PresidentSummary[[#Totals],[Actual 17/18]]</f>
        <v>-65147.51</v>
      </c>
      <c r="L11" s="39">
        <f>PresidentSummary[[#Totals],[Budget 18/19]]</f>
        <v>87868.680000000008</v>
      </c>
      <c r="M11" s="39">
        <f>PresidentSummary[[#Totals],[Budget 19/20]]</f>
        <v>105901.45880000001</v>
      </c>
      <c r="N11" s="39"/>
      <c r="P11" s="292"/>
    </row>
    <row r="12" spans="1:16">
      <c r="A12" s="19" t="s">
        <v>24</v>
      </c>
      <c r="B12" s="39">
        <v>-101621.2</v>
      </c>
      <c r="C12" s="39">
        <v>-58250.92</v>
      </c>
      <c r="D12" s="39">
        <v>-73494.64</v>
      </c>
      <c r="E12" s="39">
        <v>-57431.28</v>
      </c>
      <c r="F12" s="39">
        <v>-72572.12</v>
      </c>
      <c r="G12" s="39">
        <f>VPOFSummary[[#Totals],[Actual 15/16]]</f>
        <v>-66945.820000000007</v>
      </c>
      <c r="H12" s="39">
        <f>VPOFSummary[[#Totals],[Budget 16/17]]</f>
        <v>-86863.880759999985</v>
      </c>
      <c r="I12" s="39">
        <f>VPOFSummary[[#Totals],[Actual 16/17]]</f>
        <v>-68890.060000000027</v>
      </c>
      <c r="J12" s="39">
        <f>VPOFSummary[[#Totals],[Budget 17/18]]</f>
        <v>-81931.180000000008</v>
      </c>
      <c r="K12" s="39">
        <f>VPOFSummary[[#Totals],[Actual 17/18]]</f>
        <v>-70385.280000000013</v>
      </c>
      <c r="L12" s="39" t="e">
        <f>VPOFSummary[[#Totals],[Budget 18/19]]</f>
        <v>#REF!</v>
      </c>
      <c r="M12" s="39">
        <f>VPOFSummary[[#Totals],[Budget 19/20]]</f>
        <v>5057657.71</v>
      </c>
      <c r="N12" s="39"/>
      <c r="P12" s="292"/>
    </row>
    <row r="13" spans="1:16">
      <c r="A13" s="19" t="s">
        <v>25</v>
      </c>
      <c r="B13" s="39">
        <v>-332486.98</v>
      </c>
      <c r="C13" s="39">
        <v>-300993.96000000002</v>
      </c>
      <c r="D13" s="39">
        <v>-345301.15</v>
      </c>
      <c r="E13" s="39">
        <v>-344178.77</v>
      </c>
      <c r="F13" s="39">
        <v>-338737.67</v>
      </c>
      <c r="G13" s="39">
        <f>VPINSummary[[#Totals],[Actual 15/16]]</f>
        <v>-270717.19</v>
      </c>
      <c r="H13" s="39">
        <f>VPINSummary[[#Totals],[Budget 16/17]]</f>
        <v>-316779.75</v>
      </c>
      <c r="I13" s="39">
        <f>VPINSummary[[#Totals],[Actual 16/17]]</f>
        <v>-289291.14999999997</v>
      </c>
      <c r="J13" s="39">
        <f>VPINSummary[[#Totals],[Budget 17/18]]</f>
        <v>-347898.98000000004</v>
      </c>
      <c r="K13" s="39">
        <f>VPINSummary[[#Totals],[Actual 17/18]]</f>
        <v>-295604.72000000009</v>
      </c>
      <c r="L13" s="39">
        <f>VPINSummary[[#Totals],[Budget 18/19]]</f>
        <v>372908.38</v>
      </c>
      <c r="M13" s="39">
        <f>VPINSummary[[#Totals],[Budget 19/20]]</f>
        <v>352439.23880000005</v>
      </c>
      <c r="N13" s="39"/>
      <c r="P13" s="292"/>
    </row>
    <row r="14" spans="1:16">
      <c r="A14" s="19" t="s">
        <v>26</v>
      </c>
      <c r="B14" s="39">
        <v>-228650.62</v>
      </c>
      <c r="C14" s="39">
        <v>-190990.96</v>
      </c>
      <c r="D14" s="39">
        <v>-203862.65</v>
      </c>
      <c r="E14" s="39">
        <v>-177959.73</v>
      </c>
      <c r="F14" s="39">
        <v>-202469.1</v>
      </c>
      <c r="G14" s="39">
        <f>VPEDSummary[[#Totals],[Actual 15/16]]</f>
        <v>-162924.07</v>
      </c>
      <c r="H14" s="39">
        <f>VPEDSummary[[#Totals],[Budget 16/17]]</f>
        <v>-192612.35076</v>
      </c>
      <c r="I14" s="39">
        <f>VPEDSummary[[#Totals],[Actual 16/17]]</f>
        <v>-186088.66000000003</v>
      </c>
      <c r="J14" s="39">
        <f>VPEDSummary[[#Totals],[Budget 17/18]]</f>
        <v>-194354.46000000002</v>
      </c>
      <c r="K14" s="39">
        <f>VPEDSummary[[#Totals],[Actual 17/18]]</f>
        <v>-195531.4</v>
      </c>
      <c r="L14" s="39">
        <f>VPEDSummary[[#Totals],[Budget 18/19]]</f>
        <v>197388.68</v>
      </c>
      <c r="M14" s="39">
        <f>VPEDSummary[[#Totals],[Budget 19/20]]</f>
        <v>207184.75029999996</v>
      </c>
      <c r="N14" s="39"/>
      <c r="P14" s="292"/>
    </row>
    <row r="15" spans="1:16">
      <c r="A15" s="19"/>
      <c r="B15" s="39">
        <v>-166872</v>
      </c>
      <c r="C15" s="39">
        <v>-154144.04</v>
      </c>
      <c r="D15" s="39">
        <v>-164307.64000000001</v>
      </c>
      <c r="E15" s="39">
        <v>-152207.42000000001</v>
      </c>
      <c r="F15" s="39">
        <v>-204063.83</v>
      </c>
      <c r="G15" s="39">
        <v>-158322.19</v>
      </c>
      <c r="H15" s="1">
        <v>-210678.15</v>
      </c>
      <c r="I15" s="39">
        <v>-199812.86</v>
      </c>
      <c r="J15" s="1">
        <v>-191309</v>
      </c>
      <c r="K15" s="1">
        <v>-173285.46000000002</v>
      </c>
      <c r="L15" s="39" t="e">
        <f>'Summary of Comms &amp; SR'!#REF!</f>
        <v>#REF!</v>
      </c>
      <c r="M15" s="39">
        <f>'Summary of Comms &amp; SR'!B30</f>
        <v>-181787.21</v>
      </c>
      <c r="N15" s="39"/>
      <c r="P15" s="292"/>
    </row>
    <row r="16" spans="1:16">
      <c r="B16" s="39">
        <v>-705392.6</v>
      </c>
      <c r="C16" s="39">
        <v>-675371.86</v>
      </c>
      <c r="D16" s="39">
        <v>-644946.85</v>
      </c>
      <c r="E16" s="39">
        <v>-631678.35</v>
      </c>
      <c r="F16" s="39">
        <v>-716851.31</v>
      </c>
      <c r="G16" s="39">
        <v>-771471.38</v>
      </c>
      <c r="H16" s="1">
        <v>-762568.3</v>
      </c>
      <c r="I16" s="39">
        <v>-696045.84</v>
      </c>
      <c r="J16" s="1">
        <f ca="1">SummaryExpenses[[#This Row],[Budget 17/18]]</f>
        <v>-618499.65</v>
      </c>
      <c r="K16" s="4">
        <v>-788739.5760000007</v>
      </c>
      <c r="L16" s="1">
        <v>-809654.14577777765</v>
      </c>
      <c r="M16" s="1"/>
      <c r="N16" s="39"/>
      <c r="P16" s="292"/>
    </row>
    <row r="17" spans="1:16">
      <c r="B17" s="39">
        <v>-600000</v>
      </c>
      <c r="C17" s="39">
        <v>-666899.05000000005</v>
      </c>
      <c r="D17" s="39">
        <v>-754000</v>
      </c>
      <c r="E17" s="39">
        <v>-814959.93</v>
      </c>
      <c r="F17" s="39">
        <v>-868473.48</v>
      </c>
      <c r="G17" s="39">
        <v>-917313.32</v>
      </c>
      <c r="H17" s="1">
        <v>-1038000</v>
      </c>
      <c r="I17" s="4">
        <v>-1145353.96</v>
      </c>
      <c r="J17" s="4">
        <v>-1272800</v>
      </c>
      <c r="K17" s="4">
        <v>-1374090</v>
      </c>
      <c r="L17" s="4">
        <v>-1442000</v>
      </c>
      <c r="M17" s="4"/>
      <c r="N17" s="4"/>
      <c r="P17" s="292"/>
    </row>
    <row r="18" spans="1:16">
      <c r="A18" s="19"/>
      <c r="B18" s="39">
        <v>0</v>
      </c>
      <c r="C18" s="39">
        <v>0</v>
      </c>
      <c r="D18" s="39">
        <v>0</v>
      </c>
      <c r="E18" s="39">
        <v>0</v>
      </c>
      <c r="F18" s="39">
        <v>-5000</v>
      </c>
      <c r="G18" s="39"/>
      <c r="H18" s="1">
        <v>-28010.65</v>
      </c>
      <c r="I18" s="4">
        <v>-26893.81</v>
      </c>
      <c r="J18" s="4">
        <v>-13000</v>
      </c>
      <c r="K18" s="4">
        <v>0</v>
      </c>
      <c r="L18" s="4">
        <v>0</v>
      </c>
      <c r="M18" s="4"/>
      <c r="N18" s="4"/>
      <c r="P18" s="292"/>
    </row>
    <row r="19" spans="1:16">
      <c r="B19" s="39">
        <v>-258675</v>
      </c>
      <c r="C19" s="39">
        <v>-284358.55</v>
      </c>
      <c r="D19" s="39">
        <v>-265815.7</v>
      </c>
      <c r="E19" s="39">
        <v>-279560.59999999998</v>
      </c>
      <c r="F19" s="39">
        <v>-306551.12</v>
      </c>
      <c r="G19" s="39">
        <v>-305418.96999999997</v>
      </c>
      <c r="H19" s="1">
        <v>-258116</v>
      </c>
      <c r="I19" s="39">
        <v>-257476.83</v>
      </c>
      <c r="J19" s="39">
        <v>-268438.03999999998</v>
      </c>
      <c r="K19" s="39">
        <v>-257758.76</v>
      </c>
      <c r="L19" s="39">
        <v>-277300.157328</v>
      </c>
      <c r="M19" s="39" t="e">
        <f>#REF!</f>
        <v>#REF!</v>
      </c>
      <c r="N19" s="39"/>
      <c r="P19" s="292"/>
    </row>
    <row r="20" spans="1:16">
      <c r="A20" s="302" t="s">
        <v>21</v>
      </c>
      <c r="B20" s="21">
        <f>SUBTOTAL(109,SummaryExpenses[Budget 13/14])</f>
        <v>-2529517.21</v>
      </c>
      <c r="C20" s="21">
        <f>SUBTOTAL(109,SummaryExpenses[Actual 13/14])</f>
        <v>-2458601.7800000003</v>
      </c>
      <c r="D20" s="21">
        <f>SUBTOTAL(109,SummaryExpenses[Budget 14/15])</f>
        <v>-2576044.83</v>
      </c>
      <c r="E20" s="21">
        <f>SUBTOTAL(109,SummaryExpenses[Actual 14/15])</f>
        <v>-2562235.0500000003</v>
      </c>
      <c r="F20" s="21">
        <f>SUBTOTAL(109,SummaryExpenses[Budget 15/16])</f>
        <v>-2832352.96</v>
      </c>
      <c r="G20" s="21">
        <f>SUBTOTAL(109,SummaryExpenses[Actual 15/16])</f>
        <v>-2724627.1399999997</v>
      </c>
      <c r="H20" s="21">
        <f>SUBTOTAL(109,SummaryExpenses[Budget 16/17])</f>
        <v>-2982340.09228</v>
      </c>
      <c r="I20" s="21">
        <f>SUBTOTAL(109,SummaryExpenses[Actual 16/17])</f>
        <v>-2950484.37</v>
      </c>
      <c r="J20" s="21">
        <f ca="1">SUBTOTAL(109,SummaryExpenses[Budget 17/18])</f>
        <v>-722099.8</v>
      </c>
      <c r="K20" s="21">
        <f>SUBTOTAL(109,SummaryExpenses[Actual 17/18])</f>
        <v>-3220542.7060000012</v>
      </c>
      <c r="L20" s="21" t="e">
        <f>SUBTOTAL(109,SummaryExpenses[Budget 18/19])</f>
        <v>#REF!</v>
      </c>
      <c r="M20" s="21" t="e">
        <f>SUBTOTAL(109,SummaryExpenses[Budget 19/20])</f>
        <v>#REF!</v>
      </c>
      <c r="N20" s="21"/>
      <c r="P20" s="292"/>
    </row>
    <row r="21" spans="1:16" ht="13.5" thickBot="1">
      <c r="H21" s="25"/>
      <c r="I21" s="25"/>
      <c r="J21" s="25"/>
      <c r="K21" s="25"/>
      <c r="L21" s="25"/>
      <c r="M21" s="25"/>
      <c r="N21" s="25"/>
    </row>
    <row r="22" spans="1:16" ht="16.5" thickBot="1">
      <c r="A22" s="603" t="s">
        <v>27</v>
      </c>
      <c r="B22" s="118">
        <f>SummaryRevenues[[#Totals],[Budget 13/14]]+SummaryExpenses[[#Totals],[Budget 13/14]]</f>
        <v>-2517.2099999999627</v>
      </c>
      <c r="C22" s="118">
        <f>SummaryRevenues[[#Totals],[Actual 13/14]]+SummaryExpenses[[#Totals],[Actual 13/14]]</f>
        <v>50710.589999999851</v>
      </c>
      <c r="D22" s="118">
        <f>SummaryRevenues[[#Totals],[Budget 14/15]]+SummaryExpenses[[#Totals],[Budget 14/15]]</f>
        <v>-43823.330000000075</v>
      </c>
      <c r="E22" s="118">
        <f>SummaryRevenues[[#Totals],[Actual 14/15]]+SummaryExpenses[[#Totals],[Actual 14/15]]</f>
        <v>101750.64999999944</v>
      </c>
      <c r="F22" s="118">
        <f>SummaryRevenues[[#Totals],[Budget 15/16]]+SummaryExpenses[[#Totals],[Budget 15/16]]</f>
        <v>6157.5300000002608</v>
      </c>
      <c r="G22" s="118">
        <f>SummaryRevenues[[#Totals],[Actual 15/16]]+SummaryExpenses[[#Totals],[Actual 15/16]]</f>
        <v>87376.75</v>
      </c>
      <c r="H22" s="118">
        <f>SummaryRevenues[[#Totals],[Budget 16/17]]+SummaryExpenses[[#Totals],[Budget 16/17]]</f>
        <v>36046.947720000055</v>
      </c>
      <c r="I22" s="118">
        <f>SummaryRevenues[[#Totals],[Actual 16/17]]+SummaryExpenses[[#Totals],[Actual 16/17]]</f>
        <v>102798.37999999989</v>
      </c>
      <c r="J22" s="118">
        <f ca="1">SummaryRevenues[[#Totals],[Budget 17/18]]+SummaryExpenses[[#Totals],[Budget 17/18]]</f>
        <v>2364828.7699999996</v>
      </c>
      <c r="K22" s="118">
        <f>SummaryRevenues[[#Totals],[Actual 17/18]]+SummaryExpenses[[#Totals],[Actual 17/18]]</f>
        <v>25310.383999998681</v>
      </c>
      <c r="L22" s="118" t="e">
        <f>SummaryRevenues[[#Totals],[Budget 18/19]]+SummaryExpenses[[#Totals],[Budget 18/19]]</f>
        <v>#REF!</v>
      </c>
      <c r="M22" s="118"/>
      <c r="N22" s="118"/>
    </row>
    <row r="23" spans="1:16">
      <c r="H23" s="25"/>
      <c r="I23" s="25"/>
      <c r="J23" s="25"/>
      <c r="K23" s="25"/>
      <c r="L23" s="25"/>
      <c r="M23" s="25"/>
      <c r="N23" s="25"/>
    </row>
    <row r="24" spans="1:16">
      <c r="H24" s="25"/>
      <c r="I24" s="25"/>
      <c r="J24" s="25"/>
      <c r="K24" s="25"/>
      <c r="L24" s="25"/>
      <c r="M24" s="25"/>
      <c r="N24" s="25"/>
    </row>
    <row r="25" spans="1:16">
      <c r="A25" s="19" t="s">
        <v>22</v>
      </c>
      <c r="B25" s="602" t="s">
        <v>5</v>
      </c>
      <c r="C25" s="491" t="s">
        <v>6</v>
      </c>
      <c r="D25" s="491" t="s">
        <v>7</v>
      </c>
      <c r="E25" s="491" t="s">
        <v>8</v>
      </c>
      <c r="F25" s="491" t="s">
        <v>9</v>
      </c>
      <c r="G25" s="491" t="s">
        <v>10</v>
      </c>
      <c r="H25" s="491" t="s">
        <v>11</v>
      </c>
      <c r="I25" s="130" t="s">
        <v>12</v>
      </c>
      <c r="J25" s="130" t="s">
        <v>13</v>
      </c>
      <c r="K25" s="130" t="s">
        <v>14</v>
      </c>
      <c r="L25" s="130" t="s">
        <v>15</v>
      </c>
      <c r="M25" s="130" t="s">
        <v>16</v>
      </c>
      <c r="N25" s="130" t="s">
        <v>17</v>
      </c>
      <c r="P25" s="19"/>
    </row>
    <row r="26" spans="1:16">
      <c r="A26" s="19" t="s">
        <v>28</v>
      </c>
      <c r="B26" s="39"/>
      <c r="C26" s="39"/>
      <c r="D26" s="39"/>
      <c r="E26" s="39"/>
      <c r="F26" s="39"/>
      <c r="G26" s="39"/>
      <c r="H26" s="39"/>
      <c r="I26" s="39"/>
      <c r="J26" s="39"/>
      <c r="K26" s="39">
        <v>-251579.14</v>
      </c>
      <c r="L26" s="18"/>
      <c r="M26" s="39"/>
      <c r="N26" s="18"/>
    </row>
    <row r="27" spans="1:16">
      <c r="A27" t="s">
        <v>29</v>
      </c>
      <c r="B27" s="39">
        <v>-135818.81</v>
      </c>
      <c r="C27" s="39">
        <v>-127592.44</v>
      </c>
      <c r="D27" s="39">
        <v>-124316.2</v>
      </c>
      <c r="E27" s="39">
        <v>-104258.97</v>
      </c>
      <c r="F27" s="39">
        <v>-117634.33</v>
      </c>
      <c r="G27" s="39">
        <f>PresidentSummary[[#Totals],[Actual 15/16]]</f>
        <v>-71514.200000000012</v>
      </c>
      <c r="H27" s="39">
        <f>PresidentSummary[[#Totals],[Budget 16/17]]</f>
        <v>-88711.010760000005</v>
      </c>
      <c r="I27" s="39">
        <f>PresidentSummary[[#Totals],[Actual 16/17]]</f>
        <v>-80631.200000000012</v>
      </c>
      <c r="J27" s="39"/>
      <c r="K27" s="39">
        <v>5897.61</v>
      </c>
      <c r="L27" s="39"/>
      <c r="M27" s="39"/>
      <c r="N27" s="39"/>
    </row>
    <row r="28" spans="1:16">
      <c r="A28" t="s">
        <v>30</v>
      </c>
      <c r="B28" s="39">
        <v>-101621.2</v>
      </c>
      <c r="C28" s="39">
        <v>-58250.92</v>
      </c>
      <c r="D28" s="39">
        <v>-73494.64</v>
      </c>
      <c r="E28" s="39">
        <v>-57431.28</v>
      </c>
      <c r="F28" s="39">
        <v>-72572.12</v>
      </c>
      <c r="G28" s="39">
        <f>VPOFSummary[[#Totals],[Actual 15/16]]</f>
        <v>-66945.820000000007</v>
      </c>
      <c r="H28" s="39">
        <f>VPOFSummary[[#Totals],[Budget 16/17]]</f>
        <v>-86863.880759999985</v>
      </c>
      <c r="I28" s="39">
        <f>VPOFSummary[[#Totals],[Actual 16/17]]</f>
        <v>-68890.060000000027</v>
      </c>
      <c r="J28" s="39"/>
      <c r="K28" s="39">
        <v>-14358.34</v>
      </c>
      <c r="L28" s="39"/>
      <c r="M28" s="39"/>
      <c r="N28" s="39"/>
    </row>
    <row r="29" spans="1:16">
      <c r="A29" t="s">
        <v>31</v>
      </c>
      <c r="B29" s="39">
        <v>-332486.98</v>
      </c>
      <c r="C29" s="39">
        <v>-300993.96000000002</v>
      </c>
      <c r="D29" s="39">
        <v>-345301.15</v>
      </c>
      <c r="E29" s="39">
        <v>-344178.77</v>
      </c>
      <c r="F29" s="39">
        <v>-338737.67</v>
      </c>
      <c r="G29" s="39">
        <f>VPINSummary[[#Totals],[Actual 15/16]]</f>
        <v>-270717.19</v>
      </c>
      <c r="H29" s="39">
        <f>VPINSummary[[#Totals],[Budget 16/17]]</f>
        <v>-316779.75</v>
      </c>
      <c r="I29" s="39">
        <f>VPINSummary[[#Totals],[Actual 16/17]]</f>
        <v>-289291.14999999997</v>
      </c>
      <c r="J29" s="39"/>
      <c r="K29" s="39">
        <v>149588.62</v>
      </c>
      <c r="L29" s="39"/>
      <c r="M29" s="39"/>
      <c r="N29" s="39"/>
    </row>
    <row r="30" spans="1:16">
      <c r="A30" t="s">
        <v>32</v>
      </c>
      <c r="B30" s="39">
        <v>-228650.62</v>
      </c>
      <c r="C30" s="39">
        <v>-190990.96</v>
      </c>
      <c r="D30" s="39">
        <v>-203862.65</v>
      </c>
      <c r="E30" s="39">
        <v>-177959.73</v>
      </c>
      <c r="F30" s="39">
        <v>-202469.1</v>
      </c>
      <c r="G30" s="39">
        <f>VPEDSummary[[#Totals],[Actual 15/16]]</f>
        <v>-162924.07</v>
      </c>
      <c r="H30" s="39">
        <f>VPEDSummary[[#Totals],[Budget 16/17]]</f>
        <v>-192612.35076</v>
      </c>
      <c r="I30" s="39">
        <f>VPEDSummary[[#Totals],[Actual 16/17]]</f>
        <v>-186088.66000000003</v>
      </c>
      <c r="J30" s="39"/>
      <c r="K30" s="39">
        <v>69166.3</v>
      </c>
      <c r="L30" s="39"/>
      <c r="M30" s="39"/>
      <c r="N30" s="39"/>
    </row>
    <row r="31" spans="1:16">
      <c r="A31" t="s">
        <v>33</v>
      </c>
      <c r="B31" s="39">
        <v>-166872</v>
      </c>
      <c r="C31" s="39">
        <v>-154144.04</v>
      </c>
      <c r="D31" s="39">
        <v>-164307.64000000001</v>
      </c>
      <c r="E31" s="39">
        <v>-152207.42000000001</v>
      </c>
      <c r="F31" s="39">
        <v>-204063.83</v>
      </c>
      <c r="G31" s="39">
        <v>-158322.19</v>
      </c>
      <c r="H31" s="1">
        <v>-210678.15</v>
      </c>
      <c r="I31" s="39">
        <v>-199812.86</v>
      </c>
      <c r="J31" s="1"/>
      <c r="K31" s="1">
        <v>-11365.6</v>
      </c>
      <c r="L31" s="39"/>
      <c r="M31" s="39"/>
      <c r="N31" s="39"/>
    </row>
    <row r="32" spans="1:16">
      <c r="A32" t="s">
        <v>34</v>
      </c>
      <c r="B32" s="39">
        <v>-705392.6</v>
      </c>
      <c r="C32" s="39">
        <v>-675371.86</v>
      </c>
      <c r="D32" s="39">
        <v>-644946.85</v>
      </c>
      <c r="E32" s="39">
        <v>-631678.35</v>
      </c>
      <c r="F32" s="39">
        <v>-716851.31</v>
      </c>
      <c r="G32" s="39">
        <v>-771471.38</v>
      </c>
      <c r="H32" s="1">
        <v>-762568.3</v>
      </c>
      <c r="I32" s="39">
        <v>-696045.84</v>
      </c>
      <c r="J32" s="1"/>
      <c r="K32" s="4">
        <v>-222286.12</v>
      </c>
      <c r="L32" s="1"/>
      <c r="M32" s="39"/>
      <c r="N32" s="39"/>
    </row>
    <row r="33" spans="1:15">
      <c r="A33" t="s">
        <v>35</v>
      </c>
      <c r="B33" s="39">
        <v>-600000</v>
      </c>
      <c r="C33" s="39">
        <v>-666899.05000000005</v>
      </c>
      <c r="D33" s="39">
        <v>-754000</v>
      </c>
      <c r="E33" s="39">
        <v>-814959.93</v>
      </c>
      <c r="F33" s="39">
        <v>-868473.48</v>
      </c>
      <c r="G33" s="39">
        <v>-917313.32</v>
      </c>
      <c r="H33" s="1">
        <v>-1038000</v>
      </c>
      <c r="I33" s="4">
        <v>-1145353.96</v>
      </c>
      <c r="J33" s="4"/>
      <c r="K33" s="4">
        <v>-197184.89</v>
      </c>
      <c r="L33" s="4"/>
      <c r="M33" s="4"/>
      <c r="N33" s="4"/>
    </row>
    <row r="34" spans="1:15">
      <c r="A34" t="s">
        <v>36</v>
      </c>
      <c r="B34" s="39">
        <v>0</v>
      </c>
      <c r="C34" s="39">
        <v>0</v>
      </c>
      <c r="D34" s="39">
        <v>0</v>
      </c>
      <c r="E34" s="39">
        <v>0</v>
      </c>
      <c r="F34" s="39">
        <v>-5000</v>
      </c>
      <c r="G34" s="39"/>
      <c r="H34" s="1">
        <v>-28010.65</v>
      </c>
      <c r="I34" s="4">
        <v>-26893.81</v>
      </c>
      <c r="J34" s="4"/>
      <c r="K34" s="4">
        <v>-69325.039999999994</v>
      </c>
      <c r="L34" s="4"/>
      <c r="M34" s="4"/>
      <c r="N34" s="4"/>
    </row>
    <row r="35" spans="1:15">
      <c r="A35" s="302" t="s">
        <v>21</v>
      </c>
      <c r="B35" s="21">
        <f>SUBTOTAL(109,SummaryExpenses7[Budget 13/14])</f>
        <v>-2270842.21</v>
      </c>
      <c r="C35" s="21">
        <f>SUBTOTAL(109,SummaryExpenses7[Actual 13/14])</f>
        <v>-2174243.2300000004</v>
      </c>
      <c r="D35" s="21">
        <f>SUBTOTAL(109,SummaryExpenses7[Budget 14/15])</f>
        <v>-2310229.13</v>
      </c>
      <c r="E35" s="21">
        <f>SUBTOTAL(109,SummaryExpenses7[Actual 14/15])</f>
        <v>-2282674.4500000002</v>
      </c>
      <c r="F35" s="21">
        <f>SUBTOTAL(109,SummaryExpenses7[Budget 15/16])</f>
        <v>-2525801.84</v>
      </c>
      <c r="G35" s="21">
        <f>SUBTOTAL(109,SummaryExpenses7[Actual 15/16])</f>
        <v>-2419208.17</v>
      </c>
      <c r="H35" s="21">
        <f>SUBTOTAL(109,SummaryExpenses7[Budget 16/17])</f>
        <v>-2724224.09228</v>
      </c>
      <c r="I35" s="21">
        <f>SUBTOTAL(109,SummaryExpenses7[Actual 16/17])</f>
        <v>-2693007.54</v>
      </c>
      <c r="J35" s="21">
        <f>SUBTOTAL(109,SummaryExpenses7[Budget 17/18])</f>
        <v>0</v>
      </c>
      <c r="K35" s="21">
        <f>SUBTOTAL(109,SummaryExpenses7[Actual 17/18])</f>
        <v>-541446.60000000009</v>
      </c>
      <c r="L35" s="21">
        <f>SUBTOTAL(109,SummaryExpenses7[Budget 18/19])</f>
        <v>0</v>
      </c>
      <c r="M35" s="11"/>
      <c r="N35" s="21"/>
    </row>
    <row r="37" spans="1:15" ht="13.5" thickBot="1">
      <c r="A37" s="220"/>
      <c r="B37" s="220"/>
      <c r="C37" s="220"/>
      <c r="D37" s="220"/>
      <c r="E37" s="220"/>
      <c r="F37" s="220"/>
      <c r="G37" s="220"/>
      <c r="H37" s="220"/>
      <c r="I37" s="220"/>
      <c r="J37" s="220"/>
      <c r="K37" s="220"/>
      <c r="L37" s="220"/>
      <c r="M37" s="220"/>
      <c r="N37" s="220"/>
    </row>
    <row r="38" spans="1:15" ht="18.75" thickBot="1">
      <c r="A38" s="221" t="s">
        <v>37</v>
      </c>
      <c r="B38" s="222"/>
      <c r="C38" s="222"/>
      <c r="D38" s="222"/>
      <c r="E38" s="222"/>
      <c r="F38" s="222"/>
      <c r="G38" s="222"/>
      <c r="H38" s="222"/>
      <c r="I38" s="222"/>
      <c r="J38" s="222"/>
      <c r="K38" s="226">
        <f>K22+SummaryExpenses7[[#Totals],[Actual 17/18]]</f>
        <v>-516136.21600000141</v>
      </c>
      <c r="L38" s="223"/>
      <c r="M38" s="224"/>
      <c r="N38" s="225">
        <f>N22+SummaryExpenses7[[#Totals],[Budget 20/21]]</f>
        <v>0</v>
      </c>
    </row>
    <row r="39" spans="1:15">
      <c r="A39" s="7"/>
      <c r="L39" s="193"/>
      <c r="M39" s="194"/>
    </row>
    <row r="40" spans="1:15">
      <c r="A40" s="7"/>
    </row>
    <row r="41" spans="1:15">
      <c r="A41" s="18"/>
      <c r="B41" s="25"/>
      <c r="C41" s="25"/>
      <c r="K41" s="8"/>
    </row>
    <row r="42" spans="1:15">
      <c r="J42" s="19"/>
      <c r="K42" s="8"/>
    </row>
    <row r="47" spans="1:15">
      <c r="O47" s="108"/>
    </row>
    <row r="48" spans="1:15">
      <c r="C48" s="17"/>
    </row>
    <row r="49" spans="1:1" ht="15.75">
      <c r="A49" s="6"/>
    </row>
  </sheetData>
  <customSheetViews>
    <customSheetView guid="{DC934874-AE9C-4DF4-8DA8-4394DABABB42}" showRuler="0" topLeftCell="A4">
      <selection activeCell="E29" sqref="E29:E30"/>
      <pageMargins left="0" right="0" top="0" bottom="0" header="0" footer="0"/>
      <pageSetup paperSize="3" orientation="landscape"/>
      <headerFooter alignWithMargins="0"/>
    </customSheetView>
    <customSheetView guid="{7FD89B2E-4983-4B8D-ABA2-A07F685A0C6E}" showRuler="0" topLeftCell="A7">
      <selection activeCell="E28" sqref="E28"/>
      <pageMargins left="0" right="0" top="0" bottom="0" header="0" footer="0"/>
      <pageSetup paperSize="3" orientation="landscape"/>
      <headerFooter alignWithMargins="0"/>
    </customSheetView>
    <customSheetView guid="{84D8AC11-A493-4338-8044-6F4154C29695}" showRuler="0">
      <selection activeCell="F20" sqref="F20"/>
      <pageMargins left="0" right="0" top="0" bottom="0" header="0" footer="0"/>
      <pageSetup paperSize="3" orientation="landscape"/>
      <headerFooter alignWithMargins="0"/>
    </customSheetView>
    <customSheetView guid="{BB157E55-0A2E-4D9F-A3BF-E83E5442FC27}" showPageBreaks="1" showRuler="0" topLeftCell="C4">
      <selection activeCell="I19" sqref="I19"/>
      <pageMargins left="0" right="0" top="0" bottom="0" header="0" footer="0"/>
      <pageSetup paperSize="3" orientation="landscape"/>
      <headerFooter alignWithMargins="0"/>
    </customSheetView>
  </customSheetViews>
  <phoneticPr fontId="0" type="noConversion"/>
  <pageMargins left="0" right="0" top="0.98425196850393704" bottom="0.98425196850393704" header="0.51181102362204722" footer="0.51181102362204722"/>
  <pageSetup paperSize="5" scale="96" orientation="landscape" r:id="rId1"/>
  <headerFooter alignWithMargins="0"/>
  <legacyDrawing r:id="rId2"/>
  <tableParts count="3">
    <tablePart r:id="rId3"/>
    <tablePart r:id="rId4"/>
    <tablePart r:id="rId5"/>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theme="1"/>
    <pageSetUpPr fitToPage="1"/>
  </sheetPr>
  <dimension ref="A1:Z55"/>
  <sheetViews>
    <sheetView showGridLines="0" topLeftCell="A4" zoomScale="85" zoomScaleNormal="85" workbookViewId="0">
      <selection activeCell="Y8" sqref="Y8"/>
    </sheetView>
  </sheetViews>
  <sheetFormatPr defaultColWidth="11.42578125" defaultRowHeight="12.75"/>
  <cols>
    <col min="1" max="1" width="13.85546875" style="11" customWidth="1"/>
    <col min="2" max="2" width="26.85546875" style="11" customWidth="1"/>
    <col min="3" max="4" width="15.42578125" style="11" hidden="1" customWidth="1"/>
    <col min="5" max="5" width="16" style="11" hidden="1" customWidth="1"/>
    <col min="6" max="13" width="15.42578125" style="11" hidden="1" customWidth="1"/>
    <col min="14" max="14" width="14.42578125" style="132" hidden="1" customWidth="1"/>
    <col min="15" max="15" width="14.42578125" style="11" hidden="1" customWidth="1"/>
    <col min="16" max="18" width="15.42578125" style="11" hidden="1" customWidth="1"/>
    <col min="19" max="19" width="15.28515625" style="11" hidden="1" customWidth="1"/>
    <col min="20" max="20" width="14.42578125" style="11" hidden="1" customWidth="1"/>
    <col min="21" max="21" width="16.140625" style="11" hidden="1" customWidth="1"/>
    <col min="22" max="22" width="17.85546875" style="11" hidden="1" customWidth="1"/>
    <col min="23" max="23" width="16.28515625" style="11" hidden="1" customWidth="1"/>
    <col min="24" max="24" width="16" style="11" bestFit="1" customWidth="1"/>
    <col min="25" max="25" width="15" style="11" customWidth="1"/>
    <col min="26" max="26" width="18" style="11" customWidth="1"/>
    <col min="27" max="16384" width="11.42578125" style="11"/>
  </cols>
  <sheetData>
    <row r="1" spans="1:26" ht="18">
      <c r="A1" s="758" t="s">
        <v>506</v>
      </c>
      <c r="B1" s="759"/>
    </row>
    <row r="2" spans="1:26">
      <c r="A2" s="28" t="s">
        <v>226</v>
      </c>
    </row>
    <row r="3" spans="1:26">
      <c r="A3" s="763"/>
      <c r="B3" s="763"/>
    </row>
    <row r="5" spans="1:26">
      <c r="A5" s="48" t="s">
        <v>130</v>
      </c>
      <c r="B5" s="11" t="s">
        <v>72</v>
      </c>
      <c r="C5" s="11" t="s">
        <v>73</v>
      </c>
      <c r="D5" s="11" t="s">
        <v>74</v>
      </c>
      <c r="E5" s="11" t="s">
        <v>75</v>
      </c>
      <c r="F5" s="11" t="s">
        <v>76</v>
      </c>
      <c r="G5" s="11" t="s">
        <v>77</v>
      </c>
      <c r="H5" s="11" t="s">
        <v>78</v>
      </c>
      <c r="I5" s="11" t="s">
        <v>5</v>
      </c>
      <c r="J5" s="11" t="s">
        <v>6</v>
      </c>
      <c r="K5" s="11" t="s">
        <v>7</v>
      </c>
      <c r="L5" s="11" t="s">
        <v>8</v>
      </c>
      <c r="M5" s="11" t="s">
        <v>9</v>
      </c>
      <c r="N5" s="119" t="s">
        <v>10</v>
      </c>
      <c r="O5" s="11" t="s">
        <v>11</v>
      </c>
      <c r="P5" s="11" t="s">
        <v>12</v>
      </c>
      <c r="Q5" s="11" t="s">
        <v>13</v>
      </c>
      <c r="R5" s="11" t="s">
        <v>14</v>
      </c>
      <c r="S5" s="11" t="s">
        <v>15</v>
      </c>
      <c r="T5" s="11" t="s">
        <v>16</v>
      </c>
      <c r="U5" s="11" t="s">
        <v>81</v>
      </c>
      <c r="V5" s="11" t="s">
        <v>17</v>
      </c>
      <c r="W5" s="11" t="s">
        <v>40</v>
      </c>
      <c r="X5" s="11" t="s">
        <v>41</v>
      </c>
      <c r="Y5" s="5" t="s">
        <v>42</v>
      </c>
      <c r="Z5" s="5" t="s">
        <v>43</v>
      </c>
    </row>
    <row r="6" spans="1:26">
      <c r="A6" s="48" t="s">
        <v>507</v>
      </c>
      <c r="B6" s="11" t="s">
        <v>508</v>
      </c>
      <c r="C6" s="70">
        <v>0</v>
      </c>
      <c r="D6" s="70">
        <v>0</v>
      </c>
      <c r="E6" s="70">
        <v>0</v>
      </c>
      <c r="F6" s="70">
        <v>0</v>
      </c>
      <c r="G6" s="70">
        <v>0</v>
      </c>
      <c r="H6" s="70">
        <v>0</v>
      </c>
      <c r="I6" s="70">
        <v>0</v>
      </c>
      <c r="J6" s="70">
        <v>0</v>
      </c>
      <c r="K6" s="70">
        <v>0</v>
      </c>
      <c r="L6" s="70">
        <v>0</v>
      </c>
      <c r="M6" s="70">
        <v>0</v>
      </c>
      <c r="N6" s="153">
        <v>0</v>
      </c>
      <c r="O6" s="70">
        <v>0</v>
      </c>
      <c r="P6" s="70"/>
      <c r="Q6" s="70"/>
      <c r="R6" s="70"/>
      <c r="S6" s="70"/>
      <c r="T6" s="70"/>
      <c r="U6" s="70">
        <v>0</v>
      </c>
      <c r="V6" s="70"/>
      <c r="W6" s="70"/>
      <c r="X6" s="70"/>
      <c r="Y6" s="639"/>
      <c r="Z6" s="639"/>
    </row>
    <row r="7" spans="1:26">
      <c r="A7" s="48" t="s">
        <v>509</v>
      </c>
      <c r="B7" s="11" t="s">
        <v>295</v>
      </c>
      <c r="C7" s="70">
        <v>0</v>
      </c>
      <c r="D7" s="70">
        <v>0</v>
      </c>
      <c r="E7" s="70">
        <v>0</v>
      </c>
      <c r="F7" s="70">
        <v>514.66</v>
      </c>
      <c r="G7" s="70">
        <v>0</v>
      </c>
      <c r="H7" s="70">
        <v>0</v>
      </c>
      <c r="I7" s="70">
        <v>0</v>
      </c>
      <c r="J7" s="70">
        <v>0</v>
      </c>
      <c r="K7" s="70">
        <v>0</v>
      </c>
      <c r="L7" s="70">
        <v>225</v>
      </c>
      <c r="M7" s="70">
        <v>0</v>
      </c>
      <c r="N7" s="139">
        <v>606.75</v>
      </c>
      <c r="O7" s="70">
        <v>0</v>
      </c>
      <c r="P7" s="70"/>
      <c r="Q7" s="70"/>
      <c r="R7" s="70"/>
      <c r="S7" s="70"/>
      <c r="T7" s="70"/>
      <c r="U7" s="70">
        <v>0</v>
      </c>
      <c r="V7" s="70"/>
      <c r="W7" s="70"/>
      <c r="X7" s="70"/>
      <c r="Y7" s="639">
        <v>0.97</v>
      </c>
      <c r="Z7" s="639"/>
    </row>
    <row r="8" spans="1:26">
      <c r="A8" s="48"/>
      <c r="B8" s="11" t="s">
        <v>21</v>
      </c>
      <c r="C8" s="71">
        <f>SUBTOTAL(109,WomensCentreRevenues[Budget 10/11])</f>
        <v>0</v>
      </c>
      <c r="D8" s="71">
        <f>SUBTOTAL(109,WomensCentreRevenues[Actual 10/11])</f>
        <v>0</v>
      </c>
      <c r="E8" s="71">
        <f>SUBTOTAL(109,WomensCentreRevenues[Budget 11/12])</f>
        <v>0</v>
      </c>
      <c r="F8" s="71">
        <f>SUBTOTAL(109,WomensCentreRevenues[Actual 11/12])</f>
        <v>514.66</v>
      </c>
      <c r="G8" s="71">
        <f>SUBTOTAL(109,WomensCentreRevenues[Budget 12/13])</f>
        <v>0</v>
      </c>
      <c r="H8" s="71">
        <f>SUBTOTAL(109,WomensCentreRevenues[Actual 12/13])</f>
        <v>0</v>
      </c>
      <c r="I8" s="71">
        <f>SUBTOTAL(109,WomensCentreRevenues[Budget 13/14])</f>
        <v>0</v>
      </c>
      <c r="J8" s="71">
        <f>SUBTOTAL(109,WomensCentreRevenues[Actual 13/14])</f>
        <v>0</v>
      </c>
      <c r="K8" s="71">
        <f>SUBTOTAL(109,WomensCentreRevenues[Budget 14/15])</f>
        <v>0</v>
      </c>
      <c r="L8" s="71">
        <f>SUBTOTAL(109,WomensCentreRevenues[Actual 14/15])</f>
        <v>225</v>
      </c>
      <c r="M8" s="71">
        <f>SUBTOTAL(109,WomensCentreRevenues[Budget 15/16])</f>
        <v>0</v>
      </c>
      <c r="N8" s="399">
        <f>SUBTOTAL(109,WomensCentreRevenues[Actual 15/16])</f>
        <v>606.75</v>
      </c>
      <c r="O8" s="71">
        <f>SUBTOTAL(109,WomensCentreRevenues[Budget 16/17])</f>
        <v>0</v>
      </c>
      <c r="P8" s="71">
        <f>SUBTOTAL(109,WomensCentreRevenues[Actual 16/17])</f>
        <v>0</v>
      </c>
      <c r="Q8" s="71">
        <f>SUBTOTAL(109,WomensCentreRevenues[Budget 17/18])</f>
        <v>0</v>
      </c>
      <c r="R8" s="559">
        <f>SUBTOTAL(109,WomensCentreRevenues[Revenues])</f>
        <v>0</v>
      </c>
      <c r="S8" s="559">
        <f>SUBTOTAL(109,WomensCentreRevenues[Budget 10/11])</f>
        <v>0</v>
      </c>
      <c r="T8" s="559">
        <f>SUBTOTAL(109,WomensCentreRevenues[Actual 10/11])</f>
        <v>0</v>
      </c>
      <c r="U8" s="559">
        <f>SUM(WomensCentreRevenues[Actual P12 19/20])</f>
        <v>0</v>
      </c>
      <c r="V8" s="559">
        <f>SUBTOTAL(109,WomensCentreRevenues[Budget 20/21])</f>
        <v>0</v>
      </c>
      <c r="W8" s="559">
        <f>SUBTOTAL(109,WomensCentreRevenues[Actual 20/21])</f>
        <v>0</v>
      </c>
      <c r="X8" s="559">
        <f>SUBTOTAL(109,WomensCentreRevenues[Budget 21/22])</f>
        <v>0</v>
      </c>
      <c r="Y8" s="401">
        <f>SUBTOTAL(109,WomensCentreRevenues[Actual 21/22])</f>
        <v>0.97</v>
      </c>
      <c r="Z8" s="559"/>
    </row>
    <row r="9" spans="1:26">
      <c r="A9" s="48"/>
      <c r="B9" s="287"/>
      <c r="C9" s="178"/>
      <c r="D9" s="178"/>
      <c r="E9" s="178"/>
      <c r="F9" s="178"/>
      <c r="G9" s="178"/>
      <c r="H9" s="178"/>
      <c r="I9" s="178"/>
      <c r="J9" s="178"/>
      <c r="K9" s="178"/>
      <c r="L9" s="178"/>
      <c r="M9" s="178"/>
    </row>
    <row r="10" spans="1:26">
      <c r="A10" s="48"/>
    </row>
    <row r="11" spans="1:26">
      <c r="A11" s="48" t="s">
        <v>130</v>
      </c>
      <c r="B11" s="11" t="s">
        <v>22</v>
      </c>
      <c r="C11" s="11" t="s">
        <v>73</v>
      </c>
      <c r="D11" s="11" t="s">
        <v>74</v>
      </c>
      <c r="E11" s="11" t="s">
        <v>75</v>
      </c>
      <c r="F11" s="11" t="s">
        <v>76</v>
      </c>
      <c r="G11" s="11" t="s">
        <v>77</v>
      </c>
      <c r="H11" s="11" t="s">
        <v>78</v>
      </c>
      <c r="I11" s="11" t="s">
        <v>5</v>
      </c>
      <c r="J11" s="11" t="s">
        <v>6</v>
      </c>
      <c r="K11" s="11" t="s">
        <v>7</v>
      </c>
      <c r="L11" s="11" t="s">
        <v>8</v>
      </c>
      <c r="M11" s="11" t="s">
        <v>9</v>
      </c>
      <c r="N11" s="119" t="s">
        <v>10</v>
      </c>
      <c r="O11" s="11" t="s">
        <v>11</v>
      </c>
      <c r="P11" s="11" t="s">
        <v>12</v>
      </c>
      <c r="Q11" s="11" t="s">
        <v>13</v>
      </c>
      <c r="R11" s="11" t="s">
        <v>14</v>
      </c>
      <c r="S11" s="11" t="s">
        <v>15</v>
      </c>
      <c r="T11" s="11" t="s">
        <v>16</v>
      </c>
      <c r="U11" s="11" t="s">
        <v>81</v>
      </c>
      <c r="V11" s="11" t="s">
        <v>17</v>
      </c>
      <c r="W11" s="11" t="s">
        <v>40</v>
      </c>
      <c r="X11" s="11" t="s">
        <v>41</v>
      </c>
      <c r="Y11" s="5" t="s">
        <v>42</v>
      </c>
      <c r="Z11" s="5" t="s">
        <v>43</v>
      </c>
    </row>
    <row r="12" spans="1:26">
      <c r="A12" s="48" t="s">
        <v>510</v>
      </c>
      <c r="B12" s="35" t="s">
        <v>348</v>
      </c>
      <c r="C12" s="73"/>
      <c r="D12" s="73"/>
      <c r="E12" s="73"/>
      <c r="F12" s="73"/>
      <c r="G12" s="73"/>
      <c r="H12" s="73"/>
      <c r="I12" s="73"/>
      <c r="J12" s="73"/>
      <c r="K12" s="73"/>
      <c r="L12" s="73"/>
      <c r="M12" s="73"/>
      <c r="N12" s="154"/>
      <c r="O12" s="73"/>
      <c r="P12" s="73"/>
      <c r="Q12" s="73"/>
      <c r="R12" s="73"/>
      <c r="S12" s="73"/>
      <c r="T12" s="73"/>
      <c r="U12" s="73">
        <v>0</v>
      </c>
      <c r="V12" s="391">
        <v>12000</v>
      </c>
      <c r="W12" s="73">
        <v>10619.96</v>
      </c>
      <c r="X12" s="73">
        <f>16*25*15*1.13*2*3</f>
        <v>40679.999999999993</v>
      </c>
      <c r="Y12" s="73">
        <v>30147.26</v>
      </c>
      <c r="Z12" s="449">
        <v>39324</v>
      </c>
    </row>
    <row r="13" spans="1:26">
      <c r="A13" s="48"/>
      <c r="B13" s="11" t="s">
        <v>349</v>
      </c>
      <c r="C13" s="73"/>
      <c r="D13" s="73"/>
      <c r="E13" s="73"/>
      <c r="F13" s="73"/>
      <c r="G13" s="73"/>
      <c r="H13" s="73"/>
      <c r="I13" s="73"/>
      <c r="J13" s="73"/>
      <c r="K13" s="73"/>
      <c r="L13" s="73"/>
      <c r="M13" s="73"/>
      <c r="N13" s="154"/>
      <c r="O13" s="73"/>
      <c r="P13" s="73"/>
      <c r="Q13" s="73"/>
      <c r="R13" s="73"/>
      <c r="S13" s="73"/>
      <c r="T13" s="73"/>
      <c r="U13" s="73"/>
      <c r="V13" s="393">
        <v>1500</v>
      </c>
      <c r="W13" s="73"/>
      <c r="X13" s="73"/>
      <c r="Y13" s="73"/>
      <c r="Z13" s="520">
        <v>0</v>
      </c>
    </row>
    <row r="14" spans="1:26">
      <c r="A14" s="48" t="s">
        <v>511</v>
      </c>
      <c r="B14" s="31" t="s">
        <v>142</v>
      </c>
      <c r="C14" s="73">
        <v>900</v>
      </c>
      <c r="D14" s="73">
        <v>848.22</v>
      </c>
      <c r="E14" s="73">
        <v>1500</v>
      </c>
      <c r="F14" s="73">
        <v>954.04</v>
      </c>
      <c r="G14" s="73">
        <v>1100</v>
      </c>
      <c r="H14" s="73">
        <v>1040.49</v>
      </c>
      <c r="I14" s="73">
        <v>1080</v>
      </c>
      <c r="J14" s="73">
        <v>1341.58</v>
      </c>
      <c r="K14" s="73">
        <v>1000</v>
      </c>
      <c r="L14" s="73">
        <v>1195.32</v>
      </c>
      <c r="M14" s="73">
        <v>1000</v>
      </c>
      <c r="N14" s="154">
        <v>1763.92</v>
      </c>
      <c r="O14" s="73">
        <v>1000</v>
      </c>
      <c r="P14" s="73">
        <v>1793.92</v>
      </c>
      <c r="Q14" s="73">
        <v>2000</v>
      </c>
      <c r="R14" s="73">
        <v>1647.1</v>
      </c>
      <c r="S14" s="73">
        <v>1800</v>
      </c>
      <c r="T14" s="73">
        <v>1800</v>
      </c>
      <c r="U14" s="73">
        <v>1049.92</v>
      </c>
      <c r="V14" s="73">
        <v>1400</v>
      </c>
      <c r="W14" s="73">
        <v>2681.54</v>
      </c>
      <c r="X14" s="73">
        <v>1400</v>
      </c>
      <c r="Y14" s="73">
        <v>1486.38</v>
      </c>
      <c r="Z14" s="520">
        <v>1900</v>
      </c>
    </row>
    <row r="15" spans="1:26">
      <c r="A15" s="48" t="s">
        <v>512</v>
      </c>
      <c r="B15" s="31" t="s">
        <v>93</v>
      </c>
      <c r="C15" s="73">
        <v>250</v>
      </c>
      <c r="D15" s="73">
        <v>227.4</v>
      </c>
      <c r="E15" s="73">
        <v>250</v>
      </c>
      <c r="F15" s="73">
        <v>227.4</v>
      </c>
      <c r="G15" s="73">
        <v>250</v>
      </c>
      <c r="H15" s="73">
        <v>227.4</v>
      </c>
      <c r="I15" s="73">
        <v>250</v>
      </c>
      <c r="J15" s="73">
        <v>289.89999999999998</v>
      </c>
      <c r="K15" s="73">
        <v>250</v>
      </c>
      <c r="L15" s="73">
        <v>227.4</v>
      </c>
      <c r="M15" s="73">
        <v>250</v>
      </c>
      <c r="N15" s="154">
        <v>208.45</v>
      </c>
      <c r="O15" s="73">
        <v>250</v>
      </c>
      <c r="P15" s="73">
        <v>227.4</v>
      </c>
      <c r="Q15" s="73">
        <v>250</v>
      </c>
      <c r="R15" s="73">
        <v>208.45</v>
      </c>
      <c r="S15" s="73">
        <v>250</v>
      </c>
      <c r="T15" s="73">
        <v>250</v>
      </c>
      <c r="U15" s="73">
        <v>211.45</v>
      </c>
      <c r="V15" s="73">
        <v>300</v>
      </c>
      <c r="W15" s="73">
        <v>239.4</v>
      </c>
      <c r="X15" s="73">
        <v>300</v>
      </c>
      <c r="Y15" s="73">
        <v>239.4</v>
      </c>
      <c r="Z15" s="520">
        <v>250</v>
      </c>
    </row>
    <row r="16" spans="1:26">
      <c r="A16" s="48" t="s">
        <v>513</v>
      </c>
      <c r="B16" s="31" t="s">
        <v>100</v>
      </c>
      <c r="C16" s="73">
        <v>100</v>
      </c>
      <c r="D16" s="73">
        <v>23.59</v>
      </c>
      <c r="E16" s="73">
        <v>50</v>
      </c>
      <c r="F16" s="73">
        <v>0.14000000000000001</v>
      </c>
      <c r="G16" s="73">
        <v>25</v>
      </c>
      <c r="H16" s="73">
        <v>21.5</v>
      </c>
      <c r="I16" s="73">
        <v>25</v>
      </c>
      <c r="J16" s="73">
        <v>13.01</v>
      </c>
      <c r="K16" s="73">
        <v>25</v>
      </c>
      <c r="L16" s="73">
        <v>0</v>
      </c>
      <c r="M16" s="73">
        <v>100</v>
      </c>
      <c r="N16" s="154">
        <v>0.41</v>
      </c>
      <c r="O16" s="73">
        <v>50</v>
      </c>
      <c r="P16" s="73"/>
      <c r="Q16" s="73">
        <v>50</v>
      </c>
      <c r="R16" s="73">
        <v>3.39</v>
      </c>
      <c r="S16" s="73">
        <v>10</v>
      </c>
      <c r="T16" s="73">
        <v>15</v>
      </c>
      <c r="U16" s="73">
        <v>27.63</v>
      </c>
      <c r="V16" s="73">
        <v>15</v>
      </c>
      <c r="W16" s="73"/>
      <c r="X16" s="73">
        <v>15</v>
      </c>
      <c r="Y16" s="73"/>
      <c r="Z16" s="520"/>
    </row>
    <row r="17" spans="1:26">
      <c r="A17" s="48" t="s">
        <v>514</v>
      </c>
      <c r="B17" s="31" t="s">
        <v>166</v>
      </c>
      <c r="C17" s="73">
        <v>280</v>
      </c>
      <c r="D17" s="73">
        <v>107.41</v>
      </c>
      <c r="E17" s="73">
        <v>200</v>
      </c>
      <c r="F17" s="73">
        <v>204.98</v>
      </c>
      <c r="G17" s="73">
        <v>600</v>
      </c>
      <c r="H17" s="73">
        <v>362.4</v>
      </c>
      <c r="I17" s="73">
        <v>500</v>
      </c>
      <c r="J17" s="73">
        <v>235.82</v>
      </c>
      <c r="K17" s="73">
        <v>250</v>
      </c>
      <c r="L17" s="73">
        <v>592.49</v>
      </c>
      <c r="M17" s="73">
        <v>250</v>
      </c>
      <c r="N17" s="154">
        <v>441.06</v>
      </c>
      <c r="O17" s="73">
        <v>350</v>
      </c>
      <c r="P17" s="73">
        <v>289.39</v>
      </c>
      <c r="Q17" s="73">
        <v>350</v>
      </c>
      <c r="R17" s="73">
        <v>311.25</v>
      </c>
      <c r="S17" s="73">
        <v>350</v>
      </c>
      <c r="T17" s="73">
        <v>350</v>
      </c>
      <c r="U17" s="73">
        <v>231.54</v>
      </c>
      <c r="V17" s="73">
        <v>150</v>
      </c>
      <c r="W17" s="73">
        <v>170.21</v>
      </c>
      <c r="X17" s="73">
        <v>150</v>
      </c>
      <c r="Y17" s="73">
        <v>241.07</v>
      </c>
      <c r="Z17" s="520">
        <v>1700</v>
      </c>
    </row>
    <row r="18" spans="1:26">
      <c r="A18" s="48" t="s">
        <v>515</v>
      </c>
      <c r="B18" s="31" t="s">
        <v>104</v>
      </c>
      <c r="C18" s="73">
        <v>500</v>
      </c>
      <c r="D18" s="73">
        <v>1434.68</v>
      </c>
      <c r="E18" s="73">
        <v>800</v>
      </c>
      <c r="F18" s="73">
        <v>622.79999999999995</v>
      </c>
      <c r="G18" s="73">
        <v>600</v>
      </c>
      <c r="H18" s="73">
        <v>516.83000000000004</v>
      </c>
      <c r="I18" s="73">
        <v>600</v>
      </c>
      <c r="J18" s="73">
        <v>247.6</v>
      </c>
      <c r="K18" s="73">
        <v>600</v>
      </c>
      <c r="L18" s="73">
        <v>1019.33</v>
      </c>
      <c r="M18" s="73">
        <v>750</v>
      </c>
      <c r="N18" s="154">
        <v>71.59</v>
      </c>
      <c r="O18" s="73">
        <v>500</v>
      </c>
      <c r="P18" s="73">
        <v>286.97000000000003</v>
      </c>
      <c r="Q18" s="73">
        <v>500</v>
      </c>
      <c r="R18" s="73">
        <v>476.29</v>
      </c>
      <c r="S18" s="73">
        <v>300</v>
      </c>
      <c r="T18" s="73">
        <v>300</v>
      </c>
      <c r="U18" s="73">
        <v>309.63</v>
      </c>
      <c r="V18" s="73">
        <v>500</v>
      </c>
      <c r="W18" s="73">
        <v>-57.28</v>
      </c>
      <c r="X18" s="73">
        <v>300</v>
      </c>
      <c r="Y18" s="73">
        <v>30</v>
      </c>
      <c r="Z18" s="520">
        <v>300</v>
      </c>
    </row>
    <row r="19" spans="1:26">
      <c r="A19" s="48" t="s">
        <v>516</v>
      </c>
      <c r="B19" s="31" t="s">
        <v>359</v>
      </c>
      <c r="C19" s="73">
        <v>110</v>
      </c>
      <c r="D19" s="73">
        <v>0</v>
      </c>
      <c r="E19" s="73">
        <v>0</v>
      </c>
      <c r="F19" s="73">
        <v>0</v>
      </c>
      <c r="G19" s="73">
        <v>0</v>
      </c>
      <c r="H19" s="73">
        <v>0</v>
      </c>
      <c r="I19" s="73">
        <v>0</v>
      </c>
      <c r="J19" s="73"/>
      <c r="K19" s="73">
        <v>0</v>
      </c>
      <c r="L19" s="73">
        <v>0</v>
      </c>
      <c r="M19" s="73">
        <v>0</v>
      </c>
      <c r="N19" s="154">
        <v>0</v>
      </c>
      <c r="O19" s="73">
        <v>0</v>
      </c>
      <c r="P19" s="73"/>
      <c r="Q19" s="73"/>
      <c r="R19" s="73"/>
      <c r="S19" s="73"/>
      <c r="T19" s="73"/>
      <c r="U19" s="73">
        <v>0</v>
      </c>
      <c r="V19" s="73"/>
      <c r="W19" s="73"/>
      <c r="X19" s="73"/>
      <c r="Y19" s="73"/>
      <c r="Z19" s="643"/>
    </row>
    <row r="20" spans="1:26">
      <c r="A20" s="48" t="s">
        <v>517</v>
      </c>
      <c r="B20" s="31" t="s">
        <v>336</v>
      </c>
      <c r="C20" s="73">
        <v>600</v>
      </c>
      <c r="D20" s="73">
        <v>0</v>
      </c>
      <c r="E20" s="73">
        <v>3300</v>
      </c>
      <c r="F20" s="73">
        <v>2552.4899999999998</v>
      </c>
      <c r="G20" s="73">
        <v>0</v>
      </c>
      <c r="H20" s="73">
        <v>0</v>
      </c>
      <c r="I20" s="73">
        <v>0</v>
      </c>
      <c r="J20" s="73"/>
      <c r="K20" s="73">
        <v>0</v>
      </c>
      <c r="L20" s="73">
        <v>0</v>
      </c>
      <c r="M20" s="73">
        <v>0</v>
      </c>
      <c r="N20" s="154">
        <v>0</v>
      </c>
      <c r="O20" s="73">
        <v>0</v>
      </c>
      <c r="P20" s="73">
        <v>30.2</v>
      </c>
      <c r="Q20" s="73"/>
      <c r="R20" s="73">
        <v>-30.2</v>
      </c>
      <c r="S20" s="73"/>
      <c r="T20" s="73"/>
      <c r="U20" s="73">
        <v>0</v>
      </c>
      <c r="V20" s="73"/>
      <c r="W20" s="73"/>
      <c r="X20" s="73"/>
      <c r="Y20" s="73"/>
      <c r="Z20" s="643"/>
    </row>
    <row r="21" spans="1:26">
      <c r="A21" s="48" t="s">
        <v>518</v>
      </c>
      <c r="B21" s="31" t="s">
        <v>519</v>
      </c>
      <c r="C21" s="73">
        <v>0</v>
      </c>
      <c r="D21" s="73">
        <v>0</v>
      </c>
      <c r="E21" s="73">
        <v>0</v>
      </c>
      <c r="F21" s="73">
        <v>0</v>
      </c>
      <c r="G21" s="73">
        <v>0</v>
      </c>
      <c r="H21" s="73">
        <v>0</v>
      </c>
      <c r="I21" s="73">
        <v>0</v>
      </c>
      <c r="J21" s="73"/>
      <c r="K21" s="73">
        <v>0</v>
      </c>
      <c r="L21" s="73">
        <v>0</v>
      </c>
      <c r="M21" s="73">
        <v>0</v>
      </c>
      <c r="N21" s="154">
        <v>0</v>
      </c>
      <c r="O21" s="73">
        <v>0</v>
      </c>
      <c r="P21" s="73"/>
      <c r="Q21" s="73"/>
      <c r="R21" s="73"/>
      <c r="S21" s="73"/>
      <c r="T21" s="73"/>
      <c r="U21" s="73">
        <v>0</v>
      </c>
      <c r="V21" s="73"/>
      <c r="W21" s="73"/>
      <c r="X21" s="73"/>
      <c r="Y21" s="73"/>
      <c r="Z21" s="643"/>
    </row>
    <row r="22" spans="1:26">
      <c r="A22" s="48" t="s">
        <v>520</v>
      </c>
      <c r="B22" s="31" t="s">
        <v>521</v>
      </c>
      <c r="C22" s="73">
        <v>0</v>
      </c>
      <c r="D22" s="73">
        <v>0</v>
      </c>
      <c r="E22" s="73">
        <v>0</v>
      </c>
      <c r="F22" s="73">
        <v>0</v>
      </c>
      <c r="G22" s="73">
        <v>0</v>
      </c>
      <c r="H22" s="73">
        <v>0</v>
      </c>
      <c r="I22" s="73">
        <v>0</v>
      </c>
      <c r="J22" s="73"/>
      <c r="K22" s="73">
        <v>0</v>
      </c>
      <c r="L22" s="73">
        <v>0</v>
      </c>
      <c r="M22" s="73">
        <v>0</v>
      </c>
      <c r="N22" s="154">
        <v>0</v>
      </c>
      <c r="O22" s="73">
        <v>0</v>
      </c>
      <c r="P22" s="73"/>
      <c r="Q22" s="73"/>
      <c r="R22" s="73"/>
      <c r="S22" s="73"/>
      <c r="T22" s="73"/>
      <c r="U22" s="73">
        <v>0</v>
      </c>
      <c r="V22" s="73"/>
      <c r="W22" s="73"/>
      <c r="X22" s="73"/>
      <c r="Y22" s="73"/>
      <c r="Z22" s="643"/>
    </row>
    <row r="23" spans="1:26">
      <c r="A23" s="48" t="s">
        <v>522</v>
      </c>
      <c r="B23" s="31" t="s">
        <v>110</v>
      </c>
      <c r="C23" s="73">
        <v>322.22000000000003</v>
      </c>
      <c r="D23" s="73">
        <v>322.2</v>
      </c>
      <c r="E23" s="73">
        <v>322.2</v>
      </c>
      <c r="F23" s="73">
        <v>214.86</v>
      </c>
      <c r="G23" s="73">
        <v>0</v>
      </c>
      <c r="H23" s="73">
        <v>0</v>
      </c>
      <c r="I23" s="73">
        <v>0</v>
      </c>
      <c r="J23" s="73"/>
      <c r="K23" s="73">
        <v>0</v>
      </c>
      <c r="L23" s="73">
        <v>0</v>
      </c>
      <c r="M23" s="73">
        <v>0</v>
      </c>
      <c r="N23" s="154">
        <v>0</v>
      </c>
      <c r="O23" s="73">
        <v>0</v>
      </c>
      <c r="P23" s="73"/>
      <c r="Q23" s="73"/>
      <c r="R23" s="73"/>
      <c r="S23" s="73"/>
      <c r="T23" s="73"/>
      <c r="U23" s="73">
        <v>0</v>
      </c>
      <c r="V23" s="73"/>
      <c r="W23" s="73"/>
      <c r="X23" s="73"/>
      <c r="Y23" s="73"/>
      <c r="Z23" s="643"/>
    </row>
    <row r="24" spans="1:26">
      <c r="A24" s="48" t="s">
        <v>523</v>
      </c>
      <c r="B24" s="31" t="s">
        <v>114</v>
      </c>
      <c r="C24" s="73">
        <v>500</v>
      </c>
      <c r="D24" s="73">
        <v>95.69</v>
      </c>
      <c r="E24" s="73">
        <v>1750</v>
      </c>
      <c r="F24" s="73">
        <v>1730</v>
      </c>
      <c r="G24" s="73">
        <v>1200</v>
      </c>
      <c r="H24" s="73">
        <v>996.92</v>
      </c>
      <c r="I24" s="73"/>
      <c r="J24" s="73">
        <v>592.13</v>
      </c>
      <c r="K24" s="73">
        <v>800</v>
      </c>
      <c r="L24" s="73">
        <v>946.93</v>
      </c>
      <c r="M24" s="73">
        <v>1200</v>
      </c>
      <c r="N24" s="154">
        <v>1703.45</v>
      </c>
      <c r="O24" s="73">
        <v>900</v>
      </c>
      <c r="P24" s="73">
        <v>2087.65</v>
      </c>
      <c r="Q24" s="73">
        <v>1100</v>
      </c>
      <c r="R24" s="73" t="s">
        <v>524</v>
      </c>
      <c r="S24" s="73">
        <v>1100</v>
      </c>
      <c r="T24" s="73">
        <v>950</v>
      </c>
      <c r="U24" s="73">
        <v>1408</v>
      </c>
      <c r="V24" s="73">
        <v>700</v>
      </c>
      <c r="W24" s="73">
        <v>778.6</v>
      </c>
      <c r="X24" s="73">
        <v>900</v>
      </c>
      <c r="Y24" s="73">
        <v>2012.09</v>
      </c>
      <c r="Z24" s="520">
        <v>750</v>
      </c>
    </row>
    <row r="25" spans="1:26">
      <c r="A25" s="48" t="s">
        <v>523</v>
      </c>
      <c r="B25" s="31" t="s">
        <v>416</v>
      </c>
      <c r="C25" s="73">
        <v>1200</v>
      </c>
      <c r="D25" s="73">
        <v>1011.74</v>
      </c>
      <c r="E25" s="73">
        <v>1500</v>
      </c>
      <c r="F25" s="73">
        <v>696.25</v>
      </c>
      <c r="G25" s="73">
        <v>350</v>
      </c>
      <c r="H25" s="73">
        <v>185.38</v>
      </c>
      <c r="I25" s="73">
        <v>200</v>
      </c>
      <c r="J25" s="73">
        <v>17.22</v>
      </c>
      <c r="K25" s="73">
        <v>150</v>
      </c>
      <c r="L25" s="73">
        <v>46.73</v>
      </c>
      <c r="M25" s="73">
        <v>150</v>
      </c>
      <c r="N25" s="154">
        <v>103.81</v>
      </c>
      <c r="O25" s="73">
        <v>150</v>
      </c>
      <c r="P25" s="73">
        <v>0</v>
      </c>
      <c r="Q25" s="73">
        <v>150</v>
      </c>
      <c r="R25" s="73">
        <v>15.74</v>
      </c>
      <c r="S25" s="73">
        <v>150</v>
      </c>
      <c r="T25" s="73">
        <v>100</v>
      </c>
      <c r="U25" s="73"/>
      <c r="V25" s="73">
        <v>100</v>
      </c>
      <c r="W25" s="73"/>
      <c r="X25" s="73">
        <v>100</v>
      </c>
      <c r="Y25" s="73"/>
      <c r="Z25" s="520">
        <v>250</v>
      </c>
    </row>
    <row r="26" spans="1:26">
      <c r="A26" s="48" t="s">
        <v>523</v>
      </c>
      <c r="B26" s="31" t="s">
        <v>525</v>
      </c>
      <c r="C26" s="73">
        <v>800</v>
      </c>
      <c r="D26" s="73">
        <v>637.23</v>
      </c>
      <c r="E26" s="73">
        <v>750</v>
      </c>
      <c r="F26" s="73">
        <v>391.15</v>
      </c>
      <c r="G26" s="73">
        <v>1500</v>
      </c>
      <c r="H26" s="73">
        <v>995.34</v>
      </c>
      <c r="I26" s="73">
        <v>1250</v>
      </c>
      <c r="J26" s="73">
        <v>288.33999999999997</v>
      </c>
      <c r="K26" s="73">
        <v>600</v>
      </c>
      <c r="L26" s="73">
        <v>400.44</v>
      </c>
      <c r="M26" s="73">
        <v>600</v>
      </c>
      <c r="N26" s="154">
        <v>515.6</v>
      </c>
      <c r="O26" s="73">
        <v>500</v>
      </c>
      <c r="P26" s="73">
        <v>0</v>
      </c>
      <c r="Q26" s="73">
        <v>500</v>
      </c>
      <c r="R26" s="73">
        <v>348.74</v>
      </c>
      <c r="S26" s="73">
        <v>500</v>
      </c>
      <c r="T26" s="73">
        <v>500</v>
      </c>
      <c r="U26" s="73"/>
      <c r="V26" s="73">
        <v>500</v>
      </c>
      <c r="W26" s="73">
        <v>171.82</v>
      </c>
      <c r="X26" s="73">
        <v>500</v>
      </c>
      <c r="Y26" s="73"/>
      <c r="Z26" s="520">
        <v>500</v>
      </c>
    </row>
    <row r="27" spans="1:26" hidden="1">
      <c r="A27" s="48" t="s">
        <v>526</v>
      </c>
      <c r="B27" s="31" t="s">
        <v>527</v>
      </c>
      <c r="C27" s="73">
        <v>300</v>
      </c>
      <c r="D27" s="73">
        <v>81.239999999999995</v>
      </c>
      <c r="E27" s="73">
        <v>0</v>
      </c>
      <c r="F27" s="73">
        <v>0</v>
      </c>
      <c r="G27" s="73">
        <v>0</v>
      </c>
      <c r="H27" s="73">
        <v>0</v>
      </c>
      <c r="I27" s="73">
        <v>0</v>
      </c>
      <c r="J27" s="73"/>
      <c r="K27" s="73">
        <v>0</v>
      </c>
      <c r="L27" s="73">
        <v>0</v>
      </c>
      <c r="M27" s="73">
        <v>0</v>
      </c>
      <c r="N27" s="154">
        <v>0</v>
      </c>
      <c r="O27" s="73">
        <v>0</v>
      </c>
      <c r="P27" s="73"/>
      <c r="Q27" s="73"/>
      <c r="R27" s="73"/>
      <c r="S27" s="73"/>
      <c r="T27" s="73"/>
      <c r="U27" s="73"/>
      <c r="V27" s="73"/>
      <c r="W27" s="73"/>
      <c r="X27" s="73"/>
      <c r="Y27" s="73"/>
      <c r="Z27" s="520"/>
    </row>
    <row r="28" spans="1:26">
      <c r="A28" s="48" t="s">
        <v>523</v>
      </c>
      <c r="B28" s="31" t="s">
        <v>528</v>
      </c>
      <c r="C28" s="73">
        <v>1000</v>
      </c>
      <c r="D28" s="73">
        <v>900.2</v>
      </c>
      <c r="E28" s="73">
        <v>900</v>
      </c>
      <c r="F28" s="73">
        <v>351.21</v>
      </c>
      <c r="G28" s="73">
        <v>400</v>
      </c>
      <c r="H28" s="73">
        <v>289.58999999999997</v>
      </c>
      <c r="I28" s="73">
        <v>400</v>
      </c>
      <c r="J28" s="73">
        <v>471.76</v>
      </c>
      <c r="K28" s="73">
        <v>500</v>
      </c>
      <c r="L28" s="73">
        <v>586.88</v>
      </c>
      <c r="M28" s="73">
        <v>500</v>
      </c>
      <c r="N28" s="154">
        <v>400.66</v>
      </c>
      <c r="O28" s="73">
        <v>400</v>
      </c>
      <c r="P28" s="73">
        <v>0</v>
      </c>
      <c r="Q28" s="73">
        <v>400</v>
      </c>
      <c r="R28" s="73">
        <v>164.24</v>
      </c>
      <c r="S28" s="73">
        <v>300</v>
      </c>
      <c r="T28" s="73">
        <v>350</v>
      </c>
      <c r="U28" s="73"/>
      <c r="V28" s="73">
        <v>400</v>
      </c>
      <c r="W28" s="73">
        <v>-328.02</v>
      </c>
      <c r="X28" s="73">
        <v>400</v>
      </c>
      <c r="Y28" s="73"/>
      <c r="Z28" s="520">
        <v>400</v>
      </c>
    </row>
    <row r="29" spans="1:26" hidden="1">
      <c r="A29" s="48" t="s">
        <v>529</v>
      </c>
      <c r="B29" s="31" t="s">
        <v>530</v>
      </c>
      <c r="C29" s="73">
        <v>300</v>
      </c>
      <c r="D29" s="73">
        <v>55.75</v>
      </c>
      <c r="E29" s="73">
        <v>0</v>
      </c>
      <c r="F29" s="73">
        <v>0</v>
      </c>
      <c r="G29" s="73">
        <v>0</v>
      </c>
      <c r="H29" s="73">
        <v>0</v>
      </c>
      <c r="I29" s="73">
        <v>0</v>
      </c>
      <c r="J29" s="73">
        <v>0</v>
      </c>
      <c r="K29" s="73">
        <v>0</v>
      </c>
      <c r="L29" s="73">
        <v>0</v>
      </c>
      <c r="M29" s="73">
        <v>0</v>
      </c>
      <c r="N29" s="154">
        <v>0</v>
      </c>
      <c r="O29" s="73">
        <v>0</v>
      </c>
      <c r="P29" s="73"/>
      <c r="Q29" s="73"/>
      <c r="R29" s="73"/>
      <c r="S29" s="73"/>
      <c r="T29" s="73"/>
      <c r="U29" s="73"/>
      <c r="V29" s="73"/>
      <c r="W29" s="73"/>
      <c r="X29" s="73"/>
      <c r="Y29" s="73"/>
      <c r="Z29" s="520"/>
    </row>
    <row r="30" spans="1:26" hidden="1">
      <c r="A30" s="48"/>
      <c r="B30" s="35" t="s">
        <v>367</v>
      </c>
      <c r="C30" s="73">
        <v>0</v>
      </c>
      <c r="D30" s="73">
        <v>0</v>
      </c>
      <c r="E30" s="73">
        <v>0</v>
      </c>
      <c r="F30" s="73">
        <v>0</v>
      </c>
      <c r="G30" s="73">
        <v>0</v>
      </c>
      <c r="H30" s="73">
        <v>0</v>
      </c>
      <c r="I30" s="73">
        <v>300</v>
      </c>
      <c r="J30" s="73">
        <v>0</v>
      </c>
      <c r="K30" s="73">
        <v>0</v>
      </c>
      <c r="L30" s="73">
        <v>0</v>
      </c>
      <c r="M30" s="73">
        <v>0</v>
      </c>
      <c r="N30" s="154">
        <v>0</v>
      </c>
      <c r="O30" s="73">
        <v>0</v>
      </c>
      <c r="P30" s="73"/>
      <c r="Q30" s="73"/>
      <c r="R30" s="73"/>
      <c r="S30" s="73"/>
      <c r="T30" s="73"/>
      <c r="U30" s="73"/>
      <c r="V30" s="73"/>
      <c r="W30" s="73"/>
      <c r="X30" s="73"/>
      <c r="Y30" s="73"/>
      <c r="Z30" s="520"/>
    </row>
    <row r="31" spans="1:26" hidden="1">
      <c r="A31" s="48"/>
      <c r="B31" s="35" t="s">
        <v>531</v>
      </c>
      <c r="C31" s="73">
        <v>0</v>
      </c>
      <c r="D31" s="73">
        <v>0</v>
      </c>
      <c r="E31" s="73">
        <v>0</v>
      </c>
      <c r="F31" s="73">
        <v>0</v>
      </c>
      <c r="G31" s="73">
        <v>0</v>
      </c>
      <c r="H31" s="73">
        <v>0</v>
      </c>
      <c r="I31" s="73">
        <v>300</v>
      </c>
      <c r="J31" s="73">
        <v>0</v>
      </c>
      <c r="K31" s="73">
        <v>0</v>
      </c>
      <c r="L31" s="73">
        <v>0</v>
      </c>
      <c r="M31" s="73">
        <v>0</v>
      </c>
      <c r="N31" s="154">
        <v>0</v>
      </c>
      <c r="O31" s="73">
        <v>0</v>
      </c>
      <c r="P31" s="73"/>
      <c r="Q31" s="73"/>
      <c r="R31" s="73"/>
      <c r="S31" s="73"/>
      <c r="T31" s="73"/>
      <c r="U31" s="73"/>
      <c r="V31" s="73"/>
      <c r="W31" s="73"/>
      <c r="X31" s="73"/>
      <c r="Y31" s="73"/>
      <c r="Z31" s="520"/>
    </row>
    <row r="32" spans="1:26" hidden="1">
      <c r="A32" s="48"/>
      <c r="B32" s="35" t="s">
        <v>532</v>
      </c>
      <c r="C32" s="73">
        <v>0</v>
      </c>
      <c r="D32" s="73">
        <v>0</v>
      </c>
      <c r="E32" s="73">
        <v>0</v>
      </c>
      <c r="F32" s="73">
        <v>0</v>
      </c>
      <c r="G32" s="73">
        <v>0</v>
      </c>
      <c r="H32" s="73">
        <v>0</v>
      </c>
      <c r="I32" s="73">
        <v>300</v>
      </c>
      <c r="J32" s="73">
        <v>0</v>
      </c>
      <c r="K32" s="73">
        <v>0</v>
      </c>
      <c r="L32" s="73">
        <v>0</v>
      </c>
      <c r="M32" s="73">
        <v>0</v>
      </c>
      <c r="N32" s="154">
        <v>0</v>
      </c>
      <c r="O32" s="73">
        <v>0</v>
      </c>
      <c r="P32" s="73"/>
      <c r="Q32" s="73"/>
      <c r="R32" s="73"/>
      <c r="S32" s="73"/>
      <c r="T32" s="73"/>
      <c r="U32" s="73"/>
      <c r="V32" s="73"/>
      <c r="W32" s="73"/>
      <c r="X32" s="73"/>
      <c r="Y32" s="73"/>
      <c r="Z32" s="520"/>
    </row>
    <row r="33" spans="1:26" hidden="1">
      <c r="A33" s="48"/>
      <c r="B33" s="35" t="s">
        <v>533</v>
      </c>
      <c r="C33" s="73">
        <v>0</v>
      </c>
      <c r="D33" s="73">
        <v>0</v>
      </c>
      <c r="E33" s="73">
        <v>0</v>
      </c>
      <c r="F33" s="73">
        <v>0</v>
      </c>
      <c r="G33" s="73">
        <v>0</v>
      </c>
      <c r="H33" s="73">
        <v>0</v>
      </c>
      <c r="I33" s="73">
        <v>300</v>
      </c>
      <c r="J33" s="73">
        <v>0</v>
      </c>
      <c r="K33" s="73">
        <v>0</v>
      </c>
      <c r="L33" s="73">
        <v>0</v>
      </c>
      <c r="M33" s="73">
        <v>0</v>
      </c>
      <c r="N33" s="154">
        <v>0</v>
      </c>
      <c r="O33" s="73">
        <v>0</v>
      </c>
      <c r="P33" s="73"/>
      <c r="Q33" s="73"/>
      <c r="R33" s="73"/>
      <c r="S33" s="73"/>
      <c r="T33" s="73"/>
      <c r="U33" s="73"/>
      <c r="V33" s="73"/>
      <c r="W33" s="73"/>
      <c r="X33" s="73"/>
      <c r="Y33" s="73"/>
      <c r="Z33" s="643"/>
    </row>
    <row r="34" spans="1:26">
      <c r="A34" s="48" t="s">
        <v>523</v>
      </c>
      <c r="B34" s="31" t="s">
        <v>534</v>
      </c>
      <c r="C34" s="73">
        <v>0</v>
      </c>
      <c r="D34" s="73">
        <v>0</v>
      </c>
      <c r="E34" s="73">
        <v>0</v>
      </c>
      <c r="F34" s="73">
        <v>0</v>
      </c>
      <c r="G34" s="73">
        <v>0</v>
      </c>
      <c r="H34" s="73">
        <v>0</v>
      </c>
      <c r="I34" s="73">
        <v>400</v>
      </c>
      <c r="J34" s="73">
        <v>0</v>
      </c>
      <c r="K34" s="73">
        <v>400</v>
      </c>
      <c r="L34" s="73">
        <v>0</v>
      </c>
      <c r="M34" s="73">
        <v>400</v>
      </c>
      <c r="N34" s="154">
        <v>0</v>
      </c>
      <c r="O34" s="73">
        <v>400</v>
      </c>
      <c r="P34" s="73">
        <v>0</v>
      </c>
      <c r="Q34" s="73">
        <v>400</v>
      </c>
      <c r="R34" s="73"/>
      <c r="S34" s="73">
        <v>300</v>
      </c>
      <c r="T34" s="73">
        <v>300</v>
      </c>
      <c r="U34" s="73"/>
      <c r="V34" s="73">
        <v>0</v>
      </c>
      <c r="W34" s="73"/>
      <c r="X34" s="73"/>
      <c r="Y34" s="73"/>
      <c r="Z34" s="643"/>
    </row>
    <row r="35" spans="1:26">
      <c r="A35" s="48" t="s">
        <v>535</v>
      </c>
      <c r="B35" s="31" t="s">
        <v>302</v>
      </c>
      <c r="C35" s="73">
        <v>0</v>
      </c>
      <c r="D35" s="73">
        <v>0</v>
      </c>
      <c r="E35" s="73">
        <v>0</v>
      </c>
      <c r="F35" s="73">
        <v>0</v>
      </c>
      <c r="G35" s="73">
        <v>0</v>
      </c>
      <c r="H35" s="73">
        <v>0</v>
      </c>
      <c r="I35" s="73">
        <v>510</v>
      </c>
      <c r="J35" s="73">
        <v>287.18</v>
      </c>
      <c r="K35" s="73">
        <v>500</v>
      </c>
      <c r="L35" s="73">
        <v>631.11</v>
      </c>
      <c r="M35" s="73">
        <v>500</v>
      </c>
      <c r="N35" s="154">
        <v>485.33</v>
      </c>
      <c r="O35" s="73">
        <v>550</v>
      </c>
      <c r="P35" s="73">
        <v>567.16</v>
      </c>
      <c r="Q35" s="73">
        <v>550</v>
      </c>
      <c r="R35" s="73">
        <v>529.36</v>
      </c>
      <c r="S35" s="73">
        <v>550</v>
      </c>
      <c r="T35" s="73">
        <v>600</v>
      </c>
      <c r="U35" s="73">
        <v>510.81</v>
      </c>
      <c r="V35" s="73">
        <v>400</v>
      </c>
      <c r="W35" s="73">
        <v>-17.5</v>
      </c>
      <c r="X35" s="73">
        <v>300</v>
      </c>
      <c r="Y35" s="73">
        <v>90</v>
      </c>
      <c r="Z35" s="643">
        <v>300</v>
      </c>
    </row>
    <row r="36" spans="1:26">
      <c r="A36" s="48"/>
      <c r="B36" s="35" t="s">
        <v>536</v>
      </c>
      <c r="C36" s="73"/>
      <c r="D36" s="73"/>
      <c r="E36" s="73"/>
      <c r="F36" s="73"/>
      <c r="G36" s="73"/>
      <c r="H36" s="73"/>
      <c r="I36" s="73"/>
      <c r="J36" s="73"/>
      <c r="K36" s="73"/>
      <c r="L36" s="73"/>
      <c r="M36" s="73"/>
      <c r="N36" s="154"/>
      <c r="O36" s="73"/>
      <c r="P36" s="73"/>
      <c r="Q36" s="73"/>
      <c r="R36" s="73"/>
      <c r="S36" s="73"/>
      <c r="T36" s="73"/>
      <c r="U36" s="73"/>
      <c r="V36" s="73"/>
      <c r="W36" s="73"/>
      <c r="X36" s="73">
        <v>500</v>
      </c>
      <c r="Y36" s="73"/>
      <c r="Z36" s="643">
        <v>0</v>
      </c>
    </row>
    <row r="37" spans="1:26">
      <c r="A37" s="49" t="s">
        <v>523</v>
      </c>
      <c r="B37" s="35" t="s">
        <v>537</v>
      </c>
      <c r="C37" s="73">
        <v>0</v>
      </c>
      <c r="D37" s="73">
        <v>0</v>
      </c>
      <c r="E37" s="73">
        <v>0</v>
      </c>
      <c r="F37" s="73">
        <v>0</v>
      </c>
      <c r="G37" s="73">
        <v>0</v>
      </c>
      <c r="H37" s="73">
        <v>0</v>
      </c>
      <c r="I37" s="73">
        <v>0</v>
      </c>
      <c r="J37" s="73">
        <v>0</v>
      </c>
      <c r="K37" s="73">
        <v>0</v>
      </c>
      <c r="L37" s="73">
        <v>0</v>
      </c>
      <c r="M37" s="73">
        <v>0</v>
      </c>
      <c r="N37" s="154">
        <v>0</v>
      </c>
      <c r="O37" s="73">
        <v>600</v>
      </c>
      <c r="P37" s="73"/>
      <c r="Q37" s="73">
        <v>700</v>
      </c>
      <c r="R37" s="73">
        <v>649.15</v>
      </c>
      <c r="S37" s="73">
        <v>900</v>
      </c>
      <c r="T37" s="73">
        <v>800</v>
      </c>
      <c r="U37" s="73"/>
      <c r="V37" s="73">
        <v>800</v>
      </c>
      <c r="W37" s="73"/>
      <c r="X37" s="73">
        <v>800</v>
      </c>
      <c r="Y37" s="73"/>
      <c r="Z37" s="643">
        <v>800</v>
      </c>
    </row>
    <row r="38" spans="1:26">
      <c r="A38" s="49" t="s">
        <v>523</v>
      </c>
      <c r="B38" s="35" t="s">
        <v>538</v>
      </c>
      <c r="C38" s="73">
        <v>0</v>
      </c>
      <c r="D38" s="73">
        <v>0</v>
      </c>
      <c r="E38" s="73">
        <v>0</v>
      </c>
      <c r="F38" s="73">
        <v>0</v>
      </c>
      <c r="G38" s="73">
        <v>0</v>
      </c>
      <c r="H38" s="73">
        <v>0</v>
      </c>
      <c r="I38" s="73">
        <v>0</v>
      </c>
      <c r="J38" s="73">
        <v>0</v>
      </c>
      <c r="K38" s="73">
        <v>0</v>
      </c>
      <c r="L38" s="73">
        <v>0</v>
      </c>
      <c r="M38" s="73">
        <v>0</v>
      </c>
      <c r="N38" s="154">
        <v>0</v>
      </c>
      <c r="O38" s="73">
        <v>300</v>
      </c>
      <c r="P38" s="73"/>
      <c r="Q38" s="73">
        <v>200</v>
      </c>
      <c r="R38" s="73"/>
      <c r="S38" s="73"/>
      <c r="T38" s="73"/>
      <c r="U38" s="73"/>
      <c r="V38" s="73"/>
      <c r="W38" s="73"/>
      <c r="X38" s="73"/>
      <c r="Y38" s="73"/>
      <c r="Z38" s="643"/>
    </row>
    <row r="39" spans="1:26">
      <c r="A39" s="287"/>
      <c r="B39" s="11" t="s">
        <v>21</v>
      </c>
      <c r="C39" s="388">
        <f>SUBTOTAL(109,WomensCentreExpenses[Budget 10/11])</f>
        <v>6562.22</v>
      </c>
      <c r="D39" s="388">
        <f>SUBTOTAL(109,WomensCentreExpenses[Actual 10/11])</f>
        <v>5608.36</v>
      </c>
      <c r="E39" s="388">
        <f>SUBTOTAL(109,WomensCentreExpenses[Budget 11/12])</f>
        <v>11322.2</v>
      </c>
      <c r="F39" s="388">
        <f>SUBTOTAL(109,WomensCentreExpenses[Actual 11/12])</f>
        <v>7945.32</v>
      </c>
      <c r="G39" s="388">
        <f>SUBTOTAL(109,WomensCentreExpenses[Budget 12/13])</f>
        <v>6025</v>
      </c>
      <c r="H39" s="388">
        <f>SUBTOTAL(109,WomensCentreExpenses[Actual 12/13])</f>
        <v>4635.8500000000004</v>
      </c>
      <c r="I39" s="388">
        <f>SUBTOTAL(109,WomensCentreExpenses[Budget 13/14])</f>
        <v>5215</v>
      </c>
      <c r="J39" s="388">
        <f>SUBTOTAL(109,WomensCentreExpenses[Actual 13/14])</f>
        <v>3784.5399999999995</v>
      </c>
      <c r="K39" s="388">
        <f>SUBTOTAL(109,WomensCentreExpenses[Budget 14/15])</f>
        <v>5075</v>
      </c>
      <c r="L39" s="388">
        <f>SUBTOTAL(109,WomensCentreExpenses[Actual 14/15])</f>
        <v>5646.6299999999992</v>
      </c>
      <c r="M39" s="388">
        <f>SUBTOTAL(109,WomensCentreExpenses[Budget 15/16])</f>
        <v>5700</v>
      </c>
      <c r="N39" s="389">
        <f>SUBTOTAL(109,WomensCentreExpenses[Actual 15/16])</f>
        <v>5694.2800000000007</v>
      </c>
      <c r="O39" s="388">
        <f>SUBTOTAL(109,WomensCentreExpenses[Budget 16/17])</f>
        <v>5950</v>
      </c>
      <c r="P39" s="388">
        <f>SUBTOTAL(109,WomensCentreExpenses[Actual 16/17])</f>
        <v>5282.6900000000005</v>
      </c>
      <c r="Q39" s="388">
        <f>SUBTOTAL(109,WomensCentreExpenses[Budget 17/18])</f>
        <v>7150</v>
      </c>
      <c r="R39" s="390">
        <f>SUM(WomensCentreExpenses[Actual 17/18])</f>
        <v>4323.51</v>
      </c>
      <c r="S39" s="390">
        <f>SUM(WomensCentreExpenses[Budget 18/19])</f>
        <v>6510</v>
      </c>
      <c r="T39" s="390">
        <f>SUM(WomensCentreExpenses[Budget 19/20])</f>
        <v>6315</v>
      </c>
      <c r="U39" s="390">
        <f>SUM(WomensCentreExpenses[Actual P12 19/20])</f>
        <v>3748.98</v>
      </c>
      <c r="V39" s="390">
        <f>SUM(WomensCentreExpenses[Budget 20/21])</f>
        <v>18765</v>
      </c>
      <c r="W39" s="390">
        <f>SUM(WomensCentreExpenses[Actual 20/21])</f>
        <v>14258.729999999998</v>
      </c>
      <c r="X39" s="390">
        <f>SUM(WomensCentreExpenses[Budget 21/22])</f>
        <v>46344.999999999993</v>
      </c>
      <c r="Y39" s="390">
        <f>SUBTOTAL(109,WomensCentreExpenses[Actual 21/22])</f>
        <v>34246.199999999997</v>
      </c>
      <c r="Z39" s="593">
        <f>SUM(WomensCentreExpenses[Budget 22/23])</f>
        <v>46474</v>
      </c>
    </row>
    <row r="41" spans="1:26" ht="13.5" thickBot="1">
      <c r="B41" s="287"/>
      <c r="C41" s="21"/>
      <c r="D41" s="21"/>
      <c r="E41" s="21"/>
      <c r="F41" s="21"/>
      <c r="G41" s="21"/>
      <c r="H41" s="21"/>
      <c r="I41" s="21"/>
      <c r="J41" s="21"/>
      <c r="K41" s="21"/>
      <c r="L41" s="21"/>
      <c r="M41" s="21"/>
    </row>
    <row r="42" spans="1:26" ht="19.5" thickBot="1">
      <c r="B42" s="611" t="s">
        <v>127</v>
      </c>
      <c r="C42" s="27">
        <f>WomensCentreRevenues[[#Totals],[Budget 10/11]]-WomensCentreExpenses[[#Totals],[Budget 10/11]]</f>
        <v>-6562.22</v>
      </c>
      <c r="D42" s="27">
        <f>WomensCentreRevenues[[#Totals],[Actual 10/11]]-WomensCentreExpenses[[#Totals],[Actual 10/11]]</f>
        <v>-5608.36</v>
      </c>
      <c r="E42" s="27">
        <f>WomensCentreRevenues[[#Totals],[Budget 11/12]]-WomensCentreExpenses[[#Totals],[Budget 11/12]]</f>
        <v>-11322.2</v>
      </c>
      <c r="F42" s="27">
        <f>WomensCentreRevenues[[#Totals],[Actual 11/12]]-WomensCentreExpenses[[#Totals],[Actual 11/12]]</f>
        <v>-7430.66</v>
      </c>
      <c r="G42" s="27">
        <f>WomensCentreRevenues[[#Totals],[Budget 12/13]]-WomensCentreExpenses[[#Totals],[Budget 12/13]]</f>
        <v>-6025</v>
      </c>
      <c r="H42" s="27">
        <f>WomensCentreRevenues[[#Totals],[Actual 12/13]]-WomensCentreExpenses[[#Totals],[Actual 12/13]]</f>
        <v>-4635.8500000000004</v>
      </c>
      <c r="I42" s="27">
        <f>WomensCentreRevenues[[#Totals],[Budget 13/14]]-WomensCentreExpenses[[#Totals],[Budget 13/14]]</f>
        <v>-5215</v>
      </c>
      <c r="J42" s="27">
        <f>WomensCentreRevenues[[#Totals],[Actual 13/14]]-WomensCentreExpenses[[#Totals],[Actual 13/14]]</f>
        <v>-3784.5399999999995</v>
      </c>
      <c r="K42" s="27">
        <f>WomensCentreRevenues[[#Totals],[Budget 14/15]]-WomensCentreExpenses[[#Totals],[Budget 14/15]]</f>
        <v>-5075</v>
      </c>
      <c r="L42" s="27">
        <f>WomensCentreRevenues[[#Totals],[Actual 14/15]]-WomensCentreExpenses[[#Totals],[Actual 14/15]]</f>
        <v>-5421.6299999999992</v>
      </c>
      <c r="M42" s="27">
        <f>WomensCentreRevenues[[#Totals],[Budget 15/16]]-WomensCentreExpenses[[#Totals],[Budget 15/16]]</f>
        <v>-5700</v>
      </c>
      <c r="N42" s="27">
        <f>WomensCentreRevenues[[#Totals],[Actual 15/16]]-WomensCentreExpenses[[#Totals],[Actual 15/16]]</f>
        <v>-5087.5300000000007</v>
      </c>
      <c r="O42" s="64">
        <f>WomensCentreRevenues[[#Totals],[Budget 16/17]]-WomensCentreExpenses[[#Totals],[Budget 16/17]]</f>
        <v>-5950</v>
      </c>
      <c r="P42" s="64">
        <f>WomensCentreRevenues[[#Totals],[Actual 16/17]]-WomensCentreExpenses[[#Totals],[Actual 16/17]]</f>
        <v>-5282.6900000000005</v>
      </c>
      <c r="Q42" s="64">
        <f>WomensCentreRevenues[[#Totals],[Budget 17/18]]-WomensCentreExpenses[[#Totals],[Budget 17/18]]</f>
        <v>-7150</v>
      </c>
      <c r="R42" s="64">
        <f>WomensCentreRevenues[[#Totals],[Actual 17/18]]-WomensCentreExpenses[[#Totals],[Actual 17/18]]</f>
        <v>-4323.51</v>
      </c>
      <c r="S42" s="64">
        <f>WomensCentreRevenues[[#Totals],[Budget 18/19]]-WomensCentreExpenses[[#Totals],[Budget 18/19]]</f>
        <v>-6510</v>
      </c>
      <c r="T42" s="64">
        <f>WomensCentreRevenues[[#Totals],[Budget 19/20]]-WomensCentreExpenses[[#Totals],[Budget 19/20]]</f>
        <v>-6315</v>
      </c>
      <c r="U42" s="64">
        <f>WomensCentreRevenues[[#Totals],[Actual P12 19/20]]-WomensCentreExpenses[[#Totals],[Actual P12 19/20]]</f>
        <v>-3748.98</v>
      </c>
      <c r="V42" s="64">
        <f>WomensCentreRevenues[[#Totals],[Budget 20/21]]-WomensCentreExpenses[[#Totals],[Budget 20/21]]</f>
        <v>-18765</v>
      </c>
      <c r="W42" s="64">
        <f>WomensCentreRevenues[[#Totals],[Actual 20/21]]-WomensCentreExpenses[[#Totals],[Actual 20/21]]</f>
        <v>-14258.729999999998</v>
      </c>
      <c r="X42" s="64">
        <f>WomensCentreRevenues[[#Totals],[Budget 21/22]]-WomensCentreExpenses[[#Totals],[Budget 21/22]]</f>
        <v>-46344.999999999993</v>
      </c>
      <c r="Y42" s="64">
        <f>WomensCentreRevenues[[#Totals],[Actual 21/22]]-WomensCentreExpenses[[#Totals],[Actual 21/22]]</f>
        <v>-34245.229999999996</v>
      </c>
      <c r="Z42" s="64">
        <f>WomensCentreRevenues[[#Totals],[Budget 22/23]]-WomensCentreExpenses[[#Totals],[Budget 22/23]]</f>
        <v>-46474</v>
      </c>
    </row>
    <row r="46" spans="1:26">
      <c r="E46"/>
      <c r="F46"/>
      <c r="G46"/>
      <c r="H46"/>
      <c r="I46"/>
      <c r="J46"/>
      <c r="K46"/>
      <c r="L46"/>
      <c r="M46"/>
      <c r="N46" s="138"/>
    </row>
    <row r="47" spans="1:26">
      <c r="E47"/>
      <c r="F47"/>
      <c r="G47"/>
      <c r="H47"/>
      <c r="I47"/>
      <c r="J47"/>
      <c r="K47"/>
      <c r="L47"/>
      <c r="M47"/>
      <c r="N47" s="138"/>
    </row>
    <row r="48" spans="1:26">
      <c r="E48"/>
      <c r="F48"/>
      <c r="G48"/>
      <c r="H48"/>
      <c r="I48"/>
      <c r="J48"/>
      <c r="K48"/>
      <c r="L48"/>
      <c r="M48"/>
      <c r="N48" s="138"/>
    </row>
    <row r="49" spans="5:14">
      <c r="E49"/>
      <c r="F49"/>
      <c r="G49"/>
      <c r="H49"/>
      <c r="I49"/>
      <c r="J49"/>
      <c r="K49"/>
      <c r="L49"/>
      <c r="M49"/>
      <c r="N49" s="138"/>
    </row>
    <row r="50" spans="5:14">
      <c r="E50"/>
      <c r="F50"/>
      <c r="G50"/>
      <c r="H50"/>
      <c r="I50"/>
      <c r="J50"/>
      <c r="K50"/>
      <c r="L50"/>
      <c r="M50"/>
      <c r="N50" s="138"/>
    </row>
    <row r="51" spans="5:14">
      <c r="E51"/>
      <c r="F51"/>
      <c r="G51"/>
      <c r="H51"/>
      <c r="I51"/>
      <c r="J51"/>
      <c r="K51"/>
      <c r="L51"/>
      <c r="M51"/>
      <c r="N51" s="138"/>
    </row>
    <row r="52" spans="5:14">
      <c r="E52"/>
      <c r="F52"/>
      <c r="G52"/>
      <c r="H52"/>
      <c r="I52"/>
      <c r="J52"/>
      <c r="K52"/>
      <c r="L52"/>
      <c r="M52"/>
      <c r="N52" s="138"/>
    </row>
    <row r="53" spans="5:14">
      <c r="E53"/>
      <c r="F53"/>
      <c r="G53"/>
      <c r="H53"/>
      <c r="I53"/>
      <c r="J53"/>
      <c r="K53"/>
      <c r="L53"/>
      <c r="M53"/>
      <c r="N53" s="138"/>
    </row>
    <row r="54" spans="5:14">
      <c r="E54"/>
      <c r="F54"/>
      <c r="G54"/>
      <c r="H54"/>
      <c r="I54"/>
      <c r="J54"/>
      <c r="K54"/>
      <c r="L54"/>
      <c r="M54"/>
      <c r="N54" s="138"/>
    </row>
    <row r="55" spans="5:14">
      <c r="E55"/>
      <c r="F55"/>
      <c r="G55"/>
      <c r="H55"/>
      <c r="I55"/>
      <c r="J55"/>
      <c r="K55"/>
      <c r="L55"/>
      <c r="M55"/>
      <c r="N55" s="138"/>
    </row>
  </sheetData>
  <sortState xmlns:xlrd2="http://schemas.microsoft.com/office/spreadsheetml/2017/richdata2" ref="L11:N20">
    <sortCondition ref="L10"/>
  </sortState>
  <customSheetViews>
    <customSheetView guid="{DC934874-AE9C-4DF4-8DA8-4394DABABB42}" showRuler="0">
      <selection activeCell="G19" sqref="G19"/>
      <pageMargins left="0" right="0" top="0" bottom="0" header="0" footer="0"/>
      <pageSetup orientation="portrait"/>
      <headerFooter alignWithMargins="0"/>
    </customSheetView>
    <customSheetView guid="{7FD89B2E-4983-4B8D-ABA2-A07F685A0C6E}" showRuler="0">
      <selection activeCell="A6" sqref="A6"/>
      <pageMargins left="0" right="0" top="0" bottom="0" header="0" footer="0"/>
      <pageSetup orientation="portrait"/>
      <headerFooter alignWithMargins="0"/>
    </customSheetView>
    <customSheetView guid="{84D8AC11-A493-4338-8044-6F4154C29695}" showRuler="0">
      <selection sqref="A1:IV65536"/>
      <pageMargins left="0" right="0" top="0" bottom="0" header="0" footer="0"/>
      <pageSetup orientation="portrait"/>
      <headerFooter alignWithMargins="0"/>
    </customSheetView>
    <customSheetView guid="{BB157E55-0A2E-4D9F-A3BF-E83E5442FC27}" showPageBreaks="1" showRuler="0">
      <selection activeCell="A12" sqref="A12"/>
      <pageMargins left="0" right="0" top="0" bottom="0" header="0" footer="0"/>
      <pageSetup orientation="portrait"/>
      <headerFooter alignWithMargins="0"/>
    </customSheetView>
  </customSheetViews>
  <mergeCells count="2">
    <mergeCell ref="A1:B1"/>
    <mergeCell ref="A3:B3"/>
  </mergeCells>
  <phoneticPr fontId="0" type="noConversion"/>
  <pageMargins left="0" right="0" top="0.98425196850393704" bottom="0.98425196850393704" header="0.51181102362204722" footer="0.51181102362204722"/>
  <pageSetup orientation="landscape" blackAndWhite="1" r:id="rId1"/>
  <headerFooter alignWithMargins="0"/>
  <legacyDrawing r:id="rId2"/>
  <tableParts count="2">
    <tablePart r:id="rId3"/>
    <tablePart r:id="rId4"/>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theme="1"/>
  </sheetPr>
  <dimension ref="A1:T52"/>
  <sheetViews>
    <sheetView topLeftCell="A10" zoomScale="110" zoomScaleNormal="110" workbookViewId="0">
      <selection activeCell="O40" sqref="O40"/>
    </sheetView>
  </sheetViews>
  <sheetFormatPr defaultColWidth="8.85546875" defaultRowHeight="12.75"/>
  <cols>
    <col min="1" max="1" width="13.7109375" customWidth="1"/>
    <col min="2" max="2" width="27.7109375" bestFit="1" customWidth="1"/>
    <col min="3" max="3" width="16" hidden="1" customWidth="1"/>
    <col min="4" max="4" width="16" style="138" hidden="1" customWidth="1"/>
    <col min="5" max="9" width="16" hidden="1" customWidth="1"/>
    <col min="10" max="10" width="12" hidden="1" customWidth="1"/>
    <col min="11" max="11" width="14.42578125" hidden="1" customWidth="1"/>
    <col min="12" max="12" width="14.7109375" hidden="1" customWidth="1"/>
    <col min="13" max="13" width="18.85546875" hidden="1" customWidth="1"/>
    <col min="14" max="14" width="16.140625" customWidth="1"/>
    <col min="15" max="15" width="17.28515625" customWidth="1"/>
    <col min="16" max="16" width="16" bestFit="1" customWidth="1"/>
    <col min="18" max="18" width="23.85546875" customWidth="1"/>
  </cols>
  <sheetData>
    <row r="1" spans="1:20" ht="18">
      <c r="A1" s="758" t="s">
        <v>539</v>
      </c>
      <c r="B1" s="759"/>
      <c r="C1" s="89"/>
      <c r="D1" s="132"/>
      <c r="E1" s="11"/>
    </row>
    <row r="2" spans="1:20">
      <c r="A2" s="28" t="s">
        <v>226</v>
      </c>
      <c r="B2" s="11"/>
      <c r="C2" s="89"/>
      <c r="D2" s="132"/>
      <c r="E2" s="11"/>
    </row>
    <row r="3" spans="1:20">
      <c r="A3" s="89"/>
      <c r="B3" s="89"/>
      <c r="C3" s="89"/>
      <c r="D3" s="132"/>
      <c r="E3" s="11"/>
    </row>
    <row r="4" spans="1:20">
      <c r="A4" s="89"/>
      <c r="B4" s="89" t="s">
        <v>72</v>
      </c>
      <c r="C4" s="89" t="s">
        <v>9</v>
      </c>
      <c r="D4" s="119" t="s">
        <v>10</v>
      </c>
      <c r="E4" s="11" t="s">
        <v>11</v>
      </c>
      <c r="F4" s="11" t="s">
        <v>12</v>
      </c>
      <c r="G4" s="11" t="s">
        <v>13</v>
      </c>
      <c r="H4" s="11" t="s">
        <v>14</v>
      </c>
      <c r="I4" s="11" t="s">
        <v>15</v>
      </c>
      <c r="J4" s="11" t="s">
        <v>16</v>
      </c>
      <c r="K4" s="11" t="s">
        <v>81</v>
      </c>
      <c r="L4" s="11" t="s">
        <v>17</v>
      </c>
      <c r="M4" s="11" t="s">
        <v>40</v>
      </c>
      <c r="N4" s="11" t="s">
        <v>41</v>
      </c>
      <c r="O4" s="5" t="s">
        <v>42</v>
      </c>
      <c r="P4" s="5" t="s">
        <v>43</v>
      </c>
      <c r="R4" s="11"/>
      <c r="S4" s="11"/>
      <c r="T4" s="11"/>
    </row>
    <row r="5" spans="1:20">
      <c r="A5" s="204" t="s">
        <v>540</v>
      </c>
      <c r="B5" s="89" t="s">
        <v>343</v>
      </c>
      <c r="C5" s="20">
        <v>0</v>
      </c>
      <c r="D5" s="139">
        <v>466</v>
      </c>
      <c r="E5" s="20">
        <v>0</v>
      </c>
      <c r="F5" s="179">
        <v>8314.61</v>
      </c>
      <c r="G5" s="179">
        <v>2000</v>
      </c>
      <c r="H5" s="179">
        <v>12958.27</v>
      </c>
      <c r="I5" s="179">
        <v>11000</v>
      </c>
      <c r="J5" s="179">
        <v>4500</v>
      </c>
      <c r="K5" s="179">
        <v>10110.91</v>
      </c>
      <c r="L5" s="179">
        <v>1500</v>
      </c>
      <c r="M5" s="179">
        <v>2602.56</v>
      </c>
      <c r="N5" s="179">
        <v>2000</v>
      </c>
      <c r="O5" s="179">
        <v>2443.7600000000002</v>
      </c>
      <c r="P5" s="644">
        <v>3000</v>
      </c>
      <c r="S5" s="179"/>
      <c r="T5" s="179"/>
    </row>
    <row r="6" spans="1:20">
      <c r="A6" s="366" t="s">
        <v>541</v>
      </c>
      <c r="B6" s="89" t="s">
        <v>542</v>
      </c>
      <c r="C6" s="20">
        <v>0</v>
      </c>
      <c r="D6" s="155">
        <v>0</v>
      </c>
      <c r="E6" s="20">
        <v>0</v>
      </c>
      <c r="F6" s="179"/>
      <c r="G6" s="179"/>
      <c r="H6" s="179"/>
      <c r="I6" s="179"/>
      <c r="J6" s="179">
        <v>8000</v>
      </c>
      <c r="K6" s="179"/>
      <c r="L6" s="179">
        <v>1000</v>
      </c>
      <c r="M6" s="179">
        <v>1656</v>
      </c>
      <c r="N6" s="179">
        <v>1000</v>
      </c>
      <c r="O6" s="179">
        <v>3935</v>
      </c>
      <c r="P6" s="644">
        <v>5000</v>
      </c>
      <c r="S6" s="179"/>
      <c r="T6" s="179"/>
    </row>
    <row r="7" spans="1:20">
      <c r="A7" s="366" t="s">
        <v>543</v>
      </c>
      <c r="B7" s="11" t="s">
        <v>395</v>
      </c>
      <c r="C7" s="20"/>
      <c r="D7" s="155"/>
      <c r="E7" s="20"/>
      <c r="F7" s="179"/>
      <c r="G7" s="179"/>
      <c r="H7" s="117"/>
      <c r="I7" s="117"/>
      <c r="J7" s="117"/>
      <c r="K7" s="117"/>
      <c r="L7" s="117"/>
      <c r="M7" s="117">
        <v>558.95000000000005</v>
      </c>
      <c r="N7" s="117"/>
      <c r="O7" s="117">
        <v>795.74</v>
      </c>
      <c r="P7" s="644"/>
      <c r="S7" s="117"/>
      <c r="T7" s="117"/>
    </row>
    <row r="8" spans="1:20">
      <c r="A8" s="366" t="s">
        <v>544</v>
      </c>
      <c r="B8" s="89" t="s">
        <v>295</v>
      </c>
      <c r="C8" s="20"/>
      <c r="D8" s="155"/>
      <c r="E8" s="20"/>
      <c r="F8" s="179"/>
      <c r="G8" s="179"/>
      <c r="H8" s="117"/>
      <c r="I8" s="117"/>
      <c r="J8" s="117"/>
      <c r="K8" s="117"/>
      <c r="L8" s="117"/>
      <c r="M8" s="179">
        <v>77</v>
      </c>
      <c r="N8" s="179"/>
      <c r="O8" s="179">
        <v>13</v>
      </c>
      <c r="P8" s="644"/>
      <c r="S8" s="117"/>
      <c r="T8" s="117"/>
    </row>
    <row r="9" spans="1:20">
      <c r="A9" s="366" t="s">
        <v>545</v>
      </c>
      <c r="B9" s="89" t="s">
        <v>546</v>
      </c>
      <c r="C9" s="20"/>
      <c r="D9" s="155"/>
      <c r="E9" s="20"/>
      <c r="F9" s="179"/>
      <c r="G9" s="179"/>
      <c r="H9" s="117"/>
      <c r="I9" s="117"/>
      <c r="J9" s="117"/>
      <c r="K9" s="117"/>
      <c r="L9" s="117"/>
      <c r="M9" s="179"/>
      <c r="N9" s="179"/>
      <c r="O9" s="179">
        <v>931.69</v>
      </c>
      <c r="P9" s="644"/>
      <c r="S9" s="117"/>
      <c r="T9" s="117"/>
    </row>
    <row r="10" spans="1:20">
      <c r="A10" s="89"/>
      <c r="B10" s="11" t="s">
        <v>21</v>
      </c>
      <c r="C10" s="178">
        <f>SUBTOTAL(109,BikeCentreRevenues[Budget 15/16])</f>
        <v>0</v>
      </c>
      <c r="D10" s="145">
        <f>SUBTOTAL(109,BikeCentreRevenues[Actual 15/16])</f>
        <v>466</v>
      </c>
      <c r="E10" s="178">
        <f>SUBTOTAL(109,BikeCentreRevenues[Budget 16/17])</f>
        <v>0</v>
      </c>
      <c r="F10" s="178">
        <f>SUBTOTAL(109,BikeCentreRevenues[Actual 16/17])</f>
        <v>8314.61</v>
      </c>
      <c r="G10" s="178">
        <f>SUBTOTAL(109,BikeCentreRevenues[Budget 17/18])</f>
        <v>2000</v>
      </c>
      <c r="H10" s="21">
        <f>SUM(BikeCentreRevenues[Actual 17/18])</f>
        <v>12958.27</v>
      </c>
      <c r="I10" s="21">
        <f>SUM(BikeCentreRevenues[Budget 18/19])</f>
        <v>11000</v>
      </c>
      <c r="J10" s="21">
        <f>SUM(BikeCentreRevenues[Budget 19/20])</f>
        <v>12500</v>
      </c>
      <c r="K10" s="21">
        <f>SUM(BikeCentreRevenues[Actual P12 19/20])</f>
        <v>10110.91</v>
      </c>
      <c r="L10" s="21">
        <f>SUM(BikeCentreRevenues[Budget 20/21])</f>
        <v>2500</v>
      </c>
      <c r="M10" s="21">
        <f>SUM(BikeCentreRevenues[Actual 20/21])</f>
        <v>4894.5099999999993</v>
      </c>
      <c r="N10" s="21">
        <f>SUM(BikeCentreRevenues[Budget 21/22])</f>
        <v>3000</v>
      </c>
      <c r="O10" s="21">
        <f>SUBTOTAL(109,BikeCentreRevenues[Actual 21/22])</f>
        <v>8119.1900000000005</v>
      </c>
      <c r="P10" s="21">
        <f>SUM(BikeCentreRevenues[Budget 22/23])</f>
        <v>8000</v>
      </c>
      <c r="S10" s="21"/>
      <c r="T10" s="21"/>
    </row>
    <row r="11" spans="1:20">
      <c r="A11" s="89"/>
      <c r="B11" s="89"/>
      <c r="C11" s="20"/>
      <c r="D11" s="155"/>
      <c r="E11" s="20"/>
    </row>
    <row r="12" spans="1:20">
      <c r="B12" s="89"/>
      <c r="C12" s="89"/>
      <c r="D12" s="155"/>
      <c r="E12" s="20"/>
    </row>
    <row r="13" spans="1:20">
      <c r="A13" s="88" t="s">
        <v>83</v>
      </c>
      <c r="B13" s="89" t="s">
        <v>22</v>
      </c>
      <c r="C13" s="89" t="s">
        <v>9</v>
      </c>
      <c r="D13" s="119" t="s">
        <v>10</v>
      </c>
      <c r="E13" s="11" t="s">
        <v>11</v>
      </c>
      <c r="F13" s="11" t="s">
        <v>12</v>
      </c>
      <c r="G13" s="11" t="s">
        <v>13</v>
      </c>
      <c r="H13" s="11" t="s">
        <v>14</v>
      </c>
      <c r="I13" s="11" t="s">
        <v>15</v>
      </c>
      <c r="J13" s="11" t="s">
        <v>16</v>
      </c>
      <c r="K13" s="11" t="s">
        <v>81</v>
      </c>
      <c r="L13" s="11" t="s">
        <v>17</v>
      </c>
      <c r="M13" s="11" t="s">
        <v>40</v>
      </c>
      <c r="N13" s="11" t="s">
        <v>41</v>
      </c>
      <c r="O13" s="5" t="s">
        <v>42</v>
      </c>
      <c r="P13" s="5" t="s">
        <v>43</v>
      </c>
    </row>
    <row r="14" spans="1:20">
      <c r="A14" s="48" t="s">
        <v>547</v>
      </c>
      <c r="B14" s="89" t="s">
        <v>348</v>
      </c>
      <c r="C14" s="20"/>
      <c r="D14" s="155"/>
      <c r="E14" s="20"/>
      <c r="F14" s="20"/>
      <c r="G14" s="20"/>
      <c r="H14" s="179">
        <v>277.8</v>
      </c>
      <c r="I14" s="44"/>
      <c r="J14" s="44"/>
      <c r="K14" s="44">
        <v>0</v>
      </c>
      <c r="L14" s="391">
        <v>3600</v>
      </c>
      <c r="M14" s="179">
        <v>1461.36</v>
      </c>
      <c r="N14" s="391">
        <f>(18720/1.04)*1.13</f>
        <v>20339.999999999996</v>
      </c>
      <c r="O14" s="644">
        <v>13178.02</v>
      </c>
      <c r="P14" s="644">
        <v>37086.6</v>
      </c>
    </row>
    <row r="15" spans="1:20">
      <c r="A15" s="48"/>
      <c r="B15" s="11" t="s">
        <v>349</v>
      </c>
      <c r="C15" s="20"/>
      <c r="D15" s="155"/>
      <c r="E15" s="20"/>
      <c r="F15" s="20"/>
      <c r="G15" s="20"/>
      <c r="H15" s="44"/>
      <c r="I15" s="44"/>
      <c r="J15" s="44"/>
      <c r="K15" s="44"/>
      <c r="L15" s="393">
        <v>1500</v>
      </c>
      <c r="M15" s="393"/>
      <c r="N15" s="393">
        <v>0</v>
      </c>
      <c r="O15" s="644"/>
      <c r="P15" s="644" t="s">
        <v>331</v>
      </c>
    </row>
    <row r="16" spans="1:20">
      <c r="A16" s="205" t="s">
        <v>548</v>
      </c>
      <c r="B16" s="89" t="s">
        <v>401</v>
      </c>
      <c r="C16" s="20">
        <v>570</v>
      </c>
      <c r="D16" s="155">
        <v>280.95999999999998</v>
      </c>
      <c r="E16" s="20">
        <v>2080</v>
      </c>
      <c r="F16" s="179">
        <v>303.07</v>
      </c>
      <c r="G16" s="179">
        <v>2080</v>
      </c>
      <c r="H16" s="179">
        <v>2059.46</v>
      </c>
      <c r="I16" s="179">
        <v>900</v>
      </c>
      <c r="J16" s="179">
        <v>1140</v>
      </c>
      <c r="K16" s="179">
        <v>584.9</v>
      </c>
      <c r="L16" s="179">
        <v>1200</v>
      </c>
      <c r="M16" s="179">
        <v>4105.1000000000004</v>
      </c>
      <c r="N16" s="179">
        <f>(10+15+20)*10+(7+7+5)*30</f>
        <v>1020</v>
      </c>
      <c r="O16" s="644"/>
      <c r="P16" s="644">
        <v>630</v>
      </c>
    </row>
    <row r="17" spans="1:16">
      <c r="A17" s="205" t="s">
        <v>549</v>
      </c>
      <c r="B17" s="89" t="s">
        <v>93</v>
      </c>
      <c r="C17" s="20">
        <v>275</v>
      </c>
      <c r="D17" s="155">
        <v>22.85</v>
      </c>
      <c r="E17" s="20">
        <v>275</v>
      </c>
      <c r="F17" s="179">
        <v>258.67</v>
      </c>
      <c r="G17" s="179">
        <v>275</v>
      </c>
      <c r="H17" s="179">
        <v>326.35000000000002</v>
      </c>
      <c r="I17" s="179">
        <v>275</v>
      </c>
      <c r="J17" s="179">
        <v>275</v>
      </c>
      <c r="K17" s="179">
        <v>251.35</v>
      </c>
      <c r="L17" s="179">
        <v>300</v>
      </c>
      <c r="M17" s="179">
        <v>228.5</v>
      </c>
      <c r="N17" s="179">
        <v>275</v>
      </c>
      <c r="O17" s="644"/>
      <c r="P17" s="644">
        <v>275</v>
      </c>
    </row>
    <row r="18" spans="1:16">
      <c r="A18" s="205" t="s">
        <v>550</v>
      </c>
      <c r="B18" s="89" t="s">
        <v>100</v>
      </c>
      <c r="C18" s="20">
        <v>50</v>
      </c>
      <c r="D18" s="155">
        <v>0</v>
      </c>
      <c r="E18" s="20">
        <v>50</v>
      </c>
      <c r="F18" s="179"/>
      <c r="G18" s="179">
        <v>50</v>
      </c>
      <c r="H18" s="179">
        <v>79.84</v>
      </c>
      <c r="I18" s="179">
        <v>50</v>
      </c>
      <c r="J18" s="179">
        <v>50</v>
      </c>
      <c r="K18" s="179">
        <v>25.22</v>
      </c>
      <c r="L18" s="179">
        <v>50</v>
      </c>
      <c r="M18" s="179"/>
      <c r="N18" s="179">
        <v>50</v>
      </c>
      <c r="O18" s="644"/>
      <c r="P18" s="644"/>
    </row>
    <row r="19" spans="1:16">
      <c r="A19" s="205" t="s">
        <v>551</v>
      </c>
      <c r="B19" s="89" t="s">
        <v>378</v>
      </c>
      <c r="C19" s="20">
        <v>200</v>
      </c>
      <c r="D19" s="155">
        <v>16.46</v>
      </c>
      <c r="E19" s="20">
        <v>250</v>
      </c>
      <c r="F19" s="179">
        <v>524.95000000000005</v>
      </c>
      <c r="G19" s="179">
        <v>200</v>
      </c>
      <c r="H19" s="179">
        <v>1305.78</v>
      </c>
      <c r="I19" s="179">
        <v>175</v>
      </c>
      <c r="J19" s="179">
        <v>155</v>
      </c>
      <c r="K19" s="179">
        <v>613.38</v>
      </c>
      <c r="L19" s="179">
        <v>300</v>
      </c>
      <c r="M19" s="179">
        <v>465.14</v>
      </c>
      <c r="N19" s="179">
        <v>155</v>
      </c>
      <c r="O19" s="644">
        <v>385.92</v>
      </c>
      <c r="P19" s="644">
        <v>300</v>
      </c>
    </row>
    <row r="20" spans="1:16">
      <c r="A20" s="205" t="s">
        <v>552</v>
      </c>
      <c r="B20" s="89" t="s">
        <v>553</v>
      </c>
      <c r="C20" s="20">
        <v>600</v>
      </c>
      <c r="D20" s="155">
        <v>0</v>
      </c>
      <c r="E20" s="20">
        <v>600</v>
      </c>
      <c r="F20" s="179">
        <v>3565.19</v>
      </c>
      <c r="G20" s="179"/>
      <c r="H20" s="179">
        <v>3031.78</v>
      </c>
      <c r="I20" s="179">
        <v>2500</v>
      </c>
      <c r="J20" s="179">
        <v>2000</v>
      </c>
      <c r="K20" s="179">
        <v>1228.56</v>
      </c>
      <c r="L20" s="179">
        <v>1000</v>
      </c>
      <c r="M20" s="179">
        <v>964.76</v>
      </c>
      <c r="N20" s="179">
        <v>3000</v>
      </c>
      <c r="O20" s="644">
        <v>474.06</v>
      </c>
      <c r="P20" s="644">
        <v>3000</v>
      </c>
    </row>
    <row r="21" spans="1:16">
      <c r="A21" s="205" t="s">
        <v>554</v>
      </c>
      <c r="B21" s="89" t="s">
        <v>555</v>
      </c>
      <c r="C21" s="20"/>
      <c r="D21" s="155"/>
      <c r="E21" s="20"/>
      <c r="F21" s="179"/>
      <c r="G21" s="179"/>
      <c r="H21" s="117"/>
      <c r="I21" s="117"/>
      <c r="J21" s="117"/>
      <c r="K21" s="179"/>
      <c r="L21" s="117"/>
      <c r="M21" s="179"/>
      <c r="N21" s="117"/>
      <c r="O21" s="644">
        <v>931.69</v>
      </c>
      <c r="P21" s="644"/>
    </row>
    <row r="22" spans="1:16">
      <c r="A22" s="205" t="s">
        <v>556</v>
      </c>
      <c r="B22" s="89" t="s">
        <v>192</v>
      </c>
      <c r="C22" s="20"/>
      <c r="D22" s="155"/>
      <c r="E22" s="20"/>
      <c r="F22" s="179"/>
      <c r="G22" s="179"/>
      <c r="H22" s="117"/>
      <c r="I22" s="117"/>
      <c r="J22" s="117"/>
      <c r="K22" s="179"/>
      <c r="L22" s="117"/>
      <c r="M22" s="179">
        <v>381.79</v>
      </c>
      <c r="N22" s="117"/>
      <c r="O22" s="644"/>
      <c r="P22" s="644"/>
    </row>
    <row r="23" spans="1:16">
      <c r="A23" s="205" t="s">
        <v>557</v>
      </c>
      <c r="B23" s="89" t="s">
        <v>558</v>
      </c>
      <c r="C23" s="20">
        <v>500</v>
      </c>
      <c r="D23" s="155">
        <v>0</v>
      </c>
      <c r="E23" s="20">
        <v>0</v>
      </c>
      <c r="F23" s="179"/>
      <c r="G23" s="179"/>
      <c r="H23" s="179"/>
      <c r="I23" s="179">
        <v>3000</v>
      </c>
      <c r="J23" s="179">
        <v>2000</v>
      </c>
      <c r="K23" s="179">
        <v>1918.97</v>
      </c>
      <c r="L23" s="179">
        <v>1000</v>
      </c>
      <c r="M23" s="179"/>
      <c r="N23" s="179">
        <v>2000</v>
      </c>
      <c r="O23" s="644">
        <v>333.19</v>
      </c>
      <c r="P23" s="644">
        <v>3000</v>
      </c>
    </row>
    <row r="24" spans="1:16">
      <c r="A24" s="205" t="s">
        <v>559</v>
      </c>
      <c r="B24" s="89" t="s">
        <v>104</v>
      </c>
      <c r="C24" s="20">
        <v>200</v>
      </c>
      <c r="D24" s="155">
        <v>116.26</v>
      </c>
      <c r="E24" s="20">
        <v>500</v>
      </c>
      <c r="F24" s="179"/>
      <c r="G24" s="179"/>
      <c r="H24" s="179">
        <v>1215.3900000000001</v>
      </c>
      <c r="I24" s="179">
        <v>600</v>
      </c>
      <c r="J24" s="179">
        <v>600</v>
      </c>
      <c r="K24" s="179">
        <v>576.35</v>
      </c>
      <c r="L24" s="179">
        <v>300</v>
      </c>
      <c r="M24" s="179">
        <v>30</v>
      </c>
      <c r="N24" s="179">
        <v>300</v>
      </c>
      <c r="O24" s="644">
        <v>225.72</v>
      </c>
      <c r="P24" s="644">
        <v>300</v>
      </c>
    </row>
    <row r="25" spans="1:16">
      <c r="A25" s="205" t="s">
        <v>560</v>
      </c>
      <c r="B25" s="89" t="s">
        <v>561</v>
      </c>
      <c r="C25" s="20">
        <v>0</v>
      </c>
      <c r="D25" s="155">
        <v>16.489999999999998</v>
      </c>
      <c r="E25" s="20">
        <v>900</v>
      </c>
      <c r="F25" s="179"/>
      <c r="G25" s="179"/>
      <c r="H25" s="179">
        <v>18</v>
      </c>
      <c r="I25" s="179">
        <v>700</v>
      </c>
      <c r="J25" s="179">
        <v>700</v>
      </c>
      <c r="K25" s="179">
        <v>90.52</v>
      </c>
      <c r="L25" s="179">
        <v>500</v>
      </c>
      <c r="M25" s="179"/>
      <c r="N25" s="179">
        <v>500</v>
      </c>
      <c r="O25" s="644"/>
      <c r="P25" s="644">
        <v>500</v>
      </c>
    </row>
    <row r="26" spans="1:16">
      <c r="A26" s="87" t="s">
        <v>562</v>
      </c>
      <c r="B26" s="89" t="s">
        <v>336</v>
      </c>
      <c r="C26" s="20">
        <v>0</v>
      </c>
      <c r="D26" s="155">
        <v>0</v>
      </c>
      <c r="E26" s="20">
        <v>0</v>
      </c>
      <c r="F26" s="179"/>
      <c r="G26" s="179"/>
      <c r="H26" s="179"/>
      <c r="I26" s="179"/>
      <c r="J26" s="179"/>
      <c r="K26" s="179"/>
      <c r="L26" s="179"/>
      <c r="M26" s="179">
        <v>8.33</v>
      </c>
      <c r="N26" s="179"/>
      <c r="O26" s="644"/>
      <c r="P26" s="644"/>
    </row>
    <row r="27" spans="1:16">
      <c r="A27" s="87"/>
      <c r="B27" s="89" t="s">
        <v>563</v>
      </c>
      <c r="C27" s="20">
        <v>900</v>
      </c>
      <c r="D27" s="155">
        <v>0</v>
      </c>
      <c r="E27" s="20">
        <v>0</v>
      </c>
      <c r="F27" s="179"/>
      <c r="G27" s="179"/>
      <c r="H27" s="179"/>
      <c r="I27" s="179"/>
      <c r="J27" s="179">
        <v>1000</v>
      </c>
      <c r="K27" s="179"/>
      <c r="L27" s="179"/>
      <c r="M27" s="179"/>
      <c r="N27" s="179"/>
      <c r="O27" s="644"/>
      <c r="P27" s="644"/>
    </row>
    <row r="28" spans="1:16">
      <c r="A28" s="87"/>
      <c r="B28" s="89" t="s">
        <v>564</v>
      </c>
      <c r="C28" s="20"/>
      <c r="D28" s="155"/>
      <c r="E28" s="20"/>
      <c r="F28" s="179"/>
      <c r="G28" s="179"/>
      <c r="H28" s="179"/>
      <c r="I28" s="179"/>
      <c r="J28" s="179">
        <v>500</v>
      </c>
      <c r="K28" s="179"/>
      <c r="L28" s="179"/>
      <c r="M28" s="179"/>
      <c r="N28" s="179"/>
      <c r="O28" s="644"/>
      <c r="P28" s="644"/>
    </row>
    <row r="29" spans="1:16">
      <c r="A29" s="87"/>
      <c r="B29" s="89" t="s">
        <v>565</v>
      </c>
      <c r="C29" s="20"/>
      <c r="D29" s="155"/>
      <c r="E29" s="20"/>
      <c r="F29" s="179"/>
      <c r="G29" s="179"/>
      <c r="H29" s="179"/>
      <c r="I29" s="179"/>
      <c r="J29" s="179">
        <v>500</v>
      </c>
      <c r="K29" s="179"/>
      <c r="L29" s="179"/>
      <c r="M29" s="179"/>
      <c r="N29" s="179"/>
      <c r="O29" s="644"/>
      <c r="P29" s="644"/>
    </row>
    <row r="30" spans="1:16">
      <c r="A30" s="87"/>
      <c r="B30" s="89" t="s">
        <v>566</v>
      </c>
      <c r="C30" s="20"/>
      <c r="D30" s="155"/>
      <c r="E30" s="20"/>
      <c r="F30" s="179"/>
      <c r="G30" s="179"/>
      <c r="H30" s="117"/>
      <c r="I30" s="117"/>
      <c r="J30" s="117">
        <v>400</v>
      </c>
      <c r="K30" s="117"/>
      <c r="L30" s="117"/>
      <c r="M30" s="117"/>
      <c r="N30" s="117"/>
      <c r="O30" s="644"/>
      <c r="P30" s="644"/>
    </row>
    <row r="31" spans="1:16">
      <c r="B31" s="89" t="s">
        <v>567</v>
      </c>
      <c r="C31" s="20"/>
      <c r="D31" s="155"/>
      <c r="E31" s="20"/>
      <c r="F31" s="179"/>
      <c r="G31" s="179"/>
      <c r="H31" s="179"/>
      <c r="I31" s="179"/>
      <c r="J31" s="179">
        <v>500</v>
      </c>
      <c r="K31" s="179"/>
      <c r="L31" s="179"/>
      <c r="M31" s="179"/>
      <c r="N31" s="179"/>
      <c r="O31" s="644"/>
      <c r="P31" s="644"/>
    </row>
    <row r="32" spans="1:16">
      <c r="A32" s="205" t="s">
        <v>560</v>
      </c>
      <c r="B32" s="89" t="s">
        <v>568</v>
      </c>
      <c r="C32" s="20">
        <v>0</v>
      </c>
      <c r="D32" s="155">
        <v>0</v>
      </c>
      <c r="E32" s="20">
        <v>0</v>
      </c>
      <c r="F32" s="179"/>
      <c r="G32" s="179"/>
      <c r="H32" s="179">
        <v>305.17</v>
      </c>
      <c r="I32" s="179"/>
      <c r="J32" s="179"/>
      <c r="K32" s="179"/>
      <c r="L32" s="179"/>
      <c r="M32" s="179"/>
      <c r="N32" s="179"/>
      <c r="O32" s="644"/>
      <c r="P32" s="644"/>
    </row>
    <row r="33" spans="1:16">
      <c r="B33" s="89" t="s">
        <v>569</v>
      </c>
      <c r="C33" s="20"/>
      <c r="D33" s="155"/>
      <c r="E33" s="20"/>
      <c r="F33" s="179"/>
      <c r="G33" s="179"/>
      <c r="H33" s="117"/>
      <c r="I33" s="117"/>
      <c r="J33" s="117">
        <v>1850</v>
      </c>
      <c r="K33" s="117"/>
      <c r="L33" s="117">
        <v>2000</v>
      </c>
      <c r="M33" s="117">
        <v>0</v>
      </c>
      <c r="N33" s="117">
        <v>0</v>
      </c>
      <c r="O33" s="644"/>
      <c r="P33" s="644"/>
    </row>
    <row r="34" spans="1:16">
      <c r="A34" t="s">
        <v>570</v>
      </c>
      <c r="B34" s="89" t="s">
        <v>110</v>
      </c>
      <c r="C34" s="20"/>
      <c r="D34" s="155"/>
      <c r="E34" s="20"/>
      <c r="F34" s="179"/>
      <c r="G34" s="179"/>
      <c r="H34" s="117"/>
      <c r="I34" s="117"/>
      <c r="J34" s="117"/>
      <c r="K34" s="117"/>
      <c r="L34" s="117">
        <v>558.94000000000005</v>
      </c>
      <c r="M34" s="117">
        <v>558.95000000000005</v>
      </c>
      <c r="N34" s="117">
        <v>0</v>
      </c>
      <c r="O34" s="644">
        <v>939.31</v>
      </c>
      <c r="P34" s="644"/>
    </row>
    <row r="35" spans="1:16">
      <c r="A35" s="205" t="s">
        <v>571</v>
      </c>
      <c r="B35" s="89" t="s">
        <v>572</v>
      </c>
      <c r="C35" s="20"/>
      <c r="D35" s="155"/>
      <c r="E35" s="20"/>
      <c r="F35" s="179"/>
      <c r="G35" s="179"/>
      <c r="H35" s="117"/>
      <c r="I35" s="117"/>
      <c r="J35" s="117"/>
      <c r="K35" s="179"/>
      <c r="L35" s="117"/>
      <c r="M35" s="179">
        <v>63.3</v>
      </c>
      <c r="N35" s="117"/>
      <c r="O35" s="644"/>
      <c r="P35" s="644"/>
    </row>
    <row r="36" spans="1:16">
      <c r="A36" s="205" t="s">
        <v>573</v>
      </c>
      <c r="B36" s="89" t="s">
        <v>574</v>
      </c>
      <c r="C36" s="20"/>
      <c r="D36" s="155"/>
      <c r="E36" s="20"/>
      <c r="F36" s="179"/>
      <c r="G36" s="179"/>
      <c r="H36" s="117"/>
      <c r="I36" s="117"/>
      <c r="J36" s="117"/>
      <c r="K36" s="179"/>
      <c r="L36" s="117"/>
      <c r="M36" s="179">
        <v>127.63</v>
      </c>
      <c r="N36" s="117"/>
      <c r="O36" s="644"/>
      <c r="P36" s="644"/>
    </row>
    <row r="37" spans="1:16">
      <c r="A37" s="205" t="s">
        <v>575</v>
      </c>
      <c r="B37" s="89" t="s">
        <v>576</v>
      </c>
      <c r="C37" s="20"/>
      <c r="D37" s="155"/>
      <c r="E37" s="20"/>
      <c r="F37" s="179"/>
      <c r="G37" s="179"/>
      <c r="H37" s="117"/>
      <c r="I37" s="117"/>
      <c r="J37" s="117"/>
      <c r="K37" s="179"/>
      <c r="L37" s="117"/>
      <c r="M37" s="179">
        <v>-0.65</v>
      </c>
      <c r="N37" s="117"/>
      <c r="O37" s="644">
        <v>-826.5</v>
      </c>
      <c r="P37" s="644"/>
    </row>
    <row r="38" spans="1:16">
      <c r="A38" s="205" t="s">
        <v>577</v>
      </c>
      <c r="B38" s="89" t="s">
        <v>578</v>
      </c>
      <c r="C38" s="20"/>
      <c r="D38" s="155"/>
      <c r="E38" s="20"/>
      <c r="F38" s="179"/>
      <c r="G38" s="179"/>
      <c r="H38" s="117"/>
      <c r="I38" s="117"/>
      <c r="J38" s="117"/>
      <c r="K38" s="179"/>
      <c r="L38" s="117"/>
      <c r="M38" s="179">
        <v>472.38</v>
      </c>
      <c r="N38" s="117"/>
      <c r="O38" s="644">
        <v>409.9</v>
      </c>
      <c r="P38" s="644"/>
    </row>
    <row r="39" spans="1:16">
      <c r="A39" s="205">
        <v>62720</v>
      </c>
      <c r="B39" s="89" t="s">
        <v>579</v>
      </c>
      <c r="C39" s="20"/>
      <c r="D39" s="155"/>
      <c r="E39" s="20"/>
      <c r="F39" s="179"/>
      <c r="G39" s="179"/>
      <c r="H39" s="117"/>
      <c r="I39" s="117"/>
      <c r="J39" s="117"/>
      <c r="K39" s="179"/>
      <c r="L39" s="117"/>
      <c r="M39" s="179">
        <v>117.9</v>
      </c>
      <c r="N39" s="117"/>
      <c r="O39" s="644"/>
      <c r="P39" s="644"/>
    </row>
    <row r="40" spans="1:16" s="11" customFormat="1">
      <c r="B40" s="11" t="s">
        <v>21</v>
      </c>
      <c r="C40" s="178">
        <f>SUBTOTAL(109,BikeCentreExpenses[Budget 15/16])</f>
        <v>3295</v>
      </c>
      <c r="D40" s="145">
        <f>SUBTOTAL(109,BikeCentreExpenses[Actual 15/16])</f>
        <v>453.02</v>
      </c>
      <c r="E40" s="178">
        <f>SUBTOTAL(109,BikeCentreExpenses[Budget 16/17])</f>
        <v>4655</v>
      </c>
      <c r="F40" s="178">
        <f>SUBTOTAL(109,BikeCentreExpenses[Actual 16/17])</f>
        <v>4651.88</v>
      </c>
      <c r="G40" s="178">
        <f>SUBTOTAL(109,BikeCentreExpenses[Budget 17/18])</f>
        <v>2605</v>
      </c>
      <c r="H40" s="21">
        <f>SUBTOTAL(109,BikeCentreExpenses[Actual 17/18])</f>
        <v>8619.57</v>
      </c>
      <c r="I40" s="21">
        <f>SUM(BikeCentreExpenses[Budget 18/19])</f>
        <v>8200</v>
      </c>
      <c r="J40" s="21">
        <f>SUM(BikeCentreExpenses[Budget 19/20])</f>
        <v>11670</v>
      </c>
      <c r="K40" s="21">
        <f>SUM(BikeCentreExpenses[Actual P12 19/20])</f>
        <v>5289.2500000000009</v>
      </c>
      <c r="L40" s="21">
        <f>SUM(BikeCentreExpenses[Budget 20/21])</f>
        <v>12308.94</v>
      </c>
      <c r="M40" s="21">
        <f>SUM(BikeCentreExpenses[Actual 20/21])</f>
        <v>8984.489999999998</v>
      </c>
      <c r="N40" s="21">
        <f>SUM(BikeCentreExpenses[Budget 21/22])</f>
        <v>27639.999999999996</v>
      </c>
      <c r="O40" s="21">
        <f>SUBTOTAL(109,BikeCentreExpenses[Actual 21/22])</f>
        <v>16051.31</v>
      </c>
      <c r="P40" s="21">
        <f>SUM(BikeCentreExpenses[Budget 22/23])</f>
        <v>45091.6</v>
      </c>
    </row>
    <row r="41" spans="1:16" ht="13.5" thickBot="1">
      <c r="A41" s="11"/>
      <c r="B41" s="11"/>
      <c r="C41" s="11"/>
      <c r="D41" s="132"/>
      <c r="E41" s="11"/>
    </row>
    <row r="42" spans="1:16" ht="19.5" thickBot="1">
      <c r="A42" s="11"/>
      <c r="B42" s="611" t="s">
        <v>127</v>
      </c>
      <c r="C42" s="27">
        <f>BikeCentreRevenues[[#Totals],[Budget 15/16]]-BikeCentreExpenses[[#Totals],[Budget 15/16]]</f>
        <v>-3295</v>
      </c>
      <c r="D42" s="27">
        <f>BikeCentreRevenues[[#Totals],[Actual 15/16]]-BikeCentreExpenses[[#Totals],[Actual 15/16]]</f>
        <v>12.980000000000018</v>
      </c>
      <c r="E42" s="79">
        <f>BikeCentreRevenues[[#Totals],[Budget 16/17]]-BikeCentreExpenses[[#Totals],[Budget 16/17]]</f>
        <v>-4655</v>
      </c>
      <c r="F42" s="79">
        <f>BikeCentreRevenues[[#Totals],[Actual 16/17]]-BikeCentreExpenses[[#Totals],[Actual 16/17]]</f>
        <v>3662.7300000000005</v>
      </c>
      <c r="G42" s="79">
        <f>BikeCentreRevenues[[#Totals],[Budget 17/18]]-BikeCentreExpenses[[#Totals],[Budget 17/18]]</f>
        <v>-605</v>
      </c>
      <c r="H42" s="79">
        <f>BikeCentreRevenues[[#Totals],[Actual 17/18]]-BikeCentreExpenses[[#Totals],[Actual 17/18]]</f>
        <v>4338.7000000000007</v>
      </c>
      <c r="I42" s="79">
        <f>BikeCentreRevenues[[#Totals],[Budget 18/19]]-BikeCentreExpenses[[#Totals],[Budget 18/19]]</f>
        <v>2800</v>
      </c>
      <c r="J42" s="79">
        <f>BikeCentreRevenues[[#Totals],[Budget 19/20]]-BikeCentreExpenses[[#Totals],[Budget 19/20]]</f>
        <v>830</v>
      </c>
      <c r="K42" s="79">
        <f>BikeCentreRevenues[[#Totals],[Actual P12 19/20]]-BikeCentreExpenses[[#Totals],[Actual P12 19/20]]</f>
        <v>4821.6599999999989</v>
      </c>
      <c r="L42" s="79">
        <f>BikeCentreRevenues[[#Totals],[Budget 20/21]]-BikeCentreExpenses[[#Totals],[Budget 20/21]]</f>
        <v>-9808.94</v>
      </c>
      <c r="M42" s="79">
        <f>BikeCentreRevenues[[#Totals],[Actual 21/22]]-BikeCentreExpenses[[#Totals],[Actual 20/21]]</f>
        <v>-865.29999999999745</v>
      </c>
      <c r="N42" s="79">
        <f>N10-N40</f>
        <v>-24639.999999999996</v>
      </c>
      <c r="O42" s="79">
        <f t="shared" ref="O42:P42" si="0">O10-O40</f>
        <v>-7932.119999999999</v>
      </c>
      <c r="P42" s="79">
        <f t="shared" si="0"/>
        <v>-37091.599999999999</v>
      </c>
    </row>
    <row r="43" spans="1:16">
      <c r="A43" s="11"/>
      <c r="B43" s="11"/>
      <c r="C43" s="11"/>
      <c r="D43" s="132"/>
      <c r="E43" s="11"/>
    </row>
    <row r="44" spans="1:16">
      <c r="A44" s="11"/>
      <c r="B44" s="11"/>
      <c r="C44" s="11"/>
      <c r="D44" s="132"/>
      <c r="E44" s="11"/>
    </row>
    <row r="45" spans="1:16">
      <c r="A45" s="11"/>
      <c r="B45" s="11"/>
      <c r="C45" s="11"/>
      <c r="D45" s="156"/>
      <c r="E45" s="101"/>
      <c r="F45" s="101"/>
      <c r="G45" s="101"/>
      <c r="H45" s="101"/>
      <c r="I45" s="101"/>
    </row>
    <row r="46" spans="1:16">
      <c r="A46" s="11"/>
      <c r="B46" s="11"/>
      <c r="C46" s="11"/>
      <c r="D46" s="156"/>
      <c r="E46" s="101"/>
      <c r="F46" s="101"/>
      <c r="G46" s="101"/>
      <c r="H46" s="101"/>
      <c r="I46" s="101"/>
    </row>
    <row r="47" spans="1:16">
      <c r="B47" s="11"/>
      <c r="C47" s="11"/>
      <c r="D47" s="156"/>
      <c r="E47" s="101"/>
      <c r="F47" s="101"/>
      <c r="G47" s="101"/>
      <c r="H47" s="101"/>
      <c r="I47" s="101"/>
    </row>
    <row r="48" spans="1:16">
      <c r="B48" s="11"/>
      <c r="C48" s="11"/>
      <c r="D48" s="156"/>
      <c r="E48" s="101"/>
      <c r="F48" s="101"/>
      <c r="G48" s="101"/>
      <c r="H48" s="101"/>
      <c r="I48" s="101"/>
    </row>
    <row r="49" spans="2:9">
      <c r="B49" s="11"/>
      <c r="C49" s="11"/>
      <c r="D49" s="156"/>
      <c r="E49" s="101"/>
      <c r="F49" s="101"/>
      <c r="G49" s="101"/>
      <c r="H49" s="101"/>
      <c r="I49" s="101"/>
    </row>
    <row r="50" spans="2:9">
      <c r="B50" s="11"/>
      <c r="C50" s="11"/>
      <c r="D50" s="156"/>
      <c r="E50" s="101"/>
      <c r="F50" s="101"/>
      <c r="G50" s="101"/>
      <c r="H50" s="101"/>
      <c r="I50" s="101"/>
    </row>
    <row r="51" spans="2:9">
      <c r="D51" s="156"/>
      <c r="E51" s="101"/>
      <c r="F51" s="101"/>
      <c r="G51" s="101"/>
      <c r="H51" s="101"/>
      <c r="I51" s="101"/>
    </row>
    <row r="52" spans="2:9">
      <c r="D52" s="156"/>
      <c r="E52" s="101"/>
      <c r="F52" s="101"/>
      <c r="G52" s="101"/>
      <c r="H52" s="101"/>
      <c r="I52" s="101"/>
    </row>
  </sheetData>
  <mergeCells count="1">
    <mergeCell ref="A1:B1"/>
  </mergeCells>
  <phoneticPr fontId="117" type="noConversion"/>
  <pageMargins left="0.70866141732283472" right="0.70866141732283472" top="0.74803149606299213" bottom="0.74803149606299213" header="0.31496062992125984" footer="0.31496062992125984"/>
  <pageSetup orientation="portrait" blackAndWhite="1" r:id="rId1"/>
  <legacyDrawing r:id="rId2"/>
  <tableParts count="2">
    <tablePart r:id="rId3"/>
    <tablePart r:id="rId4"/>
  </tablePar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tabColor theme="1"/>
  </sheetPr>
  <dimension ref="A1:R37"/>
  <sheetViews>
    <sheetView topLeftCell="A13" zoomScale="115" zoomScaleNormal="115" workbookViewId="0">
      <selection activeCell="Q34" sqref="Q34"/>
    </sheetView>
  </sheetViews>
  <sheetFormatPr defaultColWidth="9.140625" defaultRowHeight="12.75"/>
  <cols>
    <col min="1" max="1" width="15.28515625" style="11" bestFit="1" customWidth="1"/>
    <col min="2" max="2" width="26.42578125" style="11" customWidth="1"/>
    <col min="3" max="5" width="12" style="11" hidden="1" customWidth="1"/>
    <col min="6" max="6" width="12" style="132" hidden="1" customWidth="1"/>
    <col min="7" max="7" width="14.140625" style="11" hidden="1" customWidth="1"/>
    <col min="8" max="8" width="15" style="11" hidden="1" customWidth="1"/>
    <col min="9" max="9" width="13.7109375" style="11" hidden="1" customWidth="1"/>
    <col min="10" max="10" width="0.140625" style="11" hidden="1" customWidth="1"/>
    <col min="11" max="11" width="13.42578125" style="11" hidden="1" customWidth="1"/>
    <col min="12" max="12" width="13.7109375" style="11" hidden="1" customWidth="1"/>
    <col min="13" max="14" width="13.42578125" style="11" hidden="1" customWidth="1"/>
    <col min="15" max="15" width="14.28515625" style="11" hidden="1" customWidth="1"/>
    <col min="16" max="16" width="15" style="11" customWidth="1"/>
    <col min="17" max="17" width="13.42578125" style="11" customWidth="1"/>
    <col min="18" max="18" width="14.140625" style="11" customWidth="1"/>
    <col min="19" max="16384" width="9.140625" style="11"/>
  </cols>
  <sheetData>
    <row r="1" spans="1:18" ht="18">
      <c r="A1" s="430" t="s">
        <v>580</v>
      </c>
      <c r="B1" s="430"/>
      <c r="C1" s="430"/>
      <c r="D1" s="430"/>
      <c r="N1" s="430"/>
      <c r="O1" s="430"/>
    </row>
    <row r="2" spans="1:18">
      <c r="A2" s="28" t="s">
        <v>226</v>
      </c>
    </row>
    <row r="4" spans="1:18">
      <c r="A4" s="48" t="s">
        <v>130</v>
      </c>
      <c r="B4" s="11" t="s">
        <v>72</v>
      </c>
      <c r="C4" s="11" t="s">
        <v>7</v>
      </c>
      <c r="D4" s="11" t="s">
        <v>8</v>
      </c>
      <c r="E4" s="11" t="s">
        <v>9</v>
      </c>
      <c r="F4" s="119" t="s">
        <v>10</v>
      </c>
      <c r="G4" s="11" t="s">
        <v>11</v>
      </c>
      <c r="H4" s="11" t="s">
        <v>581</v>
      </c>
      <c r="I4" s="11" t="s">
        <v>13</v>
      </c>
      <c r="J4" s="11" t="s">
        <v>14</v>
      </c>
      <c r="K4" s="11" t="s">
        <v>15</v>
      </c>
      <c r="L4" s="11" t="s">
        <v>16</v>
      </c>
      <c r="M4" s="11" t="s">
        <v>81</v>
      </c>
      <c r="N4" s="11" t="s">
        <v>17</v>
      </c>
      <c r="O4" s="11" t="s">
        <v>40</v>
      </c>
      <c r="P4" s="11" t="s">
        <v>41</v>
      </c>
      <c r="Q4" s="5" t="s">
        <v>42</v>
      </c>
      <c r="R4" s="5" t="s">
        <v>43</v>
      </c>
    </row>
    <row r="5" spans="1:18">
      <c r="A5" s="48"/>
      <c r="B5" s="11" t="s">
        <v>582</v>
      </c>
      <c r="C5" s="178">
        <v>1750</v>
      </c>
      <c r="D5" s="178">
        <v>0</v>
      </c>
      <c r="E5" s="74">
        <v>1750</v>
      </c>
      <c r="F5" s="149">
        <v>0</v>
      </c>
      <c r="G5" s="44">
        <v>0</v>
      </c>
      <c r="H5" s="44"/>
      <c r="I5" s="44"/>
      <c r="J5" s="44"/>
      <c r="K5" s="44">
        <v>2000</v>
      </c>
      <c r="L5" s="44">
        <v>2000</v>
      </c>
      <c r="M5" s="44"/>
      <c r="N5" s="44">
        <v>2000</v>
      </c>
      <c r="O5" s="44"/>
      <c r="P5" s="44">
        <v>2000</v>
      </c>
      <c r="Q5" s="117">
        <v>0</v>
      </c>
      <c r="R5" s="117"/>
    </row>
    <row r="6" spans="1:18">
      <c r="A6" s="48"/>
      <c r="B6" s="11" t="s">
        <v>583</v>
      </c>
      <c r="C6" s="178">
        <v>1750</v>
      </c>
      <c r="D6" s="178">
        <v>0</v>
      </c>
      <c r="E6" s="74">
        <v>1750</v>
      </c>
      <c r="F6" s="149">
        <v>0</v>
      </c>
      <c r="G6" s="44">
        <v>0</v>
      </c>
      <c r="H6" s="44"/>
      <c r="I6" s="44"/>
      <c r="J6" s="44"/>
      <c r="K6" s="44"/>
      <c r="L6" s="44"/>
      <c r="M6" s="44"/>
      <c r="N6" s="44"/>
      <c r="O6" s="44"/>
      <c r="P6" s="44"/>
      <c r="Q6" s="117"/>
      <c r="R6" s="117"/>
    </row>
    <row r="7" spans="1:18">
      <c r="A7" s="48" t="s">
        <v>584</v>
      </c>
      <c r="B7" s="11" t="s">
        <v>343</v>
      </c>
      <c r="C7" s="178">
        <v>0</v>
      </c>
      <c r="D7" s="178">
        <v>2358.1999999999998</v>
      </c>
      <c r="E7" s="178">
        <v>0</v>
      </c>
      <c r="F7" s="149">
        <v>33.5</v>
      </c>
      <c r="G7" s="44">
        <v>0</v>
      </c>
      <c r="H7" s="44">
        <v>19870</v>
      </c>
      <c r="I7" s="44">
        <v>10000</v>
      </c>
      <c r="J7" s="44">
        <v>6135.54</v>
      </c>
      <c r="K7" s="44"/>
      <c r="L7" s="44"/>
      <c r="M7" s="44">
        <v>30</v>
      </c>
      <c r="N7" s="44"/>
      <c r="O7" s="44"/>
      <c r="P7" s="44"/>
      <c r="Q7" s="117"/>
      <c r="R7" s="117"/>
    </row>
    <row r="8" spans="1:18">
      <c r="A8" s="48" t="s">
        <v>585</v>
      </c>
      <c r="B8" s="11" t="s">
        <v>295</v>
      </c>
      <c r="C8" s="44">
        <v>0</v>
      </c>
      <c r="D8" s="44">
        <v>2400</v>
      </c>
      <c r="E8" s="44">
        <v>0</v>
      </c>
      <c r="F8" s="149">
        <v>3500</v>
      </c>
      <c r="G8" s="44">
        <v>4000</v>
      </c>
      <c r="H8" s="44"/>
      <c r="I8" s="117"/>
      <c r="J8" s="117">
        <v>4000</v>
      </c>
      <c r="K8" s="117"/>
      <c r="L8" s="117"/>
      <c r="M8" s="117">
        <v>2000</v>
      </c>
      <c r="N8" s="117"/>
      <c r="O8" s="117"/>
      <c r="P8" s="117"/>
      <c r="Q8" s="117"/>
      <c r="R8" s="117"/>
    </row>
    <row r="9" spans="1:18">
      <c r="A9" s="48"/>
      <c r="B9" s="11" t="s">
        <v>586</v>
      </c>
      <c r="C9" s="44">
        <v>0</v>
      </c>
      <c r="D9" s="44">
        <v>2914</v>
      </c>
      <c r="E9" s="44">
        <v>0</v>
      </c>
      <c r="F9" s="149">
        <v>5867.5</v>
      </c>
      <c r="G9" s="44">
        <v>0</v>
      </c>
      <c r="H9" s="44">
        <v>3833.5</v>
      </c>
      <c r="I9" s="117">
        <v>2500</v>
      </c>
      <c r="J9" s="117">
        <v>5136.5</v>
      </c>
      <c r="K9" s="117">
        <v>8000</v>
      </c>
      <c r="L9" s="516">
        <v>8000</v>
      </c>
      <c r="M9" s="516"/>
      <c r="N9" s="117">
        <v>0</v>
      </c>
      <c r="O9" s="117"/>
      <c r="P9" s="117"/>
      <c r="Q9" s="117"/>
      <c r="R9" s="645">
        <v>8000</v>
      </c>
    </row>
    <row r="10" spans="1:18">
      <c r="A10" s="48"/>
      <c r="B10" s="11" t="s">
        <v>587</v>
      </c>
      <c r="C10" s="44">
        <v>0</v>
      </c>
      <c r="D10" s="44">
        <v>9879.5</v>
      </c>
      <c r="E10" s="44">
        <v>0</v>
      </c>
      <c r="F10" s="149">
        <v>15458</v>
      </c>
      <c r="G10" s="44">
        <v>0</v>
      </c>
      <c r="H10" s="44">
        <v>12000</v>
      </c>
      <c r="I10" s="117">
        <v>10000</v>
      </c>
      <c r="J10" s="117">
        <v>17092</v>
      </c>
      <c r="K10" s="117">
        <v>13000</v>
      </c>
      <c r="L10" s="516">
        <v>13000</v>
      </c>
      <c r="M10" s="516"/>
      <c r="N10" s="117">
        <v>13000</v>
      </c>
      <c r="O10" s="117"/>
      <c r="P10" s="117">
        <v>3000</v>
      </c>
      <c r="Q10" s="117">
        <v>0</v>
      </c>
      <c r="R10" s="645">
        <v>13000</v>
      </c>
    </row>
    <row r="11" spans="1:18">
      <c r="A11" s="48"/>
      <c r="B11" s="11" t="s">
        <v>588</v>
      </c>
      <c r="C11" s="44">
        <v>0</v>
      </c>
      <c r="D11" s="44">
        <v>797</v>
      </c>
      <c r="E11" s="44">
        <v>0</v>
      </c>
      <c r="F11" s="149">
        <v>3718</v>
      </c>
      <c r="G11" s="44">
        <v>0</v>
      </c>
      <c r="H11" s="44">
        <v>10000</v>
      </c>
      <c r="I11" s="117">
        <v>9000</v>
      </c>
      <c r="J11" s="117">
        <v>2098</v>
      </c>
      <c r="K11" s="117">
        <v>11000</v>
      </c>
      <c r="L11" s="516">
        <v>11000</v>
      </c>
      <c r="M11" s="516"/>
      <c r="N11" s="117">
        <v>11000</v>
      </c>
      <c r="O11" s="117"/>
      <c r="P11" s="117">
        <v>9000</v>
      </c>
      <c r="Q11" s="117">
        <v>0</v>
      </c>
      <c r="R11" s="645">
        <v>11000</v>
      </c>
    </row>
    <row r="12" spans="1:18">
      <c r="A12" s="48"/>
      <c r="B12" s="11" t="s">
        <v>21</v>
      </c>
      <c r="C12" s="178">
        <f>SUBTOTAL(109,ICSNRevenues[Budget 14/15])</f>
        <v>3500</v>
      </c>
      <c r="D12" s="178">
        <f>SUBTOTAL(109,ICSNRevenues[Actual 14/15])</f>
        <v>18348.7</v>
      </c>
      <c r="E12" s="178">
        <f>SUBTOTAL(109,ICSNRevenues[Budget 15/16])</f>
        <v>3500</v>
      </c>
      <c r="F12" s="145">
        <f>SUBTOTAL(109,ICSNRevenues[Actual 15/16])</f>
        <v>28577</v>
      </c>
      <c r="G12" s="178">
        <f>SUBTOTAL(109,ICSNRevenues[Budget 16/17])</f>
        <v>4000</v>
      </c>
      <c r="H12" s="178">
        <f>SUBTOTAL(109,ICSNRevenues[Actuan 16/17])</f>
        <v>45703.5</v>
      </c>
      <c r="I12" s="178">
        <f>SUBTOTAL(109,ICSNRevenues[Budget 17/18])</f>
        <v>31500</v>
      </c>
      <c r="J12" s="21">
        <f>SUBTOTAL(109,ICSNRevenues[Actual 17/18])</f>
        <v>34462.04</v>
      </c>
      <c r="K12" s="21">
        <f>SUBTOTAL(109,ICSNRevenues[Budget 18/19])</f>
        <v>34000</v>
      </c>
      <c r="L12" s="21">
        <f>SUBTOTAL(109,ICSNRevenues[Budget 19/20])</f>
        <v>34000</v>
      </c>
      <c r="M12" s="21">
        <f>SUM(ICSNRevenues[Actual P12 19/20])</f>
        <v>2030</v>
      </c>
      <c r="N12" s="21">
        <f>SUBTOTAL(109,ICSNRevenues[Budget 20/21])</f>
        <v>26000</v>
      </c>
      <c r="O12" s="21">
        <f>SUBTOTAL(109,ICSNRevenues[Actual 20/21])</f>
        <v>0</v>
      </c>
      <c r="P12" s="21">
        <f>SUBTOTAL(109,ICSNRevenues[Budget 21/22])</f>
        <v>14000</v>
      </c>
      <c r="Q12" s="21">
        <f>SUBTOTAL(109,ICSNRevenues[Actual 21/22])</f>
        <v>0</v>
      </c>
      <c r="R12" s="592">
        <f>SUM(R9:R11)</f>
        <v>32000</v>
      </c>
    </row>
    <row r="13" spans="1:18">
      <c r="A13" s="48"/>
      <c r="C13" s="18"/>
      <c r="D13" s="75"/>
      <c r="I13"/>
      <c r="J13"/>
      <c r="K13"/>
      <c r="L13"/>
      <c r="M13"/>
      <c r="N13"/>
      <c r="O13" s="8"/>
      <c r="P13" s="8"/>
    </row>
    <row r="14" spans="1:18">
      <c r="A14" s="48"/>
      <c r="B14" s="11" t="s">
        <v>589</v>
      </c>
      <c r="C14" s="11" t="s">
        <v>7</v>
      </c>
      <c r="D14" s="11" t="s">
        <v>8</v>
      </c>
      <c r="E14" s="11" t="s">
        <v>9</v>
      </c>
      <c r="F14" s="119" t="s">
        <v>10</v>
      </c>
      <c r="G14" s="11" t="s">
        <v>11</v>
      </c>
      <c r="H14" s="11" t="s">
        <v>12</v>
      </c>
      <c r="I14" s="11" t="s">
        <v>13</v>
      </c>
      <c r="J14" s="11" t="s">
        <v>14</v>
      </c>
      <c r="K14" s="11" t="s">
        <v>15</v>
      </c>
      <c r="L14" s="11" t="s">
        <v>16</v>
      </c>
      <c r="M14" s="11" t="s">
        <v>81</v>
      </c>
      <c r="N14" s="11" t="s">
        <v>17</v>
      </c>
      <c r="O14" s="11" t="s">
        <v>40</v>
      </c>
      <c r="P14" s="11" t="s">
        <v>41</v>
      </c>
      <c r="Q14" s="5" t="s">
        <v>42</v>
      </c>
      <c r="R14" s="5" t="s">
        <v>43</v>
      </c>
    </row>
    <row r="15" spans="1:18">
      <c r="A15" s="48"/>
      <c r="B15" s="11" t="s">
        <v>590</v>
      </c>
      <c r="C15" s="178">
        <v>0</v>
      </c>
      <c r="D15" s="178">
        <v>3795.14</v>
      </c>
      <c r="E15" s="178">
        <v>0</v>
      </c>
      <c r="F15" s="149">
        <v>7683.63</v>
      </c>
      <c r="G15" s="44">
        <v>0</v>
      </c>
      <c r="H15" s="178">
        <v>8492</v>
      </c>
      <c r="I15" s="178">
        <v>4000</v>
      </c>
      <c r="J15" s="178">
        <v>16512.099999999999</v>
      </c>
      <c r="K15" s="178">
        <v>8000</v>
      </c>
      <c r="L15" s="178">
        <v>8000</v>
      </c>
      <c r="M15" s="178"/>
      <c r="N15" s="178">
        <v>0</v>
      </c>
      <c r="O15" s="117"/>
      <c r="P15" s="117"/>
      <c r="Q15" s="117"/>
      <c r="R15" s="645">
        <v>8000</v>
      </c>
    </row>
    <row r="16" spans="1:18">
      <c r="A16" s="48"/>
      <c r="B16" s="11" t="s">
        <v>587</v>
      </c>
      <c r="C16" s="178">
        <v>0</v>
      </c>
      <c r="D16" s="178">
        <v>11124.68</v>
      </c>
      <c r="E16" s="178">
        <v>0</v>
      </c>
      <c r="F16" s="149">
        <v>16037.59</v>
      </c>
      <c r="G16" s="44">
        <v>0</v>
      </c>
      <c r="H16" s="178">
        <v>20000</v>
      </c>
      <c r="I16" s="178">
        <v>14000</v>
      </c>
      <c r="J16" s="178">
        <v>15877.31</v>
      </c>
      <c r="K16" s="178">
        <v>13000</v>
      </c>
      <c r="L16" s="178">
        <v>13000</v>
      </c>
      <c r="M16" s="178"/>
      <c r="N16" s="178">
        <v>13000</v>
      </c>
      <c r="O16" s="117"/>
      <c r="P16" s="117">
        <v>3000</v>
      </c>
      <c r="Q16" s="117"/>
      <c r="R16" s="645">
        <v>13000</v>
      </c>
    </row>
    <row r="17" spans="1:18">
      <c r="A17" s="48"/>
      <c r="B17" s="11" t="s">
        <v>588</v>
      </c>
      <c r="C17" s="178"/>
      <c r="D17" s="178"/>
      <c r="E17" s="178"/>
      <c r="F17" s="149">
        <v>776</v>
      </c>
      <c r="G17" s="44"/>
      <c r="H17" s="178">
        <v>15000</v>
      </c>
      <c r="I17" s="178">
        <v>10000</v>
      </c>
      <c r="J17" s="178">
        <v>1875.99</v>
      </c>
      <c r="K17" s="178">
        <v>11000</v>
      </c>
      <c r="L17" s="178">
        <v>11000</v>
      </c>
      <c r="M17" s="178"/>
      <c r="N17" s="178">
        <v>9000</v>
      </c>
      <c r="O17" s="117"/>
      <c r="P17" s="117">
        <v>9000</v>
      </c>
      <c r="Q17" s="117"/>
      <c r="R17" s="645">
        <v>11000</v>
      </c>
    </row>
    <row r="18" spans="1:18">
      <c r="A18" s="48"/>
      <c r="B18" s="11" t="s">
        <v>21</v>
      </c>
      <c r="C18" s="178">
        <f>SUBTOTAL(109,ICSNCostofSales[Budget 14/15])</f>
        <v>0</v>
      </c>
      <c r="D18" s="178">
        <f>SUBTOTAL(109,ICSNCostofSales[Actual 14/15])</f>
        <v>14919.82</v>
      </c>
      <c r="E18" s="178">
        <f>SUBTOTAL(109,ICSNCostofSales[Budget 15/16])</f>
        <v>0</v>
      </c>
      <c r="F18" s="145">
        <f>SUBTOTAL(109,ICSNCostofSales[Actual 15/16])</f>
        <v>24497.22</v>
      </c>
      <c r="G18" s="178">
        <f>SUBTOTAL(109,ICSNCostofSales[Budget 16/17])</f>
        <v>0</v>
      </c>
      <c r="H18" s="178">
        <f>SUBTOTAL(109,ICSNCostofSales[Actual 16/17])</f>
        <v>43492</v>
      </c>
      <c r="I18" s="178">
        <f>SUBTOTAL(109,ICSNCostofSales[Budget 17/18])</f>
        <v>28000</v>
      </c>
      <c r="J18" s="21">
        <f>SUBTOTAL(109,ICSNCostofSales[Actual 17/18])</f>
        <v>34265.399999999994</v>
      </c>
      <c r="K18" s="21">
        <f>SUBTOTAL(109,ICSNCostofSales[Budget 18/19])</f>
        <v>32000</v>
      </c>
      <c r="L18" s="21">
        <f>SUBTOTAL(109,ICSNCostofSales[Budget 19/20])</f>
        <v>32000</v>
      </c>
      <c r="N18" s="21">
        <f>SUBTOTAL(109,ICSNCostofSales[Budget 20/21])</f>
        <v>22000</v>
      </c>
      <c r="O18" s="21">
        <f>SUBTOTAL(109,ICSNCostofSales[Actual 20/21])</f>
        <v>0</v>
      </c>
      <c r="P18" s="21">
        <f>SUBTOTAL(109,ICSNCostofSales[Budget 21/22])</f>
        <v>12000</v>
      </c>
      <c r="Q18" s="11">
        <f>SUBTOTAL(109,ICSNCostofSales[Cost of Sales])</f>
        <v>0</v>
      </c>
      <c r="R18" s="592">
        <f>SUM(ICSNCostofSales[Budget 22/23])</f>
        <v>32000</v>
      </c>
    </row>
    <row r="19" spans="1:18" ht="13.5" thickBot="1">
      <c r="C19" s="178"/>
      <c r="D19" s="178"/>
      <c r="E19" s="74"/>
      <c r="I19"/>
      <c r="J19"/>
      <c r="K19"/>
      <c r="L19"/>
      <c r="M19"/>
      <c r="N19"/>
      <c r="O19"/>
      <c r="P19"/>
    </row>
    <row r="20" spans="1:18" ht="15.75" thickBot="1">
      <c r="B20" s="646" t="s">
        <v>591</v>
      </c>
      <c r="C20" s="80">
        <f>(ICSNRevenues[[#Totals],[Budget 14/15]]- ICSNCostofSales[[#Totals],[Budget 14/15]])</f>
        <v>3500</v>
      </c>
      <c r="D20" s="80">
        <f>(ICSNRevenues[[#Totals],[Actual 14/15]]- ICSNCostofSales[[#Totals],[Actual 14/15]])</f>
        <v>3428.880000000001</v>
      </c>
      <c r="E20" s="80">
        <f>(ICSNRevenues[[#Totals],[Budget 15/16]]- ICSNCostofSales[[#Totals],[Budget 15/16]])</f>
        <v>3500</v>
      </c>
      <c r="F20" s="80">
        <f>(ICSNRevenues[[#Totals],[Actual 15/16]]- ICSNCostofSales[[#Totals],[Actual 15/16]])</f>
        <v>4079.7799999999988</v>
      </c>
      <c r="G20" s="86">
        <f>(ICSNRevenues[[#Totals],[Budget 16/17]]- ICSNCostofSales[[#Totals],[Budget 16/17]])</f>
        <v>4000</v>
      </c>
      <c r="H20" s="86">
        <f>(ICSNRevenues[[#Totals],[Actuan 16/17]]- ICSNCostofSales[[#Totals],[Actual 16/17]])</f>
        <v>2211.5</v>
      </c>
      <c r="I20" s="86">
        <f>(ICSNRevenues[[#Totals],[Budget 17/18]]- ICSNCostofSales[[#Totals],[Budget 17/18]])</f>
        <v>3500</v>
      </c>
      <c r="J20" s="86">
        <f>(ICSNRevenues[[#Totals],[Actual 17/18]]- ICSNCostofSales[[#Totals],[Actual 17/18]])</f>
        <v>196.64000000000669</v>
      </c>
      <c r="K20" s="86">
        <f>(ICSNRevenues[[#Totals],[Budget 18/19]]- ICSNCostofSales[[#Totals],[Budget 18/19]])</f>
        <v>2000</v>
      </c>
      <c r="L20" s="86">
        <f>(ICSNRevenues[[#Totals],[Budget 19/20]]- ICSNCostofSales[[#Totals],[Budget 19/20]])</f>
        <v>2000</v>
      </c>
      <c r="M20" s="86"/>
      <c r="N20" s="86">
        <f>(ICSNRevenues[[#Totals],[Budget 20/21]]- ICSNCostofSales[[#Totals],[Budget 20/21]])</f>
        <v>4000</v>
      </c>
      <c r="O20" s="86">
        <f>(ICSNRevenues[[#Totals],[Actual 20/21]]- ICSNCostofSales[[#Totals],[Actual 20/21]])</f>
        <v>0</v>
      </c>
      <c r="P20" s="86">
        <f>(ICSNRevenues[[#Totals],[Budget 21/22]]- ICSNCostofSales[[#Totals],[Budget 21/22]])</f>
        <v>2000</v>
      </c>
      <c r="Q20" s="86">
        <f>(ICSNRevenues[[#Totals],[Actual 21/22]]- ICSNCostofSales[[#Totals],[Actual 21/22]])</f>
        <v>0</v>
      </c>
      <c r="R20" s="86">
        <f>(ICSNRevenues[[#Totals],[Budget 22/23]]- ICSNCostofSales[[#Totals],[Budget 22/23]])</f>
        <v>0</v>
      </c>
    </row>
    <row r="21" spans="1:18" ht="15">
      <c r="A21" s="48"/>
      <c r="B21" s="83"/>
      <c r="C21" s="82"/>
      <c r="D21" s="82"/>
      <c r="E21" s="82"/>
      <c r="F21" s="157"/>
      <c r="G21" s="81"/>
      <c r="I21"/>
      <c r="J21"/>
      <c r="K21"/>
      <c r="L21"/>
      <c r="M21"/>
      <c r="N21"/>
      <c r="O21"/>
      <c r="P21"/>
    </row>
    <row r="22" spans="1:18">
      <c r="A22" s="48"/>
      <c r="C22" s="18"/>
      <c r="D22" s="75"/>
      <c r="F22" s="158"/>
      <c r="H22" s="58"/>
      <c r="I22"/>
      <c r="J22"/>
      <c r="K22"/>
      <c r="L22"/>
      <c r="M22"/>
      <c r="N22"/>
      <c r="O22"/>
      <c r="P22"/>
    </row>
    <row r="23" spans="1:18">
      <c r="A23" s="48"/>
      <c r="B23" s="11" t="s">
        <v>22</v>
      </c>
      <c r="C23" s="11" t="s">
        <v>7</v>
      </c>
      <c r="D23" s="11" t="s">
        <v>8</v>
      </c>
      <c r="E23" s="11" t="s">
        <v>9</v>
      </c>
      <c r="F23" s="119" t="s">
        <v>10</v>
      </c>
      <c r="G23" s="11" t="s">
        <v>11</v>
      </c>
      <c r="H23" s="11" t="s">
        <v>12</v>
      </c>
      <c r="I23" s="11" t="s">
        <v>13</v>
      </c>
      <c r="J23" s="11" t="s">
        <v>14</v>
      </c>
      <c r="K23" s="11" t="s">
        <v>15</v>
      </c>
      <c r="L23" s="11" t="s">
        <v>16</v>
      </c>
      <c r="M23" s="11" t="s">
        <v>81</v>
      </c>
      <c r="N23" s="11" t="s">
        <v>17</v>
      </c>
      <c r="O23" s="11" t="s">
        <v>40</v>
      </c>
      <c r="P23" s="11" t="s">
        <v>41</v>
      </c>
      <c r="Q23" s="5" t="s">
        <v>42</v>
      </c>
      <c r="R23" s="5" t="s">
        <v>43</v>
      </c>
    </row>
    <row r="24" spans="1:18">
      <c r="A24" s="48" t="s">
        <v>592</v>
      </c>
      <c r="B24" s="11" t="s">
        <v>348</v>
      </c>
      <c r="C24" s="44"/>
      <c r="D24" s="44"/>
      <c r="E24" s="76"/>
      <c r="F24" s="44"/>
      <c r="G24" s="76"/>
      <c r="H24" s="44"/>
      <c r="I24" s="44"/>
      <c r="J24" s="44"/>
      <c r="K24" s="44"/>
      <c r="L24" s="44"/>
      <c r="M24" s="44">
        <v>0</v>
      </c>
      <c r="N24" s="392">
        <v>7200</v>
      </c>
      <c r="O24" s="117">
        <v>2931.04</v>
      </c>
      <c r="P24" s="117">
        <f>(18720/1.04)*1.13</f>
        <v>20339.999999999996</v>
      </c>
      <c r="Q24" s="117">
        <v>17172.63</v>
      </c>
      <c r="R24" s="647">
        <v>23594.400000000001</v>
      </c>
    </row>
    <row r="25" spans="1:18">
      <c r="A25" s="48"/>
      <c r="B25" s="11" t="s">
        <v>349</v>
      </c>
      <c r="C25" s="44"/>
      <c r="D25" s="44"/>
      <c r="E25" s="76"/>
      <c r="F25" s="44"/>
      <c r="G25" s="76"/>
      <c r="H25" s="44"/>
      <c r="I25" s="44"/>
      <c r="J25" s="44"/>
      <c r="K25" s="44"/>
      <c r="L25" s="44"/>
      <c r="M25" s="44"/>
      <c r="N25" s="397">
        <v>1500</v>
      </c>
      <c r="O25" s="117"/>
      <c r="P25" s="117"/>
      <c r="Q25" s="117"/>
      <c r="R25" s="117"/>
    </row>
    <row r="26" spans="1:18">
      <c r="A26" s="48" t="s">
        <v>593</v>
      </c>
      <c r="B26" s="11" t="s">
        <v>142</v>
      </c>
      <c r="C26" s="44">
        <v>960</v>
      </c>
      <c r="D26" s="44">
        <v>419.06</v>
      </c>
      <c r="E26" s="76">
        <v>960</v>
      </c>
      <c r="F26" s="149">
        <v>601.85</v>
      </c>
      <c r="G26" s="44">
        <v>980</v>
      </c>
      <c r="H26" s="44">
        <v>802.32</v>
      </c>
      <c r="I26" s="117">
        <v>1140</v>
      </c>
      <c r="J26" s="117">
        <v>571.29</v>
      </c>
      <c r="K26" s="117">
        <v>990</v>
      </c>
      <c r="L26" s="117">
        <v>720</v>
      </c>
      <c r="M26" s="117">
        <v>684.88</v>
      </c>
      <c r="N26" s="117">
        <v>500</v>
      </c>
      <c r="O26" s="117">
        <v>2039.03</v>
      </c>
      <c r="P26" s="117">
        <v>750</v>
      </c>
      <c r="Q26" s="117">
        <v>490</v>
      </c>
      <c r="R26" s="117"/>
    </row>
    <row r="27" spans="1:18">
      <c r="A27" s="48" t="s">
        <v>594</v>
      </c>
      <c r="B27" s="11" t="s">
        <v>93</v>
      </c>
      <c r="C27" s="44">
        <v>125</v>
      </c>
      <c r="D27" s="44">
        <v>327.74</v>
      </c>
      <c r="E27" s="76">
        <v>227.4</v>
      </c>
      <c r="F27" s="149">
        <v>208.45</v>
      </c>
      <c r="G27" s="44">
        <v>250</v>
      </c>
      <c r="H27" s="44">
        <v>208.45</v>
      </c>
      <c r="I27" s="117">
        <v>138</v>
      </c>
      <c r="J27" s="117">
        <v>208.45</v>
      </c>
      <c r="K27" s="117">
        <v>138</v>
      </c>
      <c r="L27" s="117">
        <v>138</v>
      </c>
      <c r="M27" s="117">
        <v>208.45</v>
      </c>
      <c r="N27" s="392">
        <v>350</v>
      </c>
      <c r="O27" s="117">
        <v>113.7</v>
      </c>
      <c r="P27" s="117">
        <v>350</v>
      </c>
      <c r="Q27" s="117"/>
      <c r="R27" s="117"/>
    </row>
    <row r="28" spans="1:18">
      <c r="A28" s="48" t="s">
        <v>595</v>
      </c>
      <c r="B28" s="11" t="s">
        <v>100</v>
      </c>
      <c r="C28" s="44">
        <v>25</v>
      </c>
      <c r="D28" s="44">
        <v>3.32</v>
      </c>
      <c r="E28" s="77">
        <v>10</v>
      </c>
      <c r="F28" s="149">
        <v>8.49</v>
      </c>
      <c r="G28" s="44">
        <v>30</v>
      </c>
      <c r="H28" s="44"/>
      <c r="I28" s="117">
        <v>30</v>
      </c>
      <c r="J28" s="117">
        <v>25.02</v>
      </c>
      <c r="K28" s="117">
        <v>30</v>
      </c>
      <c r="L28" s="117">
        <v>30</v>
      </c>
      <c r="M28" s="117">
        <v>44.63</v>
      </c>
      <c r="N28" s="117">
        <v>30</v>
      </c>
      <c r="O28" s="117"/>
      <c r="P28" s="117">
        <v>20</v>
      </c>
      <c r="Q28" s="117"/>
      <c r="R28" s="627"/>
    </row>
    <row r="29" spans="1:18">
      <c r="A29" s="48" t="s">
        <v>596</v>
      </c>
      <c r="B29" s="11" t="s">
        <v>378</v>
      </c>
      <c r="C29" s="44">
        <v>65</v>
      </c>
      <c r="D29" s="44">
        <v>218.39</v>
      </c>
      <c r="E29" s="76">
        <v>100</v>
      </c>
      <c r="F29" s="149">
        <v>195.91</v>
      </c>
      <c r="G29" s="44">
        <v>70</v>
      </c>
      <c r="H29" s="44">
        <v>9.0399999999999991</v>
      </c>
      <c r="I29" s="117">
        <v>60</v>
      </c>
      <c r="J29" s="117"/>
      <c r="K29" s="117"/>
      <c r="L29" s="117"/>
      <c r="M29" s="117">
        <v>0</v>
      </c>
      <c r="N29" s="117"/>
      <c r="O29" s="117"/>
      <c r="P29" s="117">
        <v>150</v>
      </c>
      <c r="Q29" s="117">
        <v>70.84</v>
      </c>
      <c r="R29" s="627">
        <v>600</v>
      </c>
    </row>
    <row r="30" spans="1:18">
      <c r="A30" s="48" t="s">
        <v>597</v>
      </c>
      <c r="B30" s="11" t="s">
        <v>104</v>
      </c>
      <c r="C30" s="44">
        <v>300</v>
      </c>
      <c r="D30" s="44">
        <v>10.84</v>
      </c>
      <c r="E30" s="76">
        <v>300</v>
      </c>
      <c r="F30" s="149">
        <v>63.24</v>
      </c>
      <c r="G30" s="44">
        <v>300</v>
      </c>
      <c r="H30" s="44">
        <v>1055.3399999999999</v>
      </c>
      <c r="I30" s="117">
        <v>450</v>
      </c>
      <c r="J30" s="117">
        <v>510.15</v>
      </c>
      <c r="K30" s="117">
        <v>500</v>
      </c>
      <c r="L30" s="117">
        <v>110</v>
      </c>
      <c r="M30" s="117">
        <v>161.61000000000001</v>
      </c>
      <c r="N30" s="117">
        <v>100</v>
      </c>
      <c r="O30" s="117"/>
      <c r="P30" s="117">
        <v>300</v>
      </c>
      <c r="Q30" s="117"/>
      <c r="R30" s="648">
        <v>100</v>
      </c>
    </row>
    <row r="31" spans="1:18">
      <c r="B31" s="11" t="s">
        <v>336</v>
      </c>
      <c r="C31" s="44">
        <v>0</v>
      </c>
      <c r="D31" s="44">
        <v>0</v>
      </c>
      <c r="E31" s="76">
        <v>0</v>
      </c>
      <c r="F31" s="149">
        <v>0</v>
      </c>
      <c r="G31" s="44">
        <v>0</v>
      </c>
      <c r="H31" s="44"/>
      <c r="I31" s="117"/>
      <c r="J31" s="117"/>
      <c r="K31" s="117"/>
      <c r="L31" s="117"/>
      <c r="M31" s="117"/>
      <c r="N31" s="117"/>
      <c r="O31" s="117"/>
      <c r="P31" s="117"/>
      <c r="Q31" s="117"/>
      <c r="R31" s="117"/>
    </row>
    <row r="32" spans="1:18">
      <c r="A32" s="49" t="s">
        <v>598</v>
      </c>
      <c r="B32" s="11" t="s">
        <v>417</v>
      </c>
      <c r="C32" s="44">
        <v>0</v>
      </c>
      <c r="D32" s="44">
        <v>6737.64</v>
      </c>
      <c r="E32" s="76">
        <v>0</v>
      </c>
      <c r="F32" s="149">
        <v>5318.18</v>
      </c>
      <c r="G32" s="44">
        <v>7700</v>
      </c>
      <c r="H32" s="44">
        <v>9337.9</v>
      </c>
      <c r="I32" s="117">
        <v>7700</v>
      </c>
      <c r="J32" s="117">
        <v>4194.7700000000004</v>
      </c>
      <c r="K32" s="117">
        <v>4000</v>
      </c>
      <c r="L32" s="117">
        <v>3156</v>
      </c>
      <c r="M32" s="117">
        <v>2316.08</v>
      </c>
      <c r="N32" s="117">
        <v>2000</v>
      </c>
      <c r="O32" s="117">
        <v>269.52</v>
      </c>
      <c r="P32" s="117">
        <v>3000</v>
      </c>
      <c r="Q32" s="117">
        <v>1593.9</v>
      </c>
      <c r="R32" s="648">
        <v>2400</v>
      </c>
    </row>
    <row r="33" spans="1:18">
      <c r="A33" s="338" t="s">
        <v>599</v>
      </c>
      <c r="B33" s="11" t="s">
        <v>302</v>
      </c>
      <c r="C33" s="44"/>
      <c r="D33" s="44"/>
      <c r="E33" s="76"/>
      <c r="F33" s="149"/>
      <c r="G33" s="76"/>
      <c r="H33" s="44"/>
      <c r="I33" s="117"/>
      <c r="J33" s="117"/>
      <c r="K33" s="117"/>
      <c r="L33" s="117"/>
      <c r="M33" s="117"/>
      <c r="N33" s="117">
        <v>100</v>
      </c>
      <c r="O33" s="117"/>
      <c r="P33" s="117">
        <v>50</v>
      </c>
      <c r="Q33" s="117"/>
      <c r="R33" s="117"/>
    </row>
    <row r="34" spans="1:18">
      <c r="B34" s="11" t="s">
        <v>21</v>
      </c>
      <c r="C34" s="178">
        <f>SUBTOTAL(109,ICSNExpenses[Budget 14/15])</f>
        <v>1475</v>
      </c>
      <c r="D34" s="178">
        <f>SUBTOTAL(109,ICSNExpenses[Actual 14/15])</f>
        <v>7716.9900000000007</v>
      </c>
      <c r="E34" s="178">
        <f>SUBTOTAL(109,ICSNExpenses[Budget 15/16])</f>
        <v>1597.4</v>
      </c>
      <c r="F34" s="145">
        <f>SUBTOTAL(109,ICSNExpenses[Actual 15/16])</f>
        <v>6396.12</v>
      </c>
      <c r="G34" s="178">
        <f>SUBTOTAL(109,ICSNExpenses[Budget 16/17])</f>
        <v>9330</v>
      </c>
      <c r="H34" s="178">
        <f>SUBTOTAL(109,ICSNExpenses[Actual 16/17])</f>
        <v>11413.05</v>
      </c>
      <c r="I34" s="178">
        <f>SUBTOTAL(109,ICSNExpenses[Budget 17/18])</f>
        <v>9518</v>
      </c>
      <c r="J34" s="21">
        <f>SUM(ICSNExpenses[Actual 17/18])</f>
        <v>5509.68</v>
      </c>
      <c r="K34" s="21">
        <f>SUM(ICSNExpenses[Budget 18/19])</f>
        <v>5658</v>
      </c>
      <c r="L34" s="21">
        <f>SUM(ICSNExpenses[Budget 19/20])</f>
        <v>4154</v>
      </c>
      <c r="M34" s="21">
        <f>SUM(ICSNExpenses[Actual P12 19/20])</f>
        <v>3415.6499999999996</v>
      </c>
      <c r="N34" s="21">
        <f>SUM(ICSNExpenses[Budget 20/21])</f>
        <v>11780</v>
      </c>
      <c r="O34" s="21">
        <f>SUM(ICSNExpenses[Actual 20/21])</f>
        <v>5353.2899999999991</v>
      </c>
      <c r="P34" s="21">
        <f>SUM(ICSNExpenses[Budget 21/22])</f>
        <v>24959.999999999996</v>
      </c>
      <c r="Q34" s="21">
        <f>SUBTOTAL(109,ICSNExpenses[Actual 21/22])</f>
        <v>19327.370000000003</v>
      </c>
      <c r="R34" s="74">
        <f>SUM(ICSNExpenses[Budget 22/23])</f>
        <v>26694.400000000001</v>
      </c>
    </row>
    <row r="35" spans="1:18" ht="13.5" thickBot="1">
      <c r="A35" s="287"/>
      <c r="C35" s="178"/>
      <c r="D35" s="178"/>
      <c r="E35" s="178"/>
      <c r="I35"/>
    </row>
    <row r="36" spans="1:18" ht="19.5" thickBot="1">
      <c r="B36" s="611" t="s">
        <v>127</v>
      </c>
      <c r="C36" s="80">
        <f>(ICSNRevenues[[#Totals],[Budget 14/15]]- ICSNCostofSales[[#Totals],[Budget 14/15]])-ICSNExpenses[[#Totals],[Budget 14/15]]</f>
        <v>2025</v>
      </c>
      <c r="D36" s="80">
        <f>(ICSNRevenues[[#Totals],[Actual 14/15]]- ICSNCostofSales[[#Totals],[Actual 14/15]])-ICSNExpenses[[#Totals],[Actual 14/15]]</f>
        <v>-4288.1099999999997</v>
      </c>
      <c r="E36" s="80">
        <f>(ICSNRevenues[[#Totals],[Budget 15/16]]- ICSNCostofSales[[#Totals],[Budget 15/16]])-ICSNExpenses[[#Totals],[Budget 15/16]]</f>
        <v>1902.6</v>
      </c>
      <c r="F36" s="80">
        <f>(ICSNRevenues[[#Totals],[Actual 15/16]]- ICSNCostofSales[[#Totals],[Actual 15/16]])-ICSNExpenses[[#Totals],[Actual 15/16]]</f>
        <v>-2316.3400000000011</v>
      </c>
      <c r="G36" s="86">
        <f>(ICSNRevenues[[#Totals],[Budget 16/17]]- ICSNCostofSales[[#Totals],[Budget 16/17]])-ICSNExpenses[[#Totals],[Budget 16/17]]</f>
        <v>-5330</v>
      </c>
      <c r="H36" s="86">
        <f>(ICSNRevenues[[#Totals],[Actuan 16/17]]- ICSNCostofSales[[#Totals],[Actual 16/17]])-ICSNExpenses[[#Totals],[Actual 16/17]]</f>
        <v>-9201.5499999999993</v>
      </c>
      <c r="I36" s="317">
        <f>(ICSNRevenues[[#Totals],[Budget 17/18]]- ICSNCostofSales[[#Totals],[Budget 17/18]])-ICSNExpenses[[#Totals],[Budget 17/18]]</f>
        <v>-6018</v>
      </c>
      <c r="J36" s="317">
        <f>(ICSNRevenues[[#Totals],[Actual 17/18]]- ICSNCostofSales[[#Totals],[Actual 17/18]])-ICSNExpenses[[#Totals],[Actual 17/18]]</f>
        <v>-5313.0399999999936</v>
      </c>
      <c r="K36" s="317">
        <f>(ICSNRevenues[[#Totals],[Budget 18/19]]- ICSNCostofSales[[#Totals],[Budget 18/19]])-ICSNExpenses[[#Totals],[Budget 18/19]]</f>
        <v>-3658</v>
      </c>
      <c r="L36" s="317">
        <f>(ICSNRevenues[[#Totals],[Budget 19/20]]- ICSNCostofSales[[#Totals],[Budget 19/20]])-ICSNExpenses[[#Totals],[Budget 19/20]]</f>
        <v>-2154</v>
      </c>
      <c r="M36" s="317">
        <f>ICSNRevenues[[#Totals],[Actual P12 19/20]]-ICSNCostofSales[[#Totals],[Actual P12 19/20]]-ICSNExpenses[[#Totals],[Actual P12 19/20]]</f>
        <v>-1385.6499999999996</v>
      </c>
      <c r="N36" s="317">
        <f>-ICSNExpenses[[#Totals],[Budget 20/21]]-ICSNCostofSales[[#Totals],[Budget 20/21]]+ICSNRevenues[[#Totals],[Budget 20/21]]</f>
        <v>-7780</v>
      </c>
      <c r="O36" s="317">
        <f>-ICSNExpenses[[#Totals],[Actual 20/21]]-ICSNCostofSales[[#Totals],[Actual 20/21]]+ICSNRevenues[[#Totals],[Actual 20/21]]</f>
        <v>-5353.2899999999991</v>
      </c>
      <c r="P36" s="317">
        <f>-ICSNExpenses[[#Totals],[Budget 21/22]]-ICSNCostofSales[[#Totals],[Budget 21/22]]+ICSNRevenues[[#Totals],[Budget 21/22]]</f>
        <v>-22960</v>
      </c>
      <c r="Q36" s="317">
        <f>-ICSNExpenses[[#Totals],[Actual 21/22]]-ICSNCostofSales[[#Totals],[Actual 21/22]]+ICSNRevenues[[#Totals],[Actual 21/22]]</f>
        <v>-19327.370000000003</v>
      </c>
      <c r="R36" s="317">
        <f>-ICSNExpenses[[#Totals],[Budget 22/23]]-ICSNCostofSales[[#Totals],[Budget 22/23]]+ICSNRevenues[[#Totals],[Budget 22/23]]</f>
        <v>-26694.400000000001</v>
      </c>
    </row>
    <row r="37" spans="1:18">
      <c r="B37" s="287"/>
      <c r="C37" s="21"/>
      <c r="D37" s="21"/>
      <c r="E37" s="21"/>
    </row>
  </sheetData>
  <phoneticPr fontId="90" type="noConversion"/>
  <pageMargins left="0.7" right="0.7" top="0.75" bottom="0.75" header="0.3" footer="0.3"/>
  <pageSetup orientation="portrait" r:id="rId1"/>
  <legacyDrawing r:id="rId2"/>
  <tableParts count="3">
    <tablePart r:id="rId3"/>
    <tablePart r:id="rId4"/>
    <tablePart r:id="rId5"/>
  </tablePar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tabColor theme="1"/>
  </sheetPr>
  <dimension ref="A1:P31"/>
  <sheetViews>
    <sheetView topLeftCell="A4" zoomScale="115" zoomScaleNormal="115" workbookViewId="0">
      <selection activeCell="O24" sqref="O24"/>
    </sheetView>
  </sheetViews>
  <sheetFormatPr defaultColWidth="9.140625" defaultRowHeight="12.75"/>
  <cols>
    <col min="1" max="1" width="12.42578125" style="11" customWidth="1"/>
    <col min="2" max="2" width="30.42578125" style="11" customWidth="1"/>
    <col min="3" max="3" width="15.42578125" style="11" hidden="1" customWidth="1"/>
    <col min="4" max="4" width="14.42578125" style="132" hidden="1" customWidth="1"/>
    <col min="5" max="5" width="14.42578125" style="11" hidden="1" customWidth="1"/>
    <col min="6" max="6" width="16.7109375" style="11" hidden="1" customWidth="1"/>
    <col min="7" max="7" width="18.42578125" style="11" hidden="1" customWidth="1"/>
    <col min="8" max="8" width="14.7109375" style="11" hidden="1" customWidth="1"/>
    <col min="9" max="10" width="15.42578125" style="11" hidden="1" customWidth="1"/>
    <col min="11" max="11" width="16.28515625" style="11" hidden="1" customWidth="1"/>
    <col min="12" max="12" width="17.85546875" style="11" hidden="1" customWidth="1"/>
    <col min="13" max="13" width="17.7109375" style="11" hidden="1" customWidth="1"/>
    <col min="14" max="14" width="16.7109375" style="11" customWidth="1"/>
    <col min="15" max="15" width="16.85546875" style="11" customWidth="1"/>
    <col min="16" max="16" width="15.42578125" style="11" bestFit="1" customWidth="1"/>
    <col min="17" max="16384" width="9.140625" style="11"/>
  </cols>
  <sheetData>
    <row r="1" spans="1:16" ht="18">
      <c r="A1" s="758" t="s">
        <v>600</v>
      </c>
      <c r="B1" s="758"/>
    </row>
    <row r="2" spans="1:16">
      <c r="A2" s="28" t="s">
        <v>226</v>
      </c>
    </row>
    <row r="3" spans="1:16">
      <c r="F3"/>
      <c r="G3"/>
      <c r="H3"/>
      <c r="I3"/>
      <c r="J3"/>
      <c r="K3"/>
      <c r="L3"/>
      <c r="M3"/>
    </row>
    <row r="4" spans="1:16">
      <c r="B4" s="11" t="s">
        <v>72</v>
      </c>
      <c r="C4" s="178" t="s">
        <v>9</v>
      </c>
      <c r="D4" s="151" t="s">
        <v>10</v>
      </c>
      <c r="E4" s="178" t="s">
        <v>11</v>
      </c>
      <c r="F4" s="178" t="s">
        <v>12</v>
      </c>
      <c r="G4" s="178" t="s">
        <v>13</v>
      </c>
      <c r="H4" s="178" t="s">
        <v>14</v>
      </c>
      <c r="I4" s="178" t="s">
        <v>15</v>
      </c>
      <c r="J4" s="178" t="s">
        <v>16</v>
      </c>
      <c r="K4" s="178" t="s">
        <v>81</v>
      </c>
      <c r="L4" s="178" t="s">
        <v>17</v>
      </c>
      <c r="M4" s="178" t="s">
        <v>40</v>
      </c>
      <c r="N4" s="19" t="s">
        <v>41</v>
      </c>
      <c r="O4" s="5" t="s">
        <v>42</v>
      </c>
      <c r="P4" s="5" t="s">
        <v>43</v>
      </c>
    </row>
    <row r="5" spans="1:16">
      <c r="A5" s="49" t="s">
        <v>601</v>
      </c>
      <c r="B5" s="11" t="s">
        <v>395</v>
      </c>
      <c r="C5" s="178">
        <v>3000</v>
      </c>
      <c r="D5" s="149">
        <v>750</v>
      </c>
      <c r="E5" s="44">
        <v>1500</v>
      </c>
      <c r="F5" s="117">
        <v>3000</v>
      </c>
      <c r="G5" s="117">
        <v>1500</v>
      </c>
      <c r="H5" s="117"/>
      <c r="I5" s="117">
        <v>1500</v>
      </c>
      <c r="J5" s="117">
        <v>0</v>
      </c>
      <c r="K5" s="117">
        <v>9000</v>
      </c>
      <c r="L5" s="117"/>
      <c r="M5" s="117"/>
      <c r="N5" s="117"/>
      <c r="O5" s="117"/>
      <c r="P5" s="117"/>
    </row>
    <row r="6" spans="1:16">
      <c r="A6" s="49"/>
      <c r="B6" s="287" t="s">
        <v>602</v>
      </c>
      <c r="C6" s="178">
        <v>6000</v>
      </c>
      <c r="D6" s="149">
        <v>0</v>
      </c>
      <c r="E6" s="44">
        <v>6000</v>
      </c>
      <c r="F6" s="117">
        <v>6000</v>
      </c>
      <c r="G6" s="117">
        <v>6000</v>
      </c>
      <c r="H6" s="117">
        <v>6000</v>
      </c>
      <c r="I6" s="117">
        <v>6000</v>
      </c>
      <c r="J6" s="117">
        <v>9000</v>
      </c>
      <c r="K6" s="117"/>
      <c r="L6" s="393">
        <v>17000</v>
      </c>
      <c r="M6" s="393">
        <v>15000</v>
      </c>
      <c r="N6" s="117">
        <v>13000</v>
      </c>
      <c r="O6" s="117">
        <v>7500</v>
      </c>
      <c r="P6" s="627">
        <v>16000</v>
      </c>
    </row>
    <row r="7" spans="1:16">
      <c r="A7" s="49" t="s">
        <v>603</v>
      </c>
      <c r="B7" s="11" t="s">
        <v>343</v>
      </c>
      <c r="C7" s="44">
        <v>0</v>
      </c>
      <c r="D7" s="149">
        <v>4349.8</v>
      </c>
      <c r="E7" s="44">
        <v>0</v>
      </c>
      <c r="F7" s="117">
        <v>2783</v>
      </c>
      <c r="G7" s="117">
        <v>2000</v>
      </c>
      <c r="H7" s="117"/>
      <c r="I7" s="117"/>
      <c r="J7" s="117"/>
      <c r="K7" s="117">
        <v>0</v>
      </c>
      <c r="L7" s="117"/>
      <c r="M7" s="117"/>
      <c r="N7" s="117"/>
      <c r="O7" s="117"/>
      <c r="P7" s="117"/>
    </row>
    <row r="8" spans="1:16">
      <c r="A8" s="49" t="s">
        <v>604</v>
      </c>
      <c r="B8" s="11" t="s">
        <v>295</v>
      </c>
      <c r="C8" s="44">
        <v>0</v>
      </c>
      <c r="D8" s="149">
        <v>6000</v>
      </c>
      <c r="E8" s="44"/>
      <c r="F8" s="44"/>
      <c r="G8" s="117"/>
      <c r="H8" s="44"/>
      <c r="I8" s="117"/>
      <c r="J8" s="117"/>
      <c r="K8" s="117">
        <v>0</v>
      </c>
      <c r="L8" s="117"/>
      <c r="M8" s="117"/>
      <c r="N8" s="117"/>
      <c r="O8" s="117"/>
      <c r="P8" s="117"/>
    </row>
    <row r="9" spans="1:16">
      <c r="A9" s="49"/>
      <c r="B9" s="11" t="s">
        <v>21</v>
      </c>
      <c r="C9" s="178">
        <f>SUBTOTAL(109,CoopConnectionRevenues[Budget 15/16])</f>
        <v>9000</v>
      </c>
      <c r="D9" s="145">
        <f>SUBTOTAL(109,CoopConnectionRevenues[Actual 15/16])</f>
        <v>11099.8</v>
      </c>
      <c r="E9" s="178">
        <f>SUBTOTAL(109,CoopConnectionRevenues[Budget 16/17])</f>
        <v>7500</v>
      </c>
      <c r="F9" s="178">
        <f>SUBTOTAL(109,CoopConnectionRevenues[Actual 16/17])</f>
        <v>11783</v>
      </c>
      <c r="G9" s="178">
        <f>SUBTOTAL(109,CoopConnectionRevenues[Budget 17/18])</f>
        <v>9500</v>
      </c>
      <c r="H9" s="21">
        <f>SUBTOTAL(109,CoopConnectionRevenues[Actual 17/18])</f>
        <v>6000</v>
      </c>
      <c r="I9" s="21">
        <f>SUM(CoopConnectionRevenues[Budget 18/19])</f>
        <v>7500</v>
      </c>
      <c r="J9" s="21">
        <f>SUM(CoopConnectionRevenues[Budget 19/20])</f>
        <v>9000</v>
      </c>
      <c r="K9" s="21">
        <f>SUM(CoopConnectionRevenues[Actual P12 19/20])</f>
        <v>9000</v>
      </c>
      <c r="L9" s="21">
        <f>SUM(CoopConnectionRevenues[Budget 20/21])</f>
        <v>17000</v>
      </c>
      <c r="M9" s="21">
        <f>SUM(M5:M8)</f>
        <v>15000</v>
      </c>
      <c r="N9" s="21">
        <f>SUM(CoopConnectionRevenues[Budget 21/22])</f>
        <v>13000</v>
      </c>
      <c r="O9" s="21">
        <f>SUBTOTAL(109,CoopConnectionRevenues[Actual 21/22])</f>
        <v>7500</v>
      </c>
      <c r="P9" s="178">
        <f>SUM(CoopConnectionRevenues[Budget 22/23])</f>
        <v>16000</v>
      </c>
    </row>
    <row r="10" spans="1:16">
      <c r="A10" s="49"/>
      <c r="C10" s="178"/>
      <c r="F10"/>
      <c r="G10"/>
      <c r="H10"/>
      <c r="I10"/>
      <c r="J10"/>
      <c r="K10"/>
      <c r="L10"/>
      <c r="M10"/>
      <c r="P10"/>
    </row>
    <row r="11" spans="1:16">
      <c r="A11" s="49"/>
      <c r="B11" s="11" t="s">
        <v>22</v>
      </c>
      <c r="C11" s="18" t="s">
        <v>9</v>
      </c>
      <c r="D11" s="151" t="s">
        <v>10</v>
      </c>
      <c r="E11" s="178" t="s">
        <v>11</v>
      </c>
      <c r="F11" s="178" t="s">
        <v>12</v>
      </c>
      <c r="G11" s="178" t="s">
        <v>13</v>
      </c>
      <c r="H11" s="178" t="s">
        <v>14</v>
      </c>
      <c r="I11" s="178" t="s">
        <v>15</v>
      </c>
      <c r="J11" s="178" t="s">
        <v>16</v>
      </c>
      <c r="K11" s="178" t="s">
        <v>81</v>
      </c>
      <c r="L11" s="178" t="s">
        <v>17</v>
      </c>
      <c r="M11" s="178" t="s">
        <v>40</v>
      </c>
      <c r="N11" s="11" t="s">
        <v>41</v>
      </c>
      <c r="O11" s="5" t="s">
        <v>42</v>
      </c>
      <c r="P11" s="5" t="s">
        <v>43</v>
      </c>
    </row>
    <row r="12" spans="1:16">
      <c r="A12" s="49" t="s">
        <v>605</v>
      </c>
      <c r="B12" s="11" t="s">
        <v>348</v>
      </c>
      <c r="C12" s="18"/>
      <c r="D12" s="18"/>
      <c r="E12" s="18"/>
      <c r="F12" s="18"/>
      <c r="G12" s="18"/>
      <c r="H12" s="18"/>
      <c r="I12" s="18"/>
      <c r="J12" s="18"/>
      <c r="K12" s="18">
        <v>0</v>
      </c>
      <c r="L12" s="393">
        <v>2400</v>
      </c>
      <c r="M12" s="393">
        <v>1957.13</v>
      </c>
      <c r="N12" s="2">
        <f>(7488/1.04)*1.13</f>
        <v>8135.9999999999991</v>
      </c>
      <c r="O12" s="2">
        <v>9168.2199999999993</v>
      </c>
      <c r="P12" s="2">
        <f>2320*1.13*3</f>
        <v>7864.7999999999993</v>
      </c>
    </row>
    <row r="13" spans="1:16">
      <c r="A13" s="49"/>
      <c r="B13" s="11" t="s">
        <v>349</v>
      </c>
      <c r="C13" s="18"/>
      <c r="D13" s="18"/>
      <c r="E13" s="18"/>
      <c r="F13" s="18"/>
      <c r="G13" s="18"/>
      <c r="H13" s="18"/>
      <c r="I13" s="18"/>
      <c r="J13" s="18"/>
      <c r="K13" s="18"/>
      <c r="L13" s="393">
        <v>12000</v>
      </c>
      <c r="M13" s="393"/>
      <c r="N13" s="2">
        <v>6000</v>
      </c>
      <c r="O13" s="2">
        <v>0</v>
      </c>
      <c r="P13" s="2">
        <v>7750</v>
      </c>
    </row>
    <row r="14" spans="1:16">
      <c r="A14" s="49" t="s">
        <v>606</v>
      </c>
      <c r="B14" s="11" t="s">
        <v>93</v>
      </c>
      <c r="C14" s="18">
        <v>0</v>
      </c>
      <c r="D14" s="159">
        <v>0</v>
      </c>
      <c r="E14" s="18">
        <v>0</v>
      </c>
      <c r="F14" s="2"/>
      <c r="G14" s="2"/>
      <c r="H14" s="2"/>
      <c r="I14" s="2"/>
      <c r="J14" s="2"/>
      <c r="K14" s="2">
        <v>0</v>
      </c>
      <c r="L14" s="2"/>
      <c r="M14" s="2"/>
      <c r="N14" s="2"/>
      <c r="O14" s="2"/>
      <c r="P14" s="2"/>
    </row>
    <row r="15" spans="1:16">
      <c r="A15" s="49" t="s">
        <v>607</v>
      </c>
      <c r="B15" s="11" t="s">
        <v>100</v>
      </c>
      <c r="C15" s="18">
        <v>10</v>
      </c>
      <c r="D15" s="159">
        <v>0</v>
      </c>
      <c r="E15" s="18">
        <v>10</v>
      </c>
      <c r="F15" s="2"/>
      <c r="G15" s="2">
        <v>10</v>
      </c>
      <c r="H15" s="2"/>
      <c r="I15" s="2">
        <v>10</v>
      </c>
      <c r="J15" s="2">
        <v>10</v>
      </c>
      <c r="K15" s="2">
        <v>0</v>
      </c>
      <c r="L15" s="2">
        <v>10</v>
      </c>
      <c r="M15" s="2"/>
      <c r="N15" s="2">
        <v>10</v>
      </c>
      <c r="O15" s="2"/>
      <c r="P15" s="2"/>
    </row>
    <row r="16" spans="1:16">
      <c r="A16" s="49" t="s">
        <v>608</v>
      </c>
      <c r="B16" s="11" t="s">
        <v>104</v>
      </c>
      <c r="C16" s="18">
        <v>300</v>
      </c>
      <c r="D16" s="139">
        <v>154.38999999999999</v>
      </c>
      <c r="E16" s="18">
        <v>300</v>
      </c>
      <c r="F16" s="2">
        <v>298.5</v>
      </c>
      <c r="G16" s="2">
        <v>300</v>
      </c>
      <c r="H16" s="2">
        <v>19.02</v>
      </c>
      <c r="I16" s="2">
        <v>100</v>
      </c>
      <c r="J16" s="2">
        <v>0</v>
      </c>
      <c r="K16" s="2">
        <v>0</v>
      </c>
      <c r="L16" s="2">
        <v>60</v>
      </c>
      <c r="M16" s="2"/>
      <c r="N16" s="2">
        <v>60</v>
      </c>
      <c r="O16" s="2"/>
      <c r="P16" s="2">
        <v>60</v>
      </c>
    </row>
    <row r="17" spans="1:16">
      <c r="A17" s="49" t="s">
        <v>609</v>
      </c>
      <c r="B17" s="11" t="s">
        <v>610</v>
      </c>
      <c r="C17" s="18"/>
      <c r="D17" s="160"/>
      <c r="E17" s="18"/>
      <c r="F17" s="2">
        <v>172.53</v>
      </c>
      <c r="G17" s="2"/>
      <c r="H17" s="2"/>
      <c r="I17" s="2"/>
      <c r="J17" s="2"/>
      <c r="K17" s="2">
        <v>0</v>
      </c>
      <c r="L17" s="2"/>
      <c r="M17" s="2"/>
      <c r="N17" s="2"/>
      <c r="O17" s="2"/>
      <c r="P17" s="2"/>
    </row>
    <row r="18" spans="1:16">
      <c r="A18" s="49" t="s">
        <v>611</v>
      </c>
      <c r="B18" s="11" t="s">
        <v>378</v>
      </c>
      <c r="C18" s="18">
        <v>120</v>
      </c>
      <c r="D18" s="139">
        <v>118.1</v>
      </c>
      <c r="E18" s="18">
        <v>100</v>
      </c>
      <c r="F18" s="2"/>
      <c r="G18" s="2">
        <v>100</v>
      </c>
      <c r="H18" s="2"/>
      <c r="I18" s="2">
        <v>25</v>
      </c>
      <c r="J18" s="2">
        <v>0</v>
      </c>
      <c r="K18" s="2">
        <v>0</v>
      </c>
      <c r="L18" s="2"/>
      <c r="M18" s="2"/>
      <c r="N18" s="2"/>
      <c r="O18" s="2"/>
      <c r="P18" s="2"/>
    </row>
    <row r="19" spans="1:16">
      <c r="A19" s="49" t="s">
        <v>612</v>
      </c>
      <c r="B19" s="11" t="s">
        <v>114</v>
      </c>
      <c r="C19" s="18">
        <v>600</v>
      </c>
      <c r="D19" s="139">
        <v>1163.24</v>
      </c>
      <c r="E19" s="18">
        <v>600</v>
      </c>
      <c r="F19" s="18">
        <v>400</v>
      </c>
      <c r="G19" s="2">
        <v>450</v>
      </c>
      <c r="H19" s="18">
        <v>239.11</v>
      </c>
      <c r="I19" s="2">
        <v>400</v>
      </c>
      <c r="J19" s="2">
        <v>200</v>
      </c>
      <c r="K19" s="2">
        <v>4083.15</v>
      </c>
      <c r="L19" s="2">
        <v>4000</v>
      </c>
      <c r="M19" s="2">
        <v>1492.53</v>
      </c>
      <c r="N19" s="2">
        <v>1000</v>
      </c>
      <c r="O19" s="2">
        <v>2700</v>
      </c>
      <c r="P19" s="2">
        <v>1000</v>
      </c>
    </row>
    <row r="20" spans="1:16">
      <c r="A20" s="49" t="s">
        <v>612</v>
      </c>
      <c r="B20" s="11" t="s">
        <v>561</v>
      </c>
      <c r="C20" s="18">
        <v>10500</v>
      </c>
      <c r="D20" s="139">
        <v>9042.33</v>
      </c>
      <c r="E20" s="18">
        <v>11000</v>
      </c>
      <c r="F20" s="2">
        <v>10940.23</v>
      </c>
      <c r="G20" s="2">
        <v>11000</v>
      </c>
      <c r="H20" s="2">
        <v>10139.16</v>
      </c>
      <c r="I20" s="2">
        <v>9000</v>
      </c>
      <c r="J20" s="517">
        <v>10000</v>
      </c>
      <c r="K20" s="517"/>
      <c r="L20" s="393">
        <v>6000</v>
      </c>
      <c r="M20" s="393"/>
      <c r="N20" s="2">
        <v>6000</v>
      </c>
      <c r="O20" s="2"/>
      <c r="P20" s="2">
        <v>8250</v>
      </c>
    </row>
    <row r="21" spans="1:16">
      <c r="A21" s="49" t="s">
        <v>609</v>
      </c>
      <c r="B21" s="11" t="s">
        <v>613</v>
      </c>
      <c r="C21" s="18">
        <v>500</v>
      </c>
      <c r="D21" s="139">
        <v>85.61</v>
      </c>
      <c r="E21" s="18">
        <v>900</v>
      </c>
      <c r="F21" s="2"/>
      <c r="G21" s="2">
        <v>450</v>
      </c>
      <c r="H21" s="2"/>
      <c r="I21" s="2"/>
      <c r="J21" s="2"/>
      <c r="K21" s="2">
        <v>0</v>
      </c>
      <c r="L21" s="2"/>
      <c r="M21" s="2"/>
      <c r="N21" s="2"/>
      <c r="O21" s="2"/>
      <c r="P21" s="2"/>
    </row>
    <row r="22" spans="1:16">
      <c r="A22" s="49" t="s">
        <v>614</v>
      </c>
      <c r="B22" s="11" t="s">
        <v>142</v>
      </c>
      <c r="C22" s="18">
        <v>570</v>
      </c>
      <c r="D22" s="139">
        <v>365.64</v>
      </c>
      <c r="E22" s="18">
        <v>600</v>
      </c>
      <c r="F22" s="18">
        <v>374.9</v>
      </c>
      <c r="G22" s="18">
        <v>500</v>
      </c>
      <c r="H22" s="18">
        <v>625.1</v>
      </c>
      <c r="I22" s="18">
        <v>400</v>
      </c>
      <c r="J22" s="18">
        <v>400</v>
      </c>
      <c r="K22" s="18">
        <v>190</v>
      </c>
      <c r="L22" s="18">
        <v>400</v>
      </c>
      <c r="M22" s="18">
        <v>4795</v>
      </c>
      <c r="N22" s="18">
        <v>400</v>
      </c>
      <c r="O22" s="2">
        <v>3658.47</v>
      </c>
      <c r="P22" s="18">
        <v>200</v>
      </c>
    </row>
    <row r="23" spans="1:16">
      <c r="A23" s="49"/>
      <c r="C23" s="2"/>
      <c r="D23" s="2"/>
      <c r="E23" s="2"/>
      <c r="F23" s="2"/>
      <c r="G23" s="2"/>
      <c r="H23" s="2"/>
      <c r="I23" s="2"/>
      <c r="J23" s="2"/>
      <c r="K23" s="2"/>
      <c r="L23" s="2"/>
      <c r="M23" s="21">
        <f>SUM(M12:M22)</f>
        <v>8244.66</v>
      </c>
      <c r="N23" s="2"/>
      <c r="O23" s="2"/>
      <c r="P23" s="2"/>
    </row>
    <row r="24" spans="1:16" ht="13.5" thickBot="1">
      <c r="B24" s="11" t="s">
        <v>21</v>
      </c>
      <c r="C24" s="178">
        <f>SUBTOTAL(109,CoopConnectionExpenses[Budget 15/16])</f>
        <v>12600</v>
      </c>
      <c r="D24" s="145">
        <f>SUBTOTAL(109,CoopConnectionExpenses[Actual 15/16])</f>
        <v>10929.31</v>
      </c>
      <c r="E24" s="178">
        <f>SUBTOTAL(109,CoopConnectionExpenses[Budget 16/17])</f>
        <v>13510</v>
      </c>
      <c r="F24" s="178">
        <f>SUBTOTAL(109,CoopConnectionExpenses[Actual 16/17])</f>
        <v>12186.16</v>
      </c>
      <c r="G24" s="178">
        <f>SUBTOTAL(109,CoopConnectionExpenses[Budget 17/18])</f>
        <v>12810</v>
      </c>
      <c r="H24" s="21">
        <f>SUBTOTAL(109,CoopConnectionExpenses[Actual 17/18])</f>
        <v>11022.39</v>
      </c>
      <c r="I24" s="21">
        <f>SUM(I12:I23)</f>
        <v>9935</v>
      </c>
      <c r="J24" s="21">
        <f>SUM(J12:J23)</f>
        <v>10610</v>
      </c>
      <c r="K24" s="21">
        <f>SUM(CoopConnectionExpenses[Actual P12 19/20])</f>
        <v>4273.1499999999996</v>
      </c>
      <c r="L24" s="21">
        <f>SUM(L12:L23)</f>
        <v>24870</v>
      </c>
      <c r="M24" s="21">
        <f>SUM(M12:M23)</f>
        <v>16489.32</v>
      </c>
      <c r="N24" s="21">
        <f>SUM(N12:N23)</f>
        <v>21606</v>
      </c>
      <c r="O24" s="21">
        <f>SUBTOTAL(109,CoopConnectionExpenses[Actual 21/22])</f>
        <v>15526.689999999999</v>
      </c>
      <c r="P24" s="21">
        <f>SUM(CoopConnectionExpenses[Budget 22/23])</f>
        <v>25124.799999999999</v>
      </c>
    </row>
    <row r="25" spans="1:16" ht="19.5" thickBot="1">
      <c r="B25" s="611" t="s">
        <v>127</v>
      </c>
      <c r="C25" s="27">
        <f>CoopConnectionRevenues[[#Totals],[Budget 15/16]]-CoopConnectionExpenses[[#Totals],[Budget 15/16]]</f>
        <v>-3600</v>
      </c>
      <c r="D25" s="27">
        <f>CoopConnectionRevenues[[#Totals],[Actual 15/16]]-CoopConnectionExpenses[[#Totals],[Actual 15/16]]</f>
        <v>170.48999999999978</v>
      </c>
      <c r="E25" s="64">
        <f>CoopConnectionRevenues[[#Totals],[Budget 16/17]]-CoopConnectionExpenses[[#Totals],[Budget 16/17]]</f>
        <v>-6010</v>
      </c>
      <c r="F25" s="64">
        <f>CoopConnectionRevenues[[#Totals],[Actual 16/17]]-CoopConnectionExpenses[[#Totals],[Actual 16/17]]</f>
        <v>-403.15999999999985</v>
      </c>
      <c r="G25" s="64">
        <f>CoopConnectionRevenues[[#Totals],[Budget 17/18]]-CoopConnectionExpenses[[#Totals],[Budget 17/18]]</f>
        <v>-3310</v>
      </c>
      <c r="H25" s="64">
        <f>CoopConnectionRevenues[[#Totals],[Actual 17/18]]-CoopConnectionExpenses[[#Totals],[Actual 17/18]]</f>
        <v>-5022.3899999999994</v>
      </c>
      <c r="I25" s="64">
        <f>CoopConnectionRevenues[[#Totals],[Budget 18/19]]-CoopConnectionExpenses[[#Totals],[Budget 18/19]]</f>
        <v>-2435</v>
      </c>
      <c r="J25" s="316">
        <f>CoopConnectionRevenues[[#Totals],[Budget 19/20]]-CoopConnectionExpenses[[#Totals],[Budget 19/20]]</f>
        <v>-1610</v>
      </c>
      <c r="K25" s="316">
        <f>CoopConnectionRevenues[[#Totals],[Actual P12 19/20]]-CoopConnectionExpenses[[#Totals],[Actual P12 19/20]]</f>
        <v>4726.8500000000004</v>
      </c>
      <c r="L25" s="316">
        <f>CoopConnectionRevenues[[#Totals],[Budget 20/21]]-CoopConnectionExpenses[[#Totals],[Budget 20/21]]</f>
        <v>-7870</v>
      </c>
      <c r="M25" s="316">
        <f>M9-M24</f>
        <v>-1489.3199999999997</v>
      </c>
      <c r="N25" s="316">
        <f>CoopConnectionRevenues[[#Totals],[Budget 21/22]]-CoopConnectionExpenses[[#Totals],[Budget 21/22]]</f>
        <v>-8606</v>
      </c>
      <c r="O25" s="316">
        <f>CoopConnectionRevenues[[#Totals],[Actual 21/22]]-CoopConnectionExpenses[[#Totals],[Actual 21/22]]</f>
        <v>-8026.6899999999987</v>
      </c>
      <c r="P25" s="316">
        <f>CoopConnectionRevenues[[#Totals],[Budget 22/23]]-CoopConnectionExpenses[[#Totals],[Budget 22/23]]</f>
        <v>-9124.7999999999993</v>
      </c>
    </row>
    <row r="26" spans="1:16">
      <c r="C26" s="44"/>
      <c r="J26"/>
    </row>
    <row r="27" spans="1:16">
      <c r="C27" s="44"/>
    </row>
    <row r="28" spans="1:16">
      <c r="C28" s="44"/>
    </row>
    <row r="29" spans="1:16">
      <c r="C29" s="178"/>
    </row>
    <row r="31" spans="1:16">
      <c r="A31" s="765"/>
      <c r="B31" s="765"/>
      <c r="C31" s="21"/>
    </row>
  </sheetData>
  <mergeCells count="2">
    <mergeCell ref="A1:B1"/>
    <mergeCell ref="A31:B31"/>
  </mergeCells>
  <phoneticPr fontId="117" type="noConversion"/>
  <pageMargins left="0.7" right="0.7" top="0.75" bottom="0.75" header="0.3" footer="0.3"/>
  <pageSetup orientation="portrait" r:id="rId1"/>
  <legacyDrawing r:id="rId2"/>
  <tableParts count="2">
    <tablePart r:id="rId3"/>
    <tablePart r:id="rId4"/>
  </tablePar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theme="1"/>
  </sheetPr>
  <dimension ref="A1:N32"/>
  <sheetViews>
    <sheetView zoomScale="90" zoomScaleNormal="90" workbookViewId="0">
      <selection activeCell="B51" sqref="B51"/>
    </sheetView>
  </sheetViews>
  <sheetFormatPr defaultColWidth="9.140625" defaultRowHeight="12.75"/>
  <cols>
    <col min="1" max="1" width="15.28515625" style="11" bestFit="1" customWidth="1"/>
    <col min="2" max="2" width="25" style="11" customWidth="1"/>
    <col min="3" max="3" width="15.42578125" style="11" hidden="1" customWidth="1"/>
    <col min="4" max="4" width="16" style="132" hidden="1" customWidth="1"/>
    <col min="5" max="5" width="15.42578125" style="11" hidden="1" customWidth="1"/>
    <col min="6" max="6" width="17.42578125" style="11" hidden="1" customWidth="1"/>
    <col min="7" max="7" width="18.85546875" style="11" customWidth="1"/>
    <col min="8" max="8" width="15.28515625" style="11" customWidth="1"/>
    <col min="9" max="9" width="16.85546875" style="11" customWidth="1"/>
    <col min="10" max="11" width="14.42578125" style="11" bestFit="1" customWidth="1"/>
    <col min="12" max="12" width="13.140625" style="11" customWidth="1"/>
    <col min="13" max="16384" width="9.140625" style="11"/>
  </cols>
  <sheetData>
    <row r="1" spans="1:14" ht="18">
      <c r="A1" s="758" t="s">
        <v>615</v>
      </c>
      <c r="B1" s="766"/>
      <c r="G1" s="15" t="s">
        <v>616</v>
      </c>
    </row>
    <row r="2" spans="1:14">
      <c r="A2" s="28" t="s">
        <v>226</v>
      </c>
    </row>
    <row r="4" spans="1:14">
      <c r="A4" s="48" t="s">
        <v>130</v>
      </c>
      <c r="B4" s="11" t="s">
        <v>72</v>
      </c>
      <c r="C4" s="178" t="s">
        <v>9</v>
      </c>
      <c r="D4" s="152" t="s">
        <v>10</v>
      </c>
      <c r="E4" s="11" t="s">
        <v>11</v>
      </c>
      <c r="F4" s="11" t="s">
        <v>12</v>
      </c>
      <c r="G4" s="11" t="s">
        <v>13</v>
      </c>
      <c r="H4" s="11" t="s">
        <v>14</v>
      </c>
      <c r="I4" s="11" t="s">
        <v>617</v>
      </c>
      <c r="J4" s="11" t="s">
        <v>618</v>
      </c>
      <c r="K4" s="11" t="s">
        <v>81</v>
      </c>
      <c r="L4" s="11" t="s">
        <v>17</v>
      </c>
    </row>
    <row r="5" spans="1:14">
      <c r="A5" s="48" t="s">
        <v>619</v>
      </c>
      <c r="B5" s="11" t="s">
        <v>343</v>
      </c>
      <c r="C5" s="178">
        <v>0</v>
      </c>
      <c r="D5" s="145">
        <v>0</v>
      </c>
      <c r="E5" s="178">
        <v>0</v>
      </c>
      <c r="F5" s="178">
        <v>63</v>
      </c>
      <c r="G5" s="178"/>
      <c r="H5" s="178"/>
      <c r="I5" s="178"/>
      <c r="J5" s="178"/>
      <c r="K5" s="178">
        <v>0</v>
      </c>
      <c r="L5" s="178"/>
    </row>
    <row r="6" spans="1:14">
      <c r="B6" s="11" t="s">
        <v>21</v>
      </c>
      <c r="C6" s="178">
        <f>SUBTOTAL(109,VolunteerCentreRevenues[Budget 15/16])</f>
        <v>0</v>
      </c>
      <c r="D6" s="145">
        <f>SUBTOTAL(109,VolunteerCentreRevenues[Actual 15/16])</f>
        <v>0</v>
      </c>
      <c r="E6" s="178">
        <f>SUBTOTAL(109,VolunteerCentreRevenues[Budget 16/17])</f>
        <v>0</v>
      </c>
      <c r="F6" s="178">
        <f>SUBTOTAL(109,VolunteerCentreRevenues[Actual 16/17])</f>
        <v>63</v>
      </c>
      <c r="G6" s="178">
        <f>SUBTOTAL(109,VolunteerCentreRevenues[Budget 17/18])</f>
        <v>0</v>
      </c>
      <c r="H6" s="11">
        <f>SUBTOTAL(109,VolunteerCentreRevenues[Revenues])</f>
        <v>0</v>
      </c>
      <c r="K6" s="11">
        <f>SUM(VolunteerCentreRevenues[Actual P12 19/20])</f>
        <v>0</v>
      </c>
    </row>
    <row r="7" spans="1:14">
      <c r="C7" s="44"/>
      <c r="D7" s="149"/>
      <c r="E7" s="44"/>
      <c r="G7"/>
      <c r="H7"/>
      <c r="I7"/>
      <c r="J7"/>
      <c r="K7"/>
      <c r="L7"/>
      <c r="M7"/>
    </row>
    <row r="8" spans="1:14">
      <c r="A8" s="73" t="s">
        <v>130</v>
      </c>
      <c r="B8" s="11" t="s">
        <v>22</v>
      </c>
      <c r="C8" s="44" t="s">
        <v>9</v>
      </c>
      <c r="D8" s="152" t="s">
        <v>10</v>
      </c>
      <c r="E8" s="11" t="s">
        <v>11</v>
      </c>
      <c r="F8" s="44" t="s">
        <v>12</v>
      </c>
      <c r="G8" s="44" t="s">
        <v>13</v>
      </c>
      <c r="H8" s="44" t="s">
        <v>14</v>
      </c>
      <c r="I8" s="44" t="s">
        <v>15</v>
      </c>
      <c r="J8" s="44" t="s">
        <v>16</v>
      </c>
      <c r="K8" s="44" t="s">
        <v>81</v>
      </c>
      <c r="L8" s="44" t="s">
        <v>17</v>
      </c>
      <c r="M8"/>
      <c r="N8"/>
    </row>
    <row r="9" spans="1:14">
      <c r="A9" s="48" t="s">
        <v>620</v>
      </c>
      <c r="B9" s="11" t="s">
        <v>378</v>
      </c>
      <c r="C9" s="178">
        <v>250</v>
      </c>
      <c r="D9" s="149">
        <v>0</v>
      </c>
      <c r="E9" s="44">
        <v>100</v>
      </c>
      <c r="F9" s="18"/>
      <c r="G9" s="7">
        <v>100</v>
      </c>
      <c r="H9" s="7">
        <v>199.85</v>
      </c>
      <c r="I9" s="7">
        <v>100</v>
      </c>
      <c r="J9" s="7">
        <v>0</v>
      </c>
      <c r="K9" s="7">
        <v>0</v>
      </c>
      <c r="L9" s="7"/>
      <c r="M9"/>
      <c r="N9"/>
    </row>
    <row r="10" spans="1:14">
      <c r="A10" s="48" t="s">
        <v>621</v>
      </c>
      <c r="B10" s="11" t="s">
        <v>401</v>
      </c>
      <c r="C10" s="178">
        <v>1080</v>
      </c>
      <c r="D10" s="149">
        <v>184.07</v>
      </c>
      <c r="E10" s="44">
        <v>1050</v>
      </c>
      <c r="F10" s="18">
        <v>633.70000000000005</v>
      </c>
      <c r="G10" s="7">
        <v>660</v>
      </c>
      <c r="H10" s="7">
        <v>370</v>
      </c>
      <c r="I10" s="7">
        <v>540</v>
      </c>
      <c r="J10" s="7">
        <v>160</v>
      </c>
      <c r="K10" s="7">
        <v>108.95</v>
      </c>
      <c r="L10" s="7"/>
      <c r="M10"/>
      <c r="N10"/>
    </row>
    <row r="11" spans="1:14">
      <c r="A11" s="48" t="s">
        <v>622</v>
      </c>
      <c r="B11" s="11" t="s">
        <v>93</v>
      </c>
      <c r="C11" s="44">
        <v>275</v>
      </c>
      <c r="D11" s="149">
        <v>208.45</v>
      </c>
      <c r="E11" s="44">
        <v>275</v>
      </c>
      <c r="F11" s="18">
        <v>208.45</v>
      </c>
      <c r="G11" s="7">
        <v>138</v>
      </c>
      <c r="H11" s="7">
        <v>208.45</v>
      </c>
      <c r="I11" s="7">
        <v>138</v>
      </c>
      <c r="J11" s="7">
        <v>138</v>
      </c>
      <c r="K11" s="7">
        <v>208.45</v>
      </c>
      <c r="L11" s="7"/>
      <c r="M11"/>
      <c r="N11"/>
    </row>
    <row r="12" spans="1:14">
      <c r="A12" s="48" t="s">
        <v>623</v>
      </c>
      <c r="B12" s="11" t="s">
        <v>100</v>
      </c>
      <c r="C12" s="178">
        <v>50</v>
      </c>
      <c r="D12" s="149">
        <v>1.36</v>
      </c>
      <c r="E12" s="44">
        <v>25</v>
      </c>
      <c r="F12" s="18"/>
      <c r="G12" s="7">
        <v>25</v>
      </c>
      <c r="H12" s="7">
        <v>3.86</v>
      </c>
      <c r="I12" s="7">
        <v>25</v>
      </c>
      <c r="J12" s="7">
        <v>5</v>
      </c>
      <c r="K12" s="7">
        <v>0.38</v>
      </c>
      <c r="L12" s="7"/>
      <c r="M12"/>
      <c r="N12"/>
    </row>
    <row r="13" spans="1:14">
      <c r="A13" s="48" t="s">
        <v>624</v>
      </c>
      <c r="B13" s="11" t="s">
        <v>104</v>
      </c>
      <c r="C13" s="11">
        <v>150</v>
      </c>
      <c r="D13" s="149">
        <v>48.54</v>
      </c>
      <c r="E13" s="44">
        <v>150</v>
      </c>
      <c r="F13" s="18">
        <v>105.1</v>
      </c>
      <c r="G13" s="7">
        <v>175</v>
      </c>
      <c r="H13" s="7">
        <v>139.21</v>
      </c>
      <c r="I13" s="7">
        <v>175</v>
      </c>
      <c r="J13" s="7">
        <v>80</v>
      </c>
      <c r="K13" s="7">
        <v>79.150000000000006</v>
      </c>
      <c r="L13" s="7"/>
      <c r="M13"/>
      <c r="N13"/>
    </row>
    <row r="14" spans="1:14">
      <c r="A14" s="48" t="s">
        <v>625</v>
      </c>
      <c r="B14" s="11" t="s">
        <v>336</v>
      </c>
      <c r="C14" s="75">
        <v>0</v>
      </c>
      <c r="D14" s="149">
        <v>1.92</v>
      </c>
      <c r="F14" s="18"/>
      <c r="G14" s="7"/>
      <c r="H14" s="7"/>
      <c r="I14" s="7"/>
      <c r="J14" s="7"/>
      <c r="K14" s="7">
        <v>0</v>
      </c>
      <c r="L14" s="7"/>
      <c r="M14"/>
      <c r="N14"/>
    </row>
    <row r="15" spans="1:14">
      <c r="A15" s="48" t="s">
        <v>626</v>
      </c>
      <c r="B15" s="11" t="s">
        <v>110</v>
      </c>
      <c r="C15" s="178">
        <v>1200</v>
      </c>
      <c r="D15" s="149">
        <v>0</v>
      </c>
      <c r="E15" s="44">
        <v>800</v>
      </c>
      <c r="F15" s="18"/>
      <c r="G15" s="7"/>
      <c r="H15" s="7"/>
      <c r="I15" s="7"/>
      <c r="J15" s="7"/>
      <c r="K15" s="7">
        <v>0</v>
      </c>
      <c r="L15" s="7"/>
      <c r="M15"/>
      <c r="N15"/>
    </row>
    <row r="16" spans="1:14">
      <c r="A16" s="48" t="s">
        <v>627</v>
      </c>
      <c r="B16" s="11" t="s">
        <v>628</v>
      </c>
      <c r="C16" s="178">
        <v>1000</v>
      </c>
      <c r="D16" s="149">
        <v>450</v>
      </c>
      <c r="E16" s="44">
        <v>800</v>
      </c>
      <c r="F16" s="18">
        <v>28.53</v>
      </c>
      <c r="G16" s="7">
        <v>400</v>
      </c>
      <c r="H16" s="7">
        <v>11.2</v>
      </c>
      <c r="I16" s="7">
        <v>150</v>
      </c>
      <c r="J16" s="7">
        <v>25</v>
      </c>
      <c r="K16" s="7">
        <v>16.27</v>
      </c>
      <c r="L16" s="7"/>
      <c r="M16"/>
      <c r="N16"/>
    </row>
    <row r="17" spans="1:14">
      <c r="A17" s="48"/>
      <c r="B17" s="11" t="s">
        <v>629</v>
      </c>
      <c r="C17" s="178"/>
      <c r="D17" s="149"/>
      <c r="E17" s="44"/>
      <c r="F17" s="18"/>
      <c r="G17" s="7">
        <v>2500</v>
      </c>
      <c r="H17" s="7">
        <v>300</v>
      </c>
      <c r="I17" s="7">
        <v>1500</v>
      </c>
      <c r="J17" s="7">
        <v>1000</v>
      </c>
      <c r="K17" s="7"/>
      <c r="L17" s="7"/>
      <c r="M17"/>
      <c r="N17"/>
    </row>
    <row r="18" spans="1:14">
      <c r="A18" s="48" t="s">
        <v>630</v>
      </c>
      <c r="B18" s="11" t="s">
        <v>561</v>
      </c>
      <c r="C18" s="178">
        <v>600</v>
      </c>
      <c r="D18" s="149">
        <v>823.99</v>
      </c>
      <c r="E18" s="44">
        <v>850</v>
      </c>
      <c r="F18" s="18">
        <v>935.8</v>
      </c>
      <c r="G18" s="7">
        <v>1000</v>
      </c>
      <c r="H18" s="7">
        <v>1111.54</v>
      </c>
      <c r="I18" s="7">
        <v>1000</v>
      </c>
      <c r="J18" s="7">
        <v>20</v>
      </c>
      <c r="K18" s="7">
        <v>1.1299999999999999</v>
      </c>
      <c r="L18" s="7"/>
    </row>
    <row r="19" spans="1:14">
      <c r="B19" s="11" t="s">
        <v>21</v>
      </c>
      <c r="C19" s="178">
        <f>SUBTOTAL(109,VolunteerCentreExpenses[Budget 15/16])</f>
        <v>4605</v>
      </c>
      <c r="D19" s="145">
        <f>SUBTOTAL(109,VolunteerCentreExpenses[Actual 15/16])</f>
        <v>1718.33</v>
      </c>
      <c r="E19" s="178">
        <f>SUBTOTAL(109,VolunteerCentreExpenses[Budget 16/17])</f>
        <v>4050</v>
      </c>
      <c r="F19" s="178">
        <f>SUBTOTAL(109,VolunteerCentreExpenses[Actual 16/17])</f>
        <v>1911.58</v>
      </c>
      <c r="G19" s="178">
        <f>SUBTOTAL(109,VolunteerCentreExpenses[Budget 17/18])</f>
        <v>4998</v>
      </c>
      <c r="H19" s="11">
        <f>SUBTOTAL(109,VolunteerCentreExpenses[Actual 17/18])</f>
        <v>2344.11</v>
      </c>
      <c r="I19" s="2">
        <f>SUBTOTAL(109,VolunteerCentreExpenses[Budget 18/19])</f>
        <v>3628</v>
      </c>
      <c r="J19" s="2">
        <f>SUBTOTAL(109,VolunteerCentreExpenses[Budget 19/20])</f>
        <v>1428</v>
      </c>
      <c r="K19" s="11">
        <f>SUM(VolunteerCentreExpenses[Actual P12 19/20])</f>
        <v>414.32999999999993</v>
      </c>
    </row>
    <row r="20" spans="1:14" ht="13.5" thickBot="1">
      <c r="E20" s="178"/>
      <c r="G20"/>
      <c r="H20"/>
      <c r="I20"/>
      <c r="J20"/>
      <c r="K20"/>
    </row>
    <row r="21" spans="1:14" ht="19.5" thickBot="1">
      <c r="B21" s="611" t="s">
        <v>127</v>
      </c>
      <c r="C21" s="27">
        <f>VolunteerCentreRevenues[[#Totals],[Budget 15/16]]-VolunteerCentreExpenses[[#Totals],[Budget 15/16]]</f>
        <v>-4605</v>
      </c>
      <c r="D21" s="27">
        <f>VolunteerCentreRevenues[[#Totals],[Actual 15/16]]-VolunteerCentreExpenses[[#Totals],[Actual 15/16]]</f>
        <v>-1718.33</v>
      </c>
      <c r="E21" s="64">
        <f>VolunteerCentreRevenues[[#Totals],[Budget 16/17]]-VolunteerCentreExpenses[[#Totals],[Budget 16/17]]</f>
        <v>-4050</v>
      </c>
      <c r="F21" s="64">
        <f>VolunteerCentreRevenues[[#Totals],[Actual 16/17]]-VolunteerCentreExpenses[[#Totals],[Actual 16/17]]</f>
        <v>-1848.58</v>
      </c>
      <c r="G21" s="64">
        <f>VolunteerCentreRevenues[[#Totals],[Budget 17/18]]-VolunteerCentreExpenses[[#Totals],[Budget 17/18]]</f>
        <v>-4998</v>
      </c>
      <c r="H21" s="64">
        <f>VolunteerCentreRevenues[[#Totals],[Actual 17/18]]-VolunteerCentreExpenses[[#Totals],[Actual 17/18]]</f>
        <v>-2344.11</v>
      </c>
      <c r="I21" s="64">
        <f>VolunteerCentreRevenues[[#Totals],[Budge 18/19]]-VolunteerCentreExpenses[[#Totals],[Budget 18/19]]</f>
        <v>-3628</v>
      </c>
      <c r="J21" s="64">
        <f>VolunteerCentreRevenues[[#Totals],[Budge 19/20]]-VolunteerCentreExpenses[[#Totals],[Budget 19/20]]</f>
        <v>-1428</v>
      </c>
      <c r="K21" s="64">
        <f>VolunteerCentreRevenues[[#Totals],[Actual P12 19/20]]-VolunteerCentreExpenses[[#Totals],[Actual P12 19/20]]</f>
        <v>-414.32999999999993</v>
      </c>
    </row>
    <row r="22" spans="1:14">
      <c r="C22" s="44"/>
      <c r="D22" s="149"/>
      <c r="E22" s="76"/>
      <c r="G22"/>
      <c r="H22"/>
      <c r="I22"/>
      <c r="J22"/>
      <c r="K22"/>
    </row>
    <row r="23" spans="1:14">
      <c r="C23" s="44"/>
      <c r="D23" s="149"/>
      <c r="E23" s="77"/>
    </row>
    <row r="24" spans="1:14">
      <c r="C24" s="44"/>
      <c r="D24" s="149"/>
      <c r="E24" s="76"/>
    </row>
    <row r="25" spans="1:14">
      <c r="C25" s="44"/>
      <c r="D25" s="149"/>
      <c r="E25" s="76"/>
    </row>
    <row r="26" spans="1:14">
      <c r="C26" s="44"/>
      <c r="D26" s="149"/>
      <c r="E26" s="76"/>
    </row>
    <row r="27" spans="1:14">
      <c r="C27" s="44"/>
      <c r="D27" s="149"/>
      <c r="E27" s="76"/>
    </row>
    <row r="28" spans="1:14">
      <c r="C28" s="44"/>
      <c r="D28" s="149"/>
      <c r="E28" s="76"/>
    </row>
    <row r="29" spans="1:14">
      <c r="C29" s="44"/>
      <c r="D29" s="149"/>
      <c r="E29" s="76"/>
    </row>
    <row r="30" spans="1:14">
      <c r="C30" s="178"/>
      <c r="D30" s="145"/>
      <c r="E30" s="178"/>
    </row>
    <row r="32" spans="1:14">
      <c r="A32" s="765"/>
      <c r="B32" s="765"/>
      <c r="C32" s="21"/>
      <c r="D32" s="161"/>
      <c r="E32" s="21"/>
    </row>
  </sheetData>
  <mergeCells count="2">
    <mergeCell ref="A1:B1"/>
    <mergeCell ref="A32:B32"/>
  </mergeCells>
  <pageMargins left="0.7" right="0.7" top="0.75" bottom="0.75" header="0.3" footer="0.3"/>
  <pageSetup orientation="portrait" r:id="rId1"/>
  <legacyDrawing r:id="rId2"/>
  <tableParts count="2">
    <tablePart r:id="rId3"/>
    <tablePart r:id="rId4"/>
  </tablePar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tabColor theme="1"/>
  </sheetPr>
  <dimension ref="A1:G30"/>
  <sheetViews>
    <sheetView zoomScale="90" zoomScaleNormal="90" workbookViewId="0">
      <selection activeCell="J43" sqref="J43"/>
    </sheetView>
  </sheetViews>
  <sheetFormatPr defaultColWidth="9.140625" defaultRowHeight="12.75"/>
  <cols>
    <col min="1" max="1" width="15.28515625" style="11" bestFit="1" customWidth="1"/>
    <col min="2" max="2" width="25" style="11" customWidth="1"/>
    <col min="3" max="3" width="15.42578125" style="11" bestFit="1" customWidth="1"/>
    <col min="4" max="4" width="16" style="11" bestFit="1" customWidth="1"/>
    <col min="5" max="5" width="15.42578125" style="11" bestFit="1" customWidth="1"/>
    <col min="6" max="6" width="14.85546875" style="11" customWidth="1"/>
    <col min="7" max="7" width="16.85546875" style="11" customWidth="1"/>
    <col min="8" max="16384" width="9.140625" style="11"/>
  </cols>
  <sheetData>
    <row r="1" spans="1:7" ht="18">
      <c r="A1" s="758" t="s">
        <v>631</v>
      </c>
      <c r="B1" s="766"/>
    </row>
    <row r="2" spans="1:7">
      <c r="A2" s="28" t="s">
        <v>632</v>
      </c>
    </row>
    <row r="4" spans="1:7">
      <c r="A4" s="48" t="s">
        <v>130</v>
      </c>
      <c r="B4" s="11" t="s">
        <v>72</v>
      </c>
      <c r="C4" s="11" t="s">
        <v>11</v>
      </c>
      <c r="D4" s="11" t="s">
        <v>12</v>
      </c>
      <c r="E4" s="11" t="s">
        <v>13</v>
      </c>
      <c r="F4" s="11" t="s">
        <v>14</v>
      </c>
      <c r="G4" s="11" t="s">
        <v>15</v>
      </c>
    </row>
    <row r="5" spans="1:7">
      <c r="A5" s="48" t="s">
        <v>633</v>
      </c>
      <c r="B5" s="11" t="s">
        <v>343</v>
      </c>
      <c r="C5" s="178">
        <v>0</v>
      </c>
      <c r="F5" s="11">
        <v>160</v>
      </c>
      <c r="G5" s="11">
        <v>150</v>
      </c>
    </row>
    <row r="6" spans="1:7">
      <c r="B6" s="11" t="s">
        <v>21</v>
      </c>
      <c r="C6" s="178">
        <f>SUBTOTAL(109,WarriorTribeRevenues[Budget 16/17])</f>
        <v>0</v>
      </c>
      <c r="D6" s="178">
        <f>SUBTOTAL(109,WarriorTribeRevenues[Actual 16/17])</f>
        <v>0</v>
      </c>
      <c r="E6" s="178">
        <f>SUBTOTAL(109,WarriorTribeRevenues[Budget 17/18])</f>
        <v>0</v>
      </c>
      <c r="F6" s="2">
        <f>SUBTOTAL(109,WarriorTribeRevenues[Actual 17/18])</f>
        <v>160</v>
      </c>
      <c r="G6" s="2">
        <f>SUBTOTAL(109,WarriorTribeRevenues[Budget 18/19])</f>
        <v>150</v>
      </c>
    </row>
    <row r="7" spans="1:7">
      <c r="C7" s="44"/>
      <c r="D7" s="44"/>
      <c r="E7" s="44"/>
    </row>
    <row r="8" spans="1:7">
      <c r="A8" s="73" t="s">
        <v>130</v>
      </c>
      <c r="B8" s="11" t="s">
        <v>22</v>
      </c>
      <c r="C8" s="11" t="s">
        <v>11</v>
      </c>
      <c r="D8" s="44" t="s">
        <v>634</v>
      </c>
      <c r="E8" s="44" t="s">
        <v>13</v>
      </c>
      <c r="F8" s="44" t="s">
        <v>14</v>
      </c>
      <c r="G8" s="44" t="s">
        <v>15</v>
      </c>
    </row>
    <row r="9" spans="1:7">
      <c r="A9" s="48" t="s">
        <v>635</v>
      </c>
      <c r="B9" s="11" t="s">
        <v>378</v>
      </c>
      <c r="C9" s="44">
        <v>150</v>
      </c>
      <c r="D9" s="11">
        <v>109.3</v>
      </c>
      <c r="E9" s="18">
        <v>150</v>
      </c>
      <c r="F9" s="18">
        <v>157.65</v>
      </c>
      <c r="G9" s="18">
        <v>150</v>
      </c>
    </row>
    <row r="10" spans="1:7">
      <c r="A10" s="48" t="s">
        <v>636</v>
      </c>
      <c r="B10" s="11" t="s">
        <v>401</v>
      </c>
      <c r="C10" s="44">
        <v>850</v>
      </c>
      <c r="D10" s="11">
        <v>183.66</v>
      </c>
      <c r="E10" s="18">
        <v>1800</v>
      </c>
      <c r="F10" s="18">
        <v>609.99</v>
      </c>
      <c r="G10" s="18">
        <v>1070</v>
      </c>
    </row>
    <row r="11" spans="1:7">
      <c r="A11" s="48" t="s">
        <v>637</v>
      </c>
      <c r="B11" s="11" t="s">
        <v>100</v>
      </c>
      <c r="C11" s="44">
        <v>50</v>
      </c>
      <c r="E11" s="18">
        <v>50</v>
      </c>
      <c r="F11" s="18">
        <v>10.83</v>
      </c>
      <c r="G11" s="18">
        <v>50</v>
      </c>
    </row>
    <row r="12" spans="1:7">
      <c r="A12" s="48" t="s">
        <v>638</v>
      </c>
      <c r="B12" s="11" t="s">
        <v>104</v>
      </c>
      <c r="C12" s="44">
        <v>200</v>
      </c>
      <c r="D12" s="11">
        <v>35.21</v>
      </c>
      <c r="E12" s="18">
        <v>200</v>
      </c>
      <c r="F12" s="18">
        <v>174.57</v>
      </c>
      <c r="G12" s="18">
        <v>200</v>
      </c>
    </row>
    <row r="13" spans="1:7">
      <c r="A13" s="48" t="s">
        <v>639</v>
      </c>
      <c r="B13" s="11" t="s">
        <v>640</v>
      </c>
      <c r="C13" s="44"/>
      <c r="E13" s="18">
        <v>300</v>
      </c>
      <c r="F13" s="18"/>
      <c r="G13" s="18">
        <v>150</v>
      </c>
    </row>
    <row r="14" spans="1:7">
      <c r="A14" s="48" t="s">
        <v>641</v>
      </c>
      <c r="B14" s="11" t="s">
        <v>114</v>
      </c>
      <c r="C14" s="44"/>
      <c r="E14" s="18">
        <v>800</v>
      </c>
      <c r="F14" s="18">
        <v>2669.42</v>
      </c>
      <c r="G14" s="18">
        <v>500</v>
      </c>
    </row>
    <row r="15" spans="1:7">
      <c r="A15" s="48" t="s">
        <v>641</v>
      </c>
      <c r="B15" s="11" t="s">
        <v>561</v>
      </c>
      <c r="C15" s="44">
        <v>2500</v>
      </c>
      <c r="D15" s="11">
        <v>1931.69</v>
      </c>
      <c r="E15" s="18">
        <v>3000</v>
      </c>
      <c r="F15" s="18">
        <v>796.85</v>
      </c>
      <c r="G15" s="18">
        <v>2000</v>
      </c>
    </row>
    <row r="16" spans="1:7">
      <c r="A16" s="48" t="s">
        <v>641</v>
      </c>
      <c r="B16" s="11" t="s">
        <v>502</v>
      </c>
      <c r="C16" s="44"/>
      <c r="E16" s="18"/>
      <c r="F16" s="18"/>
      <c r="G16" s="18">
        <v>600</v>
      </c>
    </row>
    <row r="17" spans="1:7">
      <c r="B17" s="11" t="s">
        <v>21</v>
      </c>
      <c r="C17" s="178">
        <f>SUBTOTAL(109,WarriorTribeExpenses[Budget 16/17])</f>
        <v>3750</v>
      </c>
      <c r="D17" s="178">
        <f>SUBTOTAL(109,WarriorTribeExpenses[Actual 6/17])</f>
        <v>2259.86</v>
      </c>
      <c r="E17" s="178">
        <f>SUBTOTAL(109,WarriorTribeExpenses[Budget 17/18])</f>
        <v>6300</v>
      </c>
      <c r="F17" s="2">
        <f>SUBTOTAL(109,WarriorTribeExpenses[Actual 17/18])</f>
        <v>4419.3100000000004</v>
      </c>
      <c r="G17" s="2">
        <f>SUBTOTAL(109,WarriorTribeExpenses[Budget 18/19])</f>
        <v>4720</v>
      </c>
    </row>
    <row r="18" spans="1:7" ht="13.5" thickBot="1">
      <c r="E18" s="178"/>
    </row>
    <row r="19" spans="1:7" ht="19.5" thickBot="1">
      <c r="B19" s="611" t="s">
        <v>127</v>
      </c>
      <c r="C19" s="64">
        <f>WarriorTribeRevenues[[#Totals],[Budget 16/17]]-WarriorTribeExpenses[[#Totals],[Budget 16/17]]</f>
        <v>-3750</v>
      </c>
      <c r="D19" s="64">
        <f>WarriorTribeRevenues[[#Totals],[Actual 16/17]]-WarriorTribeExpenses[[#Totals],[Actual 6/17]]</f>
        <v>-2259.86</v>
      </c>
      <c r="E19" s="64">
        <f>WarriorTribeRevenues[[#Totals],[Budget 17/18]]-WarriorTribeExpenses[[#Totals],[Budget 17/18]]</f>
        <v>-6300</v>
      </c>
      <c r="F19" s="64">
        <f>WarriorTribeRevenues[[#Totals],[Actual 17/18]]-WarriorTribeExpenses[[#Totals],[Actual 17/18]]</f>
        <v>-4259.3100000000004</v>
      </c>
      <c r="G19" s="64">
        <f>WarriorTribeRevenues[[#Totals],[Budget 18/19]]-WarriorTribeExpenses[[#Totals],[Budget 18/19]]</f>
        <v>-4570</v>
      </c>
    </row>
    <row r="20" spans="1:7">
      <c r="C20" s="44"/>
      <c r="D20" s="44"/>
      <c r="E20" s="76"/>
    </row>
    <row r="21" spans="1:7">
      <c r="C21" s="44"/>
      <c r="D21" s="44"/>
      <c r="E21" s="77"/>
    </row>
    <row r="22" spans="1:7">
      <c r="C22" s="44"/>
      <c r="D22" s="44"/>
      <c r="E22" s="76"/>
    </row>
    <row r="23" spans="1:7">
      <c r="C23" s="44"/>
      <c r="D23" s="44"/>
      <c r="E23" s="76"/>
    </row>
    <row r="24" spans="1:7">
      <c r="C24" s="44"/>
      <c r="D24" s="44"/>
      <c r="E24" s="76"/>
    </row>
    <row r="25" spans="1:7">
      <c r="C25" s="44"/>
      <c r="D25" s="44"/>
      <c r="E25" s="76"/>
    </row>
    <row r="26" spans="1:7">
      <c r="C26" s="44"/>
      <c r="D26" s="44"/>
      <c r="E26" s="76"/>
    </row>
    <row r="27" spans="1:7">
      <c r="C27" s="44"/>
      <c r="D27" s="44"/>
      <c r="E27" s="76"/>
    </row>
    <row r="28" spans="1:7">
      <c r="C28" s="178"/>
      <c r="D28" s="178"/>
      <c r="E28" s="178"/>
    </row>
    <row r="30" spans="1:7">
      <c r="A30" s="765"/>
      <c r="B30" s="765"/>
      <c r="C30" s="21"/>
      <c r="D30" s="21"/>
      <c r="E30" s="21"/>
    </row>
  </sheetData>
  <mergeCells count="2">
    <mergeCell ref="A1:B1"/>
    <mergeCell ref="A30:B30"/>
  </mergeCells>
  <pageMargins left="0.7" right="0.7" top="0.75" bottom="0.75" header="0.3" footer="0.3"/>
  <pageSetup orientation="portrait" r:id="rId1"/>
  <legacyDrawing r:id="rId2"/>
  <tableParts count="2">
    <tablePart r:id="rId3"/>
    <tablePart r:id="rId4"/>
  </tablePar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tabColor theme="1"/>
  </sheetPr>
  <dimension ref="A1:N33"/>
  <sheetViews>
    <sheetView zoomScale="90" zoomScaleNormal="90" workbookViewId="0">
      <selection activeCell="M8" sqref="M8"/>
    </sheetView>
  </sheetViews>
  <sheetFormatPr defaultColWidth="9.140625" defaultRowHeight="12.75"/>
  <cols>
    <col min="1" max="1" width="15.28515625" style="11" bestFit="1" customWidth="1"/>
    <col min="2" max="2" width="27.85546875" style="11" customWidth="1"/>
    <col min="3" max="3" width="15.42578125" style="11" hidden="1" customWidth="1"/>
    <col min="4" max="4" width="16" style="11" hidden="1" customWidth="1"/>
    <col min="5" max="5" width="15.42578125" style="11" hidden="1" customWidth="1"/>
    <col min="6" max="6" width="15.140625" style="11" hidden="1" customWidth="1"/>
    <col min="7" max="8" width="15.42578125" style="11" hidden="1" customWidth="1"/>
    <col min="9" max="9" width="17.85546875" style="11" hidden="1" customWidth="1"/>
    <col min="10" max="10" width="17.7109375" style="11" hidden="1" customWidth="1"/>
    <col min="11" max="11" width="17.42578125" style="11" hidden="1" customWidth="1"/>
    <col min="12" max="12" width="19.7109375" style="11" customWidth="1"/>
    <col min="13" max="13" width="17.140625" style="11" customWidth="1"/>
    <col min="14" max="14" width="17.85546875" style="11" customWidth="1"/>
    <col min="15" max="16384" width="9.140625" style="11"/>
  </cols>
  <sheetData>
    <row r="1" spans="1:14" ht="18">
      <c r="A1" s="758" t="s">
        <v>642</v>
      </c>
      <c r="B1" s="766"/>
    </row>
    <row r="2" spans="1:14">
      <c r="A2" s="28" t="s">
        <v>226</v>
      </c>
    </row>
    <row r="4" spans="1:14">
      <c r="A4" s="48" t="s">
        <v>130</v>
      </c>
      <c r="B4" s="11" t="s">
        <v>72</v>
      </c>
      <c r="C4" s="11" t="s">
        <v>11</v>
      </c>
      <c r="D4" s="11" t="s">
        <v>12</v>
      </c>
      <c r="E4" s="11" t="s">
        <v>13</v>
      </c>
      <c r="F4" s="11" t="s">
        <v>14</v>
      </c>
      <c r="G4" s="11" t="s">
        <v>15</v>
      </c>
      <c r="H4" s="11" t="s">
        <v>16</v>
      </c>
      <c r="I4" s="11" t="s">
        <v>81</v>
      </c>
      <c r="J4" s="11" t="s">
        <v>17</v>
      </c>
      <c r="K4" s="11" t="s">
        <v>40</v>
      </c>
      <c r="L4" s="11" t="s">
        <v>41</v>
      </c>
      <c r="M4" s="5" t="s">
        <v>42</v>
      </c>
      <c r="N4" s="5" t="s">
        <v>43</v>
      </c>
    </row>
    <row r="5" spans="1:14">
      <c r="A5" s="48"/>
      <c r="B5" s="11" t="s">
        <v>295</v>
      </c>
      <c r="C5" s="178"/>
      <c r="K5" s="11">
        <v>900</v>
      </c>
      <c r="L5" s="11">
        <v>900</v>
      </c>
      <c r="M5" s="11">
        <v>1000</v>
      </c>
      <c r="N5" s="613">
        <v>900</v>
      </c>
    </row>
    <row r="6" spans="1:14">
      <c r="A6" s="48"/>
      <c r="B6" s="11" t="s">
        <v>343</v>
      </c>
      <c r="C6" s="178">
        <v>0</v>
      </c>
      <c r="M6" s="11" t="s">
        <v>45</v>
      </c>
    </row>
    <row r="7" spans="1:14">
      <c r="B7" s="11" t="s">
        <v>21</v>
      </c>
      <c r="C7" s="178">
        <f>SUBTOTAL(109,MatesRevenues[Budget 16/17])</f>
        <v>0</v>
      </c>
      <c r="D7" s="178">
        <f>SUBTOTAL(109,MatesRevenues[Actual 16/17])</f>
        <v>0</v>
      </c>
      <c r="E7" s="178">
        <f>SUBTOTAL(109,MatesRevenues[Budget 17/18])</f>
        <v>0</v>
      </c>
      <c r="F7" s="11">
        <f>SUBTOTAL(109,MatesRevenues[Revenues])</f>
        <v>0</v>
      </c>
      <c r="G7" s="11">
        <f>SUBTOTAL(109,MatesRevenues[Budget 16/17])</f>
        <v>0</v>
      </c>
      <c r="H7" s="11">
        <f>SUBTOTAL(109,MatesRevenues[Actual 16/17])</f>
        <v>0</v>
      </c>
      <c r="I7" s="11">
        <f>SUM(MatesRevenues[Actual P12 19/20])</f>
        <v>0</v>
      </c>
      <c r="J7" s="11">
        <f>SUBTOTAL(109,MatesRevenues[Budget 17/18])</f>
        <v>0</v>
      </c>
      <c r="K7" s="11">
        <f>SUBTOTAL(109,MatesRevenues[Actual 20/21])</f>
        <v>900</v>
      </c>
      <c r="L7" s="11">
        <f>SUBTOTAL(109,MatesRevenues[Budget 21/22])</f>
        <v>900</v>
      </c>
      <c r="M7" s="11">
        <f>SUBTOTAL(109,MatesRevenues[Actual 21/22])</f>
        <v>1000</v>
      </c>
      <c r="N7" s="11">
        <f>SUM(MatesRevenues[Budget 22/23])</f>
        <v>900</v>
      </c>
    </row>
    <row r="8" spans="1:14">
      <c r="C8" s="44"/>
      <c r="D8" s="44"/>
      <c r="E8" s="44"/>
    </row>
    <row r="9" spans="1:14">
      <c r="A9" s="73" t="s">
        <v>130</v>
      </c>
      <c r="B9" s="11" t="s">
        <v>22</v>
      </c>
      <c r="C9" s="11" t="s">
        <v>11</v>
      </c>
      <c r="D9" s="44" t="s">
        <v>12</v>
      </c>
      <c r="E9" s="44" t="s">
        <v>13</v>
      </c>
      <c r="F9" s="44" t="s">
        <v>14</v>
      </c>
      <c r="G9" s="44" t="s">
        <v>15</v>
      </c>
      <c r="H9" s="44" t="s">
        <v>16</v>
      </c>
      <c r="I9" s="44" t="s">
        <v>81</v>
      </c>
      <c r="J9" s="44" t="s">
        <v>17</v>
      </c>
      <c r="K9" s="44" t="s">
        <v>40</v>
      </c>
      <c r="L9" s="44" t="s">
        <v>41</v>
      </c>
      <c r="M9" s="5" t="s">
        <v>42</v>
      </c>
      <c r="N9" s="5" t="s">
        <v>43</v>
      </c>
    </row>
    <row r="10" spans="1:14">
      <c r="A10" s="368" t="s">
        <v>643</v>
      </c>
      <c r="B10" s="11" t="s">
        <v>348</v>
      </c>
      <c r="D10" s="18"/>
      <c r="E10" s="44"/>
      <c r="F10" s="18"/>
      <c r="G10" s="18"/>
      <c r="H10" s="18"/>
      <c r="I10" s="18">
        <v>0</v>
      </c>
      <c r="J10" s="387">
        <v>12000</v>
      </c>
      <c r="K10" s="18">
        <v>13093.7</v>
      </c>
      <c r="L10" s="18">
        <f>(37440/1.04)*1.13</f>
        <v>40679.999999999993</v>
      </c>
      <c r="M10" s="2">
        <v>32973.22</v>
      </c>
      <c r="N10" s="626">
        <f>5800*1.13*6</f>
        <v>39323.999999999993</v>
      </c>
    </row>
    <row r="11" spans="1:14">
      <c r="A11" s="368"/>
      <c r="B11" s="11" t="s">
        <v>349</v>
      </c>
      <c r="D11" s="18"/>
      <c r="E11" s="44"/>
      <c r="F11" s="18"/>
      <c r="G11" s="18"/>
      <c r="H11" s="18"/>
      <c r="I11" s="18"/>
      <c r="J11" s="394">
        <v>2000</v>
      </c>
      <c r="K11" s="18"/>
      <c r="L11" s="18"/>
      <c r="M11" s="2"/>
      <c r="N11" s="2"/>
    </row>
    <row r="12" spans="1:14">
      <c r="A12" s="48" t="s">
        <v>644</v>
      </c>
      <c r="B12" s="11" t="s">
        <v>378</v>
      </c>
      <c r="C12" s="44">
        <v>0</v>
      </c>
      <c r="H12" s="18"/>
      <c r="I12" s="18">
        <v>53.98</v>
      </c>
      <c r="J12" s="18">
        <v>150</v>
      </c>
      <c r="K12" s="18">
        <v>723.8</v>
      </c>
      <c r="L12" s="18">
        <v>200</v>
      </c>
      <c r="M12" s="2">
        <v>249.74</v>
      </c>
      <c r="N12" s="626">
        <v>900</v>
      </c>
    </row>
    <row r="13" spans="1:14">
      <c r="A13" s="48" t="s">
        <v>645</v>
      </c>
      <c r="B13" s="11" t="s">
        <v>401</v>
      </c>
      <c r="C13" s="44">
        <v>800</v>
      </c>
      <c r="D13" s="18">
        <v>1560</v>
      </c>
      <c r="E13" s="18">
        <v>2400</v>
      </c>
      <c r="F13" s="18">
        <v>3140.88</v>
      </c>
      <c r="G13" s="18">
        <v>3130</v>
      </c>
      <c r="H13" s="18">
        <v>3120</v>
      </c>
      <c r="I13" s="18">
        <v>1528.98</v>
      </c>
      <c r="J13" s="394">
        <v>3000</v>
      </c>
      <c r="K13" s="18">
        <v>4496.1899999999996</v>
      </c>
      <c r="L13" s="18">
        <v>4250</v>
      </c>
      <c r="M13" s="2">
        <v>2481.2800000000002</v>
      </c>
      <c r="N13" s="626">
        <v>5070</v>
      </c>
    </row>
    <row r="14" spans="1:14">
      <c r="A14" s="48" t="s">
        <v>646</v>
      </c>
      <c r="B14" s="11" t="s">
        <v>100</v>
      </c>
      <c r="C14" s="44">
        <v>0</v>
      </c>
      <c r="D14" s="18"/>
      <c r="E14" s="18"/>
      <c r="F14" s="18"/>
      <c r="G14" s="18"/>
      <c r="H14" s="18"/>
      <c r="I14" s="18">
        <v>3.46</v>
      </c>
      <c r="J14" s="18">
        <v>150</v>
      </c>
      <c r="K14" s="18"/>
      <c r="L14" s="18">
        <v>150</v>
      </c>
      <c r="M14" s="2"/>
      <c r="N14" s="626"/>
    </row>
    <row r="15" spans="1:14">
      <c r="A15" s="48" t="s">
        <v>647</v>
      </c>
      <c r="B15" s="11" t="s">
        <v>93</v>
      </c>
      <c r="C15" s="44"/>
      <c r="D15" s="18"/>
      <c r="E15" s="18"/>
      <c r="F15" s="18"/>
      <c r="G15" s="18"/>
      <c r="H15" s="18">
        <v>350</v>
      </c>
      <c r="I15" s="18">
        <v>219.45</v>
      </c>
      <c r="J15" s="18">
        <v>350</v>
      </c>
      <c r="K15" s="18">
        <v>239.4</v>
      </c>
      <c r="L15" s="18">
        <v>350</v>
      </c>
      <c r="M15" s="2">
        <v>239.4</v>
      </c>
      <c r="N15" s="626">
        <v>350</v>
      </c>
    </row>
    <row r="16" spans="1:14">
      <c r="A16" s="48" t="s">
        <v>648</v>
      </c>
      <c r="B16" s="11" t="s">
        <v>104</v>
      </c>
      <c r="C16" s="44">
        <v>150</v>
      </c>
      <c r="D16" s="18">
        <v>204.3</v>
      </c>
      <c r="E16" s="18">
        <v>150</v>
      </c>
      <c r="F16" s="18">
        <v>94.79</v>
      </c>
      <c r="G16" s="18">
        <v>150</v>
      </c>
      <c r="H16" s="18">
        <v>150</v>
      </c>
      <c r="I16" s="18">
        <v>104.66</v>
      </c>
      <c r="J16" s="18">
        <v>450</v>
      </c>
      <c r="K16" s="18"/>
      <c r="L16" s="18">
        <v>450</v>
      </c>
      <c r="M16" s="2">
        <v>45</v>
      </c>
      <c r="N16" s="626">
        <v>450</v>
      </c>
    </row>
    <row r="17" spans="1:14">
      <c r="A17" s="48" t="s">
        <v>649</v>
      </c>
      <c r="B17" s="11" t="s">
        <v>302</v>
      </c>
      <c r="C17" s="44"/>
      <c r="D17" s="18"/>
      <c r="E17" s="18">
        <v>600</v>
      </c>
      <c r="F17" s="18">
        <v>723.99</v>
      </c>
      <c r="G17" s="18">
        <v>600</v>
      </c>
      <c r="H17" s="18">
        <v>900</v>
      </c>
      <c r="I17" s="18">
        <v>501.17</v>
      </c>
      <c r="J17" s="18">
        <v>1200</v>
      </c>
      <c r="K17" s="18"/>
      <c r="L17" s="18">
        <v>1200</v>
      </c>
      <c r="M17" s="2">
        <v>-21</v>
      </c>
      <c r="N17" s="626">
        <v>1200</v>
      </c>
    </row>
    <row r="18" spans="1:14">
      <c r="A18" s="48" t="s">
        <v>650</v>
      </c>
      <c r="B18" s="11" t="s">
        <v>651</v>
      </c>
      <c r="C18" s="44">
        <v>1500</v>
      </c>
      <c r="D18" s="18">
        <v>1679.62</v>
      </c>
      <c r="E18" s="18">
        <v>1500</v>
      </c>
      <c r="F18" s="18">
        <v>1273.33</v>
      </c>
      <c r="G18" s="18">
        <v>1000</v>
      </c>
      <c r="H18" s="18">
        <v>2000</v>
      </c>
      <c r="I18" s="18">
        <v>475.04</v>
      </c>
      <c r="J18" s="18">
        <v>2000</v>
      </c>
      <c r="K18" s="18">
        <v>308.33999999999997</v>
      </c>
      <c r="L18" s="18">
        <v>2600</v>
      </c>
      <c r="M18" s="2">
        <v>264.74</v>
      </c>
      <c r="N18" s="626">
        <v>2000</v>
      </c>
    </row>
    <row r="19" spans="1:14">
      <c r="A19" s="363" t="s">
        <v>190</v>
      </c>
      <c r="B19" s="11" t="s">
        <v>652</v>
      </c>
      <c r="C19" s="44"/>
      <c r="D19" s="18"/>
      <c r="E19" s="18"/>
      <c r="F19" s="18"/>
      <c r="G19" s="18"/>
      <c r="H19" s="18"/>
      <c r="I19" s="18"/>
      <c r="J19" s="18">
        <v>600</v>
      </c>
      <c r="K19" s="18"/>
      <c r="L19" s="18">
        <v>600</v>
      </c>
      <c r="M19" s="2"/>
      <c r="N19" s="626">
        <v>600</v>
      </c>
    </row>
    <row r="20" spans="1:14">
      <c r="B20" s="11" t="s">
        <v>21</v>
      </c>
      <c r="C20" s="178">
        <f>SUBTOTAL(109,MatesExpenses[Budget 16/17])</f>
        <v>2450</v>
      </c>
      <c r="D20" s="178">
        <f>SUBTOTAL(109,MatesExpenses[Actual 16/17])</f>
        <v>3443.92</v>
      </c>
      <c r="E20" s="178">
        <f>SUBTOTAL(109,MatesExpenses[Budget 17/18])</f>
        <v>4650</v>
      </c>
      <c r="F20" s="21">
        <f>SUBTOTAL(109,MatesExpenses[Actual 17/18])</f>
        <v>5232.99</v>
      </c>
      <c r="G20" s="21">
        <f>SUBTOTAL(109,MatesExpenses[Budget 18/19])</f>
        <v>4880</v>
      </c>
      <c r="H20" s="21">
        <f>SUBTOTAL(109,MatesExpenses[Budget 19/20])</f>
        <v>6520</v>
      </c>
      <c r="I20" s="21">
        <f>SUM(MatesExpenses[Actual P12 19/20])</f>
        <v>2886.7400000000002</v>
      </c>
      <c r="J20" s="21">
        <f>SUBTOTAL(109,MatesExpenses[Budget 20/21])</f>
        <v>21900</v>
      </c>
      <c r="K20" s="21">
        <f>SUBTOTAL(109,MatesExpenses[Actual 20/21])</f>
        <v>18861.43</v>
      </c>
      <c r="L20" s="21">
        <f>SUBTOTAL(109,MatesExpenses[Budget 21/22])</f>
        <v>50479.999999999993</v>
      </c>
      <c r="M20" s="21">
        <f>SUBTOTAL(109,MatesExpenses[Actual 21/22])</f>
        <v>36232.379999999997</v>
      </c>
      <c r="N20" s="21">
        <f>SUM(MatesExpenses[Budget 22/23])</f>
        <v>49893.999999999993</v>
      </c>
    </row>
    <row r="21" spans="1:14" ht="13.5" thickBot="1">
      <c r="E21" s="178"/>
    </row>
    <row r="22" spans="1:14" ht="19.5" thickBot="1">
      <c r="B22" s="611" t="s">
        <v>127</v>
      </c>
      <c r="C22" s="64">
        <f>MatesRevenues[[#Totals],[Budget 16/17]]-MatesExpenses[[#Totals],[Budget 16/17]]</f>
        <v>-2450</v>
      </c>
      <c r="D22" s="64">
        <f>MatesRevenues[[#Totals],[Actual 16/17]]-MatesExpenses[[#Totals],[Actual 16/17]]</f>
        <v>-3443.92</v>
      </c>
      <c r="E22" s="316">
        <f>MatesRevenues[[#Totals],[Budget 17/18]]-MatesExpenses[[#Totals],[Budget 17/18]]</f>
        <v>-4650</v>
      </c>
      <c r="F22" s="316">
        <f>MatesRevenues[[#Totals],[Actual 17/18]]-MatesExpenses[[#Totals],[Actual 17/18]]</f>
        <v>-5232.99</v>
      </c>
      <c r="G22" s="316">
        <f>MatesRevenues[[#Totals],[Budget 18/19]]-MatesExpenses[[#Totals],[Budget 18/19]]</f>
        <v>-4880</v>
      </c>
      <c r="H22" s="316">
        <f>MatesRevenues[[#Totals],[Budget 19/20]]-MatesExpenses[[#Totals],[Budget 19/20]]</f>
        <v>-6520</v>
      </c>
      <c r="I22" s="316">
        <f>MatesRevenues[[#Totals],[Actual P12 19/20]]-MatesExpenses[[#Totals],[Actual P12 19/20]]</f>
        <v>-2886.7400000000002</v>
      </c>
      <c r="J22" s="316">
        <f>MatesRevenues[[#Totals],[Budget 20/21]]-MatesExpenses[[#Totals],[Budget 20/21]]</f>
        <v>-21900</v>
      </c>
      <c r="K22" s="316">
        <f>MatesRevenues[[#Totals],[Actual 20/21]]-MatesExpenses[[#Totals],[Actual 20/21]]</f>
        <v>-17961.43</v>
      </c>
      <c r="L22" s="316">
        <f>MatesRevenues[[#Totals],[Budget 21/22]]-MatesExpenses[[#Totals],[Budget 21/22]]</f>
        <v>-49579.999999999993</v>
      </c>
      <c r="M22" s="316">
        <f>MatesRevenues[[#Totals],[Actual 21/22]]-MatesExpenses[[#Totals],[Actual 21/22]]</f>
        <v>-35232.379999999997</v>
      </c>
      <c r="N22" s="316">
        <f>MatesRevenues[[#Totals],[Budget 22/23]]-MatesExpenses[[#Totals],[Budget 22/23]]</f>
        <v>-48993.999999999993</v>
      </c>
    </row>
    <row r="23" spans="1:14">
      <c r="C23" s="44"/>
      <c r="D23" s="44"/>
      <c r="E23" s="76"/>
    </row>
    <row r="24" spans="1:14">
      <c r="C24" s="44"/>
      <c r="D24" s="44"/>
      <c r="E24" s="77"/>
    </row>
    <row r="25" spans="1:14">
      <c r="C25" s="44"/>
      <c r="D25" s="44"/>
      <c r="E25" s="76"/>
    </row>
    <row r="26" spans="1:14">
      <c r="C26" s="44"/>
      <c r="D26" s="44"/>
      <c r="E26" s="76"/>
    </row>
    <row r="27" spans="1:14">
      <c r="C27" s="44"/>
      <c r="D27" s="44"/>
      <c r="E27" s="76"/>
    </row>
    <row r="28" spans="1:14">
      <c r="C28" s="44"/>
      <c r="D28" s="44"/>
      <c r="E28" s="76"/>
    </row>
    <row r="29" spans="1:14">
      <c r="C29" s="44"/>
      <c r="D29" s="44"/>
      <c r="E29" s="76"/>
    </row>
    <row r="30" spans="1:14">
      <c r="C30" s="44"/>
      <c r="D30" s="44"/>
      <c r="E30" s="76"/>
    </row>
    <row r="31" spans="1:14">
      <c r="C31" s="178"/>
      <c r="D31" s="178"/>
      <c r="E31" s="178"/>
    </row>
    <row r="33" spans="1:5">
      <c r="A33" s="287"/>
      <c r="B33" s="287"/>
      <c r="C33" s="21"/>
      <c r="D33" s="21"/>
      <c r="E33" s="21"/>
    </row>
  </sheetData>
  <mergeCells count="1">
    <mergeCell ref="A1:B1"/>
  </mergeCells>
  <phoneticPr fontId="90" type="noConversion"/>
  <pageMargins left="0.7" right="0.7" top="0.75" bottom="0.75" header="0.3" footer="0.3"/>
  <pageSetup orientation="portrait" r:id="rId1"/>
  <legacyDrawing r:id="rId2"/>
  <tableParts count="2">
    <tablePart r:id="rId3"/>
    <tablePart r:id="rId4"/>
  </tablePar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1"/>
  </sheetPr>
  <dimension ref="A1:K27"/>
  <sheetViews>
    <sheetView zoomScale="90" zoomScaleNormal="90" workbookViewId="0">
      <selection activeCell="J24" sqref="J24"/>
    </sheetView>
  </sheetViews>
  <sheetFormatPr defaultColWidth="8.85546875" defaultRowHeight="12.75"/>
  <cols>
    <col min="1" max="1" width="19.85546875" customWidth="1"/>
    <col min="2" max="2" width="27.85546875" customWidth="1"/>
    <col min="3" max="3" width="15.42578125" hidden="1" customWidth="1"/>
    <col min="4" max="4" width="14.42578125" hidden="1" customWidth="1"/>
    <col min="5" max="5" width="16" hidden="1" customWidth="1"/>
    <col min="6" max="6" width="16.42578125" hidden="1" customWidth="1"/>
    <col min="7" max="7" width="17.42578125" hidden="1" customWidth="1"/>
    <col min="8" max="8" width="18" hidden="1" customWidth="1"/>
    <col min="9" max="9" width="17.42578125" customWidth="1"/>
    <col min="10" max="10" width="19.85546875" customWidth="1"/>
    <col min="11" max="11" width="19.7109375" customWidth="1"/>
  </cols>
  <sheetData>
    <row r="1" spans="1:11" ht="18">
      <c r="A1" s="758" t="s">
        <v>219</v>
      </c>
      <c r="B1" s="766"/>
      <c r="C1" s="11"/>
      <c r="D1" s="11"/>
      <c r="E1" s="11"/>
      <c r="F1" s="11"/>
      <c r="G1" s="11"/>
    </row>
    <row r="2" spans="1:11">
      <c r="A2" s="28" t="s">
        <v>226</v>
      </c>
      <c r="B2" s="11"/>
      <c r="C2" s="11"/>
      <c r="D2" s="11"/>
      <c r="E2" s="11"/>
      <c r="F2" s="11"/>
      <c r="G2" s="11"/>
    </row>
    <row r="3" spans="1:11">
      <c r="A3" s="11"/>
      <c r="B3" s="11"/>
      <c r="C3" s="11"/>
      <c r="D3" s="11"/>
      <c r="E3" s="11"/>
      <c r="F3" s="11"/>
      <c r="G3" s="11"/>
    </row>
    <row r="4" spans="1:11">
      <c r="A4" s="48" t="s">
        <v>130</v>
      </c>
      <c r="B4" s="11" t="s">
        <v>72</v>
      </c>
      <c r="C4" s="11" t="s">
        <v>15</v>
      </c>
      <c r="D4" s="11" t="s">
        <v>39</v>
      </c>
      <c r="E4" s="11" t="s">
        <v>16</v>
      </c>
      <c r="F4" s="11" t="s">
        <v>81</v>
      </c>
      <c r="G4" s="11" t="s">
        <v>17</v>
      </c>
      <c r="H4" s="11" t="s">
        <v>40</v>
      </c>
      <c r="I4" s="11" t="s">
        <v>41</v>
      </c>
      <c r="J4" s="5" t="s">
        <v>42</v>
      </c>
      <c r="K4" s="5" t="s">
        <v>43</v>
      </c>
    </row>
    <row r="5" spans="1:11">
      <c r="A5" s="48"/>
      <c r="B5" s="11" t="s">
        <v>343</v>
      </c>
      <c r="C5" s="178">
        <v>0</v>
      </c>
      <c r="D5" s="11"/>
      <c r="E5" s="18"/>
      <c r="F5" s="18"/>
      <c r="G5" s="11"/>
      <c r="H5" s="11"/>
      <c r="I5" s="11"/>
      <c r="J5" s="11"/>
      <c r="K5" s="11"/>
    </row>
    <row r="6" spans="1:11">
      <c r="A6" s="48" t="s">
        <v>653</v>
      </c>
      <c r="B6" s="11" t="s">
        <v>395</v>
      </c>
      <c r="C6" s="18"/>
      <c r="D6" s="11"/>
      <c r="E6" s="18">
        <v>3000</v>
      </c>
      <c r="F6" s="18"/>
      <c r="G6" s="11"/>
      <c r="H6" s="11">
        <v>30261.9</v>
      </c>
      <c r="I6" s="11">
        <v>0</v>
      </c>
      <c r="J6" s="11">
        <v>200</v>
      </c>
      <c r="K6" s="11"/>
    </row>
    <row r="7" spans="1:11">
      <c r="A7" s="11"/>
      <c r="B7" s="11" t="s">
        <v>21</v>
      </c>
      <c r="C7" s="178">
        <f>SUBTOTAL(109,MatesRevenues3[Budget 18/19])</f>
        <v>0</v>
      </c>
      <c r="D7" s="178">
        <f>SUBTOTAL(109,MatesRevenues3[Actual 18/19])</f>
        <v>0</v>
      </c>
      <c r="E7" s="178">
        <f>SUBTOTAL(109,MatesRevenues3[Budget 19/20])</f>
        <v>3000</v>
      </c>
      <c r="F7" s="178">
        <f>SUM(MatesRevenues3[Actual P12 19/20])</f>
        <v>0</v>
      </c>
      <c r="G7" s="178">
        <f>SUBTOTAL(109,MatesRevenues3[Budget 20/21])</f>
        <v>0</v>
      </c>
      <c r="H7" s="178">
        <f>SUBTOTAL(109,MatesRevenues3[Actual 20/21])</f>
        <v>30261.9</v>
      </c>
      <c r="I7" s="178">
        <f>SUBTOTAL(109,MatesRevenues3[Budget 21/22])</f>
        <v>0</v>
      </c>
      <c r="J7" s="11">
        <f>SUBTOTAL(109,MatesRevenues3[Actual 21/22])</f>
        <v>200</v>
      </c>
      <c r="K7" s="11"/>
    </row>
    <row r="8" spans="1:11">
      <c r="A8" s="73" t="s">
        <v>130</v>
      </c>
      <c r="B8" s="11"/>
      <c r="C8" s="44"/>
      <c r="D8" s="44"/>
      <c r="E8" s="44"/>
      <c r="F8" s="11"/>
      <c r="G8" s="11"/>
    </row>
    <row r="9" spans="1:11">
      <c r="A9" s="48"/>
      <c r="B9" s="11" t="s">
        <v>22</v>
      </c>
      <c r="C9" s="11" t="s">
        <v>15</v>
      </c>
      <c r="D9" s="44" t="s">
        <v>39</v>
      </c>
      <c r="E9" s="44" t="s">
        <v>16</v>
      </c>
      <c r="F9" s="44" t="s">
        <v>81</v>
      </c>
      <c r="G9" s="11" t="s">
        <v>17</v>
      </c>
      <c r="H9" s="11" t="s">
        <v>40</v>
      </c>
      <c r="I9" s="11" t="s">
        <v>41</v>
      </c>
      <c r="J9" s="5" t="s">
        <v>42</v>
      </c>
      <c r="K9" s="5" t="s">
        <v>43</v>
      </c>
    </row>
    <row r="10" spans="1:11">
      <c r="A10" s="48" t="s">
        <v>654</v>
      </c>
      <c r="B10" s="11" t="s">
        <v>348</v>
      </c>
      <c r="C10" s="11"/>
      <c r="D10" s="18"/>
      <c r="E10" s="44"/>
      <c r="F10" s="44">
        <v>0</v>
      </c>
      <c r="G10" s="385">
        <v>12000</v>
      </c>
      <c r="H10" s="535">
        <v>13066.33</v>
      </c>
      <c r="I10" s="385">
        <f>(37440/1.04)*1.13</f>
        <v>40679.999999999993</v>
      </c>
      <c r="J10" s="465">
        <v>18985.21</v>
      </c>
      <c r="K10" s="385">
        <f>5800*1.13*6</f>
        <v>39323.999999999993</v>
      </c>
    </row>
    <row r="11" spans="1:11">
      <c r="A11" s="48"/>
      <c r="B11" s="11" t="s">
        <v>349</v>
      </c>
      <c r="C11" s="11"/>
      <c r="D11" s="18"/>
      <c r="E11" s="44"/>
      <c r="F11" s="44"/>
      <c r="G11" s="385">
        <v>2000</v>
      </c>
      <c r="H11" s="18"/>
      <c r="I11" s="385">
        <v>0</v>
      </c>
      <c r="J11" s="465"/>
      <c r="K11" s="385"/>
    </row>
    <row r="12" spans="1:11">
      <c r="A12" s="48" t="s">
        <v>655</v>
      </c>
      <c r="B12" s="11" t="s">
        <v>378</v>
      </c>
      <c r="C12" s="44">
        <v>300</v>
      </c>
      <c r="D12" s="11"/>
      <c r="E12" s="18">
        <v>225</v>
      </c>
      <c r="F12" s="18"/>
      <c r="G12" s="11">
        <v>200</v>
      </c>
      <c r="H12" s="11"/>
      <c r="I12" s="649">
        <v>200</v>
      </c>
      <c r="J12" s="465">
        <v>77.45</v>
      </c>
      <c r="K12" s="454">
        <v>700</v>
      </c>
    </row>
    <row r="13" spans="1:11">
      <c r="A13" s="48" t="s">
        <v>656</v>
      </c>
      <c r="B13" s="11" t="s">
        <v>401</v>
      </c>
      <c r="C13" s="44">
        <v>1160</v>
      </c>
      <c r="D13" s="18"/>
      <c r="E13" s="18">
        <v>2010</v>
      </c>
      <c r="F13" s="18"/>
      <c r="G13" s="385">
        <v>1960</v>
      </c>
      <c r="H13" s="18">
        <v>3166.21</v>
      </c>
      <c r="I13" s="385">
        <v>2400</v>
      </c>
      <c r="J13" s="465">
        <v>1121.67</v>
      </c>
      <c r="K13" s="385">
        <v>2400</v>
      </c>
    </row>
    <row r="14" spans="1:11">
      <c r="A14" s="48" t="s">
        <v>657</v>
      </c>
      <c r="B14" s="11" t="s">
        <v>658</v>
      </c>
      <c r="C14" s="44"/>
      <c r="D14" s="18"/>
      <c r="E14" s="18"/>
      <c r="F14" s="18"/>
      <c r="G14" s="707"/>
      <c r="H14" s="18"/>
      <c r="I14" s="708"/>
      <c r="J14" s="465">
        <v>5128.97</v>
      </c>
      <c r="K14" s="709"/>
    </row>
    <row r="15" spans="1:11">
      <c r="A15" s="48"/>
      <c r="B15" s="11" t="s">
        <v>100</v>
      </c>
      <c r="C15" s="44">
        <v>40</v>
      </c>
      <c r="D15" s="18"/>
      <c r="E15" s="18">
        <v>40</v>
      </c>
      <c r="F15" s="18"/>
      <c r="G15" s="18">
        <v>40</v>
      </c>
      <c r="H15" s="18"/>
      <c r="I15" s="454">
        <v>40</v>
      </c>
      <c r="J15" s="465"/>
      <c r="K15" s="454"/>
    </row>
    <row r="16" spans="1:11">
      <c r="A16" s="48" t="s">
        <v>659</v>
      </c>
      <c r="B16" s="11" t="s">
        <v>660</v>
      </c>
      <c r="C16" s="44"/>
      <c r="D16" s="18"/>
      <c r="E16" s="339">
        <v>350</v>
      </c>
      <c r="F16" s="339"/>
      <c r="G16" s="18">
        <v>350</v>
      </c>
      <c r="H16" s="18">
        <v>245.2</v>
      </c>
      <c r="I16" s="454">
        <v>350</v>
      </c>
      <c r="J16" s="465">
        <v>273.2</v>
      </c>
      <c r="K16" s="454">
        <v>350</v>
      </c>
    </row>
    <row r="17" spans="1:11">
      <c r="A17" s="48"/>
      <c r="B17" s="11" t="s">
        <v>104</v>
      </c>
      <c r="C17" s="44">
        <v>300</v>
      </c>
      <c r="D17" s="18"/>
      <c r="E17" s="18">
        <v>700</v>
      </c>
      <c r="F17" s="18"/>
      <c r="G17" s="18">
        <v>400</v>
      </c>
      <c r="H17" s="18">
        <v>-13.26</v>
      </c>
      <c r="I17" s="454">
        <v>425</v>
      </c>
      <c r="J17" s="465"/>
      <c r="K17" s="454">
        <v>425</v>
      </c>
    </row>
    <row r="18" spans="1:11">
      <c r="A18" s="48"/>
      <c r="B18" s="11" t="s">
        <v>661</v>
      </c>
      <c r="C18" s="44"/>
      <c r="D18" s="18"/>
      <c r="E18" s="18">
        <v>2800</v>
      </c>
      <c r="F18" s="18"/>
      <c r="G18" s="18">
        <v>2800</v>
      </c>
      <c r="H18" s="18">
        <v>30989.55</v>
      </c>
      <c r="I18" s="454">
        <f>10000</f>
        <v>10000</v>
      </c>
      <c r="J18" s="465"/>
      <c r="K18" s="454">
        <v>19000</v>
      </c>
    </row>
    <row r="19" spans="1:11">
      <c r="A19" s="48" t="s">
        <v>662</v>
      </c>
      <c r="B19" s="11" t="s">
        <v>302</v>
      </c>
      <c r="C19" s="44">
        <v>400</v>
      </c>
      <c r="D19" s="18"/>
      <c r="E19" s="18">
        <v>400</v>
      </c>
      <c r="F19" s="18"/>
      <c r="G19" s="18">
        <v>600</v>
      </c>
      <c r="H19" s="18"/>
      <c r="I19" s="454">
        <v>600</v>
      </c>
      <c r="J19" s="465">
        <v>260</v>
      </c>
      <c r="K19" s="454">
        <v>900</v>
      </c>
    </row>
    <row r="20" spans="1:11">
      <c r="A20" s="48" t="s">
        <v>663</v>
      </c>
      <c r="B20" s="11" t="s">
        <v>114</v>
      </c>
      <c r="C20" s="44">
        <v>1600</v>
      </c>
      <c r="D20" s="18"/>
      <c r="E20" s="18">
        <v>1500</v>
      </c>
      <c r="F20" s="18"/>
      <c r="G20" s="18">
        <v>1000</v>
      </c>
      <c r="H20" s="18">
        <v>331.33</v>
      </c>
      <c r="I20" s="454">
        <v>800</v>
      </c>
      <c r="J20" s="465">
        <v>315</v>
      </c>
      <c r="K20" s="454">
        <v>1000</v>
      </c>
    </row>
    <row r="21" spans="1:11">
      <c r="A21" s="48"/>
      <c r="B21" s="11" t="s">
        <v>561</v>
      </c>
      <c r="C21" s="44">
        <v>3400</v>
      </c>
      <c r="D21" s="18"/>
      <c r="E21" s="18">
        <v>2000</v>
      </c>
      <c r="F21" s="18"/>
      <c r="G21" s="18">
        <v>1500</v>
      </c>
      <c r="H21" s="18"/>
      <c r="I21" s="454">
        <v>950</v>
      </c>
      <c r="J21" s="465"/>
      <c r="K21" s="454">
        <v>1500</v>
      </c>
    </row>
    <row r="22" spans="1:11">
      <c r="A22" s="11"/>
      <c r="B22" s="11" t="s">
        <v>664</v>
      </c>
      <c r="C22" s="44"/>
      <c r="D22" s="18"/>
      <c r="E22" s="18">
        <v>880</v>
      </c>
      <c r="F22" s="18"/>
      <c r="G22" s="18">
        <v>720</v>
      </c>
      <c r="H22" s="18"/>
      <c r="I22" s="454">
        <v>400</v>
      </c>
      <c r="J22" s="465"/>
      <c r="K22" s="454">
        <v>720</v>
      </c>
    </row>
    <row r="23" spans="1:11">
      <c r="A23" s="11"/>
      <c r="B23" s="11" t="s">
        <v>21</v>
      </c>
      <c r="C23" s="178">
        <f>SUBTOTAL(109,MatesExpenses5[Budget 18/19])</f>
        <v>7200</v>
      </c>
      <c r="D23" s="178">
        <f>SUBTOTAL(109,MatesExpenses5[Actual 18/19])</f>
        <v>0</v>
      </c>
      <c r="E23" s="178">
        <f>SUBTOTAL(109,MatesExpenses5[Budget 19/20])</f>
        <v>10905</v>
      </c>
      <c r="F23" s="178">
        <f>SUM(MatesExpenses5[Actual P12 19/20])</f>
        <v>0</v>
      </c>
      <c r="G23" s="178">
        <f>SUBTOTAL(109,MatesExpenses5[Budget 20/21])</f>
        <v>23570</v>
      </c>
      <c r="H23" s="178">
        <f>SUBTOTAL(109,MatesExpenses5[Actual 20/21])</f>
        <v>47785.36</v>
      </c>
      <c r="I23" s="178">
        <f>SUBTOTAL(109,MatesExpenses5[Budget 21/22])</f>
        <v>56844.999999999993</v>
      </c>
      <c r="J23" s="465">
        <f>SUBTOTAL(109,MatesExpenses5[Actual 21/22])</f>
        <v>26161.500000000004</v>
      </c>
      <c r="K23" s="594">
        <f>SUM(MatesExpenses5[Budget 22/23])</f>
        <v>66319</v>
      </c>
    </row>
    <row r="24" spans="1:11" ht="13.5" thickBot="1">
      <c r="A24" s="11"/>
      <c r="B24" s="11"/>
      <c r="C24" s="11"/>
      <c r="D24" s="11"/>
      <c r="E24" s="178"/>
      <c r="F24" s="11"/>
      <c r="G24" s="11"/>
    </row>
    <row r="25" spans="1:11" ht="19.5" thickBot="1">
      <c r="B25" s="611" t="s">
        <v>127</v>
      </c>
      <c r="C25" s="316">
        <f>MatesRevenues3[[#Totals],[Budget 18/19]]-MatesExpenses5[[#Totals],[Budget 18/19]]</f>
        <v>-7200</v>
      </c>
      <c r="D25" s="64">
        <f>MatesRevenues3[[#Totals],[Actual 18/19]]-MatesExpenses5[[#Totals],[Actual 18/19]]</f>
        <v>0</v>
      </c>
      <c r="E25" s="316">
        <f>MatesRevenues3[[#Totals],[Budget 19/20]]-MatesExpenses5[[#Totals],[Budget 19/20]]</f>
        <v>-7905</v>
      </c>
      <c r="F25" s="316">
        <f>MatesRevenues3[[#Totals],[Actual P12 19/20]]-MatesExpenses5[[#Totals],[Actual P12 19/20]]</f>
        <v>0</v>
      </c>
      <c r="G25" s="316">
        <f>MatesRevenues3[[#Totals],[Budget 20/21]]-MatesExpenses5[[#Totals],[Budget 20/21]]</f>
        <v>-23570</v>
      </c>
      <c r="H25" s="316">
        <f>MatesRevenues3[[#Totals],[Actual 20/21]]-MatesExpenses5[[#Totals],[Actual 20/21]]</f>
        <v>-17523.46</v>
      </c>
      <c r="I25" s="316">
        <f>MatesRevenues3[[#Totals],[Budget 21/22]]-MatesExpenses5[[#Totals],[Budget 21/22]]</f>
        <v>-56844.999999999993</v>
      </c>
      <c r="J25" s="316">
        <f>MatesRevenues3[[#Totals],[Actual 21/22]]-MatesExpenses5[[#Totals],[Actual 21/22]]</f>
        <v>-25961.500000000004</v>
      </c>
      <c r="K25" s="316">
        <f>MatesRevenues3[[#Totals],[Budget 22/23]]-MatesExpenses5[[#Totals],[Budget 22/23]]</f>
        <v>-66319</v>
      </c>
    </row>
    <row r="27" spans="1:11">
      <c r="C27" s="8"/>
      <c r="E27" s="292"/>
      <c r="F27" s="367"/>
    </row>
  </sheetData>
  <mergeCells count="1">
    <mergeCell ref="A1:B1"/>
  </mergeCells>
  <phoneticPr fontId="117" type="noConversion"/>
  <pageMargins left="0.7" right="0.7" top="0.75" bottom="0.75" header="0.3" footer="0.3"/>
  <pageSetup orientation="portrait" horizontalDpi="300" verticalDpi="300" r:id="rId1"/>
  <legacyDrawing r:id="rId2"/>
  <tableParts count="2">
    <tablePart r:id="rId3"/>
    <tablePart r:id="rId4"/>
  </tablePar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F4CB4-85B2-4F0D-ABDB-01CB6745EAEA}">
  <sheetPr>
    <tabColor theme="1"/>
  </sheetPr>
  <dimension ref="A1:L40"/>
  <sheetViews>
    <sheetView zoomScale="90" zoomScaleNormal="90" workbookViewId="0">
      <selection activeCell="D8" sqref="D8"/>
    </sheetView>
  </sheetViews>
  <sheetFormatPr defaultColWidth="9.140625" defaultRowHeight="12.75"/>
  <cols>
    <col min="1" max="1" width="15.28515625" style="11" bestFit="1" customWidth="1"/>
    <col min="2" max="2" width="27.85546875" style="11" customWidth="1"/>
    <col min="3" max="3" width="18.7109375" style="11" customWidth="1"/>
    <col min="4" max="4" width="16" style="11" customWidth="1"/>
    <col min="5" max="5" width="16.85546875" style="11" bestFit="1" customWidth="1"/>
    <col min="6" max="6" width="15.140625" style="11" customWidth="1"/>
    <col min="7" max="8" width="15.42578125" style="11" customWidth="1"/>
    <col min="9" max="9" width="17.85546875" style="11" customWidth="1"/>
    <col min="10" max="10" width="17.7109375" style="11" customWidth="1"/>
    <col min="11" max="11" width="14.7109375" style="11" customWidth="1"/>
    <col min="12" max="12" width="16.42578125" style="11" customWidth="1"/>
    <col min="13" max="16384" width="9.140625" style="11"/>
  </cols>
  <sheetData>
    <row r="1" spans="1:5" ht="18">
      <c r="A1" s="758" t="s">
        <v>665</v>
      </c>
      <c r="B1" s="766"/>
    </row>
    <row r="2" spans="1:5">
      <c r="A2" s="28" t="s">
        <v>226</v>
      </c>
    </row>
    <row r="4" spans="1:5">
      <c r="A4" s="48" t="s">
        <v>130</v>
      </c>
      <c r="B4" s="11" t="s">
        <v>72</v>
      </c>
      <c r="C4" s="11" t="s">
        <v>41</v>
      </c>
      <c r="D4" s="5" t="s">
        <v>42</v>
      </c>
      <c r="E4" s="5" t="s">
        <v>43</v>
      </c>
    </row>
    <row r="5" spans="1:5">
      <c r="A5" s="48"/>
      <c r="B5" s="11" t="s">
        <v>295</v>
      </c>
      <c r="C5" s="11">
        <v>0</v>
      </c>
      <c r="D5" s="11">
        <v>0</v>
      </c>
    </row>
    <row r="6" spans="1:5">
      <c r="A6" s="48"/>
      <c r="B6" s="11" t="s">
        <v>343</v>
      </c>
    </row>
    <row r="7" spans="1:5">
      <c r="B7" s="11" t="s">
        <v>21</v>
      </c>
      <c r="C7" s="11">
        <f>SUBTOTAL(109,MatesRevenues99[Budget 21/22])</f>
        <v>0</v>
      </c>
      <c r="D7" s="11">
        <f>SUBTOTAL(109,MatesRevenues99[Actual 21/22])</f>
        <v>0</v>
      </c>
    </row>
    <row r="8" spans="1:5">
      <c r="C8" s="44"/>
      <c r="D8" s="44"/>
    </row>
    <row r="9" spans="1:5" ht="13.5" thickBot="1">
      <c r="A9" s="73" t="s">
        <v>130</v>
      </c>
      <c r="B9" s="11" t="s">
        <v>22</v>
      </c>
      <c r="C9" s="44" t="s">
        <v>41</v>
      </c>
      <c r="D9" s="5" t="s">
        <v>42</v>
      </c>
      <c r="E9" s="5" t="s">
        <v>43</v>
      </c>
    </row>
    <row r="10" spans="1:5" ht="13.5" thickBot="1">
      <c r="A10" s="363" t="s">
        <v>666</v>
      </c>
      <c r="B10" s="432" t="s">
        <v>230</v>
      </c>
      <c r="C10" s="433">
        <f>(14976/1.04)*1.13</f>
        <v>16271.999999999998</v>
      </c>
      <c r="D10" s="21">
        <v>3268.83</v>
      </c>
      <c r="E10" s="591">
        <f>4640*1.13*3</f>
        <v>15729.599999999999</v>
      </c>
    </row>
    <row r="11" spans="1:5" ht="13.5" thickBot="1">
      <c r="A11" s="363" t="s">
        <v>190</v>
      </c>
      <c r="B11" s="431" t="s">
        <v>667</v>
      </c>
      <c r="C11" s="433">
        <v>90</v>
      </c>
      <c r="D11" s="21"/>
      <c r="E11" s="433">
        <v>90</v>
      </c>
    </row>
    <row r="12" spans="1:5" ht="13.5" thickBot="1">
      <c r="A12" s="363" t="s">
        <v>668</v>
      </c>
      <c r="B12" s="710" t="s">
        <v>91</v>
      </c>
      <c r="C12" s="18"/>
      <c r="D12" s="21">
        <v>30</v>
      </c>
    </row>
    <row r="13" spans="1:5">
      <c r="B13" s="11" t="s">
        <v>21</v>
      </c>
      <c r="C13" s="21">
        <f>SUBTOTAL(109,MatesExpenses100[Budget 21/22])</f>
        <v>16361.999999999998</v>
      </c>
      <c r="D13" s="8">
        <f>SUBTOTAL(109,MatesExpenses100[Actual 21/22])</f>
        <v>3298.83</v>
      </c>
      <c r="E13" s="8">
        <f>SUM(MatesExpenses100[Budget 22/23])</f>
        <v>15819.599999999999</v>
      </c>
    </row>
    <row r="14" spans="1:5" ht="13.5" thickBot="1">
      <c r="C14" s="178"/>
    </row>
    <row r="15" spans="1:5" ht="19.5" thickBot="1">
      <c r="B15" s="611" t="s">
        <v>127</v>
      </c>
      <c r="C15" s="316">
        <f>MatesRevenues99[[#Totals],[Budget 21/22]]-MatesExpenses100[[#Totals],[Budget 21/22]]</f>
        <v>-16361.999999999998</v>
      </c>
      <c r="D15" s="316">
        <f>MatesRevenues99[[#Totals],[Actual 21/22]]-MatesExpenses100[[#Totals],[Actual 21/22]]</f>
        <v>-3298.83</v>
      </c>
      <c r="E15" s="316">
        <f>MatesRevenues99[[#Totals],[Budget 22/23]]-MatesExpenses100[[#Totals],[Budget 22/23]]</f>
        <v>-15819.599999999999</v>
      </c>
    </row>
    <row r="17" spans="1:12">
      <c r="C17" s="44"/>
    </row>
    <row r="18" spans="1:12">
      <c r="C18" s="44"/>
    </row>
    <row r="19" spans="1:12">
      <c r="C19" s="44"/>
    </row>
    <row r="20" spans="1:12">
      <c r="C20" s="44"/>
    </row>
    <row r="21" spans="1:12">
      <c r="C21" s="44"/>
    </row>
    <row r="22" spans="1:12">
      <c r="A22" s="287"/>
      <c r="C22" s="44"/>
    </row>
    <row r="23" spans="1:12">
      <c r="C23" s="44"/>
    </row>
    <row r="24" spans="1:12">
      <c r="C24" s="178"/>
    </row>
    <row r="26" spans="1:12">
      <c r="B26" s="287"/>
      <c r="C26" s="21"/>
    </row>
    <row r="28" spans="1:12">
      <c r="D28" s="178"/>
      <c r="E28" s="178"/>
      <c r="F28" s="21"/>
      <c r="G28" s="21"/>
      <c r="H28" s="21"/>
      <c r="I28" s="21"/>
      <c r="J28" s="21"/>
      <c r="K28" s="21"/>
      <c r="L28" s="21"/>
    </row>
    <row r="31" spans="1:12">
      <c r="D31" s="44"/>
      <c r="E31" s="77"/>
    </row>
    <row r="32" spans="1:12">
      <c r="D32" s="44"/>
      <c r="E32" s="76"/>
    </row>
    <row r="33" spans="4:5">
      <c r="D33" s="44"/>
      <c r="E33" s="76"/>
    </row>
    <row r="34" spans="4:5">
      <c r="D34" s="44"/>
      <c r="E34" s="76"/>
    </row>
    <row r="35" spans="4:5">
      <c r="D35" s="44"/>
      <c r="E35" s="76"/>
    </row>
    <row r="36" spans="4:5">
      <c r="D36" s="44"/>
      <c r="E36" s="76"/>
    </row>
    <row r="37" spans="4:5">
      <c r="D37" s="44"/>
      <c r="E37" s="76"/>
    </row>
    <row r="38" spans="4:5">
      <c r="D38" s="178"/>
      <c r="E38" s="178"/>
    </row>
    <row r="40" spans="4:5">
      <c r="D40" s="21"/>
      <c r="E40" s="21"/>
    </row>
  </sheetData>
  <mergeCells count="1">
    <mergeCell ref="A1:B1"/>
  </mergeCells>
  <phoneticPr fontId="117" type="noConversion"/>
  <pageMargins left="0.7" right="0.7" top="0.75" bottom="0.75" header="0.3" footer="0.3"/>
  <pageSetup orientation="portrait" r:id="rId1"/>
  <legacyDrawing r:id="rId2"/>
  <tableParts count="2">
    <tablePart r:id="rId3"/>
    <tablePart r:id="rId4"/>
  </tablePar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theme="1"/>
    <pageSetUpPr fitToPage="1"/>
  </sheetPr>
  <dimension ref="A1:AU112"/>
  <sheetViews>
    <sheetView showGridLines="0" topLeftCell="A29" zoomScaleNormal="100" workbookViewId="0">
      <selection activeCell="AC44" sqref="AC44"/>
    </sheetView>
  </sheetViews>
  <sheetFormatPr defaultColWidth="11.42578125" defaultRowHeight="12.75"/>
  <cols>
    <col min="1" max="1" width="14.42578125" style="19" customWidth="1"/>
    <col min="2" max="2" width="39.42578125" style="19" customWidth="1"/>
    <col min="3" max="3" width="15.42578125" style="19" hidden="1" customWidth="1"/>
    <col min="4" max="4" width="15" style="19" hidden="1" customWidth="1"/>
    <col min="5" max="5" width="15.42578125" style="19" hidden="1" customWidth="1"/>
    <col min="6" max="6" width="15" style="19" hidden="1" customWidth="1"/>
    <col min="7" max="7" width="15.42578125" style="19" hidden="1" customWidth="1"/>
    <col min="8" max="8" width="15" style="19" hidden="1" customWidth="1"/>
    <col min="9" max="9" width="15.42578125" style="19" hidden="1" customWidth="1"/>
    <col min="10" max="10" width="15" style="19" hidden="1" customWidth="1"/>
    <col min="11" max="11" width="15.42578125" style="19" hidden="1" customWidth="1"/>
    <col min="12" max="12" width="15" style="19" hidden="1" customWidth="1"/>
    <col min="13" max="13" width="15.42578125" style="19" hidden="1" customWidth="1"/>
    <col min="14" max="14" width="13.140625" style="134" hidden="1" customWidth="1"/>
    <col min="15" max="15" width="12.7109375" style="19" hidden="1" customWidth="1"/>
    <col min="16" max="16" width="16.28515625" style="19" hidden="1" customWidth="1"/>
    <col min="17" max="17" width="21.42578125" style="19" hidden="1" customWidth="1"/>
    <col min="18" max="18" width="20" style="19" hidden="1" customWidth="1"/>
    <col min="19" max="19" width="21.28515625" style="19" hidden="1" customWidth="1"/>
    <col min="20" max="20" width="16.140625" style="19" hidden="1" customWidth="1"/>
    <col min="21" max="21" width="14.42578125" style="19" hidden="1" customWidth="1"/>
    <col min="22" max="22" width="13.42578125" style="19" hidden="1" customWidth="1"/>
    <col min="23" max="23" width="16.7109375" style="19" hidden="1" customWidth="1"/>
    <col min="24" max="24" width="16" style="19" hidden="1" customWidth="1"/>
    <col min="25" max="25" width="13.42578125" style="19" customWidth="1"/>
    <col min="26" max="26" width="11.85546875" style="19" bestFit="1" customWidth="1"/>
    <col min="27" max="27" width="12.42578125" style="19" bestFit="1" customWidth="1"/>
    <col min="28" max="16384" width="11.42578125" style="19"/>
  </cols>
  <sheetData>
    <row r="1" spans="1:27" s="11" customFormat="1" ht="18">
      <c r="A1" s="758" t="s">
        <v>669</v>
      </c>
      <c r="B1" s="766"/>
      <c r="N1" s="132"/>
    </row>
    <row r="2" spans="1:27" s="11" customFormat="1">
      <c r="A2" s="28" t="s">
        <v>226</v>
      </c>
      <c r="N2" s="132"/>
    </row>
    <row r="3" spans="1:27">
      <c r="A3" s="11"/>
      <c r="B3" s="11"/>
      <c r="C3" s="11"/>
      <c r="D3" s="11"/>
      <c r="E3" s="11"/>
      <c r="F3" s="11"/>
      <c r="G3" s="11"/>
      <c r="H3" s="11"/>
      <c r="I3" s="11"/>
      <c r="J3" s="11"/>
      <c r="K3" s="11"/>
      <c r="L3" s="11"/>
      <c r="M3" s="11"/>
    </row>
    <row r="4" spans="1:27">
      <c r="A4" s="11"/>
      <c r="B4" s="11"/>
      <c r="C4" s="11"/>
      <c r="D4" s="11"/>
      <c r="E4" s="11"/>
      <c r="F4" s="11"/>
      <c r="G4" s="11"/>
      <c r="H4" s="11"/>
      <c r="I4" s="11"/>
      <c r="J4" s="11"/>
      <c r="K4" s="11"/>
      <c r="L4" s="11"/>
      <c r="M4" s="11"/>
    </row>
    <row r="5" spans="1:27">
      <c r="A5" s="48" t="s">
        <v>130</v>
      </c>
      <c r="B5" s="11" t="s">
        <v>72</v>
      </c>
      <c r="C5" s="11" t="s">
        <v>73</v>
      </c>
      <c r="D5" s="11" t="s">
        <v>74</v>
      </c>
      <c r="E5" s="11" t="s">
        <v>75</v>
      </c>
      <c r="F5" s="11" t="s">
        <v>76</v>
      </c>
      <c r="G5" s="11" t="s">
        <v>77</v>
      </c>
      <c r="H5" s="11" t="s">
        <v>78</v>
      </c>
      <c r="I5" s="11" t="s">
        <v>5</v>
      </c>
      <c r="J5" s="11" t="s">
        <v>6</v>
      </c>
      <c r="K5" s="11" t="s">
        <v>7</v>
      </c>
      <c r="L5" s="11" t="s">
        <v>8</v>
      </c>
      <c r="M5" s="11" t="s">
        <v>9</v>
      </c>
      <c r="N5" s="152" t="s">
        <v>10</v>
      </c>
      <c r="O5" s="11" t="s">
        <v>11</v>
      </c>
      <c r="P5" s="11" t="s">
        <v>670</v>
      </c>
      <c r="Q5" s="11" t="s">
        <v>13</v>
      </c>
      <c r="R5" s="11" t="s">
        <v>14</v>
      </c>
      <c r="S5" s="11" t="s">
        <v>15</v>
      </c>
      <c r="T5" s="11" t="s">
        <v>39</v>
      </c>
      <c r="U5" s="11" t="s">
        <v>16</v>
      </c>
      <c r="V5" s="11" t="s">
        <v>81</v>
      </c>
      <c r="W5" s="11" t="s">
        <v>61</v>
      </c>
      <c r="X5" s="11" t="s">
        <v>40</v>
      </c>
      <c r="Y5" s="11" t="s">
        <v>41</v>
      </c>
      <c r="Z5" s="5" t="s">
        <v>42</v>
      </c>
      <c r="AA5" s="5" t="s">
        <v>43</v>
      </c>
    </row>
    <row r="6" spans="1:27" ht="12.75" customHeight="1">
      <c r="A6" s="48" t="s">
        <v>671</v>
      </c>
      <c r="B6" s="11" t="s">
        <v>672</v>
      </c>
      <c r="C6" s="18">
        <v>0</v>
      </c>
      <c r="D6" s="18">
        <v>1000</v>
      </c>
      <c r="E6" s="18">
        <v>8000</v>
      </c>
      <c r="F6" s="18">
        <v>7782.3</v>
      </c>
      <c r="G6" s="18">
        <v>15000</v>
      </c>
      <c r="H6" s="18">
        <v>15159.34</v>
      </c>
      <c r="I6" s="18">
        <v>15000</v>
      </c>
      <c r="J6" s="18"/>
      <c r="K6" s="18">
        <v>13000</v>
      </c>
      <c r="L6" s="18">
        <f>281.3+56536.71</f>
        <v>56818.01</v>
      </c>
      <c r="M6" s="18">
        <v>30000</v>
      </c>
      <c r="N6" s="159">
        <v>40776.699999999997</v>
      </c>
      <c r="O6" s="18">
        <v>30000</v>
      </c>
      <c r="P6" s="18">
        <v>32789</v>
      </c>
      <c r="Q6" s="180">
        <v>30000</v>
      </c>
      <c r="R6" s="180">
        <v>28462.35</v>
      </c>
      <c r="S6" s="180">
        <v>25000</v>
      </c>
      <c r="T6" s="180"/>
      <c r="U6" s="180">
        <v>5000</v>
      </c>
      <c r="V6" s="180">
        <v>26675.42</v>
      </c>
      <c r="W6" s="180">
        <v>5000</v>
      </c>
      <c r="X6" s="180"/>
      <c r="Y6" s="448">
        <v>5000</v>
      </c>
      <c r="Z6" s="2">
        <v>1762.08</v>
      </c>
      <c r="AA6" s="587">
        <v>8000</v>
      </c>
    </row>
    <row r="7" spans="1:27" ht="12.75" hidden="1" customHeight="1">
      <c r="A7" s="48"/>
      <c r="B7" s="11" t="s">
        <v>673</v>
      </c>
      <c r="C7" s="18">
        <v>2650</v>
      </c>
      <c r="D7" s="18">
        <v>11751.57</v>
      </c>
      <c r="E7" s="18">
        <v>5683.74</v>
      </c>
      <c r="F7" s="18">
        <v>5794.36</v>
      </c>
      <c r="G7" s="18">
        <v>5000</v>
      </c>
      <c r="H7" s="18">
        <v>12294.7</v>
      </c>
      <c r="I7" s="18">
        <v>2500</v>
      </c>
      <c r="J7" s="18">
        <v>13706.31</v>
      </c>
      <c r="K7" s="18">
        <v>5000</v>
      </c>
      <c r="L7" s="18">
        <v>7698.28</v>
      </c>
      <c r="M7" s="18">
        <v>0</v>
      </c>
      <c r="N7" s="159">
        <v>0</v>
      </c>
      <c r="O7" s="18">
        <v>0</v>
      </c>
      <c r="P7" s="18"/>
      <c r="Q7" s="180"/>
      <c r="R7" s="518"/>
      <c r="S7" s="180"/>
      <c r="T7" s="180"/>
      <c r="U7" s="180"/>
      <c r="V7" s="180"/>
      <c r="W7" s="180"/>
      <c r="X7" s="180"/>
      <c r="Y7" s="448">
        <v>2000</v>
      </c>
      <c r="Z7" s="2"/>
      <c r="AA7" s="587"/>
    </row>
    <row r="8" spans="1:27" ht="12.75" hidden="1" customHeight="1">
      <c r="A8" s="48"/>
      <c r="B8" s="11" t="s">
        <v>674</v>
      </c>
      <c r="C8" s="18">
        <v>0</v>
      </c>
      <c r="D8" s="18">
        <v>2823.8</v>
      </c>
      <c r="E8" s="18">
        <v>0</v>
      </c>
      <c r="F8" s="18">
        <v>3226.14</v>
      </c>
      <c r="G8" s="18">
        <v>0</v>
      </c>
      <c r="H8" s="18">
        <v>1628.38</v>
      </c>
      <c r="I8" s="18">
        <v>0</v>
      </c>
      <c r="J8" s="18"/>
      <c r="K8" s="18">
        <v>0</v>
      </c>
      <c r="L8" s="18">
        <v>-433.84</v>
      </c>
      <c r="M8" s="18">
        <v>0</v>
      </c>
      <c r="N8" s="159">
        <v>393.06</v>
      </c>
      <c r="O8" s="18">
        <v>0</v>
      </c>
      <c r="P8" s="18"/>
      <c r="Q8" s="180"/>
      <c r="R8" s="518"/>
      <c r="S8" s="180"/>
      <c r="T8" s="180"/>
      <c r="U8" s="180"/>
      <c r="V8" s="180"/>
      <c r="W8" s="180"/>
      <c r="X8" s="180"/>
      <c r="Y8" s="448">
        <v>3000</v>
      </c>
      <c r="Z8" s="2"/>
      <c r="AA8" s="587"/>
    </row>
    <row r="9" spans="1:27" hidden="1">
      <c r="A9" s="48"/>
      <c r="B9" s="11" t="s">
        <v>675</v>
      </c>
      <c r="C9" s="18">
        <v>0</v>
      </c>
      <c r="D9" s="18">
        <v>523.54</v>
      </c>
      <c r="E9" s="18">
        <v>0</v>
      </c>
      <c r="F9" s="18">
        <v>3939.58</v>
      </c>
      <c r="G9" s="18">
        <v>0</v>
      </c>
      <c r="H9" s="18">
        <v>182.13</v>
      </c>
      <c r="I9" s="18">
        <v>0</v>
      </c>
      <c r="J9" s="18">
        <v>752.17</v>
      </c>
      <c r="K9" s="18">
        <v>0</v>
      </c>
      <c r="L9" s="18">
        <v>0</v>
      </c>
      <c r="M9" s="18">
        <v>0</v>
      </c>
      <c r="N9" s="159">
        <v>1192.7</v>
      </c>
      <c r="O9" s="18">
        <v>0</v>
      </c>
      <c r="P9" s="18"/>
      <c r="Q9" s="180"/>
      <c r="R9" s="518"/>
      <c r="S9" s="180"/>
      <c r="T9" s="180"/>
      <c r="U9" s="180"/>
      <c r="V9" s="180"/>
      <c r="W9" s="180"/>
      <c r="X9" s="180"/>
      <c r="Y9" s="180"/>
      <c r="Z9" s="2"/>
      <c r="AA9" s="587"/>
    </row>
    <row r="10" spans="1:27" hidden="1">
      <c r="A10" s="48"/>
      <c r="B10" s="11" t="s">
        <v>676</v>
      </c>
      <c r="C10" s="18">
        <v>0</v>
      </c>
      <c r="D10" s="18">
        <v>594.64</v>
      </c>
      <c r="E10" s="18">
        <v>0</v>
      </c>
      <c r="F10" s="18">
        <v>7466.6</v>
      </c>
      <c r="G10" s="18">
        <v>0</v>
      </c>
      <c r="H10" s="18">
        <v>0</v>
      </c>
      <c r="I10" s="18">
        <v>0</v>
      </c>
      <c r="J10" s="18">
        <v>3395.35</v>
      </c>
      <c r="K10" s="18">
        <v>0</v>
      </c>
      <c r="L10" s="18">
        <v>0</v>
      </c>
      <c r="M10" s="18">
        <v>0</v>
      </c>
      <c r="N10" s="159">
        <v>4318.42</v>
      </c>
      <c r="O10" s="18">
        <v>0</v>
      </c>
      <c r="P10" s="18"/>
      <c r="Q10" s="180"/>
      <c r="R10" s="518"/>
      <c r="S10" s="180"/>
      <c r="T10" s="180"/>
      <c r="U10" s="180"/>
      <c r="V10" s="180"/>
      <c r="W10" s="180"/>
      <c r="X10" s="180"/>
      <c r="Y10" s="180"/>
      <c r="Z10" s="2"/>
      <c r="AA10" s="587"/>
    </row>
    <row r="11" spans="1:27" hidden="1">
      <c r="A11" s="48"/>
      <c r="B11" s="11" t="s">
        <v>677</v>
      </c>
      <c r="C11" s="18">
        <v>0</v>
      </c>
      <c r="D11" s="18">
        <v>0</v>
      </c>
      <c r="E11" s="18">
        <v>0</v>
      </c>
      <c r="F11" s="18">
        <v>0</v>
      </c>
      <c r="G11" s="18">
        <v>0</v>
      </c>
      <c r="H11" s="18">
        <v>0</v>
      </c>
      <c r="I11" s="18">
        <v>0</v>
      </c>
      <c r="J11" s="18">
        <v>0</v>
      </c>
      <c r="K11" s="18">
        <v>0</v>
      </c>
      <c r="L11" s="18">
        <v>0</v>
      </c>
      <c r="M11" s="18">
        <v>0</v>
      </c>
      <c r="N11" s="159">
        <v>0</v>
      </c>
      <c r="O11" s="18">
        <v>0</v>
      </c>
      <c r="P11" s="18"/>
      <c r="Q11" s="180"/>
      <c r="R11" s="518"/>
      <c r="S11" s="180"/>
      <c r="T11" s="180"/>
      <c r="U11" s="180"/>
      <c r="V11" s="180"/>
      <c r="W11" s="180"/>
      <c r="X11" s="180"/>
      <c r="Y11" s="180"/>
      <c r="Z11" s="2"/>
      <c r="AA11" s="587"/>
    </row>
    <row r="12" spans="1:27" hidden="1">
      <c r="A12" s="48"/>
      <c r="B12" s="11" t="s">
        <v>678</v>
      </c>
      <c r="C12" s="18">
        <v>0</v>
      </c>
      <c r="D12" s="18">
        <v>0</v>
      </c>
      <c r="E12" s="18">
        <v>0</v>
      </c>
      <c r="F12" s="18">
        <v>0</v>
      </c>
      <c r="G12" s="18">
        <v>0</v>
      </c>
      <c r="H12" s="18">
        <v>0</v>
      </c>
      <c r="I12" s="18">
        <v>0</v>
      </c>
      <c r="J12" s="18">
        <v>0</v>
      </c>
      <c r="K12" s="18">
        <v>0</v>
      </c>
      <c r="L12" s="18">
        <v>0</v>
      </c>
      <c r="M12" s="18">
        <v>0</v>
      </c>
      <c r="N12" s="159">
        <v>0</v>
      </c>
      <c r="O12" s="18">
        <v>0</v>
      </c>
      <c r="P12" s="18"/>
      <c r="Q12" s="180"/>
      <c r="R12" s="518"/>
      <c r="S12" s="180"/>
      <c r="T12" s="180"/>
      <c r="U12" s="180"/>
      <c r="V12" s="180"/>
      <c r="W12" s="180"/>
      <c r="X12" s="180"/>
      <c r="Y12" s="180"/>
      <c r="Z12" s="2"/>
      <c r="AA12" s="587"/>
    </row>
    <row r="13" spans="1:27">
      <c r="A13" s="48"/>
      <c r="B13" s="11" t="s">
        <v>343</v>
      </c>
      <c r="C13" s="21">
        <v>0</v>
      </c>
      <c r="D13" s="21">
        <v>0</v>
      </c>
      <c r="E13" s="21">
        <v>0</v>
      </c>
      <c r="F13" s="21">
        <v>0</v>
      </c>
      <c r="G13" s="21">
        <v>0</v>
      </c>
      <c r="H13" s="21">
        <v>0</v>
      </c>
      <c r="I13" s="21">
        <v>0</v>
      </c>
      <c r="J13" s="21">
        <v>18.29</v>
      </c>
      <c r="K13" s="21">
        <v>0</v>
      </c>
      <c r="L13" s="21">
        <v>1964.12</v>
      </c>
      <c r="M13" s="21">
        <v>0</v>
      </c>
      <c r="N13" s="159">
        <v>2346.09</v>
      </c>
      <c r="O13" s="18">
        <v>0</v>
      </c>
      <c r="P13" s="18"/>
      <c r="Q13" s="180"/>
      <c r="R13" s="518"/>
      <c r="S13" s="180"/>
      <c r="T13" s="180">
        <v>12247.93</v>
      </c>
      <c r="U13" s="180">
        <v>1000</v>
      </c>
      <c r="V13" s="180"/>
      <c r="W13" s="180">
        <v>1000</v>
      </c>
      <c r="X13" s="180"/>
      <c r="Y13" s="448">
        <v>2000</v>
      </c>
      <c r="Z13" s="2"/>
      <c r="AA13" s="587"/>
    </row>
    <row r="14" spans="1:27">
      <c r="A14" s="48" t="s">
        <v>679</v>
      </c>
      <c r="B14" s="11" t="s">
        <v>395</v>
      </c>
      <c r="C14" s="21">
        <v>0</v>
      </c>
      <c r="D14" s="21">
        <v>0</v>
      </c>
      <c r="E14" s="21">
        <v>0</v>
      </c>
      <c r="F14" s="21">
        <v>0</v>
      </c>
      <c r="G14" s="21">
        <v>0</v>
      </c>
      <c r="H14" s="21">
        <v>0</v>
      </c>
      <c r="I14" s="21">
        <v>0</v>
      </c>
      <c r="J14" s="18">
        <v>11592.92</v>
      </c>
      <c r="K14" s="18">
        <v>0</v>
      </c>
      <c r="L14" s="18">
        <v>0</v>
      </c>
      <c r="M14" s="18">
        <f>15000+2458</f>
        <v>17458</v>
      </c>
      <c r="N14" s="159">
        <v>0</v>
      </c>
      <c r="O14" s="18">
        <v>0</v>
      </c>
      <c r="P14" s="18"/>
      <c r="Q14" s="18"/>
      <c r="R14" s="189"/>
      <c r="S14" s="18"/>
      <c r="T14" s="18">
        <v>8000</v>
      </c>
      <c r="U14" s="18">
        <v>15000</v>
      </c>
      <c r="V14" s="18"/>
      <c r="W14" s="18">
        <v>5000</v>
      </c>
      <c r="X14" s="18"/>
      <c r="Y14" s="448">
        <v>3000</v>
      </c>
      <c r="Z14" s="2">
        <v>200</v>
      </c>
      <c r="AA14" s="587">
        <v>5000</v>
      </c>
    </row>
    <row r="15" spans="1:27">
      <c r="A15" s="48"/>
      <c r="B15" s="11" t="s">
        <v>680</v>
      </c>
      <c r="C15" s="18">
        <v>0</v>
      </c>
      <c r="D15" s="18">
        <v>0</v>
      </c>
      <c r="E15" s="18">
        <v>0</v>
      </c>
      <c r="F15" s="18">
        <v>0</v>
      </c>
      <c r="G15" s="18">
        <v>0</v>
      </c>
      <c r="H15" s="18">
        <v>4372.3</v>
      </c>
      <c r="I15" s="18">
        <v>0</v>
      </c>
      <c r="J15" s="18"/>
      <c r="K15" s="18">
        <v>0</v>
      </c>
      <c r="L15" s="18">
        <v>4088.49</v>
      </c>
      <c r="M15" s="18">
        <v>0</v>
      </c>
      <c r="N15" s="159">
        <v>2158.42</v>
      </c>
      <c r="O15" s="18">
        <v>0</v>
      </c>
      <c r="P15" s="18"/>
      <c r="Q15" s="18"/>
      <c r="R15" s="189"/>
      <c r="S15" s="18"/>
      <c r="T15" s="18"/>
      <c r="U15" s="18"/>
      <c r="V15" s="18"/>
      <c r="W15" s="18"/>
      <c r="X15" s="18"/>
      <c r="Y15" s="18"/>
      <c r="Z15" s="2"/>
      <c r="AA15" s="2"/>
    </row>
    <row r="16" spans="1:27">
      <c r="A16" s="48"/>
      <c r="B16" s="11" t="s">
        <v>681</v>
      </c>
      <c r="C16" s="18"/>
      <c r="D16" s="18"/>
      <c r="E16" s="18"/>
      <c r="F16" s="18"/>
      <c r="G16" s="18"/>
      <c r="H16" s="18"/>
      <c r="I16" s="18"/>
      <c r="J16" s="18"/>
      <c r="K16" s="18"/>
      <c r="L16" s="18"/>
      <c r="M16" s="18"/>
      <c r="N16" s="159">
        <v>1340.71</v>
      </c>
      <c r="O16" s="18"/>
      <c r="P16" s="18"/>
      <c r="Q16" s="18"/>
      <c r="R16" s="189"/>
      <c r="S16" s="18"/>
      <c r="T16" s="18"/>
      <c r="U16" s="18"/>
      <c r="V16" s="18"/>
      <c r="W16" s="18"/>
      <c r="X16" s="18"/>
      <c r="Y16" s="18"/>
      <c r="Z16" s="2"/>
      <c r="AA16" s="2"/>
    </row>
    <row r="17" spans="1:47">
      <c r="A17" s="48"/>
      <c r="B17" s="11" t="s">
        <v>682</v>
      </c>
      <c r="C17" s="18"/>
      <c r="D17" s="18"/>
      <c r="E17" s="18"/>
      <c r="F17" s="18"/>
      <c r="G17" s="18"/>
      <c r="H17" s="18"/>
      <c r="I17" s="18"/>
      <c r="J17" s="18"/>
      <c r="K17" s="18"/>
      <c r="L17" s="18"/>
      <c r="M17" s="18"/>
      <c r="N17" s="18"/>
      <c r="O17" s="18"/>
      <c r="P17" s="18"/>
      <c r="Q17" s="18"/>
      <c r="R17" s="189"/>
      <c r="S17" s="18"/>
      <c r="T17" s="18"/>
      <c r="U17" s="18">
        <v>2000</v>
      </c>
      <c r="V17" s="18"/>
      <c r="W17" s="18"/>
      <c r="X17" s="18"/>
      <c r="Y17" s="18"/>
      <c r="Z17" s="2"/>
      <c r="AA17" s="2"/>
    </row>
    <row r="18" spans="1:47">
      <c r="A18" s="48"/>
      <c r="B18" s="11" t="s">
        <v>21</v>
      </c>
      <c r="C18" s="21">
        <f>SUBTOTAL(109,SpecialEventsRevenues[Budget 10/11])</f>
        <v>0</v>
      </c>
      <c r="D18" s="21">
        <f>SUBTOTAL(109,SpecialEventsRevenues[Actual 10/11])</f>
        <v>1000</v>
      </c>
      <c r="E18" s="21">
        <f>SUBTOTAL(109,SpecialEventsRevenues[Budget 11/12])</f>
        <v>8000</v>
      </c>
      <c r="F18" s="21">
        <f>SUBTOTAL(109,SpecialEventsRevenues[Actual 11/12])</f>
        <v>7782.3</v>
      </c>
      <c r="G18" s="21">
        <f>SUBTOTAL(109,SpecialEventsRevenues[Budget 12/13])</f>
        <v>15000</v>
      </c>
      <c r="H18" s="21">
        <f>SUBTOTAL(109,SpecialEventsRevenues[Actual 12/13])</f>
        <v>19531.64</v>
      </c>
      <c r="I18" s="21">
        <f>SUBTOTAL(109,SpecialEventsRevenues[Budget 13/14])</f>
        <v>15000</v>
      </c>
      <c r="J18" s="21">
        <f>SUBTOTAL(109,SpecialEventsRevenues[Actual 13/14])</f>
        <v>11611.210000000001</v>
      </c>
      <c r="K18" s="21">
        <f>SUBTOTAL(109,SpecialEventsRevenues[Budget 14/15])</f>
        <v>13000</v>
      </c>
      <c r="L18" s="21">
        <f>SUBTOTAL(109,SpecialEventsRevenues[Actual 14/15])</f>
        <v>62870.62</v>
      </c>
      <c r="M18" s="21">
        <f>SUBTOTAL(109,SpecialEventsRevenues[Budget 15/16])</f>
        <v>47458</v>
      </c>
      <c r="N18" s="161">
        <f>SUBTOTAL(109,SpecialEventsRevenues[Actual 15/16])</f>
        <v>46621.919999999991</v>
      </c>
      <c r="O18" s="21">
        <f>SUBTOTAL(109,SpecialEventsRevenues[Budget 16/17])</f>
        <v>30000</v>
      </c>
      <c r="P18" s="21">
        <f>SUBTOTAL(109,SpecialEventsRevenues[Actual])</f>
        <v>32789</v>
      </c>
      <c r="Q18" s="21">
        <f>SUBTOTAL(109,SpecialEventsRevenues[Budget 17/18])</f>
        <v>30000</v>
      </c>
      <c r="R18" s="21">
        <f>SUM(SpecialEventsRevenues[Actual 17/18])</f>
        <v>28462.35</v>
      </c>
      <c r="S18" s="21">
        <f>SUM(SpecialEventsRevenues[Budget 18/19])</f>
        <v>25000</v>
      </c>
      <c r="T18" s="21">
        <f>SUM(SpecialEventsRevenues[Actual 18/19])</f>
        <v>20247.93</v>
      </c>
      <c r="U18" s="21">
        <f>SUM(SpecialEventsRevenues[Budget 19/20])</f>
        <v>23000</v>
      </c>
      <c r="V18" s="21">
        <f>SUM(SpecialEventsRevenues[Actual P12 19/20])</f>
        <v>26675.42</v>
      </c>
      <c r="W18" s="21">
        <f>SUM(SpecialEventsRevenues[Budget 19/21])</f>
        <v>11000</v>
      </c>
      <c r="X18" s="21">
        <f>SUM(SpecialEventsRevenues[Actual 20/21])</f>
        <v>0</v>
      </c>
      <c r="Y18" s="21">
        <f>Y6+Y13+Y14</f>
        <v>10000</v>
      </c>
      <c r="Z18" s="11">
        <f>SUBTOTAL(109,SpecialEventsRevenues[Actual 21/22])</f>
        <v>1962.08</v>
      </c>
      <c r="AA18" s="21">
        <f>SUM(SpecialEventsRevenues[Budget 22/23])</f>
        <v>13000</v>
      </c>
    </row>
    <row r="19" spans="1:47">
      <c r="B19" s="11"/>
      <c r="C19" s="18"/>
      <c r="D19" s="18"/>
      <c r="E19" s="18"/>
      <c r="F19" s="18"/>
      <c r="G19" s="18"/>
      <c r="H19" s="18"/>
      <c r="I19" s="18"/>
      <c r="J19" s="18"/>
      <c r="K19" s="18"/>
      <c r="L19" s="18"/>
      <c r="M19" s="18"/>
    </row>
    <row r="20" spans="1:47">
      <c r="A20" s="48" t="s">
        <v>130</v>
      </c>
      <c r="B20" s="11" t="s">
        <v>589</v>
      </c>
      <c r="C20" s="11" t="s">
        <v>73</v>
      </c>
      <c r="D20" s="11" t="s">
        <v>74</v>
      </c>
      <c r="E20" s="11" t="s">
        <v>75</v>
      </c>
      <c r="F20" s="11" t="s">
        <v>76</v>
      </c>
      <c r="G20" s="11" t="s">
        <v>77</v>
      </c>
      <c r="H20" s="11" t="s">
        <v>78</v>
      </c>
      <c r="I20" s="11" t="s">
        <v>5</v>
      </c>
      <c r="J20" s="11" t="s">
        <v>6</v>
      </c>
      <c r="K20" s="11" t="s">
        <v>7</v>
      </c>
      <c r="L20" s="11" t="s">
        <v>8</v>
      </c>
      <c r="M20" s="11" t="s">
        <v>9</v>
      </c>
      <c r="N20" s="152" t="s">
        <v>10</v>
      </c>
      <c r="O20" s="11" t="s">
        <v>11</v>
      </c>
      <c r="P20" s="11" t="s">
        <v>683</v>
      </c>
      <c r="Q20" s="11" t="s">
        <v>13</v>
      </c>
      <c r="R20" s="11" t="s">
        <v>14</v>
      </c>
      <c r="S20" s="11" t="s">
        <v>15</v>
      </c>
      <c r="T20" s="11" t="s">
        <v>39</v>
      </c>
      <c r="U20" s="11" t="s">
        <v>16</v>
      </c>
      <c r="V20" s="11" t="s">
        <v>81</v>
      </c>
      <c r="W20" s="11" t="s">
        <v>61</v>
      </c>
      <c r="X20" s="11" t="s">
        <v>40</v>
      </c>
      <c r="Y20" s="11" t="s">
        <v>41</v>
      </c>
      <c r="Z20" s="5" t="s">
        <v>42</v>
      </c>
      <c r="AA20" s="5" t="s">
        <v>43</v>
      </c>
    </row>
    <row r="21" spans="1:47">
      <c r="A21" s="48" t="s">
        <v>684</v>
      </c>
      <c r="B21" s="11" t="s">
        <v>673</v>
      </c>
      <c r="C21" s="18">
        <v>1844</v>
      </c>
      <c r="D21" s="18">
        <v>13415.78</v>
      </c>
      <c r="E21" s="18">
        <v>4875.22</v>
      </c>
      <c r="F21" s="18">
        <v>11998.57</v>
      </c>
      <c r="G21" s="18">
        <v>5000</v>
      </c>
      <c r="H21" s="18">
        <v>9641.2000000000007</v>
      </c>
      <c r="I21" s="18">
        <v>5000</v>
      </c>
      <c r="J21" s="18">
        <v>17474.64</v>
      </c>
      <c r="K21" s="18">
        <v>5000</v>
      </c>
      <c r="L21" s="18">
        <v>7635.22</v>
      </c>
      <c r="M21" s="18">
        <v>0</v>
      </c>
      <c r="N21" s="159">
        <v>0</v>
      </c>
      <c r="O21" s="18">
        <v>0</v>
      </c>
      <c r="P21" s="18"/>
      <c r="Q21" s="18"/>
      <c r="R21" s="18"/>
      <c r="S21" s="18"/>
      <c r="T21" s="18"/>
      <c r="U21" s="18"/>
      <c r="V21" s="18"/>
      <c r="W21" s="18"/>
      <c r="X21" s="18"/>
      <c r="Y21" s="18"/>
      <c r="Z21" s="2"/>
      <c r="AA21" s="2"/>
    </row>
    <row r="22" spans="1:47">
      <c r="A22" s="48" t="s">
        <v>685</v>
      </c>
      <c r="B22" s="11" t="s">
        <v>674</v>
      </c>
      <c r="C22" s="18">
        <v>0</v>
      </c>
      <c r="D22" s="18">
        <v>3142.9</v>
      </c>
      <c r="E22" s="18">
        <v>0</v>
      </c>
      <c r="F22" s="18">
        <v>2977.26</v>
      </c>
      <c r="G22" s="18">
        <v>0</v>
      </c>
      <c r="H22" s="18">
        <v>1272.05</v>
      </c>
      <c r="I22" s="18">
        <v>0</v>
      </c>
      <c r="J22" s="18"/>
      <c r="K22" s="18">
        <v>0</v>
      </c>
      <c r="L22" s="18">
        <v>1395.17</v>
      </c>
      <c r="M22" s="18">
        <v>0</v>
      </c>
      <c r="N22" s="159">
        <v>0</v>
      </c>
      <c r="O22" s="18">
        <v>0</v>
      </c>
      <c r="P22" s="18"/>
      <c r="Q22" s="18"/>
      <c r="R22" s="18"/>
      <c r="S22" s="18"/>
      <c r="T22" s="18"/>
      <c r="U22" s="18"/>
      <c r="V22" s="18"/>
      <c r="W22" s="18"/>
      <c r="X22" s="18"/>
      <c r="Y22" s="18"/>
      <c r="Z22" s="2"/>
      <c r="AA22" s="2"/>
    </row>
    <row r="23" spans="1:47">
      <c r="A23" s="48" t="s">
        <v>686</v>
      </c>
      <c r="B23" s="11" t="s">
        <v>687</v>
      </c>
      <c r="C23" s="18">
        <v>0</v>
      </c>
      <c r="D23" s="18">
        <v>784.01</v>
      </c>
      <c r="E23" s="18">
        <v>0</v>
      </c>
      <c r="F23" s="18">
        <v>118.64</v>
      </c>
      <c r="G23" s="18">
        <v>0</v>
      </c>
      <c r="H23" s="18">
        <v>861.32</v>
      </c>
      <c r="I23" s="18">
        <v>0</v>
      </c>
      <c r="J23" s="18">
        <v>1900</v>
      </c>
      <c r="K23" s="18">
        <v>0</v>
      </c>
      <c r="L23" s="18">
        <v>49.45</v>
      </c>
      <c r="M23" s="18">
        <v>0</v>
      </c>
      <c r="N23" s="159">
        <v>0</v>
      </c>
      <c r="O23" s="18">
        <v>0</v>
      </c>
      <c r="P23" s="18"/>
      <c r="Q23" s="18"/>
      <c r="R23" s="18"/>
      <c r="S23" s="18"/>
      <c r="T23" s="18"/>
      <c r="U23" s="18"/>
      <c r="V23" s="18"/>
      <c r="W23" s="18"/>
      <c r="X23" s="18"/>
      <c r="Y23" s="18"/>
      <c r="Z23" s="2"/>
      <c r="AA23" s="2"/>
    </row>
    <row r="24" spans="1:47">
      <c r="A24" s="48" t="s">
        <v>688</v>
      </c>
      <c r="B24" s="11" t="s">
        <v>677</v>
      </c>
      <c r="C24" s="21">
        <v>0</v>
      </c>
      <c r="D24" s="21">
        <v>0</v>
      </c>
      <c r="E24" s="21">
        <v>0</v>
      </c>
      <c r="F24" s="21">
        <v>0</v>
      </c>
      <c r="G24" s="21">
        <v>0</v>
      </c>
      <c r="H24" s="21">
        <v>0</v>
      </c>
      <c r="I24" s="21">
        <v>0</v>
      </c>
      <c r="J24" s="21"/>
      <c r="K24" s="21">
        <v>0</v>
      </c>
      <c r="L24" s="21">
        <v>0</v>
      </c>
      <c r="M24" s="21">
        <v>0</v>
      </c>
      <c r="N24" s="161">
        <v>0</v>
      </c>
      <c r="O24" s="21">
        <v>0</v>
      </c>
      <c r="P24" s="18"/>
      <c r="Q24" s="18"/>
      <c r="R24" s="18"/>
      <c r="S24" s="18"/>
      <c r="T24" s="18"/>
      <c r="U24" s="18"/>
      <c r="V24" s="18"/>
      <c r="W24" s="18"/>
      <c r="X24" s="18"/>
      <c r="Y24" s="18"/>
      <c r="Z24" s="2"/>
      <c r="AA24" s="2"/>
    </row>
    <row r="25" spans="1:47">
      <c r="A25" s="48" t="s">
        <v>689</v>
      </c>
      <c r="B25" s="11" t="s">
        <v>678</v>
      </c>
      <c r="C25" s="18">
        <v>0</v>
      </c>
      <c r="D25" s="18">
        <v>0</v>
      </c>
      <c r="E25" s="18">
        <v>0</v>
      </c>
      <c r="F25" s="18">
        <v>0</v>
      </c>
      <c r="G25" s="18">
        <v>0</v>
      </c>
      <c r="H25" s="18">
        <v>0</v>
      </c>
      <c r="I25" s="18">
        <v>0</v>
      </c>
      <c r="J25" s="18"/>
      <c r="K25" s="18">
        <v>0</v>
      </c>
      <c r="L25" s="18">
        <v>0</v>
      </c>
      <c r="M25" s="18">
        <v>0</v>
      </c>
      <c r="N25" s="159">
        <v>0</v>
      </c>
      <c r="O25" s="18">
        <v>0</v>
      </c>
      <c r="P25" s="18"/>
      <c r="Q25" s="18"/>
      <c r="R25" s="18"/>
      <c r="S25" s="18"/>
      <c r="T25" s="18"/>
      <c r="U25" s="18"/>
      <c r="V25" s="18"/>
      <c r="W25" s="18"/>
      <c r="X25" s="18"/>
      <c r="Y25" s="18"/>
      <c r="Z25" s="2"/>
      <c r="AA25" s="2"/>
    </row>
    <row r="26" spans="1:47">
      <c r="A26" s="48"/>
      <c r="B26" s="11" t="s">
        <v>690</v>
      </c>
      <c r="C26" s="18"/>
      <c r="D26" s="18"/>
      <c r="E26" s="18"/>
      <c r="F26" s="18"/>
      <c r="G26" s="18"/>
      <c r="H26" s="18"/>
      <c r="I26" s="18"/>
      <c r="J26" s="18">
        <v>1022.75</v>
      </c>
      <c r="K26" s="18"/>
      <c r="L26" s="18">
        <v>3284.59</v>
      </c>
      <c r="M26" s="18">
        <v>0</v>
      </c>
      <c r="N26" s="159">
        <v>0</v>
      </c>
      <c r="O26" s="18">
        <v>0</v>
      </c>
      <c r="P26" s="18"/>
      <c r="Q26" s="18"/>
      <c r="R26" s="18"/>
      <c r="S26" s="18"/>
      <c r="T26" s="18"/>
      <c r="U26" s="18"/>
      <c r="V26" s="18"/>
      <c r="W26" s="18"/>
      <c r="X26" s="18"/>
      <c r="Y26" s="18"/>
      <c r="Z26" s="2"/>
      <c r="AA26" s="2"/>
    </row>
    <row r="27" spans="1:47">
      <c r="A27" s="48"/>
      <c r="B27" s="11" t="s">
        <v>21</v>
      </c>
      <c r="C27" s="21">
        <f>SUBTOTAL(109,SpecialEventsCostofSales[Budget 10/11])</f>
        <v>1844</v>
      </c>
      <c r="D27" s="21">
        <f>SUBTOTAL(109,SpecialEventsCostofSales[Actual 10/11])</f>
        <v>17342.689999999999</v>
      </c>
      <c r="E27" s="21">
        <f>SUBTOTAL(109,SpecialEventsCostofSales[Budget 11/12])</f>
        <v>4875.22</v>
      </c>
      <c r="F27" s="21">
        <f>SUBTOTAL(109,SpecialEventsCostofSales[Actual 11/12])</f>
        <v>15094.47</v>
      </c>
      <c r="G27" s="21">
        <f>SUBTOTAL(109,SpecialEventsCostofSales[Budget 12/13])</f>
        <v>5000</v>
      </c>
      <c r="H27" s="21">
        <f>SUBTOTAL(109,SpecialEventsCostofSales[Actual 12/13])</f>
        <v>11774.57</v>
      </c>
      <c r="I27" s="21">
        <f>SUBTOTAL(109,SpecialEventsCostofSales[Budget 13/14])</f>
        <v>5000</v>
      </c>
      <c r="J27" s="21">
        <f>SUBTOTAL(109,SpecialEventsCostofSales[Actual 13/14])</f>
        <v>20397.39</v>
      </c>
      <c r="K27" s="21">
        <f>SUBTOTAL(109,SpecialEventsCostofSales[Budget 14/15])</f>
        <v>5000</v>
      </c>
      <c r="L27" s="21">
        <f>SUBTOTAL(109,SpecialEventsCostofSales[Actual 14/15])</f>
        <v>12364.43</v>
      </c>
      <c r="M27" s="21">
        <f>SUBTOTAL(109,SpecialEventsCostofSales[Budget 15/16])</f>
        <v>0</v>
      </c>
      <c r="N27" s="161">
        <f>SUBTOTAL(109,SpecialEventsCostofSales[Actual 15/16])</f>
        <v>0</v>
      </c>
      <c r="O27" s="21">
        <f>SUBTOTAL(109,SpecialEventsCostofSales[Budget 16/17])</f>
        <v>0</v>
      </c>
      <c r="P27" s="21">
        <f>SUBTOTAL(109,SpecialEventsCostofSales[actual])</f>
        <v>0</v>
      </c>
      <c r="Q27" s="21">
        <f>SUBTOTAL(109,SpecialEventsCostofSales[Budget 17/18])</f>
        <v>0</v>
      </c>
      <c r="R27" s="390"/>
      <c r="S27" s="11"/>
      <c r="T27" s="11"/>
      <c r="U27" s="11"/>
      <c r="V27" s="11"/>
      <c r="W27"/>
      <c r="X27" s="11"/>
      <c r="Y27" s="11"/>
      <c r="Z27" s="11"/>
      <c r="AA27" s="11"/>
    </row>
    <row r="28" spans="1:47" s="11" customFormat="1">
      <c r="B28" s="287"/>
      <c r="C28" s="21"/>
      <c r="D28" s="21"/>
      <c r="E28" s="21"/>
      <c r="F28" s="21"/>
      <c r="G28" s="21"/>
      <c r="H28" s="21"/>
      <c r="I28" s="21"/>
      <c r="J28" s="21"/>
      <c r="K28" s="21"/>
      <c r="L28" s="21"/>
      <c r="M28" s="21"/>
      <c r="N28" s="134"/>
      <c r="O28" s="19"/>
      <c r="P28" s="13"/>
    </row>
    <row r="29" spans="1:47">
      <c r="B29" s="11"/>
      <c r="C29" s="11"/>
      <c r="D29" s="11"/>
      <c r="E29" s="11"/>
      <c r="F29" s="11"/>
      <c r="G29" s="11"/>
      <c r="H29" s="11"/>
      <c r="I29" s="11"/>
      <c r="J29" s="11"/>
      <c r="K29" s="11"/>
      <c r="L29" s="11"/>
      <c r="M29" s="11"/>
    </row>
    <row r="30" spans="1:47">
      <c r="A30" s="48" t="s">
        <v>130</v>
      </c>
      <c r="B30" s="11" t="s">
        <v>22</v>
      </c>
      <c r="C30" s="11" t="s">
        <v>73</v>
      </c>
      <c r="D30" s="11" t="s">
        <v>74</v>
      </c>
      <c r="E30" s="11" t="s">
        <v>75</v>
      </c>
      <c r="F30" s="11" t="s">
        <v>76</v>
      </c>
      <c r="G30" s="11" t="s">
        <v>77</v>
      </c>
      <c r="H30" s="11" t="s">
        <v>78</v>
      </c>
      <c r="I30" s="11" t="s">
        <v>5</v>
      </c>
      <c r="J30" s="11" t="s">
        <v>6</v>
      </c>
      <c r="K30" s="11" t="s">
        <v>7</v>
      </c>
      <c r="L30" s="11" t="s">
        <v>8</v>
      </c>
      <c r="M30" s="11" t="s">
        <v>9</v>
      </c>
      <c r="N30" s="152" t="s">
        <v>10</v>
      </c>
      <c r="O30" s="11" t="s">
        <v>11</v>
      </c>
      <c r="P30" s="11" t="s">
        <v>670</v>
      </c>
      <c r="Q30" s="11" t="s">
        <v>13</v>
      </c>
      <c r="R30" s="11" t="s">
        <v>14</v>
      </c>
      <c r="S30" s="11" t="s">
        <v>15</v>
      </c>
      <c r="T30" s="11" t="s">
        <v>39</v>
      </c>
      <c r="U30" s="11" t="s">
        <v>16</v>
      </c>
      <c r="V30" s="11" t="s">
        <v>81</v>
      </c>
      <c r="W30" s="11" t="s">
        <v>61</v>
      </c>
      <c r="X30" s="11" t="s">
        <v>40</v>
      </c>
      <c r="Y30" s="11" t="s">
        <v>41</v>
      </c>
      <c r="Z30" s="5" t="s">
        <v>42</v>
      </c>
      <c r="AA30" s="5" t="s">
        <v>43</v>
      </c>
      <c r="AB30"/>
      <c r="AC30"/>
      <c r="AD30"/>
      <c r="AE30"/>
      <c r="AF30"/>
      <c r="AG30"/>
      <c r="AH30"/>
      <c r="AI30"/>
      <c r="AJ30"/>
      <c r="AK30"/>
      <c r="AL30"/>
      <c r="AM30"/>
      <c r="AN30"/>
      <c r="AO30"/>
      <c r="AP30"/>
      <c r="AQ30"/>
      <c r="AR30"/>
      <c r="AS30"/>
      <c r="AT30"/>
      <c r="AU30"/>
    </row>
    <row r="31" spans="1:47">
      <c r="A31" s="48"/>
      <c r="B31" s="11" t="s">
        <v>88</v>
      </c>
      <c r="C31" s="18"/>
      <c r="D31" s="18"/>
      <c r="E31" s="18"/>
      <c r="F31" s="18"/>
      <c r="G31" s="18"/>
      <c r="H31" s="18"/>
      <c r="I31" s="18"/>
      <c r="J31" s="18"/>
      <c r="K31" s="18"/>
      <c r="L31" s="18"/>
      <c r="M31" s="18"/>
      <c r="N31" s="18"/>
      <c r="O31" s="18"/>
      <c r="P31" s="18"/>
      <c r="Q31" s="18"/>
      <c r="R31" s="18"/>
      <c r="S31" s="18"/>
      <c r="T31" s="18"/>
      <c r="U31" s="18"/>
      <c r="V31" s="18"/>
      <c r="W31" s="18"/>
      <c r="X31" s="18"/>
      <c r="Y31" s="453">
        <v>20150</v>
      </c>
      <c r="Z31" s="2"/>
      <c r="AA31" s="587">
        <v>33103.35</v>
      </c>
      <c r="AB31" s="309"/>
      <c r="AC31"/>
      <c r="AD31"/>
      <c r="AE31"/>
      <c r="AF31"/>
      <c r="AG31"/>
      <c r="AH31"/>
      <c r="AI31"/>
      <c r="AJ31"/>
      <c r="AK31"/>
      <c r="AL31"/>
      <c r="AM31"/>
      <c r="AN31"/>
      <c r="AO31"/>
      <c r="AP31"/>
      <c r="AQ31"/>
      <c r="AR31"/>
      <c r="AS31"/>
      <c r="AT31"/>
      <c r="AU31"/>
    </row>
    <row r="32" spans="1:47">
      <c r="A32" s="48" t="s">
        <v>691</v>
      </c>
      <c r="B32" s="11" t="s">
        <v>91</v>
      </c>
      <c r="C32" s="21">
        <v>3500</v>
      </c>
      <c r="D32" s="21">
        <v>2111.14</v>
      </c>
      <c r="E32" s="21">
        <v>3500</v>
      </c>
      <c r="F32" s="21">
        <v>3295.35</v>
      </c>
      <c r="G32" s="21">
        <v>2800</v>
      </c>
      <c r="H32" s="21">
        <v>1583.51</v>
      </c>
      <c r="I32" s="21">
        <v>7860</v>
      </c>
      <c r="J32" s="21">
        <v>2759.12</v>
      </c>
      <c r="K32" s="21">
        <v>3500</v>
      </c>
      <c r="L32" s="21">
        <v>2006.78</v>
      </c>
      <c r="M32" s="21">
        <v>2500</v>
      </c>
      <c r="N32" s="139">
        <v>1439.83</v>
      </c>
      <c r="O32" s="18">
        <v>1500</v>
      </c>
      <c r="P32" s="18">
        <v>1300</v>
      </c>
      <c r="Q32" s="2">
        <v>1500</v>
      </c>
      <c r="R32" s="2">
        <v>1113.1199999999999</v>
      </c>
      <c r="S32" s="2">
        <v>1500</v>
      </c>
      <c r="T32" s="2">
        <v>380.89</v>
      </c>
      <c r="U32" s="2">
        <v>1500</v>
      </c>
      <c r="V32" s="2">
        <v>367.04</v>
      </c>
      <c r="W32" s="2">
        <v>1000</v>
      </c>
      <c r="X32" s="2">
        <v>100</v>
      </c>
      <c r="Y32" s="449">
        <v>800</v>
      </c>
      <c r="Z32" s="2">
        <v>140</v>
      </c>
      <c r="AA32" s="588">
        <v>800</v>
      </c>
      <c r="AB32"/>
      <c r="AC32"/>
      <c r="AD32"/>
      <c r="AE32"/>
      <c r="AF32"/>
      <c r="AG32"/>
      <c r="AH32"/>
      <c r="AI32"/>
      <c r="AJ32"/>
      <c r="AK32"/>
      <c r="AL32"/>
      <c r="AM32"/>
      <c r="AN32"/>
      <c r="AO32"/>
      <c r="AP32"/>
      <c r="AQ32"/>
      <c r="AR32"/>
      <c r="AS32"/>
      <c r="AT32"/>
      <c r="AU32"/>
    </row>
    <row r="33" spans="1:47">
      <c r="A33" s="48" t="s">
        <v>692</v>
      </c>
      <c r="B33" s="11" t="s">
        <v>93</v>
      </c>
      <c r="C33" s="18">
        <v>600</v>
      </c>
      <c r="D33" s="18">
        <v>342.91</v>
      </c>
      <c r="E33" s="18">
        <v>500</v>
      </c>
      <c r="F33" s="18">
        <v>373.58</v>
      </c>
      <c r="G33" s="18">
        <v>500</v>
      </c>
      <c r="H33" s="18">
        <v>283.82</v>
      </c>
      <c r="I33" s="18">
        <v>850</v>
      </c>
      <c r="J33" s="18">
        <v>279</v>
      </c>
      <c r="K33" s="18">
        <v>500</v>
      </c>
      <c r="L33" s="18">
        <v>305.62</v>
      </c>
      <c r="M33" s="18">
        <v>300</v>
      </c>
      <c r="N33" s="139">
        <v>257.61</v>
      </c>
      <c r="O33" s="18">
        <v>300</v>
      </c>
      <c r="P33" s="18">
        <v>147</v>
      </c>
      <c r="Q33" s="2">
        <v>300</v>
      </c>
      <c r="R33" s="2">
        <v>227.58</v>
      </c>
      <c r="S33" s="2">
        <v>300</v>
      </c>
      <c r="T33" s="2">
        <v>227.8</v>
      </c>
      <c r="U33" s="2">
        <v>300</v>
      </c>
      <c r="V33" s="2">
        <v>211.11</v>
      </c>
      <c r="W33" s="2">
        <v>300</v>
      </c>
      <c r="X33" s="2">
        <v>137.69999999999999</v>
      </c>
      <c r="Y33" s="449">
        <v>300</v>
      </c>
      <c r="Z33" s="2"/>
      <c r="AA33" s="587"/>
      <c r="AB33"/>
      <c r="AC33"/>
      <c r="AD33"/>
      <c r="AE33"/>
      <c r="AF33"/>
      <c r="AG33"/>
      <c r="AH33"/>
      <c r="AI33"/>
      <c r="AJ33"/>
      <c r="AK33"/>
      <c r="AL33"/>
      <c r="AM33"/>
      <c r="AN33"/>
      <c r="AO33"/>
      <c r="AP33"/>
      <c r="AQ33"/>
      <c r="AR33"/>
      <c r="AS33"/>
      <c r="AT33"/>
      <c r="AU33"/>
    </row>
    <row r="34" spans="1:47">
      <c r="A34" s="48" t="s">
        <v>693</v>
      </c>
      <c r="B34" s="11" t="s">
        <v>97</v>
      </c>
      <c r="C34" s="18">
        <v>5</v>
      </c>
      <c r="D34" s="18">
        <v>0</v>
      </c>
      <c r="E34" s="18">
        <v>5</v>
      </c>
      <c r="F34" s="18">
        <v>0</v>
      </c>
      <c r="G34" s="18">
        <v>5</v>
      </c>
      <c r="H34" s="18">
        <v>0</v>
      </c>
      <c r="I34" s="18">
        <v>10</v>
      </c>
      <c r="J34" s="18"/>
      <c r="K34" s="18">
        <v>5</v>
      </c>
      <c r="L34" s="18">
        <v>0</v>
      </c>
      <c r="M34" s="18">
        <v>5</v>
      </c>
      <c r="N34" s="159">
        <v>0</v>
      </c>
      <c r="O34" s="18">
        <v>5</v>
      </c>
      <c r="P34" s="18"/>
      <c r="Q34" s="2">
        <v>5</v>
      </c>
      <c r="R34" s="2"/>
      <c r="S34" s="2"/>
      <c r="T34" s="2"/>
      <c r="U34" s="2"/>
      <c r="V34" s="2">
        <v>0</v>
      </c>
      <c r="W34" s="2"/>
      <c r="X34" s="2"/>
      <c r="Y34" s="450"/>
      <c r="Z34" s="2"/>
      <c r="AA34" s="587"/>
      <c r="AB34"/>
      <c r="AC34"/>
      <c r="AD34"/>
      <c r="AE34"/>
      <c r="AF34"/>
      <c r="AG34"/>
      <c r="AH34"/>
      <c r="AI34"/>
      <c r="AJ34"/>
      <c r="AK34"/>
      <c r="AL34"/>
      <c r="AM34"/>
      <c r="AN34"/>
      <c r="AO34"/>
      <c r="AP34"/>
      <c r="AQ34"/>
      <c r="AR34"/>
      <c r="AS34"/>
      <c r="AT34"/>
      <c r="AU34"/>
    </row>
    <row r="35" spans="1:47" ht="15">
      <c r="A35" s="48" t="s">
        <v>694</v>
      </c>
      <c r="B35" s="11" t="s">
        <v>100</v>
      </c>
      <c r="C35" s="18">
        <v>400</v>
      </c>
      <c r="D35" s="18">
        <v>30.18</v>
      </c>
      <c r="E35" s="18">
        <v>300</v>
      </c>
      <c r="F35" s="18">
        <v>304.33</v>
      </c>
      <c r="G35" s="18">
        <v>300</v>
      </c>
      <c r="H35" s="18">
        <v>218.38</v>
      </c>
      <c r="I35" s="18">
        <v>600</v>
      </c>
      <c r="J35" s="18">
        <v>86.44</v>
      </c>
      <c r="K35" s="18">
        <v>300</v>
      </c>
      <c r="L35" s="18">
        <v>101.99</v>
      </c>
      <c r="M35" s="18">
        <v>125</v>
      </c>
      <c r="N35" s="139">
        <v>127.15</v>
      </c>
      <c r="O35" s="18">
        <v>125</v>
      </c>
      <c r="P35" s="18">
        <v>100</v>
      </c>
      <c r="Q35" s="2">
        <v>125</v>
      </c>
      <c r="R35" s="2">
        <v>18.190000000000001</v>
      </c>
      <c r="S35" s="2">
        <v>125</v>
      </c>
      <c r="T35" s="2">
        <v>102.8</v>
      </c>
      <c r="U35" s="2">
        <v>50</v>
      </c>
      <c r="V35" s="2">
        <v>5.0999999999999996</v>
      </c>
      <c r="W35" s="2">
        <v>50</v>
      </c>
      <c r="X35" s="2"/>
      <c r="Y35" s="451">
        <v>100</v>
      </c>
      <c r="Z35" s="2"/>
      <c r="AA35" s="588"/>
      <c r="AB35"/>
      <c r="AC35"/>
      <c r="AD35"/>
      <c r="AE35"/>
      <c r="AF35"/>
      <c r="AG35"/>
      <c r="AH35"/>
      <c r="AI35"/>
      <c r="AJ35"/>
      <c r="AK35"/>
      <c r="AL35"/>
      <c r="AM35"/>
      <c r="AN35"/>
      <c r="AO35"/>
      <c r="AP35"/>
      <c r="AQ35"/>
      <c r="AR35"/>
      <c r="AS35"/>
      <c r="AT35"/>
      <c r="AU35"/>
    </row>
    <row r="36" spans="1:47" ht="15">
      <c r="A36" s="48" t="s">
        <v>695</v>
      </c>
      <c r="B36" s="11" t="s">
        <v>258</v>
      </c>
      <c r="C36" s="18">
        <v>0</v>
      </c>
      <c r="D36" s="18">
        <v>3501.53</v>
      </c>
      <c r="E36" s="18">
        <v>6100</v>
      </c>
      <c r="F36" s="18">
        <v>0</v>
      </c>
      <c r="G36" s="18">
        <v>0</v>
      </c>
      <c r="H36" s="18">
        <v>0</v>
      </c>
      <c r="I36" s="18">
        <v>0</v>
      </c>
      <c r="J36" s="18"/>
      <c r="K36" s="18"/>
      <c r="L36" s="18">
        <v>0</v>
      </c>
      <c r="M36" s="18">
        <v>0</v>
      </c>
      <c r="N36" s="159">
        <v>0</v>
      </c>
      <c r="O36" s="18">
        <v>0</v>
      </c>
      <c r="P36" s="18"/>
      <c r="Q36" s="2"/>
      <c r="R36" s="2">
        <v>9.2200000000000006</v>
      </c>
      <c r="S36" s="2"/>
      <c r="T36" s="2"/>
      <c r="U36" s="2"/>
      <c r="V36" s="2">
        <v>0</v>
      </c>
      <c r="W36" s="2"/>
      <c r="X36" s="2"/>
      <c r="Y36" s="452"/>
      <c r="Z36" s="2"/>
      <c r="AA36" s="587"/>
      <c r="AB36"/>
      <c r="AC36"/>
      <c r="AD36"/>
      <c r="AE36"/>
      <c r="AF36"/>
      <c r="AG36"/>
      <c r="AH36"/>
      <c r="AI36"/>
      <c r="AJ36"/>
      <c r="AK36"/>
      <c r="AL36"/>
      <c r="AM36"/>
      <c r="AN36"/>
      <c r="AO36"/>
      <c r="AP36"/>
      <c r="AQ36"/>
      <c r="AR36"/>
      <c r="AS36"/>
      <c r="AT36"/>
      <c r="AU36"/>
    </row>
    <row r="37" spans="1:47" ht="15">
      <c r="A37" s="48" t="s">
        <v>696</v>
      </c>
      <c r="B37" s="11" t="s">
        <v>260</v>
      </c>
      <c r="C37" s="18">
        <v>1000</v>
      </c>
      <c r="D37" s="18">
        <v>450.04</v>
      </c>
      <c r="E37" s="18">
        <v>600</v>
      </c>
      <c r="F37" s="18">
        <v>674.47</v>
      </c>
      <c r="G37" s="18">
        <v>500</v>
      </c>
      <c r="H37" s="18">
        <v>177.93</v>
      </c>
      <c r="I37" s="18">
        <v>550</v>
      </c>
      <c r="J37" s="18">
        <v>15.61</v>
      </c>
      <c r="K37" s="18">
        <v>300</v>
      </c>
      <c r="L37" s="18">
        <v>7.26</v>
      </c>
      <c r="M37" s="18">
        <v>300</v>
      </c>
      <c r="N37" s="139">
        <v>7.36</v>
      </c>
      <c r="O37" s="18">
        <v>150</v>
      </c>
      <c r="P37" s="18">
        <v>79.89</v>
      </c>
      <c r="Q37" s="2">
        <v>150</v>
      </c>
      <c r="R37" s="2">
        <v>87.1</v>
      </c>
      <c r="S37" s="2">
        <v>150</v>
      </c>
      <c r="T37" s="2">
        <v>0</v>
      </c>
      <c r="U37" s="2">
        <v>100</v>
      </c>
      <c r="V37" s="2">
        <v>4.49</v>
      </c>
      <c r="W37" s="2">
        <v>50</v>
      </c>
      <c r="X37" s="2"/>
      <c r="Y37" s="451">
        <v>50</v>
      </c>
      <c r="Z37" s="2"/>
      <c r="AA37" s="588">
        <v>50</v>
      </c>
      <c r="AB37"/>
      <c r="AC37"/>
      <c r="AD37"/>
      <c r="AE37"/>
      <c r="AF37"/>
      <c r="AG37"/>
      <c r="AH37"/>
      <c r="AI37"/>
      <c r="AJ37"/>
      <c r="AK37"/>
      <c r="AL37"/>
      <c r="AM37"/>
      <c r="AN37"/>
      <c r="AO37"/>
      <c r="AP37"/>
      <c r="AQ37"/>
      <c r="AR37"/>
      <c r="AS37"/>
      <c r="AT37"/>
      <c r="AU37"/>
    </row>
    <row r="38" spans="1:47" ht="15">
      <c r="A38" s="48" t="s">
        <v>697</v>
      </c>
      <c r="B38" s="11" t="s">
        <v>104</v>
      </c>
      <c r="C38" s="18">
        <v>500</v>
      </c>
      <c r="D38" s="18">
        <v>454.31</v>
      </c>
      <c r="E38" s="18">
        <v>500</v>
      </c>
      <c r="F38" s="18">
        <v>814.13</v>
      </c>
      <c r="G38" s="18">
        <v>1000</v>
      </c>
      <c r="H38" s="18">
        <v>880.26</v>
      </c>
      <c r="I38" s="18">
        <v>1600</v>
      </c>
      <c r="J38" s="18">
        <v>255.44</v>
      </c>
      <c r="K38" s="18">
        <v>800</v>
      </c>
      <c r="L38" s="18">
        <v>255.31</v>
      </c>
      <c r="M38" s="18">
        <v>300</v>
      </c>
      <c r="N38" s="139">
        <v>54.98</v>
      </c>
      <c r="O38" s="18">
        <v>300</v>
      </c>
      <c r="P38" s="18">
        <v>299.67</v>
      </c>
      <c r="Q38" s="2">
        <v>300</v>
      </c>
      <c r="R38" s="2"/>
      <c r="S38" s="2">
        <v>150</v>
      </c>
      <c r="T38" s="2">
        <v>42.04</v>
      </c>
      <c r="U38" s="2">
        <v>50</v>
      </c>
      <c r="V38" s="2">
        <v>9.0399999999999991</v>
      </c>
      <c r="W38" s="2">
        <v>50</v>
      </c>
      <c r="X38" s="2">
        <v>38</v>
      </c>
      <c r="Y38" s="451">
        <v>50</v>
      </c>
      <c r="Z38" s="2">
        <v>395</v>
      </c>
      <c r="AA38" s="587">
        <v>500</v>
      </c>
      <c r="AB38"/>
      <c r="AC38"/>
      <c r="AD38"/>
      <c r="AE38"/>
      <c r="AF38"/>
      <c r="AG38"/>
      <c r="AH38"/>
      <c r="AI38"/>
      <c r="AJ38"/>
      <c r="AK38"/>
      <c r="AL38"/>
      <c r="AM38"/>
      <c r="AN38"/>
      <c r="AO38"/>
      <c r="AP38"/>
      <c r="AQ38"/>
      <c r="AR38"/>
      <c r="AS38"/>
      <c r="AT38"/>
      <c r="AU38"/>
    </row>
    <row r="39" spans="1:47" ht="15">
      <c r="A39" s="48" t="s">
        <v>698</v>
      </c>
      <c r="B39" s="11" t="s">
        <v>699</v>
      </c>
      <c r="C39" s="18">
        <v>1000</v>
      </c>
      <c r="D39" s="18">
        <v>3281.51</v>
      </c>
      <c r="E39" s="18">
        <v>3500</v>
      </c>
      <c r="F39" s="18">
        <v>5151.6499999999996</v>
      </c>
      <c r="G39" s="18">
        <v>4000</v>
      </c>
      <c r="H39" s="18">
        <v>8056.41</v>
      </c>
      <c r="I39" s="18">
        <v>5000</v>
      </c>
      <c r="J39" s="18">
        <v>1054.6400000000001</v>
      </c>
      <c r="K39" s="18">
        <v>3500</v>
      </c>
      <c r="L39" s="18">
        <v>1379.97</v>
      </c>
      <c r="M39" s="18">
        <v>0</v>
      </c>
      <c r="N39" s="159">
        <v>0</v>
      </c>
      <c r="O39" s="18">
        <v>0</v>
      </c>
      <c r="P39" s="18"/>
      <c r="Q39" s="2"/>
      <c r="R39" s="2"/>
      <c r="S39" s="2"/>
      <c r="T39" s="2"/>
      <c r="U39" s="2"/>
      <c r="V39" s="2"/>
      <c r="W39" s="2"/>
      <c r="X39" s="2"/>
      <c r="Y39" s="452"/>
      <c r="Z39" s="2">
        <v>15.35</v>
      </c>
      <c r="AA39" s="587">
        <v>2500</v>
      </c>
      <c r="AB39"/>
      <c r="AC39"/>
      <c r="AD39"/>
      <c r="AE39"/>
      <c r="AF39"/>
      <c r="AG39"/>
      <c r="AH39"/>
      <c r="AI39"/>
      <c r="AJ39"/>
      <c r="AK39"/>
      <c r="AL39"/>
      <c r="AM39"/>
      <c r="AN39"/>
      <c r="AO39"/>
      <c r="AP39"/>
      <c r="AQ39"/>
      <c r="AR39"/>
      <c r="AS39"/>
      <c r="AT39"/>
      <c r="AU39"/>
    </row>
    <row r="40" spans="1:47" ht="15">
      <c r="A40" s="48" t="s">
        <v>700</v>
      </c>
      <c r="B40" s="11" t="s">
        <v>701</v>
      </c>
      <c r="C40" s="18">
        <v>500</v>
      </c>
      <c r="D40" s="18">
        <v>100</v>
      </c>
      <c r="E40" s="18">
        <v>500</v>
      </c>
      <c r="F40" s="18">
        <v>303.89999999999998</v>
      </c>
      <c r="G40" s="18">
        <v>300</v>
      </c>
      <c r="H40" s="18">
        <v>303.89999999999998</v>
      </c>
      <c r="I40" s="18">
        <v>300</v>
      </c>
      <c r="J40" s="18">
        <v>303.89999999999998</v>
      </c>
      <c r="K40" s="18">
        <v>350</v>
      </c>
      <c r="L40" s="18"/>
      <c r="M40" s="18">
        <v>350</v>
      </c>
      <c r="N40" s="139">
        <v>354.55</v>
      </c>
      <c r="O40" s="18">
        <v>350</v>
      </c>
      <c r="P40" s="18">
        <v>304.05</v>
      </c>
      <c r="Q40" s="2">
        <v>350</v>
      </c>
      <c r="R40" s="2"/>
      <c r="S40" s="2">
        <v>350</v>
      </c>
      <c r="T40" s="2">
        <v>350</v>
      </c>
      <c r="U40" s="2">
        <v>400</v>
      </c>
      <c r="V40" s="2">
        <v>0</v>
      </c>
      <c r="W40" s="2">
        <v>400</v>
      </c>
      <c r="X40" s="2">
        <v>395</v>
      </c>
      <c r="Y40" s="451">
        <v>400</v>
      </c>
      <c r="Z40" s="2"/>
      <c r="AA40" s="589">
        <v>0</v>
      </c>
      <c r="AB40"/>
      <c r="AC40"/>
      <c r="AD40"/>
      <c r="AE40"/>
      <c r="AF40"/>
      <c r="AG40"/>
      <c r="AH40"/>
      <c r="AI40"/>
      <c r="AJ40"/>
      <c r="AK40"/>
      <c r="AL40"/>
      <c r="AM40"/>
      <c r="AN40"/>
      <c r="AO40"/>
      <c r="AP40"/>
      <c r="AQ40"/>
      <c r="AR40"/>
      <c r="AS40"/>
      <c r="AT40"/>
      <c r="AU40"/>
    </row>
    <row r="41" spans="1:47" ht="15">
      <c r="A41" s="48" t="s">
        <v>702</v>
      </c>
      <c r="B41" s="11" t="s">
        <v>336</v>
      </c>
      <c r="C41" s="18">
        <v>6000</v>
      </c>
      <c r="D41" s="18">
        <v>2543.3000000000002</v>
      </c>
      <c r="E41" s="18">
        <v>0</v>
      </c>
      <c r="F41" s="18">
        <v>8721.5400000000009</v>
      </c>
      <c r="G41" s="18">
        <v>0</v>
      </c>
      <c r="H41" s="18">
        <v>0</v>
      </c>
      <c r="I41" s="18">
        <v>0</v>
      </c>
      <c r="J41" s="18">
        <v>0</v>
      </c>
      <c r="K41" s="18">
        <v>0</v>
      </c>
      <c r="L41" s="18">
        <v>0</v>
      </c>
      <c r="M41" s="18">
        <v>0</v>
      </c>
      <c r="N41" s="159">
        <v>0</v>
      </c>
      <c r="O41" s="18">
        <v>0</v>
      </c>
      <c r="P41" s="18"/>
      <c r="Q41" s="2"/>
      <c r="R41" s="2"/>
      <c r="S41" s="2"/>
      <c r="T41" s="2"/>
      <c r="U41" s="2"/>
      <c r="V41" s="2">
        <v>0</v>
      </c>
      <c r="W41" s="2"/>
      <c r="X41" s="2"/>
      <c r="Y41" s="452"/>
      <c r="Z41" s="2"/>
      <c r="AA41" s="587"/>
      <c r="AB41"/>
      <c r="AC41"/>
      <c r="AD41"/>
      <c r="AE41"/>
      <c r="AF41"/>
      <c r="AG41"/>
      <c r="AH41"/>
      <c r="AI41"/>
      <c r="AJ41"/>
      <c r="AK41"/>
      <c r="AL41"/>
      <c r="AM41"/>
      <c r="AN41"/>
      <c r="AO41"/>
      <c r="AP41"/>
      <c r="AQ41"/>
      <c r="AR41"/>
      <c r="AS41"/>
      <c r="AT41"/>
      <c r="AU41"/>
    </row>
    <row r="42" spans="1:47" ht="15">
      <c r="A42" s="48" t="s">
        <v>703</v>
      </c>
      <c r="B42" s="11" t="s">
        <v>110</v>
      </c>
      <c r="C42" s="18">
        <v>984.7</v>
      </c>
      <c r="D42" s="18">
        <v>1034.51</v>
      </c>
      <c r="E42" s="18">
        <v>1000</v>
      </c>
      <c r="F42" s="18">
        <v>1354.17</v>
      </c>
      <c r="G42" s="18">
        <f>90.32*12</f>
        <v>1083.8399999999999</v>
      </c>
      <c r="H42" s="18">
        <v>1164.3800000000001</v>
      </c>
      <c r="I42" s="18">
        <v>346.32</v>
      </c>
      <c r="J42" s="18">
        <v>-80.569999999999993</v>
      </c>
      <c r="K42" s="18">
        <v>346.32</v>
      </c>
      <c r="L42" s="18">
        <v>0</v>
      </c>
      <c r="M42" s="18">
        <v>346.32</v>
      </c>
      <c r="N42" s="159">
        <v>0</v>
      </c>
      <c r="O42" s="18">
        <v>350</v>
      </c>
      <c r="P42" s="18">
        <v>311.27</v>
      </c>
      <c r="Q42" s="2"/>
      <c r="R42" s="2"/>
      <c r="S42" s="2"/>
      <c r="T42" s="2"/>
      <c r="U42" s="2"/>
      <c r="V42" s="2">
        <v>0</v>
      </c>
      <c r="W42" s="2"/>
      <c r="X42" s="2"/>
      <c r="Y42" s="452"/>
      <c r="Z42" s="2"/>
      <c r="AA42" s="587"/>
      <c r="AB42"/>
      <c r="AC42"/>
      <c r="AD42"/>
      <c r="AE42"/>
      <c r="AF42"/>
      <c r="AG42"/>
      <c r="AH42"/>
      <c r="AI42"/>
      <c r="AJ42"/>
      <c r="AK42"/>
      <c r="AL42"/>
      <c r="AM42"/>
      <c r="AN42"/>
      <c r="AO42"/>
      <c r="AP42"/>
      <c r="AQ42"/>
      <c r="AR42"/>
      <c r="AS42"/>
      <c r="AT42"/>
      <c r="AU42"/>
    </row>
    <row r="43" spans="1:47" ht="15">
      <c r="A43" s="48" t="s">
        <v>704</v>
      </c>
      <c r="B43" s="11" t="s">
        <v>705</v>
      </c>
      <c r="C43" s="18">
        <v>45000</v>
      </c>
      <c r="D43" s="18">
        <v>44354.74</v>
      </c>
      <c r="E43" s="18">
        <v>55000</v>
      </c>
      <c r="F43" s="18">
        <v>60193.77</v>
      </c>
      <c r="G43" s="18">
        <v>55000</v>
      </c>
      <c r="H43" s="18">
        <v>53067.85</v>
      </c>
      <c r="I43" s="18">
        <v>7500</v>
      </c>
      <c r="J43" s="18">
        <v>5247.97</v>
      </c>
      <c r="K43" s="18">
        <v>10750</v>
      </c>
      <c r="L43" s="18">
        <v>19509.61</v>
      </c>
      <c r="M43" s="18">
        <v>10750</v>
      </c>
      <c r="N43" s="139">
        <v>13216.97</v>
      </c>
      <c r="O43" s="18">
        <v>5500</v>
      </c>
      <c r="P43" s="18">
        <v>5108</v>
      </c>
      <c r="Q43" s="2">
        <v>5500</v>
      </c>
      <c r="R43" s="2">
        <v>11379.48</v>
      </c>
      <c r="S43" s="2">
        <v>5500</v>
      </c>
      <c r="T43" s="2"/>
      <c r="U43" s="2">
        <v>5500</v>
      </c>
      <c r="V43" s="2">
        <v>73779.13</v>
      </c>
      <c r="W43" s="2">
        <v>1000</v>
      </c>
      <c r="X43" s="18">
        <v>22612.05</v>
      </c>
      <c r="Y43" s="451">
        <v>5000</v>
      </c>
      <c r="Z43" s="2"/>
      <c r="AA43" s="588">
        <v>6500</v>
      </c>
      <c r="AB43"/>
      <c r="AC43"/>
      <c r="AD43"/>
      <c r="AE43"/>
      <c r="AF43"/>
      <c r="AG43"/>
      <c r="AH43"/>
      <c r="AI43"/>
      <c r="AJ43"/>
      <c r="AK43"/>
      <c r="AL43"/>
      <c r="AM43"/>
      <c r="AN43"/>
      <c r="AO43"/>
      <c r="AP43"/>
      <c r="AQ43"/>
      <c r="AR43"/>
      <c r="AS43"/>
      <c r="AT43"/>
      <c r="AU43"/>
    </row>
    <row r="44" spans="1:47" ht="14.1" customHeight="1">
      <c r="A44" s="48" t="s">
        <v>706</v>
      </c>
      <c r="B44" s="11" t="s">
        <v>114</v>
      </c>
      <c r="C44" s="18">
        <v>41000</v>
      </c>
      <c r="D44" s="18">
        <v>57271.78</v>
      </c>
      <c r="E44" s="18">
        <v>45500</v>
      </c>
      <c r="F44" s="18">
        <v>43234.87</v>
      </c>
      <c r="G44" s="18">
        <v>39250</v>
      </c>
      <c r="H44" s="18">
        <v>9451.9699999999993</v>
      </c>
      <c r="I44" s="18"/>
      <c r="J44" s="18">
        <v>22.68</v>
      </c>
      <c r="K44" s="18"/>
      <c r="L44" s="18">
        <v>5199.4799999999996</v>
      </c>
      <c r="M44" s="18"/>
      <c r="N44" s="139">
        <v>19768.87</v>
      </c>
      <c r="O44" s="18">
        <v>20000</v>
      </c>
      <c r="P44" s="18">
        <v>19098.669999999998</v>
      </c>
      <c r="Q44" s="2">
        <v>20000</v>
      </c>
      <c r="R44" s="2">
        <v>12746.04</v>
      </c>
      <c r="S44" s="2">
        <v>14025</v>
      </c>
      <c r="T44" s="2">
        <v>12268.54</v>
      </c>
      <c r="U44" s="2">
        <v>6100</v>
      </c>
      <c r="V44" s="2">
        <v>12045.1</v>
      </c>
      <c r="W44" s="2">
        <v>6000</v>
      </c>
      <c r="X44" s="2"/>
      <c r="Y44" s="451">
        <v>5000</v>
      </c>
      <c r="Z44" s="2">
        <v>560</v>
      </c>
      <c r="AA44" s="588">
        <v>20000</v>
      </c>
      <c r="AB44"/>
      <c r="AC44"/>
      <c r="AD44"/>
      <c r="AE44"/>
      <c r="AF44"/>
      <c r="AG44"/>
      <c r="AH44"/>
      <c r="AI44"/>
      <c r="AJ44"/>
      <c r="AK44"/>
      <c r="AL44"/>
      <c r="AM44"/>
      <c r="AN44"/>
      <c r="AO44"/>
      <c r="AP44"/>
      <c r="AQ44"/>
      <c r="AR44"/>
      <c r="AS44"/>
      <c r="AT44"/>
      <c r="AU44"/>
    </row>
    <row r="45" spans="1:47" ht="14.1" hidden="1" customHeight="1">
      <c r="A45" s="48" t="s">
        <v>707</v>
      </c>
      <c r="B45" s="65" t="s">
        <v>291</v>
      </c>
      <c r="C45" s="21">
        <v>0</v>
      </c>
      <c r="D45" s="21">
        <v>0</v>
      </c>
      <c r="E45" s="21">
        <v>0</v>
      </c>
      <c r="F45" s="21">
        <v>0</v>
      </c>
      <c r="G45" s="21">
        <v>0</v>
      </c>
      <c r="H45" s="21">
        <v>0</v>
      </c>
      <c r="I45" s="21">
        <v>750</v>
      </c>
      <c r="J45" s="21">
        <v>0</v>
      </c>
      <c r="K45" s="21">
        <v>250</v>
      </c>
      <c r="L45" s="21">
        <v>0</v>
      </c>
      <c r="M45" s="21">
        <v>250</v>
      </c>
      <c r="N45" s="159">
        <v>0</v>
      </c>
      <c r="O45" s="18">
        <v>0</v>
      </c>
      <c r="P45" s="18"/>
      <c r="Q45" s="2"/>
      <c r="R45" s="2"/>
      <c r="S45" s="2"/>
      <c r="T45" s="2"/>
      <c r="U45" s="2"/>
      <c r="V45" s="2"/>
      <c r="W45" s="2"/>
      <c r="X45" s="2"/>
      <c r="Y45" s="449"/>
      <c r="Z45" s="2"/>
      <c r="AA45" s="587"/>
      <c r="AB45"/>
      <c r="AC45"/>
      <c r="AD45"/>
      <c r="AE45"/>
      <c r="AF45"/>
      <c r="AG45"/>
      <c r="AH45"/>
      <c r="AI45"/>
      <c r="AJ45"/>
      <c r="AK45"/>
      <c r="AL45"/>
      <c r="AM45"/>
      <c r="AN45"/>
      <c r="AO45"/>
      <c r="AP45"/>
      <c r="AQ45"/>
      <c r="AR45"/>
      <c r="AS45"/>
      <c r="AT45"/>
      <c r="AU45"/>
    </row>
    <row r="46" spans="1:47" ht="14.1" hidden="1" customHeight="1">
      <c r="A46" s="48" t="s">
        <v>707</v>
      </c>
      <c r="B46" s="65" t="s">
        <v>673</v>
      </c>
      <c r="C46" s="18">
        <v>0</v>
      </c>
      <c r="D46" s="18">
        <v>0</v>
      </c>
      <c r="E46" s="18">
        <v>0</v>
      </c>
      <c r="F46" s="18">
        <v>0</v>
      </c>
      <c r="G46" s="18">
        <v>0</v>
      </c>
      <c r="H46" s="18">
        <v>0</v>
      </c>
      <c r="I46" s="18">
        <v>100</v>
      </c>
      <c r="J46" s="21">
        <v>0</v>
      </c>
      <c r="K46" s="18">
        <v>200</v>
      </c>
      <c r="L46" s="18">
        <v>0</v>
      </c>
      <c r="M46" s="18">
        <v>0</v>
      </c>
      <c r="N46" s="159">
        <v>0</v>
      </c>
      <c r="O46" s="18">
        <v>0</v>
      </c>
      <c r="P46" s="18"/>
      <c r="Q46" s="2"/>
      <c r="R46" s="2"/>
      <c r="S46" s="2"/>
      <c r="T46" s="2"/>
      <c r="U46" s="2"/>
      <c r="V46" s="2"/>
      <c r="W46" s="2"/>
      <c r="X46" s="2"/>
      <c r="Y46" s="449"/>
      <c r="Z46" s="2"/>
      <c r="AA46" s="587"/>
      <c r="AB46"/>
      <c r="AC46"/>
      <c r="AD46"/>
      <c r="AE46"/>
      <c r="AF46"/>
      <c r="AG46"/>
      <c r="AH46"/>
      <c r="AI46"/>
      <c r="AJ46"/>
      <c r="AK46"/>
      <c r="AL46"/>
      <c r="AM46"/>
      <c r="AN46"/>
      <c r="AO46"/>
      <c r="AP46"/>
      <c r="AQ46"/>
      <c r="AR46"/>
      <c r="AS46"/>
      <c r="AT46"/>
      <c r="AU46"/>
    </row>
    <row r="47" spans="1:47" ht="14.1" hidden="1" customHeight="1">
      <c r="A47" s="48" t="s">
        <v>707</v>
      </c>
      <c r="B47" s="65" t="s">
        <v>708</v>
      </c>
      <c r="C47" s="18">
        <v>0</v>
      </c>
      <c r="D47" s="18">
        <v>0</v>
      </c>
      <c r="E47" s="18">
        <v>0</v>
      </c>
      <c r="F47" s="18">
        <v>0</v>
      </c>
      <c r="G47" s="18">
        <v>0</v>
      </c>
      <c r="H47" s="18">
        <v>0</v>
      </c>
      <c r="I47" s="18">
        <v>1000</v>
      </c>
      <c r="J47" s="21">
        <v>0</v>
      </c>
      <c r="K47" s="18"/>
      <c r="L47" s="21">
        <v>0</v>
      </c>
      <c r="M47" s="18"/>
      <c r="N47" s="159">
        <v>0</v>
      </c>
      <c r="O47" s="18">
        <v>0</v>
      </c>
      <c r="P47" s="18"/>
      <c r="Q47" s="2"/>
      <c r="R47" s="2"/>
      <c r="S47" s="2"/>
      <c r="T47" s="2"/>
      <c r="U47" s="2"/>
      <c r="V47" s="2"/>
      <c r="W47" s="2"/>
      <c r="X47" s="2"/>
      <c r="Y47" s="449"/>
      <c r="Z47" s="2"/>
      <c r="AA47" s="587"/>
      <c r="AB47"/>
      <c r="AC47"/>
      <c r="AD47"/>
      <c r="AE47"/>
      <c r="AF47"/>
      <c r="AG47"/>
      <c r="AH47"/>
      <c r="AI47"/>
      <c r="AJ47"/>
      <c r="AK47"/>
      <c r="AL47"/>
      <c r="AM47"/>
      <c r="AN47"/>
      <c r="AO47"/>
      <c r="AP47"/>
      <c r="AQ47"/>
      <c r="AR47"/>
      <c r="AS47"/>
      <c r="AT47"/>
      <c r="AU47"/>
    </row>
    <row r="48" spans="1:47" ht="14.1" hidden="1" customHeight="1">
      <c r="A48" s="48" t="s">
        <v>707</v>
      </c>
      <c r="B48" s="65" t="s">
        <v>709</v>
      </c>
      <c r="C48" s="18">
        <v>0</v>
      </c>
      <c r="D48" s="18">
        <v>0</v>
      </c>
      <c r="E48" s="18">
        <v>0</v>
      </c>
      <c r="F48" s="18">
        <v>0</v>
      </c>
      <c r="G48" s="18">
        <v>0</v>
      </c>
      <c r="H48" s="18">
        <v>0</v>
      </c>
      <c r="I48" s="18">
        <v>250</v>
      </c>
      <c r="J48" s="21">
        <v>0</v>
      </c>
      <c r="K48" s="18">
        <v>250</v>
      </c>
      <c r="L48" s="18">
        <v>0</v>
      </c>
      <c r="M48" s="18">
        <v>0</v>
      </c>
      <c r="N48" s="159">
        <v>0</v>
      </c>
      <c r="O48" s="18">
        <v>0</v>
      </c>
      <c r="P48" s="18"/>
      <c r="Q48" s="2"/>
      <c r="R48" s="2"/>
      <c r="S48" s="2"/>
      <c r="T48" s="2"/>
      <c r="U48" s="2"/>
      <c r="V48" s="2"/>
      <c r="W48" s="2"/>
      <c r="X48" s="2"/>
      <c r="Y48" s="449"/>
      <c r="Z48" s="2"/>
      <c r="AA48" s="587"/>
      <c r="AB48"/>
      <c r="AC48"/>
      <c r="AD48"/>
      <c r="AE48"/>
      <c r="AF48"/>
      <c r="AG48"/>
      <c r="AH48"/>
      <c r="AI48"/>
      <c r="AJ48"/>
      <c r="AK48"/>
      <c r="AL48"/>
      <c r="AM48"/>
      <c r="AN48"/>
      <c r="AO48"/>
      <c r="AP48"/>
      <c r="AQ48"/>
      <c r="AR48"/>
      <c r="AS48"/>
      <c r="AT48"/>
      <c r="AU48"/>
    </row>
    <row r="49" spans="1:47" hidden="1">
      <c r="A49" s="48" t="s">
        <v>707</v>
      </c>
      <c r="B49" s="65" t="s">
        <v>687</v>
      </c>
      <c r="C49" s="18">
        <v>0</v>
      </c>
      <c r="D49" s="18">
        <v>0</v>
      </c>
      <c r="E49" s="18">
        <v>0</v>
      </c>
      <c r="F49" s="18">
        <v>0</v>
      </c>
      <c r="G49" s="18">
        <v>0</v>
      </c>
      <c r="H49" s="18">
        <v>0</v>
      </c>
      <c r="I49" s="18">
        <v>1000</v>
      </c>
      <c r="J49" s="21">
        <v>0</v>
      </c>
      <c r="K49" s="18">
        <v>800</v>
      </c>
      <c r="L49" s="21">
        <v>0</v>
      </c>
      <c r="M49" s="18">
        <v>800</v>
      </c>
      <c r="N49" s="159">
        <v>0</v>
      </c>
      <c r="O49" s="18">
        <v>0</v>
      </c>
      <c r="P49" s="18"/>
      <c r="Q49" s="2"/>
      <c r="R49" s="2"/>
      <c r="S49" s="2"/>
      <c r="T49" s="2"/>
      <c r="U49" s="2"/>
      <c r="V49" s="2"/>
      <c r="W49" s="2"/>
      <c r="X49" s="2"/>
      <c r="Y49" s="449"/>
      <c r="Z49" s="2"/>
      <c r="AA49" s="587"/>
      <c r="AB49"/>
      <c r="AC49"/>
      <c r="AD49"/>
      <c r="AE49"/>
      <c r="AF49"/>
      <c r="AG49"/>
      <c r="AH49"/>
      <c r="AI49"/>
      <c r="AJ49"/>
      <c r="AK49"/>
      <c r="AL49"/>
      <c r="AM49"/>
      <c r="AN49"/>
      <c r="AO49"/>
      <c r="AP49"/>
      <c r="AQ49"/>
      <c r="AR49"/>
      <c r="AS49"/>
      <c r="AT49"/>
      <c r="AU49"/>
    </row>
    <row r="50" spans="1:47" hidden="1">
      <c r="A50" s="48" t="s">
        <v>707</v>
      </c>
      <c r="B50" s="65" t="s">
        <v>710</v>
      </c>
      <c r="C50" s="18">
        <v>0</v>
      </c>
      <c r="D50" s="18">
        <v>0</v>
      </c>
      <c r="E50" s="18">
        <v>0</v>
      </c>
      <c r="F50" s="18">
        <v>0</v>
      </c>
      <c r="G50" s="18">
        <v>0</v>
      </c>
      <c r="H50" s="18">
        <v>0</v>
      </c>
      <c r="I50" s="18">
        <v>500</v>
      </c>
      <c r="J50" s="21">
        <v>0</v>
      </c>
      <c r="K50" s="18">
        <v>500</v>
      </c>
      <c r="L50" s="18">
        <v>0</v>
      </c>
      <c r="M50" s="18">
        <v>300</v>
      </c>
      <c r="N50" s="159">
        <v>0</v>
      </c>
      <c r="O50" s="18">
        <v>0</v>
      </c>
      <c r="P50" s="18"/>
      <c r="Q50" s="2"/>
      <c r="R50" s="2"/>
      <c r="S50" s="2"/>
      <c r="T50" s="2"/>
      <c r="U50" s="2"/>
      <c r="V50" s="2"/>
      <c r="W50" s="2"/>
      <c r="X50" s="2"/>
      <c r="Y50" s="2"/>
      <c r="Z50" s="2"/>
      <c r="AA50" s="587"/>
      <c r="AB50"/>
      <c r="AC50"/>
      <c r="AD50"/>
      <c r="AE50"/>
      <c r="AF50"/>
      <c r="AG50"/>
      <c r="AH50"/>
      <c r="AI50"/>
      <c r="AJ50"/>
      <c r="AK50"/>
      <c r="AL50"/>
      <c r="AM50"/>
      <c r="AN50"/>
      <c r="AO50"/>
      <c r="AP50"/>
      <c r="AQ50"/>
      <c r="AR50"/>
      <c r="AS50"/>
      <c r="AT50"/>
      <c r="AU50"/>
    </row>
    <row r="51" spans="1:47" hidden="1">
      <c r="A51" s="48" t="s">
        <v>707</v>
      </c>
      <c r="B51" s="65" t="s">
        <v>711</v>
      </c>
      <c r="C51" s="18">
        <v>0</v>
      </c>
      <c r="D51" s="18">
        <v>0</v>
      </c>
      <c r="E51" s="18">
        <v>0</v>
      </c>
      <c r="F51" s="18">
        <v>0</v>
      </c>
      <c r="G51" s="18">
        <v>0</v>
      </c>
      <c r="H51" s="18">
        <v>0</v>
      </c>
      <c r="I51" s="18">
        <v>1000</v>
      </c>
      <c r="J51" s="21">
        <v>0</v>
      </c>
      <c r="K51" s="18">
        <v>0</v>
      </c>
      <c r="L51" s="21">
        <v>0</v>
      </c>
      <c r="M51" s="18">
        <v>0</v>
      </c>
      <c r="N51" s="159">
        <v>0</v>
      </c>
      <c r="O51" s="18">
        <v>0</v>
      </c>
      <c r="P51" s="18"/>
      <c r="Q51" s="2"/>
      <c r="R51" s="2"/>
      <c r="S51" s="2"/>
      <c r="T51" s="2"/>
      <c r="U51" s="2"/>
      <c r="V51" s="2"/>
      <c r="W51" s="2"/>
      <c r="X51" s="2"/>
      <c r="Y51" s="2"/>
      <c r="Z51" s="2"/>
      <c r="AA51" s="587"/>
      <c r="AB51"/>
      <c r="AC51"/>
      <c r="AD51"/>
      <c r="AE51"/>
      <c r="AF51"/>
      <c r="AG51"/>
      <c r="AH51"/>
      <c r="AI51"/>
      <c r="AJ51"/>
      <c r="AK51"/>
      <c r="AL51"/>
      <c r="AM51"/>
      <c r="AN51"/>
      <c r="AO51"/>
      <c r="AP51"/>
      <c r="AQ51"/>
      <c r="AR51"/>
      <c r="AS51"/>
      <c r="AT51"/>
      <c r="AU51"/>
    </row>
    <row r="52" spans="1:47" hidden="1">
      <c r="A52" s="48" t="s">
        <v>707</v>
      </c>
      <c r="B52" s="65" t="s">
        <v>712</v>
      </c>
      <c r="C52" s="18">
        <v>0</v>
      </c>
      <c r="D52" s="18">
        <v>0</v>
      </c>
      <c r="E52" s="18">
        <v>0</v>
      </c>
      <c r="F52" s="18">
        <v>0</v>
      </c>
      <c r="G52" s="18">
        <v>0</v>
      </c>
      <c r="H52" s="18">
        <v>0</v>
      </c>
      <c r="I52" s="18">
        <v>700</v>
      </c>
      <c r="J52" s="21">
        <v>0</v>
      </c>
      <c r="K52" s="18">
        <v>0</v>
      </c>
      <c r="L52" s="18">
        <v>0</v>
      </c>
      <c r="M52" s="18">
        <v>0</v>
      </c>
      <c r="N52" s="159">
        <v>0</v>
      </c>
      <c r="O52" s="18">
        <v>0</v>
      </c>
      <c r="P52" s="18"/>
      <c r="Q52" s="2"/>
      <c r="R52" s="2"/>
      <c r="S52" s="2"/>
      <c r="T52" s="2"/>
      <c r="U52" s="2"/>
      <c r="V52" s="2"/>
      <c r="W52" s="2"/>
      <c r="X52" s="2"/>
      <c r="Y52" s="2"/>
      <c r="Z52" s="2"/>
      <c r="AA52" s="587"/>
    </row>
    <row r="53" spans="1:47" hidden="1">
      <c r="A53" s="48" t="s">
        <v>707</v>
      </c>
      <c r="B53" s="65" t="s">
        <v>713</v>
      </c>
      <c r="C53" s="18">
        <v>0</v>
      </c>
      <c r="D53" s="18">
        <v>0</v>
      </c>
      <c r="E53" s="18">
        <v>0</v>
      </c>
      <c r="F53" s="18">
        <v>0</v>
      </c>
      <c r="G53" s="18">
        <v>0</v>
      </c>
      <c r="H53" s="18">
        <v>0</v>
      </c>
      <c r="I53" s="18">
        <v>1000</v>
      </c>
      <c r="J53" s="21">
        <v>0</v>
      </c>
      <c r="K53" s="18">
        <v>800</v>
      </c>
      <c r="L53" s="21">
        <v>0</v>
      </c>
      <c r="M53" s="18">
        <v>0</v>
      </c>
      <c r="N53" s="159">
        <v>0</v>
      </c>
      <c r="O53" s="18">
        <v>0</v>
      </c>
      <c r="P53" s="18"/>
      <c r="Q53" s="18"/>
      <c r="R53" s="18"/>
      <c r="S53" s="18"/>
      <c r="T53" s="18"/>
      <c r="U53" s="18"/>
      <c r="V53" s="18"/>
      <c r="W53" s="18"/>
      <c r="X53" s="18"/>
      <c r="Y53" s="18"/>
      <c r="Z53" s="2"/>
      <c r="AA53" s="587"/>
    </row>
    <row r="54" spans="1:47" hidden="1">
      <c r="A54" s="48" t="s">
        <v>707</v>
      </c>
      <c r="B54" s="65" t="s">
        <v>714</v>
      </c>
      <c r="C54" s="18">
        <v>0</v>
      </c>
      <c r="D54" s="18">
        <v>0</v>
      </c>
      <c r="E54" s="18">
        <v>0</v>
      </c>
      <c r="F54" s="18">
        <v>0</v>
      </c>
      <c r="G54" s="18">
        <v>0</v>
      </c>
      <c r="H54" s="18">
        <v>0</v>
      </c>
      <c r="I54" s="18">
        <v>2750</v>
      </c>
      <c r="J54" s="21">
        <v>0</v>
      </c>
      <c r="K54" s="18">
        <v>3500</v>
      </c>
      <c r="L54" s="18">
        <v>0</v>
      </c>
      <c r="M54" s="18">
        <v>0</v>
      </c>
      <c r="N54" s="159">
        <v>0</v>
      </c>
      <c r="O54" s="18">
        <v>0</v>
      </c>
      <c r="P54" s="18"/>
      <c r="Q54" s="18"/>
      <c r="R54" s="18"/>
      <c r="S54" s="18"/>
      <c r="T54" s="18"/>
      <c r="U54" s="18"/>
      <c r="V54" s="18"/>
      <c r="W54" s="18"/>
      <c r="X54" s="18"/>
      <c r="Y54" s="18"/>
      <c r="Z54" s="2"/>
      <c r="AA54" s="587"/>
    </row>
    <row r="55" spans="1:47" hidden="1">
      <c r="A55" s="48" t="s">
        <v>707</v>
      </c>
      <c r="B55" s="65" t="s">
        <v>715</v>
      </c>
      <c r="C55" s="18">
        <v>0</v>
      </c>
      <c r="D55" s="18">
        <v>0</v>
      </c>
      <c r="E55" s="18">
        <v>0</v>
      </c>
      <c r="F55" s="18">
        <v>0</v>
      </c>
      <c r="G55" s="18">
        <v>0</v>
      </c>
      <c r="H55" s="18">
        <v>0</v>
      </c>
      <c r="I55" s="18">
        <v>3000</v>
      </c>
      <c r="J55" s="21">
        <v>0</v>
      </c>
      <c r="K55" s="18"/>
      <c r="L55" s="21">
        <v>0</v>
      </c>
      <c r="M55" s="18"/>
      <c r="N55" s="159">
        <v>0</v>
      </c>
      <c r="O55" s="18">
        <v>0</v>
      </c>
      <c r="P55" s="18"/>
      <c r="Q55" s="18"/>
      <c r="R55" s="18"/>
      <c r="S55" s="18"/>
      <c r="T55" s="18"/>
      <c r="U55" s="18"/>
      <c r="V55" s="18"/>
      <c r="W55" s="18"/>
      <c r="X55" s="18"/>
      <c r="Y55" s="18"/>
      <c r="Z55" s="2"/>
      <c r="AA55" s="587"/>
    </row>
    <row r="56" spans="1:47" hidden="1">
      <c r="A56" s="48" t="s">
        <v>707</v>
      </c>
      <c r="B56" s="65" t="s">
        <v>716</v>
      </c>
      <c r="C56" s="18">
        <v>0</v>
      </c>
      <c r="D56" s="18">
        <v>0</v>
      </c>
      <c r="E56" s="18">
        <v>0</v>
      </c>
      <c r="F56" s="18">
        <v>0</v>
      </c>
      <c r="G56" s="18">
        <v>0</v>
      </c>
      <c r="H56" s="18">
        <v>0</v>
      </c>
      <c r="I56" s="18">
        <v>2500</v>
      </c>
      <c r="J56" s="21">
        <v>0</v>
      </c>
      <c r="K56" s="18"/>
      <c r="L56" s="18">
        <v>0</v>
      </c>
      <c r="M56" s="18">
        <v>0</v>
      </c>
      <c r="N56" s="159">
        <v>0</v>
      </c>
      <c r="O56" s="18">
        <v>0</v>
      </c>
      <c r="P56" s="18"/>
      <c r="Q56" s="18"/>
      <c r="R56" s="18"/>
      <c r="S56" s="18"/>
      <c r="T56" s="18"/>
      <c r="U56" s="18"/>
      <c r="V56" s="18"/>
      <c r="W56" s="18"/>
      <c r="X56" s="18"/>
      <c r="Y56" s="18"/>
      <c r="Z56" s="2"/>
      <c r="AA56" s="587"/>
    </row>
    <row r="57" spans="1:47" hidden="1">
      <c r="A57" s="48" t="s">
        <v>707</v>
      </c>
      <c r="B57" s="65" t="s">
        <v>717</v>
      </c>
      <c r="C57" s="18">
        <v>0</v>
      </c>
      <c r="D57" s="18">
        <v>0</v>
      </c>
      <c r="E57" s="18">
        <v>0</v>
      </c>
      <c r="F57" s="18">
        <v>0</v>
      </c>
      <c r="G57" s="18">
        <v>0</v>
      </c>
      <c r="H57" s="18">
        <v>0</v>
      </c>
      <c r="I57" s="18">
        <v>1500</v>
      </c>
      <c r="J57" s="21">
        <v>0</v>
      </c>
      <c r="K57" s="18">
        <v>1500</v>
      </c>
      <c r="L57" s="21">
        <v>0</v>
      </c>
      <c r="M57" s="18">
        <v>0</v>
      </c>
      <c r="N57" s="159">
        <v>0</v>
      </c>
      <c r="O57" s="18">
        <v>0</v>
      </c>
      <c r="P57" s="18"/>
      <c r="Q57" s="18"/>
      <c r="R57" s="18"/>
      <c r="S57" s="18"/>
      <c r="T57" s="18"/>
      <c r="U57" s="18"/>
      <c r="V57" s="18"/>
      <c r="W57" s="18"/>
      <c r="X57" s="18"/>
      <c r="Y57" s="18"/>
      <c r="Z57" s="2"/>
      <c r="AA57" s="587"/>
    </row>
    <row r="58" spans="1:47" hidden="1">
      <c r="A58" s="48" t="s">
        <v>707</v>
      </c>
      <c r="B58" s="65" t="s">
        <v>718</v>
      </c>
      <c r="C58" s="18">
        <v>0</v>
      </c>
      <c r="D58" s="18">
        <v>0</v>
      </c>
      <c r="E58" s="18">
        <v>0</v>
      </c>
      <c r="F58" s="18">
        <v>0</v>
      </c>
      <c r="G58" s="18">
        <v>0</v>
      </c>
      <c r="H58" s="18">
        <v>0</v>
      </c>
      <c r="I58" s="18">
        <v>450</v>
      </c>
      <c r="J58" s="21">
        <v>0</v>
      </c>
      <c r="K58" s="18">
        <v>0</v>
      </c>
      <c r="L58" s="18">
        <v>0</v>
      </c>
      <c r="M58" s="18">
        <v>0</v>
      </c>
      <c r="N58" s="159">
        <v>0</v>
      </c>
      <c r="O58" s="18">
        <v>0</v>
      </c>
      <c r="P58" s="18"/>
      <c r="Q58" s="18"/>
      <c r="R58" s="18"/>
      <c r="S58" s="18"/>
      <c r="T58" s="18"/>
      <c r="U58" s="18"/>
      <c r="V58" s="18"/>
      <c r="W58" s="18"/>
      <c r="X58" s="18"/>
      <c r="Y58" s="18"/>
      <c r="Z58" s="2"/>
      <c r="AA58" s="587"/>
    </row>
    <row r="59" spans="1:47" hidden="1">
      <c r="A59" s="48" t="s">
        <v>707</v>
      </c>
      <c r="B59" s="65" t="s">
        <v>719</v>
      </c>
      <c r="C59" s="18">
        <v>0</v>
      </c>
      <c r="D59" s="18">
        <v>0</v>
      </c>
      <c r="E59" s="18">
        <v>0</v>
      </c>
      <c r="F59" s="18">
        <v>0</v>
      </c>
      <c r="G59" s="18">
        <v>0</v>
      </c>
      <c r="H59" s="18">
        <v>0</v>
      </c>
      <c r="I59" s="18">
        <v>1500</v>
      </c>
      <c r="J59" s="21">
        <v>0</v>
      </c>
      <c r="K59" s="18">
        <v>2000</v>
      </c>
      <c r="L59" s="21">
        <v>0</v>
      </c>
      <c r="M59" s="18">
        <v>1000</v>
      </c>
      <c r="N59" s="159">
        <v>0</v>
      </c>
      <c r="O59" s="18">
        <v>0</v>
      </c>
      <c r="P59" s="18"/>
      <c r="Q59" s="18"/>
      <c r="R59" s="18"/>
      <c r="S59" s="18"/>
      <c r="T59" s="18"/>
      <c r="U59" s="18"/>
      <c r="V59" s="18"/>
      <c r="W59" s="18"/>
      <c r="X59" s="18"/>
      <c r="Y59" s="18"/>
      <c r="Z59" s="2"/>
      <c r="AA59" s="587"/>
    </row>
    <row r="60" spans="1:47" hidden="1">
      <c r="A60" s="48" t="s">
        <v>707</v>
      </c>
      <c r="B60" s="65" t="s">
        <v>720</v>
      </c>
      <c r="C60" s="18">
        <v>0</v>
      </c>
      <c r="D60" s="18">
        <v>0</v>
      </c>
      <c r="E60" s="18">
        <v>0</v>
      </c>
      <c r="F60" s="18">
        <v>0</v>
      </c>
      <c r="G60" s="18">
        <v>0</v>
      </c>
      <c r="H60" s="18">
        <v>0</v>
      </c>
      <c r="I60" s="18">
        <v>6000</v>
      </c>
      <c r="J60" s="21">
        <v>0</v>
      </c>
      <c r="K60" s="18">
        <v>7000</v>
      </c>
      <c r="L60" s="18">
        <v>10451.709999999999</v>
      </c>
      <c r="M60" s="18">
        <v>7000</v>
      </c>
      <c r="N60" s="139">
        <v>25.64</v>
      </c>
      <c r="O60" s="18">
        <v>0</v>
      </c>
      <c r="P60" s="18"/>
      <c r="Q60" s="18"/>
      <c r="R60" s="18"/>
      <c r="S60" s="18"/>
      <c r="T60" s="18"/>
      <c r="U60" s="18"/>
      <c r="V60" s="18"/>
      <c r="W60" s="18"/>
      <c r="X60" s="18"/>
      <c r="Y60" s="18"/>
      <c r="Z60" s="2"/>
      <c r="AA60" s="587"/>
    </row>
    <row r="61" spans="1:47" hidden="1">
      <c r="A61" s="48" t="s">
        <v>721</v>
      </c>
      <c r="B61" s="65" t="s">
        <v>722</v>
      </c>
      <c r="C61" s="18">
        <v>0</v>
      </c>
      <c r="D61" s="18">
        <v>0</v>
      </c>
      <c r="E61" s="18">
        <v>0</v>
      </c>
      <c r="F61" s="18">
        <v>0</v>
      </c>
      <c r="G61" s="18">
        <v>0</v>
      </c>
      <c r="H61" s="18">
        <v>0</v>
      </c>
      <c r="I61" s="18">
        <v>6000</v>
      </c>
      <c r="J61" s="21">
        <v>0</v>
      </c>
      <c r="K61" s="18"/>
      <c r="L61" s="18"/>
      <c r="M61" s="18"/>
      <c r="N61" s="159">
        <v>0</v>
      </c>
      <c r="O61" s="18">
        <v>0</v>
      </c>
      <c r="P61" s="18"/>
      <c r="Q61" s="18"/>
      <c r="R61" s="18"/>
      <c r="S61" s="18"/>
      <c r="T61" s="18"/>
      <c r="U61" s="18"/>
      <c r="V61" s="18"/>
      <c r="W61" s="18"/>
      <c r="X61" s="18"/>
      <c r="Y61" s="18"/>
      <c r="Z61" s="2"/>
      <c r="AA61" s="587"/>
    </row>
    <row r="62" spans="1:47">
      <c r="A62" s="48" t="s">
        <v>706</v>
      </c>
      <c r="B62" s="65" t="s">
        <v>723</v>
      </c>
      <c r="C62" s="18"/>
      <c r="D62" s="18"/>
      <c r="E62" s="18"/>
      <c r="F62" s="18"/>
      <c r="G62" s="18"/>
      <c r="H62" s="18"/>
      <c r="I62" s="18"/>
      <c r="J62" s="18"/>
      <c r="K62" s="18"/>
      <c r="L62" s="18"/>
      <c r="M62" s="18"/>
      <c r="N62" s="18"/>
      <c r="O62" s="18"/>
      <c r="P62" s="18"/>
      <c r="Q62" s="18"/>
      <c r="R62" s="18"/>
      <c r="S62" s="18"/>
      <c r="T62" s="18"/>
      <c r="U62" s="18">
        <v>2000</v>
      </c>
      <c r="V62" s="18"/>
      <c r="W62" s="18">
        <v>2000</v>
      </c>
      <c r="X62" s="18"/>
      <c r="Y62" s="449">
        <v>2000</v>
      </c>
      <c r="Z62" s="2"/>
      <c r="AA62" s="587"/>
    </row>
    <row r="63" spans="1:47">
      <c r="A63" s="48" t="s">
        <v>724</v>
      </c>
      <c r="B63" s="11" t="s">
        <v>725</v>
      </c>
      <c r="C63" s="18">
        <v>0</v>
      </c>
      <c r="D63" s="18">
        <v>0</v>
      </c>
      <c r="E63" s="18">
        <v>0</v>
      </c>
      <c r="F63" s="18">
        <v>0</v>
      </c>
      <c r="G63" s="18">
        <v>0</v>
      </c>
      <c r="H63" s="18">
        <v>0</v>
      </c>
      <c r="I63" s="18">
        <v>58903.839999999997</v>
      </c>
      <c r="J63" s="18">
        <v>60766.17</v>
      </c>
      <c r="K63" s="18">
        <v>65000</v>
      </c>
      <c r="L63" s="18">
        <v>103429.95</v>
      </c>
      <c r="M63" s="18">
        <v>105000</v>
      </c>
      <c r="N63" s="139">
        <v>88073.55</v>
      </c>
      <c r="O63" s="18">
        <v>68700</v>
      </c>
      <c r="P63" s="18">
        <v>66786.039999999994</v>
      </c>
      <c r="Q63" s="18">
        <v>68700</v>
      </c>
      <c r="R63" s="18">
        <v>64144.55</v>
      </c>
      <c r="S63" s="18">
        <v>66000</v>
      </c>
      <c r="T63" s="18">
        <f>78101.14-T64-T68</f>
        <v>62901.14</v>
      </c>
      <c r="U63" s="18">
        <v>58000</v>
      </c>
      <c r="V63" s="18"/>
      <c r="W63" s="18">
        <v>15000</v>
      </c>
      <c r="X63" s="18"/>
      <c r="Y63" s="449">
        <v>35000</v>
      </c>
      <c r="Z63" s="2">
        <v>24499.63</v>
      </c>
      <c r="AA63" s="589">
        <v>202000</v>
      </c>
    </row>
    <row r="64" spans="1:47">
      <c r="A64" s="48" t="s">
        <v>704</v>
      </c>
      <c r="B64" s="11" t="s">
        <v>726</v>
      </c>
      <c r="C64" s="18">
        <v>0</v>
      </c>
      <c r="D64" s="18">
        <v>0</v>
      </c>
      <c r="E64" s="18">
        <v>0</v>
      </c>
      <c r="F64" s="18">
        <v>0</v>
      </c>
      <c r="G64" s="18">
        <v>0</v>
      </c>
      <c r="H64" s="18">
        <v>20990.58</v>
      </c>
      <c r="I64" s="18">
        <v>20000</v>
      </c>
      <c r="J64" s="18">
        <v>20144.25</v>
      </c>
      <c r="K64" s="18">
        <v>17000</v>
      </c>
      <c r="L64" s="18">
        <v>21228.42</v>
      </c>
      <c r="M64" s="18">
        <v>17000</v>
      </c>
      <c r="N64" s="139">
        <v>13164.09</v>
      </c>
      <c r="O64" s="18">
        <v>16000</v>
      </c>
      <c r="P64" s="18">
        <v>15276.09</v>
      </c>
      <c r="Q64" s="18">
        <v>16000</v>
      </c>
      <c r="R64" s="18">
        <v>14109.04</v>
      </c>
      <c r="S64" s="18">
        <v>16000</v>
      </c>
      <c r="T64" s="18">
        <v>11500</v>
      </c>
      <c r="U64" s="18">
        <v>8000</v>
      </c>
      <c r="V64" s="18"/>
      <c r="W64" s="18">
        <v>50000</v>
      </c>
      <c r="X64" s="18"/>
      <c r="Y64" s="449">
        <v>30000</v>
      </c>
      <c r="Z64" s="2">
        <v>9101.7900000000009</v>
      </c>
      <c r="AA64" s="589">
        <v>50000</v>
      </c>
    </row>
    <row r="65" spans="1:27" ht="14.1" hidden="1" customHeight="1">
      <c r="A65" s="48"/>
      <c r="B65" s="11" t="s">
        <v>727</v>
      </c>
      <c r="C65" s="18">
        <v>0</v>
      </c>
      <c r="D65" s="18">
        <v>0</v>
      </c>
      <c r="E65" s="18">
        <v>0</v>
      </c>
      <c r="F65" s="18">
        <v>0</v>
      </c>
      <c r="G65" s="18">
        <v>0</v>
      </c>
      <c r="H65" s="18">
        <v>606.84</v>
      </c>
      <c r="I65" s="18">
        <v>1500</v>
      </c>
      <c r="J65" s="18">
        <v>0</v>
      </c>
      <c r="K65" s="18">
        <v>750</v>
      </c>
      <c r="L65" s="18">
        <v>212.94</v>
      </c>
      <c r="M65" s="18">
        <v>0</v>
      </c>
      <c r="N65" s="139">
        <v>2614.96</v>
      </c>
      <c r="O65" s="18">
        <v>350</v>
      </c>
      <c r="P65" s="18">
        <v>300</v>
      </c>
      <c r="Q65" s="18">
        <v>350</v>
      </c>
      <c r="R65" s="189"/>
      <c r="S65" s="18"/>
      <c r="T65" s="18"/>
      <c r="U65" s="18"/>
      <c r="V65" s="18"/>
      <c r="W65" s="18">
        <v>10000</v>
      </c>
      <c r="X65" s="18"/>
      <c r="Y65" s="449">
        <v>10000</v>
      </c>
      <c r="Z65" s="2"/>
      <c r="AA65" s="587"/>
    </row>
    <row r="66" spans="1:27" hidden="1">
      <c r="A66" s="48"/>
      <c r="B66" s="11" t="s">
        <v>728</v>
      </c>
      <c r="C66" s="18">
        <v>0</v>
      </c>
      <c r="D66" s="18">
        <v>0</v>
      </c>
      <c r="E66" s="18">
        <v>0</v>
      </c>
      <c r="F66" s="18">
        <v>0</v>
      </c>
      <c r="G66" s="18">
        <v>4550</v>
      </c>
      <c r="H66" s="18">
        <v>0</v>
      </c>
      <c r="I66" s="18">
        <v>0</v>
      </c>
      <c r="J66" s="18">
        <v>0</v>
      </c>
      <c r="K66" s="18">
        <v>0</v>
      </c>
      <c r="L66" s="18">
        <v>925.02</v>
      </c>
      <c r="M66" s="18">
        <v>0</v>
      </c>
      <c r="N66" s="159">
        <v>0</v>
      </c>
      <c r="O66" s="18">
        <v>0</v>
      </c>
      <c r="P66" s="18"/>
      <c r="Q66" s="18"/>
      <c r="R66" s="189"/>
      <c r="S66" s="18"/>
      <c r="T66" s="18"/>
      <c r="U66" s="18"/>
      <c r="V66" s="18"/>
      <c r="W66" s="18"/>
      <c r="X66" s="18"/>
      <c r="Y66" s="449">
        <v>4000</v>
      </c>
      <c r="Z66" s="2"/>
      <c r="AA66" s="587"/>
    </row>
    <row r="67" spans="1:27">
      <c r="A67" s="48"/>
      <c r="B67" s="11" t="s">
        <v>309</v>
      </c>
      <c r="C67" s="18">
        <v>0</v>
      </c>
      <c r="D67" s="18">
        <v>0</v>
      </c>
      <c r="E67" s="18">
        <v>0</v>
      </c>
      <c r="F67" s="18">
        <v>0</v>
      </c>
      <c r="G67" s="18">
        <v>750</v>
      </c>
      <c r="H67" s="18">
        <v>1127.3599999999999</v>
      </c>
      <c r="I67" s="18">
        <v>0</v>
      </c>
      <c r="J67" s="18">
        <v>356.12</v>
      </c>
      <c r="K67" s="18">
        <v>0</v>
      </c>
      <c r="L67" s="18">
        <v>0</v>
      </c>
      <c r="M67" s="18">
        <v>0</v>
      </c>
      <c r="N67" s="159">
        <v>0</v>
      </c>
      <c r="O67" s="18">
        <v>0</v>
      </c>
      <c r="P67" s="18"/>
      <c r="Q67" s="18"/>
      <c r="R67" s="189"/>
      <c r="S67" s="18"/>
      <c r="T67" s="18"/>
      <c r="U67" s="18"/>
      <c r="V67" s="18"/>
      <c r="W67" s="18"/>
      <c r="X67" s="18"/>
      <c r="Y67" s="18"/>
      <c r="Z67" s="2"/>
      <c r="AA67" s="587"/>
    </row>
    <row r="68" spans="1:27">
      <c r="A68" s="48" t="s">
        <v>706</v>
      </c>
      <c r="B68" s="11" t="s">
        <v>729</v>
      </c>
      <c r="C68" s="18"/>
      <c r="D68" s="18"/>
      <c r="E68" s="18"/>
      <c r="F68" s="18"/>
      <c r="G68" s="18"/>
      <c r="H68" s="18"/>
      <c r="I68" s="18"/>
      <c r="J68" s="18"/>
      <c r="K68" s="18"/>
      <c r="L68" s="18"/>
      <c r="M68" s="18"/>
      <c r="N68" s="159"/>
      <c r="O68" s="18">
        <v>2500</v>
      </c>
      <c r="P68" s="18">
        <v>2489.9899999999998</v>
      </c>
      <c r="Q68" s="18">
        <v>3500</v>
      </c>
      <c r="R68" s="18">
        <v>3175.3</v>
      </c>
      <c r="S68" s="18">
        <v>3500</v>
      </c>
      <c r="T68" s="18">
        <v>3700</v>
      </c>
      <c r="U68" s="339">
        <v>4000</v>
      </c>
      <c r="V68" s="339"/>
      <c r="W68" s="18">
        <v>4000</v>
      </c>
      <c r="X68" s="18"/>
      <c r="Y68" s="18">
        <v>4000</v>
      </c>
      <c r="Z68" s="2"/>
      <c r="AA68" s="589">
        <v>15000</v>
      </c>
    </row>
    <row r="69" spans="1:27">
      <c r="A69" s="48"/>
      <c r="B69" s="11" t="s">
        <v>730</v>
      </c>
      <c r="C69" s="18">
        <v>0</v>
      </c>
      <c r="D69" s="18">
        <v>0</v>
      </c>
      <c r="E69" s="18">
        <v>0</v>
      </c>
      <c r="F69" s="18">
        <v>0</v>
      </c>
      <c r="G69" s="18">
        <v>0</v>
      </c>
      <c r="H69" s="18">
        <v>7334.02</v>
      </c>
      <c r="I69" s="18">
        <v>0</v>
      </c>
      <c r="J69" s="18">
        <v>15073.37</v>
      </c>
      <c r="K69" s="18">
        <v>0</v>
      </c>
      <c r="L69" s="18">
        <v>0</v>
      </c>
      <c r="M69" s="18">
        <v>2000</v>
      </c>
      <c r="N69" s="159">
        <v>0</v>
      </c>
      <c r="O69" s="18">
        <v>0</v>
      </c>
      <c r="P69" s="18"/>
      <c r="Q69" s="18"/>
      <c r="R69" s="18"/>
      <c r="S69" s="18"/>
      <c r="T69" s="18"/>
      <c r="U69" s="18"/>
      <c r="V69" s="18"/>
      <c r="W69" s="18"/>
      <c r="X69" s="18"/>
      <c r="Y69" s="18"/>
      <c r="Z69" s="2"/>
      <c r="AA69" s="2"/>
    </row>
    <row r="70" spans="1:27">
      <c r="A70" s="48"/>
      <c r="B70" s="11"/>
      <c r="C70" s="18"/>
      <c r="D70" s="18"/>
      <c r="E70" s="18"/>
      <c r="F70" s="18"/>
      <c r="G70" s="18"/>
      <c r="H70" s="18"/>
      <c r="I70" s="18"/>
      <c r="J70" s="18"/>
      <c r="K70" s="18"/>
      <c r="L70" s="18"/>
      <c r="M70" s="18"/>
      <c r="N70" s="18"/>
      <c r="O70" s="18"/>
      <c r="P70" s="18"/>
      <c r="Q70" s="18"/>
      <c r="R70" s="18"/>
      <c r="S70" s="18"/>
      <c r="T70" s="18"/>
      <c r="U70" s="18"/>
      <c r="V70" s="18"/>
      <c r="W70" s="18"/>
      <c r="X70" s="18">
        <v>6135.5</v>
      </c>
      <c r="Y70" s="18"/>
      <c r="Z70" s="2"/>
      <c r="AA70" s="2"/>
    </row>
    <row r="71" spans="1:27" s="11" customFormat="1">
      <c r="A71" s="48"/>
      <c r="B71" s="11" t="s">
        <v>265</v>
      </c>
      <c r="C71" s="18"/>
      <c r="D71" s="18"/>
      <c r="E71" s="18"/>
      <c r="F71" s="18"/>
      <c r="G71" s="18"/>
      <c r="H71" s="18"/>
      <c r="I71" s="18"/>
      <c r="J71" s="18"/>
      <c r="K71" s="18"/>
      <c r="L71" s="18"/>
      <c r="M71" s="18"/>
      <c r="N71" s="18"/>
      <c r="O71" s="18"/>
      <c r="P71" s="18"/>
      <c r="Q71" s="18"/>
      <c r="R71" s="18"/>
      <c r="S71" s="18"/>
      <c r="T71" s="18">
        <v>2825</v>
      </c>
      <c r="U71" s="18"/>
      <c r="V71" s="18"/>
      <c r="W71" s="18"/>
      <c r="X71" s="18"/>
      <c r="Y71" s="18"/>
      <c r="Z71" s="2"/>
      <c r="AA71" s="2"/>
    </row>
    <row r="72" spans="1:27">
      <c r="A72" s="48"/>
      <c r="B72" s="11" t="s">
        <v>21</v>
      </c>
      <c r="C72" s="21">
        <f>SUBTOTAL(109,SpecialEventsExpenses[Budget 10/11])</f>
        <v>100489.7</v>
      </c>
      <c r="D72" s="21">
        <f>SUBTOTAL(109,SpecialEventsExpenses[Actual 10/11])</f>
        <v>115475.95</v>
      </c>
      <c r="E72" s="21">
        <f>SUBTOTAL(109,SpecialEventsExpenses[Budget 11/12])</f>
        <v>117005</v>
      </c>
      <c r="F72" s="21">
        <f>SUBTOTAL(109,SpecialEventsExpenses[Actual 11/12])</f>
        <v>124421.75999999998</v>
      </c>
      <c r="G72" s="21">
        <f>SUBTOTAL(109,SpecialEventsExpenses[Budget 12/13])</f>
        <v>105488.84</v>
      </c>
      <c r="H72" s="21">
        <f>SUBTOTAL(109,SpecialEventsExpenses[Actual 12/13])</f>
        <v>104640.37000000001</v>
      </c>
      <c r="I72" s="21">
        <f>SUBTOTAL(109,SpecialEventsExpenses[Budget 13/14])</f>
        <v>103520.16</v>
      </c>
      <c r="J72" s="21">
        <f>SUBTOTAL(109,SpecialEventsExpenses[Actual 13/14])</f>
        <v>106284.13999999998</v>
      </c>
      <c r="K72" s="21">
        <f>SUBTOTAL(109,SpecialEventsExpenses[Budget 14/15])</f>
        <v>102351.32</v>
      </c>
      <c r="L72" s="21">
        <f>SUBTOTAL(109,SpecialEventsExpenses[Actual 14/15])</f>
        <v>153424.39000000001</v>
      </c>
      <c r="M72" s="21">
        <f>SUBTOTAL(109,SpecialEventsExpenses[Budget 15/16])</f>
        <v>138976.32000000001</v>
      </c>
      <c r="N72" s="161">
        <f>SUBTOTAL(109,SpecialEventsExpenses[Actual 15/16])</f>
        <v>136464.95999999999</v>
      </c>
      <c r="O72" s="21">
        <f>SUBTOTAL(109,SpecialEventsExpenses[Budget 16/17])</f>
        <v>115780</v>
      </c>
      <c r="P72" s="21">
        <f>SUBTOTAL(109,SpecialEventsExpenses[Actual])</f>
        <v>111300.67</v>
      </c>
      <c r="Q72" s="21">
        <f>SUBTOTAL(109,SpecialEventsExpenses[Budget 17/18])</f>
        <v>116430</v>
      </c>
      <c r="R72" s="21">
        <f>SUM(SpecialEventsExpenses[Actual 17/18])</f>
        <v>107009.62000000001</v>
      </c>
      <c r="S72" s="21">
        <f>SUM(SpecialEventsExpenses[Budget 18/19])</f>
        <v>107600</v>
      </c>
      <c r="T72" s="21">
        <f>SUM(SpecialEventsExpenses[Actual 18/19])</f>
        <v>94298.21</v>
      </c>
      <c r="U72" s="21">
        <f>SUM(SpecialEventsExpenses[Budget 19/20])</f>
        <v>86000</v>
      </c>
      <c r="V72" s="21">
        <f>SUM(SpecialEventsExpenses[Actual P12 19/20])</f>
        <v>86421.010000000009</v>
      </c>
      <c r="W72" s="21">
        <f>SUM(SpecialEventsExpenses[Budget 19/21])</f>
        <v>89850</v>
      </c>
      <c r="X72" s="21">
        <f>SUM(SpecialEventsExpenses[Actual 20/21])</f>
        <v>29418.25</v>
      </c>
      <c r="Y72" s="21">
        <f>SUM(SpecialEventsExpenses[Budget 21/22])</f>
        <v>116850</v>
      </c>
      <c r="Z72" s="11">
        <f>SUBTOTAL(109,SpecialEventsExpenses[Actual 21/22])</f>
        <v>34711.770000000004</v>
      </c>
      <c r="AA72" s="21">
        <f>SUM(SpecialEventsExpenses[Budget 22/23])</f>
        <v>330453.34999999998</v>
      </c>
    </row>
    <row r="73" spans="1:27" ht="13.5" thickBot="1">
      <c r="A73" s="11"/>
      <c r="C73" s="21"/>
      <c r="D73" s="21"/>
      <c r="E73" s="21"/>
      <c r="F73" s="21"/>
      <c r="G73" s="21"/>
      <c r="H73" s="21"/>
      <c r="I73" s="21"/>
      <c r="J73" s="21"/>
      <c r="K73" s="21"/>
      <c r="L73" s="21"/>
      <c r="M73" s="21"/>
      <c r="P73" s="11"/>
      <c r="Q73" s="11"/>
      <c r="R73" s="11"/>
      <c r="S73" s="11"/>
      <c r="T73" s="11"/>
      <c r="U73" s="11"/>
      <c r="V73" s="11"/>
    </row>
    <row r="74" spans="1:27" ht="19.5" thickBot="1">
      <c r="A74" s="48"/>
      <c r="B74" s="611" t="s">
        <v>127</v>
      </c>
      <c r="C74" s="80">
        <f>((SpecialEventsRevenues[[#Totals],[Budget 10/11]]- SpecialEventsCostofSales[[#Totals],[Budget 10/11]]))-SpecialEventsExpenses[[#Totals],[Budget 10/11]]</f>
        <v>-102333.7</v>
      </c>
      <c r="D74" s="80">
        <f>((SpecialEventsRevenues[[#Totals],[Actual 10/11]]- SpecialEventsCostofSales[[#Totals],[Actual 10/11]]))-SpecialEventsExpenses[[#Totals],[Actual 10/11]]</f>
        <v>-131818.63999999998</v>
      </c>
      <c r="E74" s="80">
        <f>((SpecialEventsRevenues[[#Totals],[Budget 11/12]]- SpecialEventsCostofSales[[#Totals],[Budget 11/12]]))-SpecialEventsExpenses[[#Totals],[Budget 11/12]]</f>
        <v>-113880.22</v>
      </c>
      <c r="F74" s="80">
        <f>((SpecialEventsRevenues[[#Totals],[Actual 11/12]]- SpecialEventsCostofSales[[#Totals],[Actual 11/12]]))-SpecialEventsExpenses[[#Totals],[Actual 11/12]]</f>
        <v>-131733.93</v>
      </c>
      <c r="G74" s="80">
        <f>((SpecialEventsRevenues[[#Totals],[Budget 12/13]]- SpecialEventsCostofSales[[#Totals],[Budget 12/13]]))-SpecialEventsExpenses[[#Totals],[Budget 12/13]]</f>
        <v>-95488.84</v>
      </c>
      <c r="H74" s="80">
        <f>((SpecialEventsRevenues[[#Totals],[Actual 12/13]]- SpecialEventsCostofSales[[#Totals],[Actual 12/13]]))-SpecialEventsExpenses[[#Totals],[Actual 12/13]]</f>
        <v>-96883.300000000017</v>
      </c>
      <c r="I74" s="80">
        <f>((SpecialEventsRevenues[[#Totals],[Budget 13/14]]- SpecialEventsCostofSales[[#Totals],[Budget 13/14]]))-SpecialEventsExpenses[[#Totals],[Budget 13/14]]</f>
        <v>-93520.16</v>
      </c>
      <c r="J74" s="80">
        <f>((SpecialEventsRevenues[[#Totals],[Actual 13/14]]- SpecialEventsCostofSales[[#Totals],[Actual 13/14]]))-SpecialEventsExpenses[[#Totals],[Actual 13/14]]</f>
        <v>-115070.31999999998</v>
      </c>
      <c r="K74" s="80">
        <f>((SpecialEventsRevenues[[#Totals],[Budget 14/15]]- SpecialEventsCostofSales[[#Totals],[Budget 14/15]]))-SpecialEventsExpenses[[#Totals],[Budget 14/15]]</f>
        <v>-94351.32</v>
      </c>
      <c r="L74" s="80">
        <f>((SpecialEventsRevenues[[#Totals],[Actual 14/15]]- SpecialEventsCostofSales[[#Totals],[Actual 14/15]]))-SpecialEventsExpenses[[#Totals],[Actual 14/15]]</f>
        <v>-102918.20000000001</v>
      </c>
      <c r="M74" s="80">
        <f>((SpecialEventsRevenues[[#Totals],[Budget 15/16]]- SpecialEventsCostofSales[[#Totals],[Budget 15/16]]))-SpecialEventsExpenses[[#Totals],[Budget 15/16]]</f>
        <v>-91518.32</v>
      </c>
      <c r="N74" s="80">
        <f>((SpecialEventsRevenues[[#Totals],[Actual 15/16]]- SpecialEventsCostofSales[[#Totals],[Actual 15/16]]))-SpecialEventsExpenses[[#Totals],[Actual 15/16]]</f>
        <v>-89843.040000000008</v>
      </c>
      <c r="O74" s="80">
        <f>((SpecialEventsRevenues[[#Totals],[Budget 16/17]]- SpecialEventsCostofSales[[#Totals],[Budget 16/17]]))-SpecialEventsExpenses[[#Totals],[Budget 16/17]]</f>
        <v>-85780</v>
      </c>
      <c r="P74" s="80">
        <f>((SpecialEventsRevenues[[#Totals],[Actual]]- SpecialEventsCostofSales[[#Totals],[actual]]))-SpecialEventsExpenses[[#Totals],[Actual]]</f>
        <v>-78511.67</v>
      </c>
      <c r="Q74" s="80">
        <f>((SpecialEventsRevenues[[#Totals],[Budget 17/18]]- SpecialEventsCostofSales[[#Totals],[Budget 17/18]]))-SpecialEventsExpenses[[#Totals],[Budget 17/18]]</f>
        <v>-86430</v>
      </c>
      <c r="R74" s="80">
        <f>((SpecialEventsRevenues[[#Totals],[Actual 17/18]]- SpecialEventsCostofSales[[#Totals],[Actual 17/18]]))-SpecialEventsExpenses[[#Totals],[Actual 17/18]]</f>
        <v>-78547.270000000019</v>
      </c>
      <c r="S74" s="80">
        <f>((SpecialEventsRevenues[[#Totals],[Budget 18/19]]- SpecialEventsCostofSales[[#Totals],[Budget 18/19]]))-SpecialEventsExpenses[[#Totals],[Budget 18/19]]</f>
        <v>-82600</v>
      </c>
      <c r="T74" s="80">
        <f>((SpecialEventsRevenues[[#Totals],[Actual 18/19]]- SpecialEventsCostofSales[[#Totals],[Actual 18/19]]))-SpecialEventsExpenses[[#Totals],[Actual 18/19]]</f>
        <v>-74050.28</v>
      </c>
      <c r="U74" s="80">
        <f>((SpecialEventsRevenues[[#Totals],[Budget 19/20]]- SpecialEventsCostofSales[[#Totals],[Budget 19/20]]))-SpecialEventsExpenses[[#Totals],[Budget 19/20]]</f>
        <v>-63000</v>
      </c>
      <c r="V74" s="80">
        <f>SpecialEventsRevenues[[#Totals],[Actual P12 19/20]]-SpecialEventsCostofSales[[#Totals],[Actual P12 19/20]]-SpecialEventsExpenses[[#Totals],[Actual P12 19/20]]</f>
        <v>-59745.590000000011</v>
      </c>
      <c r="W74" s="80">
        <f>((SpecialEventsRevenues[[#Totals],[Budget 19/21]]- SpecialEventsCostofSales[[#Totals],[Budget 19/21]]))-SpecialEventsExpenses[[#Totals],[Budget 19/21]]</f>
        <v>-78850</v>
      </c>
      <c r="X74" s="80">
        <f>((SpecialEventsRevenues[[#Totals],[Actual 20/21]]- SpecialEventsCostofSales[[#Totals],[Actual 20/21]]))-SpecialEventsExpenses[[#Totals],[Actual 20/21]]</f>
        <v>-29418.25</v>
      </c>
      <c r="Y74" s="80">
        <f>((SpecialEventsRevenues[[#Totals],[Budget 21/22]]- SpecialEventsCostofSales[[#Totals],[Budget 21/22]]))-SpecialEventsExpenses[[#Totals],[Budget 21/22]]</f>
        <v>-106850</v>
      </c>
      <c r="Z74" s="80">
        <f>((SpecialEventsRevenues[[#Totals],[Actual 21/22]]- SpecialEventsCostofSales[[#Totals],[Actual 21/22]]))-SpecialEventsExpenses[[#Totals],[Actual 21/22]]</f>
        <v>-32749.690000000002</v>
      </c>
      <c r="AA74" s="80">
        <f>((SpecialEventsRevenues[[#Totals],[Budget 22/23]]- SpecialEventsCostofSales[[#Totals],[Budget 22/23]]))-SpecialEventsExpenses[[#Totals],[Budget 22/23]]</f>
        <v>-317453.34999999998</v>
      </c>
    </row>
    <row r="75" spans="1:27">
      <c r="A75" s="48"/>
      <c r="B75" s="11"/>
      <c r="C75" s="21"/>
      <c r="D75" s="21"/>
      <c r="E75" s="21"/>
      <c r="F75" s="21"/>
      <c r="G75" s="21"/>
      <c r="H75" s="21"/>
      <c r="I75" s="21"/>
      <c r="J75" s="21"/>
      <c r="K75" s="21"/>
      <c r="L75" s="21"/>
      <c r="M75" s="21"/>
    </row>
    <row r="76" spans="1:27">
      <c r="A76" s="48"/>
      <c r="B76" s="11"/>
      <c r="C76" s="11"/>
      <c r="D76" s="11"/>
      <c r="E76" s="11"/>
      <c r="F76" s="11"/>
      <c r="G76" s="11"/>
      <c r="H76" s="11"/>
      <c r="I76" s="11"/>
      <c r="J76" s="11"/>
      <c r="K76" s="11"/>
      <c r="L76" s="11"/>
      <c r="M76" s="11"/>
    </row>
    <row r="77" spans="1:27">
      <c r="A77" s="48"/>
      <c r="B77" s="11"/>
      <c r="C77" s="11"/>
      <c r="D77" s="11"/>
      <c r="E77" s="11"/>
      <c r="F77" s="11"/>
      <c r="G77" s="11"/>
      <c r="H77" s="11"/>
      <c r="I77" s="11"/>
      <c r="J77" s="11"/>
      <c r="K77" s="11"/>
      <c r="L77" s="11"/>
      <c r="M77" s="11"/>
    </row>
    <row r="78" spans="1:27">
      <c r="A78" s="48"/>
      <c r="B78" s="11"/>
      <c r="C78" s="11"/>
      <c r="D78" s="11"/>
      <c r="E78" s="11"/>
      <c r="F78" s="11"/>
      <c r="G78" s="11"/>
      <c r="H78" s="11"/>
      <c r="I78" s="11"/>
      <c r="J78" s="11"/>
      <c r="K78" s="11"/>
      <c r="L78" s="11"/>
      <c r="M78" s="11"/>
    </row>
    <row r="79" spans="1:27">
      <c r="A79" s="48"/>
      <c r="B79" s="412"/>
      <c r="C79" s="11"/>
      <c r="D79" s="11"/>
      <c r="E79" s="11"/>
      <c r="F79" s="11"/>
      <c r="G79" s="11"/>
      <c r="H79" s="11"/>
      <c r="I79" s="11"/>
      <c r="J79" s="11"/>
      <c r="K79" s="11"/>
      <c r="L79" s="11"/>
      <c r="M79" s="11"/>
    </row>
    <row r="80" spans="1:27">
      <c r="A80" s="48"/>
      <c r="B80" s="11"/>
      <c r="C80" s="11"/>
      <c r="D80" s="11"/>
      <c r="E80" s="11"/>
      <c r="F80" s="11"/>
      <c r="G80" s="11"/>
      <c r="H80" s="11"/>
      <c r="I80" s="11"/>
      <c r="J80" s="11"/>
      <c r="K80" s="11"/>
      <c r="L80" s="11"/>
      <c r="M80" s="11"/>
    </row>
    <row r="81" spans="1:13">
      <c r="A81" s="48"/>
      <c r="B81" s="50"/>
      <c r="C81" s="11"/>
      <c r="D81" s="11"/>
      <c r="E81" s="11"/>
      <c r="F81" s="11"/>
      <c r="G81" s="11"/>
      <c r="H81" s="11"/>
      <c r="I81" s="11"/>
      <c r="J81" s="11"/>
      <c r="K81" s="11"/>
      <c r="L81" s="11"/>
      <c r="M81" s="11"/>
    </row>
    <row r="82" spans="1:13">
      <c r="A82" s="48"/>
      <c r="B82" s="11"/>
      <c r="C82" s="11"/>
      <c r="D82" s="11"/>
      <c r="E82" s="11"/>
      <c r="F82" s="11"/>
      <c r="G82" s="11"/>
      <c r="H82" s="11"/>
      <c r="I82" s="11"/>
      <c r="J82" s="11"/>
      <c r="K82" s="11"/>
      <c r="L82" s="11"/>
      <c r="M82" s="11"/>
    </row>
    <row r="105" spans="1:2">
      <c r="A105" s="33"/>
    </row>
    <row r="107" spans="1:2">
      <c r="A107" s="33"/>
    </row>
    <row r="108" spans="1:2">
      <c r="A108" s="33"/>
    </row>
    <row r="109" spans="1:2">
      <c r="B109" s="34"/>
    </row>
    <row r="110" spans="1:2">
      <c r="B110" s="34"/>
    </row>
    <row r="111" spans="1:2">
      <c r="B111" s="32"/>
    </row>
    <row r="112" spans="1:2">
      <c r="B112" s="34"/>
    </row>
  </sheetData>
  <customSheetViews>
    <customSheetView guid="{DC934874-AE9C-4DF4-8DA8-4394DABABB42}" showRuler="0" topLeftCell="A8">
      <selection activeCell="G23" sqref="G23"/>
      <pageMargins left="0" right="0" top="0" bottom="0" header="0" footer="0"/>
      <pageSetup orientation="portrait"/>
      <headerFooter alignWithMargins="0"/>
    </customSheetView>
    <customSheetView guid="{7FD89B2E-4983-4B8D-ABA2-A07F685A0C6E}" showRuler="0">
      <selection activeCell="A7" sqref="A7"/>
      <pageMargins left="0" right="0" top="0" bottom="0" header="0" footer="0"/>
      <pageSetup orientation="portrait"/>
      <headerFooter alignWithMargins="0"/>
    </customSheetView>
    <customSheetView guid="{84D8AC11-A493-4338-8044-6F4154C29695}" showRuler="0">
      <selection activeCell="G21" sqref="G21"/>
      <pageMargins left="0" right="0" top="0" bottom="0" header="0" footer="0"/>
      <pageSetup orientation="portrait"/>
      <headerFooter alignWithMargins="0"/>
    </customSheetView>
    <customSheetView guid="{BB157E55-0A2E-4D9F-A3BF-E83E5442FC27}" showPageBreaks="1" showRuler="0">
      <selection activeCell="G21" sqref="G21"/>
      <pageMargins left="0" right="0" top="0" bottom="0" header="0" footer="0"/>
      <pageSetup orientation="portrait"/>
      <headerFooter alignWithMargins="0"/>
    </customSheetView>
  </customSheetViews>
  <mergeCells count="1">
    <mergeCell ref="A1:B1"/>
  </mergeCells>
  <phoneticPr fontId="0" type="noConversion"/>
  <pageMargins left="0.23622047244094491" right="0.23622047244094491" top="0.74803149606299213" bottom="0.74803149606299213" header="0.31496062992125984" footer="0.31496062992125984"/>
  <pageSetup fitToHeight="0" orientation="landscape" r:id="rId1"/>
  <headerFooter alignWithMargins="0"/>
  <legacyDrawing r:id="rId2"/>
  <tableParts count="3">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6B121"/>
  </sheetPr>
  <dimension ref="A1:L33"/>
  <sheetViews>
    <sheetView zoomScale="111" zoomScaleNormal="100" workbookViewId="0">
      <selection activeCell="L12" sqref="L12"/>
    </sheetView>
  </sheetViews>
  <sheetFormatPr defaultColWidth="8.85546875" defaultRowHeight="12.75"/>
  <cols>
    <col min="1" max="1" width="39.7109375" customWidth="1"/>
    <col min="2" max="2" width="16.28515625" hidden="1" customWidth="1"/>
    <col min="3" max="3" width="15.85546875" hidden="1" customWidth="1"/>
    <col min="4" max="4" width="16.42578125" hidden="1" customWidth="1"/>
    <col min="5" max="5" width="19" hidden="1" customWidth="1"/>
    <col min="6" max="6" width="15.28515625" hidden="1" customWidth="1"/>
    <col min="7" max="9" width="16.42578125" customWidth="1"/>
    <col min="10" max="10" width="13.140625" customWidth="1"/>
  </cols>
  <sheetData>
    <row r="1" spans="1:12" ht="18">
      <c r="A1" s="758" t="s">
        <v>2</v>
      </c>
      <c r="B1" s="758"/>
      <c r="C1" s="758"/>
      <c r="D1" s="758"/>
      <c r="E1" s="758"/>
      <c r="F1" s="758"/>
      <c r="G1" s="758"/>
      <c r="H1" s="758"/>
      <c r="I1" s="758"/>
    </row>
    <row r="2" spans="1:12">
      <c r="A2" s="756" t="s">
        <v>3</v>
      </c>
      <c r="B2" s="756"/>
      <c r="C2" s="756"/>
      <c r="D2" s="756"/>
    </row>
    <row r="4" spans="1:12">
      <c r="A4" s="19" t="s">
        <v>38</v>
      </c>
      <c r="B4" s="351" t="s">
        <v>15</v>
      </c>
      <c r="C4" s="34" t="s">
        <v>39</v>
      </c>
      <c r="D4" s="34" t="s">
        <v>16</v>
      </c>
      <c r="E4" s="34" t="s">
        <v>17</v>
      </c>
      <c r="F4" s="359" t="s">
        <v>40</v>
      </c>
      <c r="G4" s="359" t="s">
        <v>41</v>
      </c>
      <c r="H4" s="560" t="s">
        <v>42</v>
      </c>
      <c r="I4" s="560" t="s">
        <v>43</v>
      </c>
      <c r="J4" t="s">
        <v>44</v>
      </c>
    </row>
    <row r="5" spans="1:12">
      <c r="A5" s="19" t="s">
        <v>23</v>
      </c>
      <c r="B5" s="39">
        <f>PresidentSummary70[[#Totals],[Budget 18/19]]</f>
        <v>0</v>
      </c>
      <c r="C5" s="39">
        <f>PresidentSummary70[[#Totals],[Actual 18/19]]</f>
        <v>0</v>
      </c>
      <c r="D5" s="39">
        <f>PresidentSummary70[[#Totals],[Budget 19/20]]</f>
        <v>2740</v>
      </c>
      <c r="E5" s="604">
        <v>2740</v>
      </c>
      <c r="F5" s="39">
        <f>'Governance Portfolio'!V10</f>
        <v>0</v>
      </c>
      <c r="G5" s="8">
        <f>PresidentSummary70[[#Totals],[Budget 21/22]]</f>
        <v>0</v>
      </c>
      <c r="H5" s="8">
        <f>PresidentSummary70[[#Totals],[Actual 21/22]]</f>
        <v>0</v>
      </c>
      <c r="I5" s="8">
        <f>PresidentSummary70[[#Totals],[Budget 22/23]]</f>
        <v>0</v>
      </c>
      <c r="J5" s="406">
        <f>(SummaryRevenues105[[#This Row],[Budget 21/22]]-SummaryRevenues105[[#This Row],[Budget 20/21]])/SummaryRevenues105[[#This Row],[Budget 20/21]]</f>
        <v>-1</v>
      </c>
    </row>
    <row r="6" spans="1:12">
      <c r="A6" s="19" t="s">
        <v>24</v>
      </c>
      <c r="B6" s="39" t="e">
        <f>VPOFSummary69[[#Totals],[Budget 18/19]]</f>
        <v>#REF!</v>
      </c>
      <c r="C6" s="39">
        <f>VPOFSummary69[[#Totals],[Actual 18/19]]</f>
        <v>5530912.96</v>
      </c>
      <c r="D6" s="39">
        <f>VPOFSummary69[[#Totals],[Budget 19/20]]</f>
        <v>5756864.2999999998</v>
      </c>
      <c r="E6" s="605">
        <v>6392943.7884033518</v>
      </c>
      <c r="F6" s="39" t="e">
        <f>'Operations &amp; Finance Portfolio'!V11</f>
        <v>#REF!</v>
      </c>
      <c r="G6" s="8">
        <f>VPOFSummary69[[#Totals],[Budget 21/22]]</f>
        <v>6837920.846225</v>
      </c>
      <c r="H6" s="8">
        <f>VPOFSummary69[[#Totals],[Actual 21/22]]</f>
        <v>0</v>
      </c>
      <c r="I6" s="8">
        <f>VPOFSummary69[[#Totals],[Budget 22/23]]</f>
        <v>9047998.0273192022</v>
      </c>
      <c r="J6" s="406">
        <f>(SummaryRevenues105[[#This Row],[Budget 21/22]]-SummaryRevenues105[[#This Row],[Budget 20/21]])/SummaryRevenues105[[#This Row],[Budget 20/21]]</f>
        <v>6.9604406443996278E-2</v>
      </c>
    </row>
    <row r="7" spans="1:12">
      <c r="A7" s="19" t="s">
        <v>25</v>
      </c>
      <c r="B7" s="39">
        <f>VPINSummary71[[#Totals],[Budget 18/19]]</f>
        <v>52650</v>
      </c>
      <c r="C7" s="39">
        <f>VPINSummary71[[#Totals],[Actual 18/19]]</f>
        <v>81985.91</v>
      </c>
      <c r="D7" s="39">
        <f>VPINSummary71[[#Totals],[Budget 19/20]]</f>
        <v>77406.574999999997</v>
      </c>
      <c r="E7" s="605">
        <v>40300</v>
      </c>
      <c r="F7" s="39">
        <f>'Student Life Portfolio'!V28</f>
        <v>56909.2</v>
      </c>
      <c r="G7" s="8">
        <f>VPINSummary71[[#Totals],[Budget 21/22]]</f>
        <v>31800</v>
      </c>
      <c r="H7" s="183" t="s">
        <v>45</v>
      </c>
      <c r="I7" s="8">
        <f>VPINSummary71[[#Totals],[j]]</f>
        <v>58900</v>
      </c>
      <c r="J7" s="406">
        <f>(SummaryRevenues105[[#This Row],[Budget 21/22]]-SummaryRevenues105[[#This Row],[Budget 20/21]])/SummaryRevenues105[[#This Row],[Budget 20/21]]</f>
        <v>-0.21091811414392059</v>
      </c>
    </row>
    <row r="8" spans="1:12">
      <c r="A8" s="19" t="s">
        <v>26</v>
      </c>
      <c r="B8" s="39">
        <f>VPEDSummary73[[#Totals],[Budget 18/19]]</f>
        <v>0</v>
      </c>
      <c r="C8" s="39">
        <f>VPEDSummary73[[#Totals],[Actual 18/19]]</f>
        <v>0</v>
      </c>
      <c r="D8" s="39">
        <f>VPEDSummary73[[#Totals],[Budget 19/20]]</f>
        <v>0</v>
      </c>
      <c r="E8" s="605">
        <v>0</v>
      </c>
      <c r="F8" s="39">
        <f>'Education &amp; Advocacy Portfolio'!V11</f>
        <v>0</v>
      </c>
      <c r="G8" s="8">
        <f>VPEDSummary73[[#Totals],[Budget 21/22]]</f>
        <v>0</v>
      </c>
      <c r="H8" s="8">
        <f>VPEDSummary73[[#Totals],[Actual 21/22]]</f>
        <v>0</v>
      </c>
      <c r="I8" s="8">
        <f>VPEDSummary73[[#Totals],[Budget 22/23]]</f>
        <v>0</v>
      </c>
      <c r="J8" s="406">
        <v>0</v>
      </c>
      <c r="L8" s="171"/>
    </row>
    <row r="9" spans="1:12">
      <c r="A9" s="302" t="s">
        <v>21</v>
      </c>
      <c r="B9" s="21" t="e">
        <f>SUBTOTAL(109,SummaryRevenues105[Budget 18/19])</f>
        <v>#REF!</v>
      </c>
      <c r="C9" s="21">
        <f>SUBTOTAL(109,SummaryRevenues105[Actual 18/19])</f>
        <v>5612898.8700000001</v>
      </c>
      <c r="D9" s="21">
        <f>SUBTOTAL(109,SummaryRevenues105[Budget 19/20])</f>
        <v>5837010.875</v>
      </c>
      <c r="E9" s="21">
        <f>SUBTOTAL(109,SummaryRevenues105[Budget 20/21])</f>
        <v>6435983.7884033518</v>
      </c>
      <c r="F9" s="21" t="e">
        <f>SUBTOTAL(109,SummaryRevenues105[Actual 20/21])</f>
        <v>#REF!</v>
      </c>
      <c r="G9" s="21">
        <f>SUBTOTAL(109,SummaryRevenues105[Budget 21/22])</f>
        <v>6869720.846225</v>
      </c>
      <c r="H9" s="11"/>
      <c r="I9" s="21">
        <f>SUM(SummaryRevenues105[Budget 22/23])</f>
        <v>9106898.0273192022</v>
      </c>
      <c r="J9" s="406">
        <f>(SummaryRevenues105[[#Totals],[Budget 21/22]]-SummaryRevenues105[[#Totals],[Budget 20/21]])/SummaryRevenues105[[#Totals],[Budget 20/21]]</f>
        <v>6.7392503163723833E-2</v>
      </c>
    </row>
    <row r="10" spans="1:12">
      <c r="J10" s="406"/>
    </row>
    <row r="11" spans="1:12">
      <c r="A11" t="s">
        <v>46</v>
      </c>
      <c r="B11" s="351" t="s">
        <v>15</v>
      </c>
      <c r="C11" s="34" t="s">
        <v>39</v>
      </c>
      <c r="D11" s="34" t="s">
        <v>16</v>
      </c>
      <c r="E11" s="130" t="s">
        <v>17</v>
      </c>
      <c r="F11" s="359" t="s">
        <v>40</v>
      </c>
      <c r="G11" s="359" t="s">
        <v>41</v>
      </c>
      <c r="H11" s="560" t="s">
        <v>42</v>
      </c>
      <c r="I11" s="560" t="s">
        <v>43</v>
      </c>
      <c r="K11" s="406"/>
    </row>
    <row r="12" spans="1:12">
      <c r="A12" s="19" t="s">
        <v>23</v>
      </c>
      <c r="B12" s="39">
        <f>PresidentSummary[[#Totals],[Budget 18/19]]</f>
        <v>87868.680000000008</v>
      </c>
      <c r="C12" s="39">
        <f>PresidentSummary[[#Totals],[Actual 18/19]]</f>
        <v>85418.73000000001</v>
      </c>
      <c r="D12" s="39">
        <f>PresidentSummary[[#Totals],[Budget 19/20]]</f>
        <v>105901.45880000001</v>
      </c>
      <c r="E12" s="604">
        <v>144736.16213333333</v>
      </c>
      <c r="F12" s="8">
        <f>'Governance Portfolio'!V18</f>
        <v>85307.39</v>
      </c>
      <c r="G12" s="183">
        <f>PresidentSummary[[#Totals],[Budget 21/22]]</f>
        <v>183757.86147865519</v>
      </c>
      <c r="H12" s="183">
        <f>PresidentSummary[[#Totals],[Actual 21/22]]</f>
        <v>108732.5</v>
      </c>
      <c r="I12" s="183">
        <f>PresidentSummary[[#Totals],[Budget 22/23]]</f>
        <v>148503.33333333331</v>
      </c>
      <c r="K12" s="406">
        <f>(SummaryExpenses106[[#This Row],[Budget 21/22]]-SummaryExpenses106[[#This Row],[Budget 20/21]])/SummaryExpenses106[[#This Row],[Budget 20/21]]</f>
        <v>0.26960573480851613</v>
      </c>
    </row>
    <row r="13" spans="1:12">
      <c r="A13" s="19" t="s">
        <v>24</v>
      </c>
      <c r="B13" s="4" t="e">
        <f>VPOFSummary[[#Totals],[Budget 18/19]]</f>
        <v>#REF!</v>
      </c>
      <c r="C13" s="4">
        <f>VPOFSummary[[#Totals],[Actual 18/19]]</f>
        <v>5328342.95</v>
      </c>
      <c r="D13" s="4">
        <f>VPOFSummary[[#Totals],[Budget 19/20]]</f>
        <v>5057657.71</v>
      </c>
      <c r="E13" s="605">
        <v>5180098.0596399</v>
      </c>
      <c r="F13" s="8" t="e">
        <f>'Operations &amp; Finance Portfolio'!V21</f>
        <v>#REF!</v>
      </c>
      <c r="G13" s="183">
        <f>VPOFSummary[[#Totals],[Budget 21/22]]</f>
        <v>6114441.124411989</v>
      </c>
      <c r="H13" s="183">
        <f>VPOFSummary[[#Totals],[Actual 21/22]]</f>
        <v>0</v>
      </c>
      <c r="I13" s="183">
        <f>VPOFSummary[[#Totals],[Budget 22/23]]</f>
        <v>6968094.8928970583</v>
      </c>
      <c r="K13" s="406">
        <f>(SummaryExpenses106[[#This Row],[Budget 21/22]]-SummaryExpenses106[[#This Row],[Budget 20/21]])/SummaryExpenses106[[#This Row],[Budget 20/21]]</f>
        <v>0.18037169451518856</v>
      </c>
    </row>
    <row r="14" spans="1:12">
      <c r="A14" s="19" t="s">
        <v>25</v>
      </c>
      <c r="B14" s="39">
        <f>VPINSummary[[#Totals],[Budget 18/19]]</f>
        <v>372908.38</v>
      </c>
      <c r="C14" s="39">
        <f>VPINSummary[[#Totals],[Actual 18/19]]</f>
        <v>359148.56000000006</v>
      </c>
      <c r="D14" s="39">
        <f>VPINSummary[[#Totals],[Budget 19/20]]</f>
        <v>352439.23880000005</v>
      </c>
      <c r="E14" s="605">
        <v>417829.70880000002</v>
      </c>
      <c r="F14" s="8">
        <f>'Student Life Portfolio'!V53</f>
        <v>328077.65000000002</v>
      </c>
      <c r="G14" s="183">
        <f>VPINSummary[[#Totals],[Budget 21/22]]</f>
        <v>626294.78747865511</v>
      </c>
      <c r="H14" s="183">
        <f>VPINSummary[[#Totals],[Actual 21/22]]</f>
        <v>411469.71</v>
      </c>
      <c r="I14" s="183">
        <f>VPINSummary[[#Totals],[Budget 22/23]]</f>
        <v>909164.55999999994</v>
      </c>
      <c r="K14" s="406">
        <f>(SummaryExpenses106[[#This Row],[Budget 21/22]]-SummaryExpenses106[[#This Row],[Budget 20/21]])/SummaryExpenses106[[#This Row],[Budget 20/21]]</f>
        <v>0.49892354298444536</v>
      </c>
    </row>
    <row r="15" spans="1:12">
      <c r="A15" s="19" t="s">
        <v>26</v>
      </c>
      <c r="B15" s="39">
        <f>VPEDSummary[[#Totals],[Budget 18/19]]</f>
        <v>197388.68</v>
      </c>
      <c r="C15" s="39">
        <f>VPEDSummary[[#Totals],[Actual 18/19]]</f>
        <v>197129.14000000004</v>
      </c>
      <c r="D15" s="39">
        <f>VPEDSummary[[#Totals],[Budget 19/20]]</f>
        <v>207184.75029999996</v>
      </c>
      <c r="E15" s="605">
        <v>229347.38213333336</v>
      </c>
      <c r="F15" s="8">
        <f>'Education &amp; Advocacy Portfolio'!V20</f>
        <v>158416.18999999997</v>
      </c>
      <c r="G15" s="8">
        <f>VPEDSummary[[#Totals],[Budget 21/22]]</f>
        <v>282961.58147865516</v>
      </c>
      <c r="H15" s="8" t="str">
        <f>VPEDSummary[[#Totals],[Actual 21/22]]</f>
        <v xml:space="preserve"> $151,288.02 </v>
      </c>
      <c r="I15" s="8">
        <f>VPEDSummary[[#Totals],[Budget 22/23]]</f>
        <v>303564.54333333333</v>
      </c>
      <c r="K15" s="406">
        <f>(SummaryExpenses106[[#This Row],[Budget 21/22]]-SummaryExpenses106[[#This Row],[Budget 20/21]])/SummaryExpenses106[[#This Row],[Budget 20/21]]</f>
        <v>0.2337685254857309</v>
      </c>
    </row>
    <row r="16" spans="1:12">
      <c r="A16" s="302" t="s">
        <v>21</v>
      </c>
      <c r="B16" s="21" t="e">
        <f>SUBTOTAL(109,SummaryExpenses106[Budget 18/19])</f>
        <v>#REF!</v>
      </c>
      <c r="C16" s="21">
        <f>SUBTOTAL(109,SummaryExpenses106[Actual 18/19])</f>
        <v>5970039.3799999999</v>
      </c>
      <c r="D16" s="21">
        <f>SUBTOTAL(109,SummaryExpenses106[Budget 19/20])</f>
        <v>5723183.1579</v>
      </c>
      <c r="E16" s="21">
        <f>SUBTOTAL(109,SummaryExpenses106[Budget 20/21])</f>
        <v>5972011.3127065664</v>
      </c>
      <c r="F16" s="21" t="e">
        <f>SUBTOTAL(109,SummaryExpenses106[Actual 20/21])</f>
        <v>#REF!</v>
      </c>
      <c r="G16" s="21">
        <f>SUBTOTAL(109,SummaryExpenses106[Budget 21/22])</f>
        <v>7207455.3548479546</v>
      </c>
      <c r="H16" s="21">
        <f>SUBTOTAL(109,SummaryExpenses106[Actual 21/22])</f>
        <v>520202.21</v>
      </c>
      <c r="I16" s="21">
        <f>SUM(SummaryExpenses106[Budget 22/23])</f>
        <v>8329327.3295637239</v>
      </c>
      <c r="K16" s="406">
        <f>(SummaryExpenses106[[#Totals],[Budget 21/22]]-SummaryExpenses106[[#Totals],[Budget 20/21]])/SummaryExpenses106[[#Totals],[Budget 20/21]]</f>
        <v>0.206872354630801</v>
      </c>
    </row>
    <row r="17" spans="1:11" ht="13.5" thickBot="1">
      <c r="J17" s="406"/>
    </row>
    <row r="18" spans="1:11" ht="16.5" thickBot="1">
      <c r="A18" s="603" t="s">
        <v>47</v>
      </c>
      <c r="B18" s="118" t="e">
        <f>SummaryRevenues105[[#Totals],[Budget 18/19]]-SummaryExpenses106[[#Totals],[Budget 18/19]]</f>
        <v>#REF!</v>
      </c>
      <c r="C18" s="118">
        <f>SummaryRevenues105[[#Totals],[Actual 18/19]]-SummaryExpenses106[[#Totals],[Actual 18/19]]</f>
        <v>-357140.50999999978</v>
      </c>
      <c r="D18" s="118">
        <f>SummaryRevenues105[[#Totals],[Budget 19/20]]-SummaryExpenses106[[#Totals],[Budget 19/20]]</f>
        <v>113827.71710000001</v>
      </c>
      <c r="E18" s="118">
        <f>SummaryRevenues105[[#Totals],[Budget 20/21]]-SummaryExpenses106[[#Totals],[Budget 20/21]]</f>
        <v>463972.47569678538</v>
      </c>
      <c r="F18" s="118" t="e">
        <f>SummaryRevenues105[[#Totals],[Actual 20/21]]-SummaryExpenses106[[#Totals],[Actual 20/21]]</f>
        <v>#REF!</v>
      </c>
      <c r="G18" s="118">
        <f>SummaryRevenues105[[#Totals],[Budget 21/22]]-SummaryExpenses106[[#Totals],[Budget 21/22]]</f>
        <v>-337734.5086229546</v>
      </c>
      <c r="H18" s="118">
        <f>SummaryRevenues105[[#Totals],[Actual 21/22]]-SummaryExpenses106[[#Totals],[Actual 21/22]]</f>
        <v>-520202.21</v>
      </c>
      <c r="I18" s="118">
        <f>SummaryRevenues105[[#Totals],[Budget 22/23]]-SummaryExpenses106[[#Totals],[Budget 22/23]]</f>
        <v>777570.69775547832</v>
      </c>
      <c r="J18" s="406">
        <f>(G18-E18)/E18</f>
        <v>-1.7279192760642774</v>
      </c>
      <c r="K18" s="19"/>
    </row>
    <row r="19" spans="1:11">
      <c r="J19" s="351"/>
    </row>
    <row r="20" spans="1:11" ht="18">
      <c r="A20" s="352"/>
      <c r="E20" s="757"/>
      <c r="F20" s="757"/>
      <c r="G20" s="407"/>
      <c r="H20" s="407"/>
      <c r="I20" s="407"/>
      <c r="J20" s="407"/>
    </row>
    <row r="22" spans="1:11">
      <c r="A22" s="19"/>
      <c r="B22" s="39"/>
      <c r="C22" s="39"/>
      <c r="D22" s="39"/>
      <c r="E22" s="39"/>
    </row>
    <row r="23" spans="1:11">
      <c r="A23" s="19"/>
      <c r="B23" s="39"/>
      <c r="C23" s="39"/>
      <c r="D23" s="39"/>
      <c r="E23" s="39"/>
    </row>
    <row r="24" spans="1:11">
      <c r="A24" s="19"/>
      <c r="B24" s="39"/>
      <c r="C24" s="39"/>
      <c r="D24" s="39"/>
      <c r="E24" s="39"/>
    </row>
    <row r="25" spans="1:11">
      <c r="A25" s="19"/>
      <c r="B25" s="39"/>
      <c r="C25" s="39"/>
      <c r="D25" s="39"/>
      <c r="E25" s="39"/>
    </row>
    <row r="26" spans="1:11">
      <c r="A26" s="19"/>
      <c r="B26" s="39"/>
      <c r="C26" s="39"/>
      <c r="D26" s="39"/>
      <c r="E26" s="39"/>
    </row>
    <row r="27" spans="1:11">
      <c r="A27" s="19"/>
      <c r="B27" s="39"/>
      <c r="C27" s="39"/>
      <c r="D27" s="39"/>
      <c r="E27" s="39"/>
    </row>
    <row r="28" spans="1:11">
      <c r="A28" s="19"/>
      <c r="B28" s="39"/>
      <c r="C28" s="39"/>
      <c r="D28" s="39"/>
      <c r="E28" s="39"/>
    </row>
    <row r="29" spans="1:11">
      <c r="A29" s="19"/>
      <c r="B29" s="39"/>
      <c r="C29" s="39"/>
      <c r="D29" s="39"/>
      <c r="E29" s="39"/>
    </row>
    <row r="30" spans="1:11">
      <c r="A30" s="19"/>
      <c r="B30" s="39"/>
      <c r="C30" s="39"/>
      <c r="D30" s="39"/>
      <c r="E30" s="39"/>
    </row>
    <row r="31" spans="1:11">
      <c r="A31" s="19"/>
      <c r="B31" s="39"/>
      <c r="C31" s="39"/>
      <c r="D31" s="39"/>
      <c r="E31" s="39"/>
    </row>
    <row r="33" spans="2:2">
      <c r="B33" s="8"/>
    </row>
  </sheetData>
  <mergeCells count="3">
    <mergeCell ref="A2:D2"/>
    <mergeCell ref="E20:F20"/>
    <mergeCell ref="A1:I1"/>
  </mergeCells>
  <phoneticPr fontId="117" type="noConversion"/>
  <pageMargins left="0.7" right="0.7" top="0.75" bottom="0.75" header="0.3" footer="0.3"/>
  <pageSetup orientation="landscape" r:id="rId1"/>
  <tableParts count="2">
    <tablePart r:id="rId2"/>
    <tablePart r:id="rId3"/>
  </tablePar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E99C9-71CF-4F08-879B-9A266DB6A4DE}">
  <sheetPr>
    <tabColor theme="1"/>
  </sheetPr>
  <dimension ref="A1:C31"/>
  <sheetViews>
    <sheetView workbookViewId="0">
      <selection activeCell="C21" sqref="C21"/>
    </sheetView>
  </sheetViews>
  <sheetFormatPr defaultColWidth="8.85546875" defaultRowHeight="12.75"/>
  <cols>
    <col min="2" max="2" width="28.140625" customWidth="1"/>
    <col min="3" max="3" width="14.140625" bestFit="1" customWidth="1"/>
  </cols>
  <sheetData>
    <row r="1" spans="1:3" ht="18">
      <c r="A1" s="758" t="s">
        <v>731</v>
      </c>
      <c r="B1" s="759"/>
    </row>
    <row r="2" spans="1:3">
      <c r="A2" s="28" t="s">
        <v>226</v>
      </c>
      <c r="B2" s="11"/>
    </row>
    <row r="4" spans="1:3">
      <c r="A4" s="48" t="s">
        <v>130</v>
      </c>
      <c r="B4" s="11" t="s">
        <v>72</v>
      </c>
      <c r="C4" s="11" t="s">
        <v>43</v>
      </c>
    </row>
    <row r="5" spans="1:3">
      <c r="A5" s="48"/>
      <c r="B5" s="11"/>
      <c r="C5" s="70"/>
    </row>
    <row r="6" spans="1:3">
      <c r="A6" s="48"/>
      <c r="B6" s="11" t="s">
        <v>343</v>
      </c>
      <c r="C6" s="70">
        <v>20000</v>
      </c>
    </row>
    <row r="7" spans="1:3">
      <c r="A7" s="48"/>
      <c r="B7" s="11" t="s">
        <v>227</v>
      </c>
      <c r="C7" s="70"/>
    </row>
    <row r="8" spans="1:3">
      <c r="A8" s="48"/>
      <c r="B8" s="11" t="s">
        <v>295</v>
      </c>
      <c r="C8" s="70"/>
    </row>
    <row r="9" spans="1:3">
      <c r="A9" s="11"/>
      <c r="B9" s="11" t="s">
        <v>21</v>
      </c>
      <c r="C9" s="401">
        <f>SUM(C5:C8)</f>
        <v>20000</v>
      </c>
    </row>
    <row r="10" spans="1:3">
      <c r="A10" s="11"/>
      <c r="B10" s="11"/>
    </row>
    <row r="11" spans="1:3">
      <c r="A11" s="11"/>
      <c r="B11" s="11"/>
    </row>
    <row r="12" spans="1:3">
      <c r="A12" s="48" t="s">
        <v>130</v>
      </c>
      <c r="B12" s="11" t="s">
        <v>22</v>
      </c>
      <c r="C12" s="11" t="s">
        <v>43</v>
      </c>
    </row>
    <row r="13" spans="1:3">
      <c r="A13" s="595"/>
      <c r="B13" s="11" t="s">
        <v>425</v>
      </c>
      <c r="C13" s="117">
        <f>16*15*25*3*1.13</f>
        <v>20339.999999999996</v>
      </c>
    </row>
    <row r="14" spans="1:3">
      <c r="A14" s="596"/>
      <c r="B14" s="11" t="s">
        <v>142</v>
      </c>
      <c r="C14" s="117">
        <v>1020</v>
      </c>
    </row>
    <row r="15" spans="1:3">
      <c r="A15" s="596"/>
      <c r="B15" s="11" t="s">
        <v>100</v>
      </c>
      <c r="C15" s="117"/>
    </row>
    <row r="16" spans="1:3">
      <c r="A16" s="596"/>
      <c r="B16" s="11" t="s">
        <v>110</v>
      </c>
      <c r="C16" s="117"/>
    </row>
    <row r="17" spans="1:3">
      <c r="A17" s="596"/>
      <c r="B17" s="11" t="s">
        <v>732</v>
      </c>
      <c r="C17" s="117">
        <v>1000</v>
      </c>
    </row>
    <row r="18" spans="1:3">
      <c r="A18" s="596"/>
      <c r="B18" s="11" t="s">
        <v>300</v>
      </c>
      <c r="C18" s="117">
        <v>150</v>
      </c>
    </row>
    <row r="19" spans="1:3">
      <c r="A19" s="596"/>
      <c r="B19" s="11" t="s">
        <v>104</v>
      </c>
      <c r="C19" s="117"/>
    </row>
    <row r="20" spans="1:3">
      <c r="A20" s="596"/>
      <c r="B20" s="11" t="s">
        <v>307</v>
      </c>
      <c r="C20" s="117"/>
    </row>
    <row r="21" spans="1:3">
      <c r="A21" s="596"/>
      <c r="B21" s="11" t="s">
        <v>114</v>
      </c>
      <c r="C21" s="117">
        <v>4500</v>
      </c>
    </row>
    <row r="22" spans="1:3">
      <c r="A22" s="596"/>
      <c r="B22" s="11" t="s">
        <v>416</v>
      </c>
      <c r="C22" s="117"/>
    </row>
    <row r="23" spans="1:3">
      <c r="A23" s="596"/>
      <c r="B23" s="11" t="s">
        <v>436</v>
      </c>
      <c r="C23" s="117"/>
    </row>
    <row r="24" spans="1:3">
      <c r="A24" s="596"/>
      <c r="B24" s="11" t="s">
        <v>438</v>
      </c>
      <c r="C24" s="117"/>
    </row>
    <row r="25" spans="1:3">
      <c r="A25" s="596"/>
      <c r="B25" s="11" t="s">
        <v>440</v>
      </c>
      <c r="C25" s="117"/>
    </row>
    <row r="26" spans="1:3">
      <c r="A26" s="596"/>
      <c r="B26" s="11" t="s">
        <v>442</v>
      </c>
      <c r="C26" s="117"/>
    </row>
    <row r="27" spans="1:3">
      <c r="A27" s="596"/>
      <c r="B27" s="11" t="s">
        <v>444</v>
      </c>
      <c r="C27" s="117"/>
    </row>
    <row r="28" spans="1:3">
      <c r="A28" s="596"/>
      <c r="B28" s="11" t="s">
        <v>446</v>
      </c>
      <c r="C28" s="117"/>
    </row>
    <row r="29" spans="1:3">
      <c r="A29" s="11"/>
      <c r="B29" s="11" t="s">
        <v>21</v>
      </c>
      <c r="C29" s="21">
        <f>SUM(C13:C28)</f>
        <v>27009.999999999996</v>
      </c>
    </row>
    <row r="30" spans="1:3" ht="13.5" thickBot="1">
      <c r="A30" s="11"/>
      <c r="B30" s="11"/>
    </row>
    <row r="31" spans="1:3" ht="19.5" thickBot="1">
      <c r="A31" s="11"/>
      <c r="B31" s="611" t="s">
        <v>127</v>
      </c>
      <c r="C31" s="64">
        <f>C9-C29</f>
        <v>-7009.9999999999964</v>
      </c>
    </row>
  </sheetData>
  <mergeCells count="1">
    <mergeCell ref="A1:B1"/>
  </mergeCells>
  <pageMargins left="0.7" right="0.7" top="0.75" bottom="0.75" header="0.3" footer="0.3"/>
  <legacyDrawing r:id="rId1"/>
  <tableParts count="2">
    <tablePart r:id="rId2"/>
    <tablePart r:id="rId3"/>
  </tablePar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FF00"/>
    <pageSetUpPr fitToPage="1"/>
  </sheetPr>
  <dimension ref="A1:Z24"/>
  <sheetViews>
    <sheetView showGridLines="0" zoomScaleNormal="100" workbookViewId="0">
      <pane xSplit="1" topLeftCell="R1" activePane="topRight" state="frozen"/>
      <selection pane="topRight" activeCell="X21" sqref="X21"/>
    </sheetView>
  </sheetViews>
  <sheetFormatPr defaultColWidth="11.42578125" defaultRowHeight="12.75"/>
  <cols>
    <col min="1" max="1" width="59.7109375" customWidth="1"/>
    <col min="2" max="12" width="15.42578125" hidden="1" customWidth="1"/>
    <col min="13" max="13" width="15.140625" hidden="1" customWidth="1"/>
    <col min="14" max="14" width="18.7109375" hidden="1" customWidth="1"/>
    <col min="15" max="15" width="17.28515625" hidden="1" customWidth="1"/>
    <col min="16" max="17" width="19.42578125" hidden="1" customWidth="1"/>
    <col min="18" max="18" width="26.42578125" hidden="1" customWidth="1"/>
    <col min="19" max="19" width="16.140625" hidden="1" customWidth="1"/>
    <col min="20" max="20" width="17.42578125" hidden="1" customWidth="1"/>
    <col min="21" max="21" width="15.42578125" hidden="1" customWidth="1"/>
    <col min="22" max="22" width="14.85546875" hidden="1" customWidth="1"/>
    <col min="23" max="23" width="14.42578125" customWidth="1"/>
    <col min="24" max="24" width="12.7109375" bestFit="1" customWidth="1"/>
    <col min="25" max="25" width="13.42578125" customWidth="1"/>
  </cols>
  <sheetData>
    <row r="1" spans="1:25" ht="18">
      <c r="A1" s="552" t="s">
        <v>733</v>
      </c>
    </row>
    <row r="2" spans="1:25">
      <c r="A2" s="28" t="s">
        <v>199</v>
      </c>
    </row>
    <row r="4" spans="1:25">
      <c r="A4" s="19" t="s">
        <v>734</v>
      </c>
      <c r="B4" t="s">
        <v>73</v>
      </c>
      <c r="C4" t="s">
        <v>74</v>
      </c>
      <c r="D4" t="s">
        <v>75</v>
      </c>
      <c r="E4" t="s">
        <v>76</v>
      </c>
      <c r="F4" t="s">
        <v>77</v>
      </c>
      <c r="G4" t="s">
        <v>78</v>
      </c>
      <c r="H4" t="s">
        <v>5</v>
      </c>
      <c r="I4" t="s">
        <v>6</v>
      </c>
      <c r="J4" t="s">
        <v>7</v>
      </c>
      <c r="K4" t="s">
        <v>79</v>
      </c>
      <c r="L4" t="s">
        <v>9</v>
      </c>
      <c r="M4" s="19" t="s">
        <v>10</v>
      </c>
      <c r="N4" s="19" t="s">
        <v>11</v>
      </c>
      <c r="O4" s="19" t="s">
        <v>12</v>
      </c>
      <c r="P4" s="19" t="s">
        <v>13</v>
      </c>
      <c r="Q4" s="19" t="s">
        <v>14</v>
      </c>
      <c r="R4" s="19" t="s">
        <v>15</v>
      </c>
      <c r="S4" s="19" t="s">
        <v>39</v>
      </c>
      <c r="T4" s="19" t="s">
        <v>16</v>
      </c>
      <c r="U4" s="19" t="s">
        <v>17</v>
      </c>
      <c r="V4" s="19" t="s">
        <v>40</v>
      </c>
      <c r="W4" s="19" t="s">
        <v>41</v>
      </c>
      <c r="X4" s="5" t="s">
        <v>42</v>
      </c>
      <c r="Y4" s="5" t="s">
        <v>43</v>
      </c>
    </row>
    <row r="5" spans="1:25">
      <c r="A5" s="19" t="s">
        <v>735</v>
      </c>
      <c r="B5" s="84">
        <f>VPEDRevenues[[#Totals],[Budget 10/11]]-VPEDExpenses[[#Totals],[Budget 10/11]]</f>
        <v>-51680.18</v>
      </c>
      <c r="C5" s="84">
        <f>VPEDRevenues[[#Totals],[Actual 10/11]]-VPEDExpenses[[#Totals],[Actual 10/11]]</f>
        <v>-47104.94</v>
      </c>
      <c r="D5" s="84">
        <f>VPEDRevenues[[#Totals],[Budget 11/12]]-VPEDExpenses[[#Totals],[Budget 11/12]]</f>
        <v>-59237.1</v>
      </c>
      <c r="E5" s="84">
        <f>VPEDRevenues[[#Totals],[Actual 11/12]]-VPEDExpenses[[#Totals],[Actual 11/12]]</f>
        <v>-54541.15</v>
      </c>
      <c r="F5" s="84">
        <f>VPEDRevenues[[#Totals],[Budget 12/13]]-VPEDExpenses[[#Totals],[Budget 12/13]]</f>
        <v>-68297.308000000005</v>
      </c>
      <c r="G5" s="84">
        <f>VPEDRevenues[[#Totals],[Actual 12/13]]-VPEDExpenses[[#Totals],[Actual 12/13]]</f>
        <v>-71050.740000000005</v>
      </c>
      <c r="H5" s="84">
        <f>VPEDRevenues[[#Totals],[Budget 13/14]]-VPEDExpenses[[#Totals],[Budget 13/14]]</f>
        <v>-82168.12</v>
      </c>
      <c r="I5" s="84">
        <f>VPEDRevenues[[#Totals],[Actual 13/14]]-VPEDExpenses[[#Totals],[Actual 13/14]]</f>
        <v>-74754.840000000011</v>
      </c>
      <c r="J5" s="84">
        <f>VPEDRevenues[[#Totals],[Budget 14/15]]-VPEDExpenses[[#Totals],[Budget 14/15]]</f>
        <v>-94643.64</v>
      </c>
      <c r="K5" s="84">
        <f>VPEDRevenues[[#Totals],[Actual 14/15]]-VPEDExpenses[[#Totals],[Actual 14/15]]</f>
        <v>-77532.689999999973</v>
      </c>
      <c r="L5" s="84">
        <f>VPEDRevenues[[#Totals],[Budget 15/16]]-VPEDExpenses[[#Totals],[Budget 15/16]]</f>
        <v>-94987.760000000009</v>
      </c>
      <c r="M5" s="84">
        <f>VPEDRevenues[[#Totals],[Actual 15/16]]-VPEDExpenses[[#Totals],[Actual 15/16]]</f>
        <v>-66749.040000000008</v>
      </c>
      <c r="N5" s="84">
        <f>VPEDRevenues[[#Totals],[Budget 16/17]]-VPEDExpenses[[#Totals],[Budget 16/17]]</f>
        <v>-88005.350760000001</v>
      </c>
      <c r="O5" s="84">
        <f>VPEDRevenues[[#Totals],[Actual 16/17]]-VPEDExpenses[[#Totals],[Actual 16/17]]</f>
        <v>-83781.260000000024</v>
      </c>
      <c r="P5" s="84"/>
      <c r="Q5" s="44"/>
      <c r="R5" s="84">
        <f>VPEDRevenues[[#Totals],[Budget 18/19]]</f>
        <v>0</v>
      </c>
      <c r="S5" s="84">
        <f>VPEDRevenues[[#Totals],[Actual 18/19]]</f>
        <v>0</v>
      </c>
      <c r="T5" s="84">
        <f>VPEDRevenues[[#Totals],[Budget 19/20]]</f>
        <v>0</v>
      </c>
      <c r="U5" s="84">
        <f>VPEDRevenues[[#Totals],[Budget 20/21]]</f>
        <v>0</v>
      </c>
      <c r="V5" s="84">
        <f>'VP Education (40100)'!Y6</f>
        <v>0</v>
      </c>
    </row>
    <row r="6" spans="1:25" hidden="1">
      <c r="A6" s="19" t="s">
        <v>736</v>
      </c>
      <c r="B6" s="84">
        <v>0</v>
      </c>
      <c r="C6" s="84">
        <v>0</v>
      </c>
      <c r="D6" s="84">
        <v>0</v>
      </c>
      <c r="E6" s="84">
        <v>0</v>
      </c>
      <c r="F6" s="84">
        <v>0</v>
      </c>
      <c r="G6" s="84">
        <v>0</v>
      </c>
      <c r="H6" s="84">
        <v>0</v>
      </c>
      <c r="I6" s="84">
        <v>0</v>
      </c>
      <c r="J6" s="84">
        <v>-3491.01</v>
      </c>
      <c r="K6" s="84">
        <v>-3046.53</v>
      </c>
      <c r="L6" s="84">
        <f>SRORevenues[[#Totals],[Budget 15/16]]-SROExpenses[[#Totals],[Budget 15/16]]</f>
        <v>-2791.01</v>
      </c>
      <c r="M6" s="84">
        <v>0</v>
      </c>
      <c r="N6" s="84">
        <f>SRORevenues[[#Totals],[Budget 16/17]]-SROExpenses[[#Totals],[Budget 16/17]]</f>
        <v>-2105</v>
      </c>
      <c r="O6" s="84">
        <f>SRORevenues[[#Totals],[Actual 16/17]]-SROExpenses[[#Totals],[Actual 16/17]]</f>
        <v>-512.61</v>
      </c>
      <c r="P6" s="84"/>
      <c r="Q6" s="84"/>
      <c r="R6" s="337">
        <f>SRORevenues[[#Totals],[Budget 18/19]]</f>
        <v>0</v>
      </c>
      <c r="S6" s="337">
        <f>SRORevenues[[#Totals],[Actual 18/19]]</f>
        <v>0</v>
      </c>
      <c r="T6" s="337">
        <f>SRORevenues[[#Totals],[Budget 19/20]]</f>
        <v>0</v>
      </c>
      <c r="U6" s="337">
        <f>SRORevenues[[#Totals],[Budget 20/21]]</f>
        <v>0</v>
      </c>
      <c r="V6" s="337"/>
    </row>
    <row r="7" spans="1:25">
      <c r="A7" s="19" t="s">
        <v>737</v>
      </c>
      <c r="B7" s="84">
        <f>OUSARevenues[[#Totals],[Budget 10/11]]-OUSAExpenses[[#Totals],[Budget 10/11]]</f>
        <v>-74496.88</v>
      </c>
      <c r="C7" s="84">
        <f>OUSARevenues[[#Totals],[Actual 10/11]]-OUSAExpenses[[#Totals],[Actual 10/11]]</f>
        <v>-75721.239999999991</v>
      </c>
      <c r="D7" s="84">
        <f>OUSARevenues[[#Totals],[Budget 11/12]]-OUSAExpenses[[#Totals],[Budget 11/12]]</f>
        <v>-78882.2</v>
      </c>
      <c r="E7" s="84">
        <f>OUSARevenues[[#Totals],[Actual 11/12]]-OUSAExpenses[[#Totals],[Actual 11/12]]</f>
        <v>-82224.53</v>
      </c>
      <c r="F7" s="84">
        <f>OUSARevenues[[#Totals],[Budget 12/13]]-OUSAExpenses[[#Totals],[Budget 11/122]]</f>
        <v>-84347</v>
      </c>
      <c r="G7" s="84">
        <f>OUSARevenues[[#Totals],[Actual 12/13]]-OUSAExpenses[[#Totals],[Actual 12/13]]</f>
        <v>-88258.52</v>
      </c>
      <c r="H7" s="84">
        <f>OUSARevenues[[#Totals],[Budget 13/14]]-OUSAExpenses[[#Totals],[Budget 13/14]]</f>
        <v>-94300</v>
      </c>
      <c r="I7" s="84">
        <f>OUSARevenues[[#Totals],[Actual 13/14]]-OUSAExpenses[[#Totals],[Actual 13/14]]</f>
        <v>-77573.31</v>
      </c>
      <c r="J7" s="84">
        <f>OUSARevenues[[#Totals],[Budget 14/15]]-OUSAExpenses[[#Totals],[Budget 14/15]]</f>
        <v>-97548</v>
      </c>
      <c r="K7" s="84">
        <f>OUSARevenues[[#Totals],[Actual 14/15]]-OUSAExpenses[[#Totals],[Actual 14/15]]</f>
        <v>-96025.55</v>
      </c>
      <c r="L7" s="84">
        <f>OUSARevenues[[#Totals],[Budget 15/16]]-OUSAExpenses[[#Totals],[Budget 15/16]]</f>
        <v>-99685.331999999995</v>
      </c>
      <c r="M7" s="84">
        <f>OUSARevenues[[#Totals],[Actual 15/16]]-OUSAExpenses[[#Totals],[Actual 15/16]]</f>
        <v>-96120.42</v>
      </c>
      <c r="N7" s="84">
        <f>OUSARevenues[[#Totals],[Budget 16/17]]-OUSAExpenses[[#Totals],[Budget 16/17]]</f>
        <v>-102907</v>
      </c>
      <c r="O7" s="84">
        <f>OUSARevenues[[#Totals],[Actual 16/17]]-OUSAExpenses[[#Totals],[Actual 16/17]]</f>
        <v>-102214.04000000001</v>
      </c>
      <c r="P7" s="84"/>
      <c r="Q7" s="84"/>
      <c r="R7" s="84">
        <f>OUSARevenues[[#Totals],[Budget 18/19]]</f>
        <v>0</v>
      </c>
      <c r="S7" s="84">
        <f>OUSARevenues[[#Totals],[Actual 18/19]]</f>
        <v>0</v>
      </c>
      <c r="T7" s="84">
        <f>OUSARevenues[[#Totals],[Budget 19/20]]</f>
        <v>0</v>
      </c>
      <c r="U7" s="84">
        <f>OUSARevenues[[#Totals],[Budget 20/21]]</f>
        <v>0</v>
      </c>
      <c r="V7" s="84">
        <f>'OUSA (41400)'!X7</f>
        <v>0</v>
      </c>
    </row>
    <row r="8" spans="1:25">
      <c r="A8" s="19" t="s">
        <v>738</v>
      </c>
      <c r="B8" s="84">
        <v>0</v>
      </c>
      <c r="C8" s="84">
        <v>0</v>
      </c>
      <c r="D8" s="84">
        <v>0</v>
      </c>
      <c r="E8" s="84">
        <v>0</v>
      </c>
      <c r="F8" s="84">
        <v>0</v>
      </c>
      <c r="G8" s="84">
        <v>0</v>
      </c>
      <c r="H8" s="84">
        <f>AcademicAffairsRevenues[[#Totals],[Budget 13/14]]-AcademicAffairsExpenses[[#Totals],[Budget 13/14]]</f>
        <v>-3610</v>
      </c>
      <c r="I8" s="84">
        <f>AcademicAffairsRevenues[[#Totals],[Actual 13/14]]-AcademicAffairsExpenses[[#Totals],[Actual 13/14]]</f>
        <v>-1088.56</v>
      </c>
      <c r="J8" s="84">
        <f>AcademicAffairsRevenues[[#Totals],[Budget 14/15]]-AcademicAffairsExpenses[[#Totals],[Budget 14/15]]</f>
        <v>-2120</v>
      </c>
      <c r="K8" s="84">
        <f>AcademicAffairsRevenues[[#Totals],[Actual 14/15]]-AcademicAffairsExpenses[[#Totals],[Actual 14/15]]</f>
        <v>65</v>
      </c>
      <c r="L8" s="84">
        <f>AcademicAffairsRevenues[[#Totals],[Budget 15/16]]-AcademicAffairsExpenses[[#Totals],[Budget 15/16]]</f>
        <v>-1470</v>
      </c>
      <c r="M8" s="84">
        <f>AcademicAffairsRevenues[[#Totals],[Actual 15/16]]-AcademicAffairsExpenses[[#Totals],[Actual 15/16]]</f>
        <v>0</v>
      </c>
      <c r="N8" s="84">
        <f>AcademicAffairsRevenues[[#Totals],[Budget 16/17]]-AcademicAffairsExpenses[[#Totals],[Budget 16/17]]</f>
        <v>-1260</v>
      </c>
      <c r="O8" s="84">
        <f>AcademicAffairsRevenues[[#Totals],[Actual 16/17]]-AcademicAffairsExpenses[[#Totals],[Actual 16/17]]</f>
        <v>-93.360000000000014</v>
      </c>
      <c r="P8" s="84"/>
      <c r="Q8" s="84"/>
      <c r="R8" s="84">
        <f>AcademicAffairsRevenues[[#Totals],[Budget 18/19]]</f>
        <v>0</v>
      </c>
      <c r="S8" s="84">
        <f>AcademicAffairsRevenues[[#Totals],[Actual 18/19]]</f>
        <v>0</v>
      </c>
      <c r="T8" s="84">
        <f>AcademicAffairsRevenues[[#Totals],[Budget 19/20]]</f>
        <v>0</v>
      </c>
      <c r="U8" s="84">
        <f>AcademicAffairsRevenues[[#Totals],[Budget 20/21]]</f>
        <v>0</v>
      </c>
      <c r="V8" s="84">
        <f>'Academic Affairs (41100)'!R6</f>
        <v>0</v>
      </c>
    </row>
    <row r="9" spans="1:25">
      <c r="A9" s="19" t="s">
        <v>739</v>
      </c>
      <c r="B9" s="84"/>
      <c r="C9" s="84"/>
      <c r="D9" s="84"/>
      <c r="E9" s="84"/>
      <c r="F9" s="84"/>
      <c r="G9" s="84"/>
      <c r="H9" s="84"/>
      <c r="I9" s="84"/>
      <c r="J9" s="84"/>
      <c r="K9" s="84"/>
      <c r="L9" s="84"/>
      <c r="M9" s="84"/>
      <c r="N9" s="84"/>
      <c r="O9" s="84"/>
      <c r="P9" s="84"/>
      <c r="Q9" s="337"/>
      <c r="R9" s="84">
        <f>'VP Education (40100)'!T30</f>
        <v>0</v>
      </c>
      <c r="S9" s="84">
        <f>'VP Education (40100)'!U30</f>
        <v>0</v>
      </c>
      <c r="T9" s="337"/>
      <c r="U9" s="337"/>
      <c r="V9" s="337">
        <f>'Government Affairs (41200)'!U6</f>
        <v>0</v>
      </c>
    </row>
    <row r="10" spans="1:25">
      <c r="A10" s="19" t="s">
        <v>740</v>
      </c>
      <c r="B10" s="84">
        <v>0</v>
      </c>
      <c r="C10" s="84">
        <v>0</v>
      </c>
      <c r="D10" s="84">
        <v>0</v>
      </c>
      <c r="E10" s="84">
        <v>0</v>
      </c>
      <c r="F10" s="84">
        <v>0</v>
      </c>
      <c r="G10" s="84">
        <v>0</v>
      </c>
      <c r="H10" s="84">
        <f>LocalAffairsRevenues[[#Totals],[Budget 13/14]]-LocalAffairsExpenses[[#Totals],[Budget 13/14]]</f>
        <v>-4810</v>
      </c>
      <c r="I10" s="84">
        <f>LocalAffairsRevenues[[#Totals],[Actual 13/14]]-LocalAffairsExpenses[[#Totals],[Actual 13/14]]</f>
        <v>-34.71</v>
      </c>
      <c r="J10" s="84">
        <f>LocalAffairsRevenues[[#Totals],[Budget 14/15]]-LocalAffairsExpenses[[#Totals],[Budget 14/15]]</f>
        <v>-1760</v>
      </c>
      <c r="K10" s="84">
        <f>LocalAffairsRevenues[[#Totals],[Actual 14/15]]-LocalAffairsExpenses[[#Totals],[Actual 14/15]]</f>
        <v>-123.35</v>
      </c>
      <c r="L10" s="84">
        <f>LocalAffairsRevenues[[#Totals],[Budget 15/16]]-LocalAffairsExpenses[[#Totals],[Budget 15/16]]</f>
        <v>-810</v>
      </c>
      <c r="M10" s="84">
        <f>LocalAffairsRevenues[[#Totals],[Actual 15/16]]-LocalAffairsExpenses[[#Totals],[Actual 15/16]]</f>
        <v>-54.61</v>
      </c>
      <c r="N10" s="84">
        <f>LocalAffairsRevenues[[#Totals],[Budget 16/17]]-LocalAffairsExpenses[[#Totals],[Budget 16/17]]</f>
        <v>-440</v>
      </c>
      <c r="O10" s="84">
        <f>LocalAffairsRevenues[[#Totals],[Actual 16/17]]-LocalAffairsExpenses[[#Totals],[Actual 16/17]]</f>
        <v>0</v>
      </c>
      <c r="P10" s="84"/>
      <c r="Q10" s="84"/>
      <c r="R10" s="84">
        <f>LocalAffairsRevenues[[#Totals],[Budget 18/19]]</f>
        <v>0</v>
      </c>
      <c r="S10" s="84">
        <f>LocalAffairsRevenues[[#Totals],[Actual 18/19]]</f>
        <v>0</v>
      </c>
      <c r="T10" s="84">
        <f>LocalAffairsRevenues[[#Totals],[Budget 19/20]]</f>
        <v>0</v>
      </c>
      <c r="U10" s="84">
        <f>LocalAffairsRevenues[[#Totals],[Budget 20/21]]</f>
        <v>0</v>
      </c>
      <c r="V10" s="84">
        <f>'Local Affairs (41300)'!R6</f>
        <v>0</v>
      </c>
    </row>
    <row r="11" spans="1:25">
      <c r="A11" t="s">
        <v>21</v>
      </c>
      <c r="B11" s="461">
        <f>SUBTOTAL(109,VPEDSummary73[Budget 10/11])</f>
        <v>-126177.06</v>
      </c>
      <c r="C11" s="461">
        <f>SUBTOTAL(109,VPEDSummary73[Actual 10/11])</f>
        <v>-122826.18</v>
      </c>
      <c r="D11" s="461">
        <f>SUBTOTAL(109,VPEDSummary73[Budget 11/12])</f>
        <v>-138119.29999999999</v>
      </c>
      <c r="E11" s="461">
        <f>SUBTOTAL(109,VPEDSummary73[Actual 11/12])</f>
        <v>-136765.68</v>
      </c>
      <c r="F11" s="461">
        <f>SUBTOTAL(109,VPEDSummary73[Budget 12/13])</f>
        <v>-152644.30800000002</v>
      </c>
      <c r="G11" s="461">
        <f>SUBTOTAL(109,VPEDSummary73[Actual 12/13])</f>
        <v>-159309.26</v>
      </c>
      <c r="H11" s="461">
        <f>SUBTOTAL(109,VPEDSummary73[Budget 13/14])</f>
        <v>-184888.12</v>
      </c>
      <c r="I11" s="461">
        <f>SUBTOTAL(109,VPEDSummary73[Actual 13/14])</f>
        <v>-153451.42000000001</v>
      </c>
      <c r="J11" s="461">
        <f>SUBTOTAL(109,VPEDSummary73[Budget 14/15])</f>
        <v>-196071.64</v>
      </c>
      <c r="K11" s="461">
        <f>SUBTOTAL(109,VPEDSummary73[Actuals 14/15])</f>
        <v>-173616.59</v>
      </c>
      <c r="L11" s="461">
        <f>SUBTOTAL(109,VPEDSummary73[Budget 15/16])</f>
        <v>-196953.092</v>
      </c>
      <c r="M11" s="461">
        <f>SUBTOTAL(109,VPEDSummary73[Actual 15/16])</f>
        <v>-162924.07</v>
      </c>
      <c r="N11" s="461">
        <f>SUBTOTAL(109,VPEDSummary73[Budget 16/17])</f>
        <v>-192612.35076</v>
      </c>
      <c r="O11" s="461">
        <f>SUBTOTAL(109,VPEDSummary73[Actual 16/17])</f>
        <v>-186088.66000000003</v>
      </c>
      <c r="P11" s="461"/>
      <c r="Q11" s="21"/>
      <c r="R11" s="462">
        <f>SUBTOTAL(109,VPEDSummary73[Budget 18/19])</f>
        <v>0</v>
      </c>
      <c r="S11" s="462">
        <f>SUBTOTAL(109,VPEDSummary73[Actual 18/19])</f>
        <v>0</v>
      </c>
      <c r="T11" s="462">
        <f>SUBTOTAL(109,VPEDSummary73[Budget 19/20])</f>
        <v>0</v>
      </c>
      <c r="U11" s="462">
        <f>SUBTOTAL(109,VPEDSummary73[Budget 20/21])</f>
        <v>0</v>
      </c>
      <c r="V11" s="462"/>
      <c r="W11" s="460"/>
      <c r="X11" s="460"/>
      <c r="Y11" s="460"/>
    </row>
    <row r="13" spans="1:25">
      <c r="A13" t="s">
        <v>68</v>
      </c>
      <c r="B13" t="s">
        <v>73</v>
      </c>
      <c r="C13" t="s">
        <v>74</v>
      </c>
      <c r="D13" t="s">
        <v>75</v>
      </c>
      <c r="E13" t="s">
        <v>76</v>
      </c>
      <c r="F13" t="s">
        <v>77</v>
      </c>
      <c r="G13" t="s">
        <v>78</v>
      </c>
      <c r="H13" t="s">
        <v>5</v>
      </c>
      <c r="I13" t="s">
        <v>6</v>
      </c>
      <c r="J13" t="s">
        <v>7</v>
      </c>
      <c r="K13" t="s">
        <v>79</v>
      </c>
      <c r="L13" t="s">
        <v>9</v>
      </c>
      <c r="M13" s="19" t="s">
        <v>10</v>
      </c>
      <c r="N13" s="19" t="s">
        <v>11</v>
      </c>
      <c r="O13" s="19" t="s">
        <v>12</v>
      </c>
      <c r="P13" s="19" t="s">
        <v>13</v>
      </c>
      <c r="Q13" s="19" t="s">
        <v>14</v>
      </c>
      <c r="R13" s="19" t="s">
        <v>15</v>
      </c>
      <c r="S13" s="19" t="s">
        <v>39</v>
      </c>
      <c r="T13" s="19" t="s">
        <v>16</v>
      </c>
      <c r="U13" s="19" t="s">
        <v>17</v>
      </c>
      <c r="V13" s="19" t="s">
        <v>40</v>
      </c>
      <c r="W13" s="19" t="s">
        <v>41</v>
      </c>
      <c r="X13" s="5" t="s">
        <v>42</v>
      </c>
      <c r="Y13" s="5" t="s">
        <v>43</v>
      </c>
    </row>
    <row r="14" spans="1:25">
      <c r="A14" s="19" t="s">
        <v>735</v>
      </c>
      <c r="B14" s="84">
        <f>VPEDRevenues[[#Totals],[Budget 10/11]]-VPEDExpenses[[#Totals],[Budget 10/11]]</f>
        <v>-51680.18</v>
      </c>
      <c r="C14" s="84">
        <f>VPEDRevenues[[#Totals],[Actual 10/11]]-VPEDExpenses[[#Totals],[Actual 10/11]]</f>
        <v>-47104.94</v>
      </c>
      <c r="D14" s="84">
        <f>VPEDRevenues[[#Totals],[Budget 11/12]]-VPEDExpenses[[#Totals],[Budget 11/12]]</f>
        <v>-59237.1</v>
      </c>
      <c r="E14" s="84">
        <f>VPEDRevenues[[#Totals],[Actual 11/12]]-VPEDExpenses[[#Totals],[Actual 11/12]]</f>
        <v>-54541.15</v>
      </c>
      <c r="F14" s="84">
        <f>VPEDRevenues[[#Totals],[Budget 12/13]]-VPEDExpenses[[#Totals],[Budget 12/13]]</f>
        <v>-68297.308000000005</v>
      </c>
      <c r="G14" s="84">
        <f>VPEDRevenues[[#Totals],[Actual 12/13]]-VPEDExpenses[[#Totals],[Actual 12/13]]</f>
        <v>-71050.740000000005</v>
      </c>
      <c r="H14" s="84">
        <f>VPEDRevenues[[#Totals],[Budget 13/14]]-VPEDExpenses[[#Totals],[Budget 13/14]]</f>
        <v>-82168.12</v>
      </c>
      <c r="I14" s="84">
        <f>VPEDRevenues[[#Totals],[Actual 13/14]]-VPEDExpenses[[#Totals],[Actual 13/14]]</f>
        <v>-74754.840000000011</v>
      </c>
      <c r="J14" s="84">
        <f>VPEDRevenues[[#Totals],[Budget 14/15]]-VPEDExpenses[[#Totals],[Budget 14/15]]</f>
        <v>-94643.64</v>
      </c>
      <c r="K14" s="84">
        <f>VPEDRevenues[[#Totals],[Actual 14/15]]-VPEDExpenses[[#Totals],[Actual 14/15]]</f>
        <v>-77532.689999999973</v>
      </c>
      <c r="L14" s="84">
        <f>VPEDRevenues[[#Totals],[Budget 15/16]]-VPEDExpenses[[#Totals],[Budget 15/16]]</f>
        <v>-94987.760000000009</v>
      </c>
      <c r="M14" s="84">
        <f>VPEDRevenues[[#Totals],[Actual 15/16]]-VPEDExpenses[[#Totals],[Actual 15/16]]</f>
        <v>-66749.040000000008</v>
      </c>
      <c r="N14" s="84">
        <f>VPEDRevenues[[#Totals],[Budget 16/17]]-VPEDExpenses[[#Totals],[Budget 16/17]]</f>
        <v>-88005.350760000001</v>
      </c>
      <c r="O14" s="84">
        <f>VPEDRevenues[[#Totals],[Actual 16/17]]-VPEDExpenses[[#Totals],[Actual 16/17]]</f>
        <v>-83781.260000000024</v>
      </c>
      <c r="P14" s="84">
        <f>VPEDRevenues[[#Totals],[Budget 17/18]]-VPEDExpenses[[#Totals],[Budget 17/18]]</f>
        <v>-90938.580000000016</v>
      </c>
      <c r="Q14" s="44">
        <v>-89832.68</v>
      </c>
      <c r="R14" s="84">
        <f>VPEDExpenses[[#Totals],[Budget 18/19]]</f>
        <v>86353.680000000008</v>
      </c>
      <c r="S14" s="84">
        <f>VPEDExpenses[[#Totals],[Actual 18/19]]</f>
        <v>89841.170000000027</v>
      </c>
      <c r="T14" s="84">
        <f>VPEDExpenses[[#Totals],[Budget 19/20]]</f>
        <v>65667.606800000009</v>
      </c>
      <c r="U14" s="84">
        <f>VPEDExpenses[[#Totals],[Budget 20/21]]</f>
        <v>75826.458800000008</v>
      </c>
      <c r="V14" s="84">
        <f>'VP Education (40100)'!Y32</f>
        <v>59926.01999999999</v>
      </c>
      <c r="W14" s="84">
        <f>VPEDExpenses[[#Totals],[Budget 21/22]]</f>
        <v>107679.7014786552</v>
      </c>
      <c r="X14" s="21">
        <f>SUBTOTAL(109,VPEDExpenses[Actual 21/22])</f>
        <v>87699.830000000016</v>
      </c>
      <c r="Y14" s="84">
        <f>VPEDExpenses[[#Totals],[Budget 22/23]]</f>
        <v>153303.80333333332</v>
      </c>
    </row>
    <row r="15" spans="1:25" hidden="1">
      <c r="A15" s="19" t="s">
        <v>736</v>
      </c>
      <c r="B15" s="84">
        <v>0</v>
      </c>
      <c r="C15" s="84">
        <v>0</v>
      </c>
      <c r="D15" s="84">
        <v>0</v>
      </c>
      <c r="E15" s="84">
        <v>0</v>
      </c>
      <c r="F15" s="84">
        <v>0</v>
      </c>
      <c r="G15" s="84">
        <v>0</v>
      </c>
      <c r="H15" s="84">
        <v>0</v>
      </c>
      <c r="I15" s="84">
        <v>0</v>
      </c>
      <c r="J15" s="84">
        <v>-3491.01</v>
      </c>
      <c r="K15" s="84">
        <v>-3046.53</v>
      </c>
      <c r="L15" s="84">
        <f>SRORevenues[[#Totals],[Budget 15/16]]-SROExpenses[[#Totals],[Budget 15/16]]</f>
        <v>-2791.01</v>
      </c>
      <c r="M15" s="84">
        <v>0</v>
      </c>
      <c r="N15" s="84">
        <f>SRORevenues[[#Totals],[Budget 16/17]]-SROExpenses[[#Totals],[Budget 16/17]]</f>
        <v>-2105</v>
      </c>
      <c r="O15" s="84">
        <f>SRORevenues[[#Totals],[Actual 16/17]]-SROExpenses[[#Totals],[Actual 16/17]]</f>
        <v>-512.61</v>
      </c>
      <c r="P15" s="84">
        <f>SRORevenues[[#Totals],[Budget 17/18]]-SROExpenses[[#Totals],[Budget 17/18]]</f>
        <v>-1900</v>
      </c>
      <c r="Q15" s="84">
        <f>SRORevenues[[#Totals],[Actual 17/18]]-SROExpenses[[#Totals],[Actual 17/18]]</f>
        <v>-1403.02</v>
      </c>
      <c r="R15" s="84">
        <f>SROExpenses[[#Totals],[Budget 18/19]]</f>
        <v>1475</v>
      </c>
      <c r="S15" s="84">
        <f>SROExpenses[[#Totals],[Actual 18/19]]</f>
        <v>1753.12</v>
      </c>
      <c r="T15" s="84">
        <f>SROExpenses[[#Totals],[Budget 19/20]]</f>
        <v>1530</v>
      </c>
      <c r="U15" s="84">
        <f>SROExpenses[[#Totals],[Budget 20/21]]</f>
        <v>0</v>
      </c>
      <c r="V15" s="84"/>
      <c r="W15" s="8"/>
      <c r="X15" s="108">
        <f>SUBTOTAL(109,AcademicAffairsExpenses[Actual 21/22])</f>
        <v>9404.7100000000009</v>
      </c>
      <c r="Y15" s="108">
        <f>OUSAExpenses[[#Totals],[Budget 22/23]]</f>
        <v>126102.62000000001</v>
      </c>
    </row>
    <row r="16" spans="1:25">
      <c r="A16" s="19" t="s">
        <v>737</v>
      </c>
      <c r="B16" s="84">
        <f>OUSARevenues[[#Totals],[Budget 10/11]]-OUSAExpenses[[#Totals],[Budget 10/11]]</f>
        <v>-74496.88</v>
      </c>
      <c r="C16" s="84">
        <f>OUSARevenues[[#Totals],[Actual 10/11]]-OUSAExpenses[[#Totals],[Actual 10/11]]</f>
        <v>-75721.239999999991</v>
      </c>
      <c r="D16" s="84">
        <f>OUSARevenues[[#Totals],[Budget 11/12]]-OUSAExpenses[[#Totals],[Budget 11/12]]</f>
        <v>-78882.2</v>
      </c>
      <c r="E16" s="84">
        <f>OUSARevenues[[#Totals],[Actual 11/12]]-OUSAExpenses[[#Totals],[Actual 11/12]]</f>
        <v>-82224.53</v>
      </c>
      <c r="F16" s="84">
        <f>OUSARevenues[[#Totals],[Budget 12/13]]-OUSAExpenses[[#Totals],[Budget 11/122]]</f>
        <v>-84347</v>
      </c>
      <c r="G16" s="84">
        <f>OUSARevenues[[#Totals],[Actual 12/13]]-OUSAExpenses[[#Totals],[Actual 12/13]]</f>
        <v>-88258.52</v>
      </c>
      <c r="H16" s="84">
        <f>OUSARevenues[[#Totals],[Budget 13/14]]-OUSAExpenses[[#Totals],[Budget 13/14]]</f>
        <v>-94300</v>
      </c>
      <c r="I16" s="84">
        <f>OUSARevenues[[#Totals],[Actual 13/14]]-OUSAExpenses[[#Totals],[Actual 13/14]]</f>
        <v>-77573.31</v>
      </c>
      <c r="J16" s="84">
        <f>OUSARevenues[[#Totals],[Budget 14/15]]-OUSAExpenses[[#Totals],[Budget 14/15]]</f>
        <v>-97548</v>
      </c>
      <c r="K16" s="84">
        <f>OUSARevenues[[#Totals],[Actual 14/15]]-OUSAExpenses[[#Totals],[Actual 14/15]]</f>
        <v>-96025.55</v>
      </c>
      <c r="L16" s="84">
        <f>OUSARevenues[[#Totals],[Budget 15/16]]-OUSAExpenses[[#Totals],[Budget 15/16]]</f>
        <v>-99685.331999999995</v>
      </c>
      <c r="M16" s="84">
        <f>OUSARevenues[[#Totals],[Actual 15/16]]-OUSAExpenses[[#Totals],[Actual 15/16]]</f>
        <v>-96120.42</v>
      </c>
      <c r="N16" s="84">
        <f>OUSARevenues[[#Totals],[Budget 16/17]]-OUSAExpenses[[#Totals],[Budget 16/17]]</f>
        <v>-102907</v>
      </c>
      <c r="O16" s="84">
        <f>OUSARevenues[[#Totals],[Actual 16/17]]-OUSAExpenses[[#Totals],[Actual 16/17]]</f>
        <v>-102214.04000000001</v>
      </c>
      <c r="P16" s="84">
        <f>OUSARevenues[[#Totals],[Budget 17/18]]-OUSAExpenses[[#Totals],[Budget 17/18]]</f>
        <v>-101990.88</v>
      </c>
      <c r="Q16" s="84">
        <f>OUSARevenues[[#Totals],[Actual 17/18]]-OUSAExpenses[[#Totals],[Actual 17/18]]</f>
        <v>-105044.87</v>
      </c>
      <c r="R16" s="84">
        <f>OUSAExpenses[[#Totals],[Budget 18/19]]</f>
        <v>109335</v>
      </c>
      <c r="S16" s="84">
        <f>OUSAExpenses[[#Totals],[Actual 18/19]]</f>
        <v>107239.82</v>
      </c>
      <c r="T16" s="84">
        <f>OUSAExpenses[[#Totals],[Budget 19/20]]</f>
        <v>81751.593499999988</v>
      </c>
      <c r="U16" s="84">
        <f>OUSAExpenses[[#Totals],[Budget 20/21]]</f>
        <v>86728</v>
      </c>
      <c r="V16" s="84">
        <f>'OUSA (41400)'!X16</f>
        <v>72192.98</v>
      </c>
      <c r="W16" s="8">
        <f>OUSAExpenses[[#Totals],[Budget 21/22]]</f>
        <v>105812.48</v>
      </c>
      <c r="X16" s="21">
        <f>SUBTOTAL(109,OUSAExpenses[Actual 21/22])</f>
        <v>43852.549999999996</v>
      </c>
      <c r="Y16" s="108">
        <f>OUSAExpenses[[#Totals],[Budget 22/23]]</f>
        <v>126102.62000000001</v>
      </c>
    </row>
    <row r="17" spans="1:26">
      <c r="A17" s="19" t="s">
        <v>738</v>
      </c>
      <c r="B17" s="84">
        <v>0</v>
      </c>
      <c r="C17" s="84">
        <v>0</v>
      </c>
      <c r="D17" s="84">
        <v>0</v>
      </c>
      <c r="E17" s="84">
        <v>0</v>
      </c>
      <c r="F17" s="84">
        <v>0</v>
      </c>
      <c r="G17" s="84">
        <v>0</v>
      </c>
      <c r="H17" s="84">
        <f>AcademicAffairsRevenues[[#Totals],[Budget 13/14]]-AcademicAffairsExpenses[[#Totals],[Budget 13/14]]</f>
        <v>-3610</v>
      </c>
      <c r="I17" s="84">
        <f>AcademicAffairsRevenues[[#Totals],[Actual 13/14]]-AcademicAffairsExpenses[[#Totals],[Actual 13/14]]</f>
        <v>-1088.56</v>
      </c>
      <c r="J17" s="84">
        <f>AcademicAffairsRevenues[[#Totals],[Budget 14/15]]-AcademicAffairsExpenses[[#Totals],[Budget 14/15]]</f>
        <v>-2120</v>
      </c>
      <c r="K17" s="84">
        <f>AcademicAffairsRevenues[[#Totals],[Actual 14/15]]-AcademicAffairsExpenses[[#Totals],[Actual 14/15]]</f>
        <v>65</v>
      </c>
      <c r="L17" s="84">
        <f>AcademicAffairsRevenues[[#Totals],[Budget 15/16]]-AcademicAffairsExpenses[[#Totals],[Budget 15/16]]</f>
        <v>-1470</v>
      </c>
      <c r="M17" s="84">
        <f>AcademicAffairsRevenues[[#Totals],[Actual 15/16]]-AcademicAffairsExpenses[[#Totals],[Actual 15/16]]</f>
        <v>0</v>
      </c>
      <c r="N17" s="84">
        <f>AcademicAffairsRevenues[[#Totals],[Budget 16/17]]-AcademicAffairsExpenses[[#Totals],[Budget 16/17]]</f>
        <v>-1260</v>
      </c>
      <c r="O17" s="84">
        <f>AcademicAffairsRevenues[[#Totals],[Actual 16/17]]-AcademicAffairsExpenses[[#Totals],[Actual 16/17]]</f>
        <v>-93.360000000000014</v>
      </c>
      <c r="P17" s="84">
        <f>AcademicAffairsRevenues[[#Totals],[Budget 17/18]]-AcademicAffairsExpenses[[#Totals],[Budget 17/18]]</f>
        <v>-825</v>
      </c>
      <c r="Q17" s="84">
        <f>AcademicAffairsRevenues[[#Totals],[Actual 17/18]]-AcademicAffairsExpenses[[#Totals],[Actual 17/18]]</f>
        <v>-563.84999999999991</v>
      </c>
      <c r="R17" s="84">
        <f>AcademicAffairsExpenses[[#Totals],[Budget 18/19]]</f>
        <v>1050</v>
      </c>
      <c r="S17" s="84">
        <f>AcademicAffairsExpenses[[#Totals],[Actual 18/19]]</f>
        <v>168.15</v>
      </c>
      <c r="T17" s="84">
        <f>AcademicAffairsExpenses[[#Totals],[Budget 19/20]]</f>
        <v>35759.33</v>
      </c>
      <c r="U17" s="84">
        <f>AcademicAffairsExpenses[[#Totals],[Budget 20/21]]</f>
        <v>42481.165000000001</v>
      </c>
      <c r="V17" s="84">
        <f>'Academic Affairs (41100)'!R29</f>
        <v>14049.11</v>
      </c>
      <c r="W17" s="8">
        <f>AcademicAffairsExpenses[[#Totals],[Budget 21/22]]</f>
        <v>32034.839999999997</v>
      </c>
      <c r="X17" s="21">
        <f>SUBTOTAL(109,AcademicAffairsExpenses[Actual 21/22])</f>
        <v>9404.7100000000009</v>
      </c>
      <c r="Y17" s="108">
        <f>AcademicAffairsExpenses[[#Totals],[Budget 22/23]]</f>
        <v>12466.92</v>
      </c>
    </row>
    <row r="18" spans="1:26">
      <c r="A18" s="19" t="s">
        <v>739</v>
      </c>
      <c r="B18" s="84"/>
      <c r="C18" s="84"/>
      <c r="D18" s="84"/>
      <c r="E18" s="84"/>
      <c r="F18" s="84"/>
      <c r="G18" s="84"/>
      <c r="H18" s="84"/>
      <c r="I18" s="84"/>
      <c r="J18" s="84"/>
      <c r="K18" s="84"/>
      <c r="L18" s="84"/>
      <c r="M18" s="84"/>
      <c r="N18" s="84"/>
      <c r="O18" s="84"/>
      <c r="P18" s="84"/>
      <c r="Q18" s="337"/>
      <c r="R18" s="84">
        <f>'VP Education (40100)'!T38</f>
        <v>0</v>
      </c>
      <c r="S18" s="84">
        <v>0</v>
      </c>
      <c r="T18" s="337">
        <f>GovernmentAffairsExpenses11281[[#Totals],[Budget 19/20]]</f>
        <v>11903.11</v>
      </c>
      <c r="U18" s="337">
        <f>GovernmentAffairsExpenses11281[[#Totals],[Budget 19/21]]</f>
        <v>14377.055</v>
      </c>
      <c r="V18" s="337">
        <f>'Government Affairs (41200)'!U19</f>
        <v>3023.75</v>
      </c>
      <c r="W18" s="8">
        <f>GovernmentAffairsExpenses11281[[#Totals],[Budget 21/22]]</f>
        <v>22717.199999999997</v>
      </c>
      <c r="X18" s="21">
        <f>SUBTOTAL(109,GovernmentAffairsExpenses11281[Actual 21/22])</f>
        <v>7718.96</v>
      </c>
      <c r="Y18" s="108">
        <f>GovernmentAffairsExpenses11281[[#Totals],[Budget 22/23]]</f>
        <v>11191.2</v>
      </c>
    </row>
    <row r="19" spans="1:26">
      <c r="A19" s="19" t="s">
        <v>740</v>
      </c>
      <c r="B19" s="84">
        <v>0</v>
      </c>
      <c r="C19" s="84">
        <v>0</v>
      </c>
      <c r="D19" s="84">
        <v>0</v>
      </c>
      <c r="E19" s="84">
        <v>0</v>
      </c>
      <c r="F19" s="84">
        <v>0</v>
      </c>
      <c r="G19" s="84">
        <v>0</v>
      </c>
      <c r="H19" s="84">
        <f>LocalAffairsRevenues[[#Totals],[Budget 13/14]]-LocalAffairsExpenses[[#Totals],[Budget 13/14]]</f>
        <v>-4810</v>
      </c>
      <c r="I19" s="84">
        <f>LocalAffairsRevenues[[#Totals],[Actual 13/14]]-LocalAffairsExpenses[[#Totals],[Actual 13/14]]</f>
        <v>-34.71</v>
      </c>
      <c r="J19" s="84">
        <f>LocalAffairsRevenues[[#Totals],[Budget 14/15]]-LocalAffairsExpenses[[#Totals],[Budget 14/15]]</f>
        <v>-1760</v>
      </c>
      <c r="K19" s="84">
        <f>LocalAffairsRevenues[[#Totals],[Actual 14/15]]-LocalAffairsExpenses[[#Totals],[Actual 14/15]]</f>
        <v>-123.35</v>
      </c>
      <c r="L19" s="84">
        <f>LocalAffairsRevenues[[#Totals],[Budget 15/16]]-LocalAffairsExpenses[[#Totals],[Budget 15/16]]</f>
        <v>-810</v>
      </c>
      <c r="M19" s="84">
        <f>LocalAffairsRevenues[[#Totals],[Actual 15/16]]-LocalAffairsExpenses[[#Totals],[Actual 15/16]]</f>
        <v>-54.61</v>
      </c>
      <c r="N19" s="84">
        <f>LocalAffairsRevenues[[#Totals],[Budget 16/17]]-LocalAffairsExpenses[[#Totals],[Budget 16/17]]</f>
        <v>-440</v>
      </c>
      <c r="O19" s="84">
        <f>LocalAffairsRevenues[[#Totals],[Actual 16/17]]-LocalAffairsExpenses[[#Totals],[Actual 16/17]]</f>
        <v>0</v>
      </c>
      <c r="P19" s="84">
        <f>LocalAffairsRevenues[[#Totals],[Budget 17/18]]-LocalAffairsExpenses[[#Totals],[Budget 17/18]]</f>
        <v>-600</v>
      </c>
      <c r="Q19" s="84">
        <f>LocalAffairsRevenues[[#Totals],[Actual 17/18]]-LocalAffairsExpenses[[#Totals],[Actual 17/18]]</f>
        <v>-90</v>
      </c>
      <c r="R19" s="84">
        <f>LocalAffairsExpenses[[#Totals],[Budget 18/19]]</f>
        <v>650</v>
      </c>
      <c r="S19" s="84">
        <f>'Local Affairs (41300)'!N28</f>
        <v>-120</v>
      </c>
      <c r="T19" s="84">
        <f>LocalAffairsExpenses[[#Totals],[Budget 19/20]]</f>
        <v>12103.11</v>
      </c>
      <c r="U19" s="84">
        <f>LocalAffairsExpenses[[#Totals],[Budget 20/21]]</f>
        <v>9934.7033333333329</v>
      </c>
      <c r="V19" s="84">
        <f>'Local Affairs (41300)'!R26</f>
        <v>9224.33</v>
      </c>
      <c r="W19" s="8">
        <f>LocalAffairsExpenses[[#Totals],[Budget 21/22]]</f>
        <v>14717.359999999999</v>
      </c>
      <c r="X19" s="21">
        <f>SUBTOTAL(109,LocalAffairsExpenses[Actual 21/22])</f>
        <v>2611.9699999999998</v>
      </c>
      <c r="Y19" s="108">
        <f>LocalAffairsExpenses[[#Totals],[Budget 22/23]]</f>
        <v>500</v>
      </c>
      <c r="Z19" t="s">
        <v>741</v>
      </c>
    </row>
    <row r="20" spans="1:26">
      <c r="A20" t="s">
        <v>21</v>
      </c>
      <c r="B20" s="461">
        <f>SUBTOTAL(109,VPEDSummary[Budget 10/11])</f>
        <v>-126177.06</v>
      </c>
      <c r="C20" s="461">
        <f>SUBTOTAL(109,VPEDSummary[Actual 10/11])</f>
        <v>-122826.18</v>
      </c>
      <c r="D20" s="461">
        <f>SUBTOTAL(109,VPEDSummary[Budget 11/12])</f>
        <v>-138119.29999999999</v>
      </c>
      <c r="E20" s="461">
        <f>SUBTOTAL(109,VPEDSummary[Actual 11/12])</f>
        <v>-136765.68</v>
      </c>
      <c r="F20" s="461">
        <f>SUBTOTAL(109,VPEDSummary[Budget 12/13])</f>
        <v>-152644.30800000002</v>
      </c>
      <c r="G20" s="461">
        <f>SUBTOTAL(109,VPEDSummary[Actual 12/13])</f>
        <v>-159309.26</v>
      </c>
      <c r="H20" s="461">
        <f>SUBTOTAL(109,VPEDSummary[Budget 13/14])</f>
        <v>-184888.12</v>
      </c>
      <c r="I20" s="461">
        <f>SUBTOTAL(109,VPEDSummary[Actual 13/14])</f>
        <v>-153451.42000000001</v>
      </c>
      <c r="J20" s="461">
        <f>SUBTOTAL(109,VPEDSummary[Budget 14/15])</f>
        <v>-196071.64</v>
      </c>
      <c r="K20" s="461">
        <f>SUBTOTAL(109,VPEDSummary[Actuals 14/15])</f>
        <v>-173616.59</v>
      </c>
      <c r="L20" s="461">
        <f>SUBTOTAL(109,VPEDSummary[Budget 15/16])</f>
        <v>-196953.092</v>
      </c>
      <c r="M20" s="461">
        <f>SUBTOTAL(109,VPEDSummary[Actual 15/16])</f>
        <v>-162924.07</v>
      </c>
      <c r="N20" s="461">
        <f>SUBTOTAL(109,VPEDSummary[Budget 16/17])</f>
        <v>-192612.35076</v>
      </c>
      <c r="O20" s="461">
        <f>SUBTOTAL(109,VPEDSummary[Actual 16/17])</f>
        <v>-186088.66000000003</v>
      </c>
      <c r="P20" s="461">
        <f>SUBTOTAL(109,VPEDSummary[Budget 17/18])</f>
        <v>-194354.46000000002</v>
      </c>
      <c r="Q20" s="21">
        <f>SUBTOTAL(109,VPEDSummary[Actual 17/18])</f>
        <v>-195531.4</v>
      </c>
      <c r="R20" s="462">
        <f>SUBTOTAL(109,VPEDSummary[Budget 18/19])</f>
        <v>197388.68</v>
      </c>
      <c r="S20" s="462">
        <f>SUBTOTAL(109,VPEDSummary[Actual 18/19])</f>
        <v>197129.14000000004</v>
      </c>
      <c r="T20" s="462">
        <f>SUBTOTAL(109,VPEDSummary[Budget 19/20])</f>
        <v>207184.75029999996</v>
      </c>
      <c r="U20" s="462">
        <f>SUBTOTAL(109,VPEDSummary[Budget 20/21])</f>
        <v>229347.38213333336</v>
      </c>
      <c r="V20" s="462">
        <f>SUBTOTAL(109,VPEDSummary[Actual 20/21])</f>
        <v>158416.18999999997</v>
      </c>
      <c r="W20" s="462">
        <f>SUBTOTAL(109,VPEDSummary[Budget 21/22])</f>
        <v>282961.58147865516</v>
      </c>
      <c r="X20" s="462" t="s">
        <v>742</v>
      </c>
      <c r="Y20" s="461">
        <f>SUBTOTAL(109,VPEDSummary[Budget 22/23])</f>
        <v>303564.54333333333</v>
      </c>
      <c r="Z20" s="367">
        <f>(VPEDSummary[[#Totals],[Budget 21/22]]-VPEDSummary[[#Totals],[Budget 20/21]])/VPEDSummary[[#Totals],[Budget 20/21]]</f>
        <v>0.2337685254857309</v>
      </c>
    </row>
    <row r="21" spans="1:26" ht="13.5" thickBot="1"/>
    <row r="22" spans="1:26" ht="15.75" thickBot="1">
      <c r="A22" s="303" t="s">
        <v>69</v>
      </c>
      <c r="B22" s="298">
        <f>B1-B8-B20</f>
        <v>126177.06</v>
      </c>
      <c r="C22" s="298">
        <f>C1-C8-C20</f>
        <v>122826.18</v>
      </c>
      <c r="D22" s="289"/>
      <c r="E22" s="289"/>
      <c r="F22" s="289"/>
      <c r="G22" s="289"/>
      <c r="H22" s="289"/>
      <c r="I22" s="289"/>
      <c r="J22" s="289"/>
      <c r="K22" s="289"/>
      <c r="L22" s="289"/>
      <c r="M22" s="289"/>
      <c r="N22" s="289"/>
      <c r="O22" s="289"/>
      <c r="P22" s="289"/>
      <c r="Q22" s="289"/>
      <c r="R22" s="295">
        <f>VPEDSummary73[[#Totals],[Budget 18/19]]-VPEDSummary[[#Totals],[Budget 18/19]]</f>
        <v>-197388.68</v>
      </c>
      <c r="S22" s="295">
        <f>VPEDSummary73[[#Totals],[Actual 18/19]]-VPEDSummary[[#Totals],[Actual 18/19]]</f>
        <v>-197129.14000000004</v>
      </c>
      <c r="T22" s="295">
        <f>VPEDSummary73[[#Totals],[Budget 19/20]]-VPEDSummary[[#Totals],[Budget 19/20]]</f>
        <v>-207184.75029999996</v>
      </c>
      <c r="U22" s="295">
        <f>VPEDSummary73[[#Totals],[Budget 20/21]]-VPEDSummary[[#Totals],[Budget 20/21]]</f>
        <v>-229347.38213333336</v>
      </c>
      <c r="V22" s="295">
        <f>VPEDSummary73[[#Totals],[Actual 20/21]]-VPEDSummary[[#Totals],[Actual 20/21]]</f>
        <v>-158416.18999999997</v>
      </c>
      <c r="W22" s="295">
        <f>VPEDSummary73[[#Totals],[Budget 21/22]]-VPEDSummary[[#Totals],[Budget 21/22]]</f>
        <v>-282961.58147865516</v>
      </c>
      <c r="X22" s="295">
        <f>VPEDSummary73[[#Totals],[Actual 21/22]]-VPEDSummary[[#Totals],[Actual 21/22]]</f>
        <v>-151288.01999999999</v>
      </c>
      <c r="Y22" s="295">
        <f>VPEDSummary73[[#Totals],[Budget 22/23]]-VPEDSummary[[#Totals],[Budget 22/23]]</f>
        <v>-303564.54333333333</v>
      </c>
      <c r="Z22" s="367">
        <f>(U22-T22)/T22</f>
        <v>0.10697038175465277</v>
      </c>
    </row>
    <row r="24" spans="1:26">
      <c r="S24" s="182"/>
    </row>
  </sheetData>
  <customSheetViews>
    <customSheetView guid="{DC934874-AE9C-4DF4-8DA8-4394DABABB42}" showRuler="0" topLeftCell="A4">
      <selection activeCell="G11" sqref="G11"/>
      <pageMargins left="0" right="0" top="0" bottom="0" header="0" footer="0"/>
      <pageSetup orientation="portrait"/>
      <headerFooter alignWithMargins="0"/>
    </customSheetView>
    <customSheetView guid="{7FD89B2E-4983-4B8D-ABA2-A07F685A0C6E}" showRuler="0">
      <selection activeCell="A10" sqref="A10:IV10"/>
      <pageMargins left="0" right="0" top="0" bottom="0" header="0" footer="0"/>
      <pageSetup orientation="portrait"/>
      <headerFooter alignWithMargins="0"/>
    </customSheetView>
    <customSheetView guid="{84D8AC11-A493-4338-8044-6F4154C29695}" showRuler="0">
      <selection activeCell="H13" sqref="H13"/>
      <pageMargins left="0" right="0" top="0" bottom="0" header="0" footer="0"/>
      <pageSetup orientation="portrait"/>
      <headerFooter alignWithMargins="0"/>
    </customSheetView>
    <customSheetView guid="{BB157E55-0A2E-4D9F-A3BF-E83E5442FC27}" showPageBreaks="1" showRuler="0">
      <selection activeCell="H13" sqref="H13"/>
      <pageMargins left="0" right="0" top="0" bottom="0" header="0" footer="0"/>
      <pageSetup orientation="portrait"/>
      <headerFooter alignWithMargins="0"/>
    </customSheetView>
  </customSheetViews>
  <phoneticPr fontId="0" type="noConversion"/>
  <pageMargins left="0" right="0" top="0.98425196850393704" bottom="0.98425196850393704" header="0.51181102362204722" footer="0.51181102362204722"/>
  <pageSetup paperSize="5" scale="97" orientation="landscape" r:id="rId1"/>
  <headerFooter alignWithMargins="0"/>
  <legacy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theme="1"/>
    <pageSetUpPr fitToPage="1"/>
  </sheetPr>
  <dimension ref="A1:AH54"/>
  <sheetViews>
    <sheetView showGridLines="0" zoomScale="90" zoomScaleNormal="90" workbookViewId="0">
      <selection activeCell="AB11" sqref="AB11"/>
    </sheetView>
  </sheetViews>
  <sheetFormatPr defaultColWidth="11.42578125" defaultRowHeight="12.75"/>
  <cols>
    <col min="1" max="1" width="13.85546875" style="11" customWidth="1"/>
    <col min="2" max="2" width="33.42578125" style="11" bestFit="1" customWidth="1"/>
    <col min="3" max="14" width="16.85546875" style="11" hidden="1" customWidth="1"/>
    <col min="15" max="15" width="16" style="132" hidden="1" customWidth="1"/>
    <col min="16" max="16" width="16" style="11" hidden="1" customWidth="1"/>
    <col min="17" max="17" width="18.42578125" style="11" hidden="1" customWidth="1"/>
    <col min="18" max="18" width="19.85546875" style="11" hidden="1" customWidth="1"/>
    <col min="19" max="19" width="17.42578125" style="21" hidden="1" customWidth="1"/>
    <col min="20" max="21" width="18.42578125" style="11" hidden="1" customWidth="1"/>
    <col min="22" max="22" width="16.85546875" style="11" hidden="1" customWidth="1"/>
    <col min="23" max="23" width="17.28515625" style="11" hidden="1" customWidth="1"/>
    <col min="24" max="24" width="16.42578125" style="11" hidden="1" customWidth="1"/>
    <col min="25" max="25" width="16.28515625" style="11" hidden="1" customWidth="1"/>
    <col min="26" max="26" width="19.28515625" style="11" customWidth="1"/>
    <col min="27" max="27" width="17.42578125" style="11" customWidth="1"/>
    <col min="28" max="28" width="20.42578125" style="11" customWidth="1"/>
    <col min="29" max="16384" width="11.42578125" style="11"/>
  </cols>
  <sheetData>
    <row r="1" spans="1:34" ht="18">
      <c r="A1" s="758" t="s">
        <v>743</v>
      </c>
      <c r="B1" s="766"/>
    </row>
    <row r="2" spans="1:34">
      <c r="A2" s="28" t="s">
        <v>744</v>
      </c>
      <c r="AD2" s="11">
        <v>53271.68</v>
      </c>
      <c r="AE2" s="11">
        <v>9818.74</v>
      </c>
      <c r="AF2" s="11">
        <f>AD2*2/3</f>
        <v>35514.453333333331</v>
      </c>
      <c r="AG2" s="11">
        <f>AE2*2/3</f>
        <v>6545.8266666666668</v>
      </c>
    </row>
    <row r="3" spans="1:34">
      <c r="AD3" s="11">
        <v>17345.14</v>
      </c>
      <c r="AE3" s="11">
        <v>2254.87</v>
      </c>
    </row>
    <row r="4" spans="1:34">
      <c r="A4" s="48" t="s">
        <v>130</v>
      </c>
      <c r="B4" s="11" t="s">
        <v>72</v>
      </c>
      <c r="C4" s="11" t="s">
        <v>73</v>
      </c>
      <c r="D4" s="11" t="s">
        <v>74</v>
      </c>
      <c r="E4" s="11" t="s">
        <v>75</v>
      </c>
      <c r="F4" s="11" t="s">
        <v>76</v>
      </c>
      <c r="G4" s="11" t="s">
        <v>77</v>
      </c>
      <c r="H4" s="11" t="s">
        <v>78</v>
      </c>
      <c r="I4" s="11" t="s">
        <v>5</v>
      </c>
      <c r="J4" s="11" t="s">
        <v>6</v>
      </c>
      <c r="K4" s="11" t="s">
        <v>7</v>
      </c>
      <c r="L4" s="11" t="s">
        <v>8</v>
      </c>
      <c r="M4" s="11" t="s">
        <v>9</v>
      </c>
      <c r="N4" s="11" t="s">
        <v>745</v>
      </c>
      <c r="O4" s="119" t="s">
        <v>10</v>
      </c>
      <c r="P4" s="11" t="s">
        <v>11</v>
      </c>
      <c r="Q4" s="11" t="s">
        <v>12</v>
      </c>
      <c r="R4" s="11" t="s">
        <v>13</v>
      </c>
      <c r="S4" s="21" t="s">
        <v>14</v>
      </c>
      <c r="T4" s="11" t="s">
        <v>15</v>
      </c>
      <c r="U4" s="11" t="s">
        <v>39</v>
      </c>
      <c r="V4" s="11" t="s">
        <v>16</v>
      </c>
      <c r="W4" s="11" t="s">
        <v>81</v>
      </c>
      <c r="X4" s="11" t="s">
        <v>17</v>
      </c>
      <c r="Y4" s="11" t="s">
        <v>40</v>
      </c>
      <c r="Z4" s="11" t="s">
        <v>41</v>
      </c>
      <c r="AA4" s="5" t="s">
        <v>42</v>
      </c>
      <c r="AB4" s="5" t="s">
        <v>43</v>
      </c>
    </row>
    <row r="5" spans="1:34">
      <c r="A5" s="48"/>
      <c r="B5" s="11" t="s">
        <v>295</v>
      </c>
      <c r="C5" s="44">
        <v>0</v>
      </c>
      <c r="D5" s="44">
        <v>0</v>
      </c>
      <c r="E5" s="44">
        <v>0</v>
      </c>
      <c r="F5" s="44">
        <v>2000</v>
      </c>
      <c r="G5" s="44">
        <v>0</v>
      </c>
      <c r="H5" s="44">
        <v>0</v>
      </c>
      <c r="I5" s="44">
        <v>0</v>
      </c>
      <c r="J5" s="44">
        <v>0</v>
      </c>
      <c r="K5" s="44">
        <v>0</v>
      </c>
      <c r="L5" s="44">
        <v>0</v>
      </c>
      <c r="M5" s="44">
        <v>0</v>
      </c>
      <c r="N5" s="44">
        <v>0</v>
      </c>
      <c r="O5" s="149">
        <v>0</v>
      </c>
      <c r="P5" s="44">
        <v>0</v>
      </c>
      <c r="AD5" s="531"/>
      <c r="AE5" s="531"/>
    </row>
    <row r="6" spans="1:34" ht="11.25" customHeight="1" thickBot="1">
      <c r="B6" s="11" t="s">
        <v>21</v>
      </c>
      <c r="C6" s="178">
        <f>SUBTOTAL(109,VPEDRevenues[Budget 10/11])</f>
        <v>0</v>
      </c>
      <c r="D6" s="178">
        <f>SUBTOTAL(109,VPEDRevenues[Actual 10/11])</f>
        <v>0</v>
      </c>
      <c r="E6" s="178">
        <f>SUBTOTAL(109,VPEDRevenues[Budget 11/12])</f>
        <v>0</v>
      </c>
      <c r="F6" s="178">
        <f>SUBTOTAL(109,VPEDRevenues[Actual 11/12])</f>
        <v>2000</v>
      </c>
      <c r="G6" s="178">
        <f>SUBTOTAL(109,VPEDRevenues[Budget 12/13])</f>
        <v>0</v>
      </c>
      <c r="H6" s="178">
        <f>SUBTOTAL(109,VPEDRevenues[Actual 12/13])</f>
        <v>0</v>
      </c>
      <c r="I6" s="178">
        <f>SUBTOTAL(109,VPEDRevenues[Budget 13/14])</f>
        <v>0</v>
      </c>
      <c r="J6" s="178">
        <f>SUBTOTAL(109,VPEDRevenues[Actual 13/14])</f>
        <v>0</v>
      </c>
      <c r="K6" s="178">
        <f>SUBTOTAL(109,VPEDRevenues[Budget 14/15])</f>
        <v>0</v>
      </c>
      <c r="L6" s="178">
        <f>SUBTOTAL(109,VPEDRevenues[Actual 14/15])</f>
        <v>0</v>
      </c>
      <c r="M6" s="178">
        <f>SUBTOTAL(109,VPEDRevenues[Budget 15/16])</f>
        <v>0</v>
      </c>
      <c r="N6" s="178">
        <f>SUBTOTAL(109,VPEDRevenues[Actual 14/16])</f>
        <v>0</v>
      </c>
      <c r="O6" s="145">
        <f>SUBTOTAL(109,VPEDRevenues[Actual 15/16])</f>
        <v>0</v>
      </c>
      <c r="P6" s="178">
        <f>SUBTOTAL(109,VPEDRevenues[Budget 16/17])</f>
        <v>0</v>
      </c>
      <c r="Q6" s="178">
        <f>SUBTOTAL(109,VPEDRevenues[Actual 16/17])</f>
        <v>0</v>
      </c>
      <c r="R6" s="178">
        <f>SUBTOTAL(109,VPEDRevenues[Budget 17/18])</f>
        <v>0</v>
      </c>
      <c r="S6" s="21">
        <f>SUBTOTAL(109,VPEDRevenues[Revenues])</f>
        <v>0</v>
      </c>
      <c r="W6" s="11">
        <f>SUM(W5)</f>
        <v>0</v>
      </c>
      <c r="X6" s="11">
        <f>SUM(X5)</f>
        <v>0</v>
      </c>
      <c r="Y6" s="11">
        <f>SUM(Y5)</f>
        <v>0</v>
      </c>
      <c r="Z6" s="11">
        <f>SUM(Z5)</f>
        <v>0</v>
      </c>
      <c r="AD6" s="21"/>
      <c r="AE6" s="21"/>
    </row>
    <row r="7" spans="1:34" ht="13.5" thickBot="1">
      <c r="D7" s="78">
        <f>SUBTOTAL(109,VPEDRevenues[Budget 10/11])</f>
        <v>0</v>
      </c>
    </row>
    <row r="8" spans="1:34">
      <c r="A8" s="48" t="s">
        <v>130</v>
      </c>
      <c r="B8" s="11" t="s">
        <v>22</v>
      </c>
      <c r="C8" s="11" t="s">
        <v>73</v>
      </c>
      <c r="D8" s="11" t="s">
        <v>74</v>
      </c>
      <c r="E8" s="11" t="s">
        <v>75</v>
      </c>
      <c r="F8" s="11" t="s">
        <v>76</v>
      </c>
      <c r="G8" s="11" t="s">
        <v>77</v>
      </c>
      <c r="H8" s="11" t="s">
        <v>78</v>
      </c>
      <c r="I8" s="11" t="s">
        <v>5</v>
      </c>
      <c r="J8" s="11" t="s">
        <v>6</v>
      </c>
      <c r="K8" s="11" t="s">
        <v>7</v>
      </c>
      <c r="L8" s="11" t="s">
        <v>8</v>
      </c>
      <c r="M8" s="11" t="s">
        <v>9</v>
      </c>
      <c r="N8" s="11" t="s">
        <v>746</v>
      </c>
      <c r="O8" s="119" t="s">
        <v>10</v>
      </c>
      <c r="P8" s="11" t="s">
        <v>11</v>
      </c>
      <c r="Q8" s="11" t="s">
        <v>12</v>
      </c>
      <c r="R8" s="11" t="s">
        <v>13</v>
      </c>
      <c r="S8" s="21" t="s">
        <v>14</v>
      </c>
      <c r="T8" s="21" t="s">
        <v>15</v>
      </c>
      <c r="U8" s="11" t="s">
        <v>39</v>
      </c>
      <c r="V8" s="21" t="s">
        <v>16</v>
      </c>
      <c r="W8" s="21" t="s">
        <v>81</v>
      </c>
      <c r="X8" s="21" t="s">
        <v>17</v>
      </c>
      <c r="Y8" s="11" t="s">
        <v>40</v>
      </c>
      <c r="Z8" s="11" t="s">
        <v>41</v>
      </c>
      <c r="AA8" s="5" t="s">
        <v>42</v>
      </c>
      <c r="AB8" s="5" t="s">
        <v>43</v>
      </c>
      <c r="AC8" s="736"/>
    </row>
    <row r="9" spans="1:34">
      <c r="A9" s="48" t="s">
        <v>747</v>
      </c>
      <c r="B9" s="11" t="s">
        <v>85</v>
      </c>
      <c r="C9" s="84">
        <v>45785.18</v>
      </c>
      <c r="D9" s="84">
        <v>41959.57</v>
      </c>
      <c r="E9" s="84">
        <v>46794.6</v>
      </c>
      <c r="F9" s="84">
        <v>46794.97</v>
      </c>
      <c r="G9" s="84">
        <f>0.9*I9</f>
        <v>43297.308000000005</v>
      </c>
      <c r="H9" s="84">
        <v>48292.25</v>
      </c>
      <c r="I9" s="84">
        <v>48108.12</v>
      </c>
      <c r="J9" s="84">
        <v>50401.41</v>
      </c>
      <c r="K9" s="84">
        <f>4096.97 *12-N9</f>
        <v>49163.64</v>
      </c>
      <c r="L9" s="84">
        <v>45011.54</v>
      </c>
      <c r="M9" s="84">
        <v>46532.4</v>
      </c>
      <c r="O9" s="139">
        <v>45935.68</v>
      </c>
      <c r="P9" s="84">
        <f>VPEDExpenses[[#This Row],[Budget 15/16]]*1.011</f>
        <v>47044.256399999998</v>
      </c>
      <c r="Q9" s="18">
        <v>47044.26</v>
      </c>
      <c r="R9" s="18">
        <v>47702.87</v>
      </c>
      <c r="S9" s="18">
        <v>47726.67</v>
      </c>
      <c r="T9" s="18">
        <v>48227.6</v>
      </c>
      <c r="U9" s="18">
        <v>56298.63</v>
      </c>
      <c r="V9" s="18">
        <v>50060.76</v>
      </c>
      <c r="W9" s="18">
        <v>50750.54</v>
      </c>
      <c r="X9" s="44">
        <v>50060.76</v>
      </c>
      <c r="Y9" s="18">
        <v>56325.38</v>
      </c>
      <c r="Z9" s="18">
        <f>VPEDExpenses[[#This Row],[Budget 20/21]]*1.022*1.007</f>
        <v>51520.231397039999</v>
      </c>
      <c r="AA9" s="18">
        <v>56800.18</v>
      </c>
      <c r="AB9" s="594">
        <f>17345.14+AF2</f>
        <v>52859.593333333331</v>
      </c>
      <c r="AC9" s="735"/>
      <c r="AD9" s="650" t="s">
        <v>748</v>
      </c>
      <c r="AE9" s="450"/>
      <c r="AF9" s="450"/>
      <c r="AG9" s="450"/>
      <c r="AH9" s="450"/>
    </row>
    <row r="10" spans="1:34">
      <c r="A10" s="48"/>
      <c r="B10" s="11" t="s">
        <v>749</v>
      </c>
      <c r="C10" s="84"/>
      <c r="D10" s="84"/>
      <c r="E10" s="84"/>
      <c r="F10" s="84"/>
      <c r="G10" s="84"/>
      <c r="H10" s="84"/>
      <c r="I10" s="84"/>
      <c r="J10" s="84"/>
      <c r="K10" s="84"/>
      <c r="L10" s="84"/>
      <c r="M10" s="44">
        <v>4466.76</v>
      </c>
      <c r="O10" s="149"/>
      <c r="P10" s="44">
        <f>VPEDExpenses[[#This Row],[Budget 15/16]]*1.011</f>
        <v>4515.8943599999993</v>
      </c>
      <c r="Q10" s="18">
        <v>4515.8900000000003</v>
      </c>
      <c r="R10" s="18">
        <v>4579.1099999999997</v>
      </c>
      <c r="S10" s="18">
        <v>4579.1099999999997</v>
      </c>
      <c r="T10" s="18">
        <v>4629.4799999999996</v>
      </c>
      <c r="U10" s="18"/>
      <c r="V10" s="44">
        <f>V9*0.13</f>
        <v>6507.8988000000008</v>
      </c>
      <c r="W10" s="44"/>
      <c r="X10" s="44">
        <f>X9*0.13</f>
        <v>6507.8988000000008</v>
      </c>
      <c r="Y10" s="18"/>
      <c r="Z10" s="453">
        <f>Z9*0.13</f>
        <v>6697.6300816151997</v>
      </c>
      <c r="AA10" s="2">
        <v>0</v>
      </c>
      <c r="AB10" s="594">
        <f>2254.87*3</f>
        <v>6764.61</v>
      </c>
      <c r="AC10" s="737"/>
      <c r="AD10" s="650" t="s">
        <v>750</v>
      </c>
      <c r="AE10" s="650" t="s">
        <v>751</v>
      </c>
      <c r="AF10" s="650" t="s">
        <v>752</v>
      </c>
      <c r="AG10" s="650" t="s">
        <v>753</v>
      </c>
      <c r="AH10" s="450"/>
    </row>
    <row r="11" spans="1:34">
      <c r="A11" s="48" t="s">
        <v>754</v>
      </c>
      <c r="B11" s="11" t="s">
        <v>755</v>
      </c>
      <c r="C11" s="84">
        <v>0</v>
      </c>
      <c r="D11" s="84">
        <v>0</v>
      </c>
      <c r="E11" s="84">
        <v>0</v>
      </c>
      <c r="F11" s="84">
        <v>0</v>
      </c>
      <c r="G11" s="84">
        <v>15120</v>
      </c>
      <c r="H11" s="84">
        <v>18119.97</v>
      </c>
      <c r="I11" s="84">
        <v>24960</v>
      </c>
      <c r="J11" s="84">
        <v>19996.12</v>
      </c>
      <c r="K11" s="84">
        <v>35000</v>
      </c>
      <c r="L11" s="84">
        <v>27326.639999999999</v>
      </c>
      <c r="M11" s="84">
        <v>31500</v>
      </c>
      <c r="O11" s="139">
        <v>15738.24</v>
      </c>
      <c r="P11" s="84">
        <v>25000</v>
      </c>
      <c r="Q11" s="18">
        <v>19309.150000000001</v>
      </c>
      <c r="R11" s="18">
        <v>26000</v>
      </c>
      <c r="S11" s="18">
        <v>26083.63</v>
      </c>
      <c r="T11" s="18">
        <v>25675</v>
      </c>
      <c r="U11" s="18">
        <v>28273.03</v>
      </c>
      <c r="V11" s="18">
        <v>0</v>
      </c>
      <c r="W11" s="18">
        <v>-190.06</v>
      </c>
      <c r="X11" s="18">
        <v>1200</v>
      </c>
      <c r="Y11" s="18"/>
      <c r="Z11" s="454">
        <f>20690.24+13288.8</f>
        <v>33979.040000000001</v>
      </c>
      <c r="AA11" s="2">
        <v>25394.799999999999</v>
      </c>
      <c r="AB11" s="74">
        <f>7955.2+55686.4+AG14</f>
        <v>71596.800000000003</v>
      </c>
      <c r="AC11" s="737"/>
      <c r="AD11" s="651">
        <v>22</v>
      </c>
      <c r="AE11" s="650">
        <v>20</v>
      </c>
      <c r="AF11" s="650">
        <v>16</v>
      </c>
      <c r="AG11" s="650">
        <v>1.1299999999999999</v>
      </c>
      <c r="AH11" s="450"/>
    </row>
    <row r="12" spans="1:34">
      <c r="A12" s="48" t="s">
        <v>756</v>
      </c>
      <c r="B12" s="11" t="s">
        <v>91</v>
      </c>
      <c r="C12" s="84"/>
      <c r="D12" s="84"/>
      <c r="E12" s="84"/>
      <c r="F12" s="84"/>
      <c r="G12" s="84"/>
      <c r="H12" s="84"/>
      <c r="I12" s="84"/>
      <c r="J12" s="84"/>
      <c r="K12" s="84"/>
      <c r="L12" s="84"/>
      <c r="M12" s="84"/>
      <c r="O12" s="711"/>
      <c r="P12" s="44"/>
      <c r="Q12" s="18"/>
      <c r="R12" s="18"/>
      <c r="S12" s="18"/>
      <c r="T12" s="18"/>
      <c r="U12" s="18"/>
      <c r="V12" s="18"/>
      <c r="W12" s="18"/>
      <c r="X12" s="18"/>
      <c r="Y12" s="18"/>
      <c r="Z12" s="2">
        <f>VPEDExpenses[[#This Row],[Budget 20/21]]*1.022*1.007</f>
        <v>0</v>
      </c>
      <c r="AA12" s="2">
        <v>2384.46</v>
      </c>
      <c r="AB12" s="2"/>
      <c r="AC12" s="737"/>
      <c r="AD12" s="651"/>
      <c r="AE12" s="650"/>
      <c r="AF12" s="650"/>
      <c r="AG12" s="650"/>
      <c r="AH12" s="450"/>
    </row>
    <row r="13" spans="1:34">
      <c r="A13" s="48" t="s">
        <v>757</v>
      </c>
      <c r="B13" s="11" t="s">
        <v>93</v>
      </c>
      <c r="C13" s="84">
        <v>540</v>
      </c>
      <c r="D13" s="84">
        <v>451.11</v>
      </c>
      <c r="E13" s="84">
        <v>600</v>
      </c>
      <c r="F13" s="84">
        <v>311.77999999999997</v>
      </c>
      <c r="G13" s="84">
        <v>600</v>
      </c>
      <c r="H13" s="84">
        <v>308.74</v>
      </c>
      <c r="I13" s="84">
        <v>600</v>
      </c>
      <c r="J13" s="84">
        <v>315.16000000000003</v>
      </c>
      <c r="K13" s="84">
        <v>400</v>
      </c>
      <c r="L13" s="84">
        <v>579.63</v>
      </c>
      <c r="M13" s="84">
        <v>550</v>
      </c>
      <c r="O13" s="139">
        <v>546.86</v>
      </c>
      <c r="P13" s="84">
        <v>546</v>
      </c>
      <c r="Q13" s="18">
        <v>558.39</v>
      </c>
      <c r="R13" s="18">
        <v>558</v>
      </c>
      <c r="S13" s="18">
        <v>284.37</v>
      </c>
      <c r="T13" s="18">
        <v>560</v>
      </c>
      <c r="U13" s="18">
        <v>341.44</v>
      </c>
      <c r="V13" s="18">
        <v>560</v>
      </c>
      <c r="W13" s="18">
        <v>20.09</v>
      </c>
      <c r="X13" s="18">
        <v>375</v>
      </c>
      <c r="Y13" s="18">
        <v>136.52000000000001</v>
      </c>
      <c r="Z13" s="18"/>
      <c r="AA13" s="18"/>
      <c r="AC13" s="737"/>
      <c r="AD13" s="651"/>
      <c r="AE13" s="650"/>
      <c r="AF13" s="650"/>
      <c r="AG13" s="650"/>
      <c r="AH13" s="450"/>
    </row>
    <row r="14" spans="1:34">
      <c r="A14" s="48" t="s">
        <v>758</v>
      </c>
      <c r="B14" s="11" t="s">
        <v>95</v>
      </c>
      <c r="C14" s="84">
        <v>1500</v>
      </c>
      <c r="D14" s="84">
        <v>1801.22</v>
      </c>
      <c r="E14" s="84">
        <v>1650</v>
      </c>
      <c r="F14" s="84">
        <v>1322.24</v>
      </c>
      <c r="G14" s="84">
        <v>1350</v>
      </c>
      <c r="H14" s="84">
        <v>1373.61</v>
      </c>
      <c r="I14" s="84">
        <v>900</v>
      </c>
      <c r="J14" s="84">
        <v>725.6</v>
      </c>
      <c r="K14" s="84">
        <v>930</v>
      </c>
      <c r="L14" s="84">
        <v>503.33</v>
      </c>
      <c r="M14" s="84">
        <f>67.8*12</f>
        <v>813.59999999999991</v>
      </c>
      <c r="O14" s="139">
        <v>813.6</v>
      </c>
      <c r="P14" s="84">
        <v>813.6</v>
      </c>
      <c r="Q14" s="18">
        <v>813.6</v>
      </c>
      <c r="R14" s="18">
        <v>813</v>
      </c>
      <c r="S14" s="21">
        <v>813.6</v>
      </c>
      <c r="T14" s="21">
        <v>876</v>
      </c>
      <c r="U14" s="21">
        <v>882.6</v>
      </c>
      <c r="V14" s="18">
        <f>876*1.023</f>
        <v>896.14799999999991</v>
      </c>
      <c r="W14" s="18">
        <v>734.5</v>
      </c>
      <c r="X14" s="18">
        <f>50*12</f>
        <v>600</v>
      </c>
      <c r="Y14" s="18">
        <v>600</v>
      </c>
      <c r="Z14" s="454">
        <v>600</v>
      </c>
      <c r="AA14" s="2">
        <v>570</v>
      </c>
      <c r="AB14" s="11">
        <v>600</v>
      </c>
      <c r="AC14" s="737"/>
      <c r="AD14" s="450"/>
      <c r="AE14" s="450"/>
      <c r="AF14" s="652" t="s">
        <v>21</v>
      </c>
      <c r="AG14" s="651">
        <v>7955.1999999999989</v>
      </c>
      <c r="AH14"/>
    </row>
    <row r="15" spans="1:34">
      <c r="A15" s="48" t="s">
        <v>759</v>
      </c>
      <c r="B15" s="11" t="s">
        <v>97</v>
      </c>
      <c r="C15" s="84">
        <v>5</v>
      </c>
      <c r="D15" s="84">
        <v>0</v>
      </c>
      <c r="E15" s="84">
        <v>5</v>
      </c>
      <c r="F15" s="84">
        <v>0</v>
      </c>
      <c r="G15" s="84">
        <v>5</v>
      </c>
      <c r="H15" s="84">
        <v>0</v>
      </c>
      <c r="I15" s="84">
        <v>0</v>
      </c>
      <c r="J15" s="84"/>
      <c r="K15" s="84"/>
      <c r="L15" s="84">
        <v>0</v>
      </c>
      <c r="M15" s="84"/>
      <c r="O15" s="162">
        <v>0</v>
      </c>
      <c r="P15" s="84"/>
      <c r="Q15" s="18"/>
      <c r="R15" s="18"/>
      <c r="T15" s="21"/>
      <c r="U15" s="21"/>
      <c r="V15" s="18"/>
      <c r="W15" s="18">
        <v>0</v>
      </c>
      <c r="X15" s="18"/>
      <c r="Y15" s="18"/>
      <c r="Z15" s="18"/>
      <c r="AA15" s="18"/>
      <c r="AC15" s="737"/>
      <c r="AD15" s="650" t="s">
        <v>760</v>
      </c>
      <c r="AE15" s="450"/>
      <c r="AF15" s="450"/>
      <c r="AG15" s="450"/>
      <c r="AH15" s="450"/>
    </row>
    <row r="16" spans="1:34">
      <c r="A16" s="48" t="s">
        <v>761</v>
      </c>
      <c r="B16" s="11" t="s">
        <v>100</v>
      </c>
      <c r="C16" s="84">
        <v>50</v>
      </c>
      <c r="D16" s="84">
        <v>73.569999999999993</v>
      </c>
      <c r="E16" s="84">
        <v>62.5</v>
      </c>
      <c r="F16" s="84">
        <v>118.37</v>
      </c>
      <c r="G16" s="84">
        <v>75</v>
      </c>
      <c r="H16" s="84">
        <v>67.87</v>
      </c>
      <c r="I16" s="84">
        <v>100</v>
      </c>
      <c r="J16" s="84">
        <v>238.44</v>
      </c>
      <c r="K16" s="84">
        <v>100</v>
      </c>
      <c r="L16" s="84">
        <v>351.43</v>
      </c>
      <c r="M16" s="84">
        <v>400</v>
      </c>
      <c r="O16" s="139">
        <v>275.98</v>
      </c>
      <c r="P16" s="84">
        <v>400</v>
      </c>
      <c r="Q16" s="18"/>
      <c r="R16" s="18">
        <v>300</v>
      </c>
      <c r="S16" s="21">
        <v>109.72</v>
      </c>
      <c r="T16" s="21">
        <v>200</v>
      </c>
      <c r="U16" s="21">
        <v>45.55</v>
      </c>
      <c r="V16" s="18">
        <v>100</v>
      </c>
      <c r="W16" s="18">
        <v>101.91</v>
      </c>
      <c r="X16" s="18">
        <v>100</v>
      </c>
      <c r="Y16" s="18">
        <v>-14.46</v>
      </c>
      <c r="Z16" s="454">
        <v>100</v>
      </c>
      <c r="AA16" s="2"/>
      <c r="AC16" s="737"/>
      <c r="AD16" s="650" t="s">
        <v>750</v>
      </c>
      <c r="AE16" s="650" t="s">
        <v>751</v>
      </c>
      <c r="AF16" s="650" t="s">
        <v>762</v>
      </c>
      <c r="AG16" s="650" t="s">
        <v>753</v>
      </c>
      <c r="AH16" s="650" t="s">
        <v>763</v>
      </c>
    </row>
    <row r="17" spans="1:34">
      <c r="A17" s="48" t="s">
        <v>764</v>
      </c>
      <c r="B17" s="11" t="s">
        <v>102</v>
      </c>
      <c r="C17" s="84">
        <v>100</v>
      </c>
      <c r="D17" s="84">
        <v>511.95</v>
      </c>
      <c r="E17" s="84">
        <v>250</v>
      </c>
      <c r="F17" s="84">
        <v>117.16</v>
      </c>
      <c r="G17" s="84">
        <v>350</v>
      </c>
      <c r="H17" s="84">
        <v>40.200000000000003</v>
      </c>
      <c r="I17" s="84">
        <v>550</v>
      </c>
      <c r="J17" s="84">
        <v>575.97</v>
      </c>
      <c r="K17" s="84">
        <v>400</v>
      </c>
      <c r="L17" s="84">
        <v>63.29</v>
      </c>
      <c r="M17" s="84">
        <v>425</v>
      </c>
      <c r="O17" s="139">
        <v>43.93</v>
      </c>
      <c r="P17" s="84">
        <v>400</v>
      </c>
      <c r="Q17" s="18">
        <v>55.53</v>
      </c>
      <c r="R17" s="18">
        <v>200</v>
      </c>
      <c r="S17" s="21">
        <v>60.05</v>
      </c>
      <c r="T17" s="21">
        <v>200</v>
      </c>
      <c r="U17" s="21">
        <v>68.489999999999995</v>
      </c>
      <c r="V17" s="18">
        <v>200</v>
      </c>
      <c r="W17" s="18">
        <v>0</v>
      </c>
      <c r="X17" s="18">
        <v>200</v>
      </c>
      <c r="Y17" s="18"/>
      <c r="Z17" s="454">
        <v>200</v>
      </c>
      <c r="AA17" s="2">
        <v>236.16</v>
      </c>
      <c r="AB17" s="11">
        <v>200</v>
      </c>
      <c r="AC17" s="737"/>
      <c r="AD17" s="653">
        <v>22</v>
      </c>
      <c r="AE17" s="650">
        <v>35</v>
      </c>
      <c r="AF17" s="650">
        <v>16</v>
      </c>
      <c r="AG17" s="650">
        <v>1.1299999999999999</v>
      </c>
      <c r="AH17" s="650">
        <v>4</v>
      </c>
    </row>
    <row r="18" spans="1:34">
      <c r="A18" s="48" t="s">
        <v>765</v>
      </c>
      <c r="B18" s="11" t="s">
        <v>104</v>
      </c>
      <c r="C18" s="84">
        <v>500</v>
      </c>
      <c r="D18" s="84">
        <v>534.79999999999995</v>
      </c>
      <c r="E18" s="84">
        <v>625</v>
      </c>
      <c r="F18" s="84">
        <v>901.09</v>
      </c>
      <c r="G18" s="84">
        <v>750</v>
      </c>
      <c r="H18" s="84">
        <v>436.16</v>
      </c>
      <c r="I18" s="84">
        <v>1000</v>
      </c>
      <c r="J18" s="84">
        <v>422.56</v>
      </c>
      <c r="K18" s="84">
        <v>850</v>
      </c>
      <c r="L18" s="84">
        <v>352.23</v>
      </c>
      <c r="M18" s="84">
        <v>1200</v>
      </c>
      <c r="O18" s="139">
        <v>534.58000000000004</v>
      </c>
      <c r="P18" s="84">
        <v>1200</v>
      </c>
      <c r="Q18" s="18">
        <v>557.07000000000005</v>
      </c>
      <c r="R18" s="18">
        <v>1000</v>
      </c>
      <c r="S18" s="21">
        <v>378.95</v>
      </c>
      <c r="T18" s="21">
        <v>600</v>
      </c>
      <c r="U18" s="21">
        <v>113.19</v>
      </c>
      <c r="V18" s="18">
        <v>500</v>
      </c>
      <c r="W18" s="18">
        <v>0</v>
      </c>
      <c r="X18" s="18">
        <v>500</v>
      </c>
      <c r="Y18" s="18"/>
      <c r="Z18" s="454">
        <v>500</v>
      </c>
      <c r="AA18" s="2">
        <v>78.64</v>
      </c>
      <c r="AB18" s="11">
        <v>500</v>
      </c>
      <c r="AC18" s="737"/>
      <c r="AD18" s="448"/>
      <c r="AE18" s="450"/>
      <c r="AF18" s="450"/>
      <c r="AG18" s="650" t="s">
        <v>21</v>
      </c>
      <c r="AH18" s="653">
        <v>55686.399999999994</v>
      </c>
    </row>
    <row r="19" spans="1:34">
      <c r="A19" s="48" t="s">
        <v>766</v>
      </c>
      <c r="B19" s="11" t="s">
        <v>106</v>
      </c>
      <c r="C19" s="84">
        <v>500</v>
      </c>
      <c r="D19" s="84">
        <v>471.39</v>
      </c>
      <c r="E19" s="84">
        <v>500</v>
      </c>
      <c r="F19" s="84">
        <v>418.03</v>
      </c>
      <c r="G19" s="84">
        <v>500</v>
      </c>
      <c r="H19" s="84">
        <v>649.86</v>
      </c>
      <c r="I19" s="84">
        <v>1200</v>
      </c>
      <c r="J19" s="84">
        <v>635.20000000000005</v>
      </c>
      <c r="K19" s="84">
        <v>600</v>
      </c>
      <c r="L19" s="84">
        <v>1024.98</v>
      </c>
      <c r="M19" s="84">
        <v>1500</v>
      </c>
      <c r="O19" s="139">
        <v>290.39</v>
      </c>
      <c r="P19" s="84">
        <v>2300</v>
      </c>
      <c r="Q19" s="18">
        <v>5698.1</v>
      </c>
      <c r="R19" s="18">
        <v>5000</v>
      </c>
      <c r="S19" s="21">
        <v>5094.2</v>
      </c>
      <c r="T19" s="21">
        <v>3000</v>
      </c>
      <c r="U19" s="21">
        <v>2822.27</v>
      </c>
      <c r="V19" s="18">
        <v>5000</v>
      </c>
      <c r="W19" s="18">
        <v>2009.82</v>
      </c>
      <c r="X19" s="18">
        <v>7640</v>
      </c>
      <c r="Y19" s="18">
        <v>447.31</v>
      </c>
      <c r="Z19" s="454">
        <v>6640</v>
      </c>
      <c r="AA19" s="2">
        <v>2058.13</v>
      </c>
      <c r="AB19" s="654">
        <v>6640</v>
      </c>
      <c r="AC19" s="737"/>
      <c r="AD19"/>
      <c r="AE19"/>
      <c r="AF19"/>
      <c r="AG19" s="613" t="s">
        <v>767</v>
      </c>
      <c r="AH19" s="655">
        <v>13921.599999999999</v>
      </c>
    </row>
    <row r="20" spans="1:34">
      <c r="A20" s="48" t="s">
        <v>768</v>
      </c>
      <c r="B20" s="11" t="s">
        <v>114</v>
      </c>
      <c r="C20" s="94">
        <v>1250</v>
      </c>
      <c r="D20" s="99">
        <v>383.52</v>
      </c>
      <c r="E20" s="94">
        <v>7500</v>
      </c>
      <c r="F20" s="84">
        <v>4355.17</v>
      </c>
      <c r="G20" s="94">
        <v>4000</v>
      </c>
      <c r="H20" s="84">
        <v>1633.39</v>
      </c>
      <c r="I20" s="84"/>
      <c r="J20" s="84">
        <v>1321</v>
      </c>
      <c r="K20" s="94">
        <v>6000</v>
      </c>
      <c r="L20" s="84">
        <v>2161.73</v>
      </c>
      <c r="M20" s="94">
        <v>6000</v>
      </c>
      <c r="O20" s="139">
        <v>2569.7800000000002</v>
      </c>
      <c r="P20" s="120">
        <v>1500</v>
      </c>
      <c r="Q20" s="18">
        <v>1000</v>
      </c>
      <c r="R20" s="18">
        <v>1500</v>
      </c>
      <c r="S20" s="21">
        <v>163.95</v>
      </c>
      <c r="T20" s="21">
        <v>800</v>
      </c>
      <c r="U20" s="21">
        <v>962.07</v>
      </c>
      <c r="V20" s="18">
        <v>800</v>
      </c>
      <c r="W20" s="18">
        <v>260.35000000000002</v>
      </c>
      <c r="X20" s="18">
        <v>1300</v>
      </c>
      <c r="Y20" s="18">
        <f>390.41+30.68</f>
        <v>421.09000000000003</v>
      </c>
      <c r="Z20" s="454">
        <v>1300</v>
      </c>
      <c r="AA20" s="2"/>
      <c r="AB20" s="11">
        <v>6000</v>
      </c>
      <c r="AC20" s="737"/>
      <c r="AD20"/>
      <c r="AE20"/>
      <c r="AF20"/>
      <c r="AG20"/>
      <c r="AH20"/>
    </row>
    <row r="21" spans="1:34">
      <c r="A21" s="48" t="s">
        <v>769</v>
      </c>
      <c r="B21" s="46" t="s">
        <v>117</v>
      </c>
      <c r="C21" s="84">
        <v>0</v>
      </c>
      <c r="D21" s="99">
        <v>0</v>
      </c>
      <c r="E21" s="94">
        <v>0</v>
      </c>
      <c r="F21" s="97">
        <v>0</v>
      </c>
      <c r="G21" s="96">
        <v>0</v>
      </c>
      <c r="H21" s="98">
        <v>0</v>
      </c>
      <c r="I21" s="96">
        <v>800</v>
      </c>
      <c r="J21" s="98">
        <v>0</v>
      </c>
      <c r="K21" s="96">
        <v>0</v>
      </c>
      <c r="L21" s="98">
        <v>0</v>
      </c>
      <c r="M21" s="84">
        <v>0</v>
      </c>
      <c r="N21" s="84">
        <v>0</v>
      </c>
      <c r="O21" s="163">
        <v>0</v>
      </c>
      <c r="P21" s="95">
        <v>3000</v>
      </c>
      <c r="Q21" s="18">
        <v>3143.67</v>
      </c>
      <c r="R21" s="18">
        <v>2000</v>
      </c>
      <c r="T21" s="21">
        <v>500</v>
      </c>
      <c r="U21" s="21"/>
      <c r="V21" s="18">
        <v>500</v>
      </c>
      <c r="W21" s="18"/>
      <c r="X21" s="18"/>
      <c r="Y21" s="18"/>
      <c r="Z21" s="18"/>
      <c r="AA21" s="18"/>
      <c r="AC21" s="737"/>
    </row>
    <row r="22" spans="1:34">
      <c r="B22" s="51" t="s">
        <v>770</v>
      </c>
      <c r="C22" s="96">
        <v>0</v>
      </c>
      <c r="D22" s="99">
        <v>0</v>
      </c>
      <c r="E22" s="84">
        <v>0</v>
      </c>
      <c r="F22" s="97">
        <v>0</v>
      </c>
      <c r="G22" s="84">
        <v>0</v>
      </c>
      <c r="H22" s="98">
        <v>0</v>
      </c>
      <c r="I22" s="96">
        <v>500</v>
      </c>
      <c r="J22" s="84">
        <v>0</v>
      </c>
      <c r="K22" s="96">
        <v>0</v>
      </c>
      <c r="L22" s="84">
        <v>0</v>
      </c>
      <c r="M22" s="96">
        <v>0</v>
      </c>
      <c r="N22" s="84">
        <v>0</v>
      </c>
      <c r="O22" s="162">
        <v>0</v>
      </c>
      <c r="P22" s="95"/>
      <c r="Q22" s="18"/>
      <c r="R22" s="18"/>
      <c r="T22" s="21"/>
      <c r="U22" s="21"/>
      <c r="V22" s="18"/>
      <c r="W22" s="18"/>
      <c r="X22" s="18"/>
      <c r="Y22" s="18"/>
      <c r="Z22" s="18"/>
      <c r="AA22" s="18"/>
      <c r="AC22" s="737"/>
    </row>
    <row r="23" spans="1:34">
      <c r="B23" s="51" t="s">
        <v>771</v>
      </c>
      <c r="C23" s="84">
        <v>0</v>
      </c>
      <c r="D23" s="84">
        <v>0</v>
      </c>
      <c r="E23" s="96">
        <v>0</v>
      </c>
      <c r="F23" s="97">
        <v>0</v>
      </c>
      <c r="G23" s="95">
        <v>0</v>
      </c>
      <c r="H23" s="98">
        <v>0</v>
      </c>
      <c r="I23" s="96">
        <v>200</v>
      </c>
      <c r="J23" s="98">
        <v>0</v>
      </c>
      <c r="K23" s="84">
        <v>0</v>
      </c>
      <c r="L23" s="98">
        <v>0</v>
      </c>
      <c r="M23" s="96">
        <v>0</v>
      </c>
      <c r="N23" s="84">
        <v>0</v>
      </c>
      <c r="O23" s="164">
        <v>0</v>
      </c>
      <c r="P23" s="96">
        <v>0</v>
      </c>
      <c r="Q23" s="18"/>
      <c r="R23" s="18"/>
      <c r="T23" s="21"/>
      <c r="U23" s="21"/>
      <c r="V23" s="18"/>
      <c r="W23" s="18"/>
      <c r="X23" s="18"/>
      <c r="Y23" s="18"/>
      <c r="Z23" s="18"/>
      <c r="AA23" s="18"/>
      <c r="AC23" s="737"/>
    </row>
    <row r="24" spans="1:34">
      <c r="A24" s="48"/>
      <c r="B24" s="51" t="s">
        <v>772</v>
      </c>
      <c r="C24" s="95">
        <v>0</v>
      </c>
      <c r="D24" s="98">
        <v>0</v>
      </c>
      <c r="E24" s="96">
        <v>0</v>
      </c>
      <c r="F24" s="97">
        <v>0</v>
      </c>
      <c r="G24" s="95">
        <v>0</v>
      </c>
      <c r="H24" s="98">
        <v>0</v>
      </c>
      <c r="I24" s="94">
        <v>1500</v>
      </c>
      <c r="J24" s="98">
        <v>0</v>
      </c>
      <c r="K24" s="95">
        <v>0</v>
      </c>
      <c r="L24" s="98">
        <v>0</v>
      </c>
      <c r="M24" s="96">
        <v>0</v>
      </c>
      <c r="N24" s="84">
        <v>0</v>
      </c>
      <c r="O24" s="164">
        <v>0</v>
      </c>
      <c r="P24" s="84">
        <v>0</v>
      </c>
      <c r="Q24" s="18"/>
      <c r="R24" s="18"/>
      <c r="T24" s="21"/>
      <c r="U24" s="21"/>
      <c r="V24" s="18"/>
      <c r="W24" s="18"/>
      <c r="X24" s="18"/>
      <c r="Y24" s="18"/>
      <c r="Z24" s="18"/>
      <c r="AA24" s="18"/>
      <c r="AC24" s="737"/>
    </row>
    <row r="25" spans="1:34">
      <c r="A25" s="48"/>
      <c r="B25" s="11" t="s">
        <v>773</v>
      </c>
      <c r="C25" s="95">
        <v>0</v>
      </c>
      <c r="D25" s="97">
        <v>0</v>
      </c>
      <c r="E25" s="95">
        <v>0</v>
      </c>
      <c r="F25" s="97">
        <v>0</v>
      </c>
      <c r="G25" s="95">
        <v>0</v>
      </c>
      <c r="H25" s="97">
        <v>0</v>
      </c>
      <c r="I25" s="84">
        <v>500</v>
      </c>
      <c r="J25" s="84">
        <v>0</v>
      </c>
      <c r="K25" s="95">
        <v>0</v>
      </c>
      <c r="L25" s="84">
        <v>0</v>
      </c>
      <c r="M25" s="95">
        <v>0</v>
      </c>
      <c r="N25" s="84">
        <v>0</v>
      </c>
      <c r="O25" s="164">
        <v>0</v>
      </c>
      <c r="P25" s="95">
        <v>0</v>
      </c>
      <c r="Q25" s="18"/>
      <c r="R25" s="18"/>
      <c r="T25" s="21"/>
      <c r="U25" s="21"/>
      <c r="V25" s="18"/>
      <c r="W25" s="18"/>
      <c r="X25" s="18"/>
      <c r="Y25" s="18"/>
      <c r="Z25" s="18"/>
      <c r="AA25" s="18"/>
      <c r="AC25" s="737"/>
    </row>
    <row r="26" spans="1:34">
      <c r="A26" s="48"/>
      <c r="B26" s="11" t="s">
        <v>774</v>
      </c>
      <c r="C26" s="84"/>
      <c r="D26" s="84"/>
      <c r="E26" s="84"/>
      <c r="F26" s="84"/>
      <c r="G26" s="84"/>
      <c r="H26" s="84"/>
      <c r="I26" s="84"/>
      <c r="J26" s="84"/>
      <c r="K26" s="84"/>
      <c r="L26" s="84"/>
      <c r="M26" s="84"/>
      <c r="N26" s="44"/>
      <c r="O26" s="149"/>
      <c r="P26" s="44"/>
      <c r="Q26" s="18"/>
      <c r="R26" s="18"/>
      <c r="T26" s="18"/>
      <c r="U26" s="18"/>
      <c r="V26" s="18"/>
      <c r="W26" s="18"/>
      <c r="X26" s="18">
        <v>5000</v>
      </c>
      <c r="Y26" s="18"/>
      <c r="Z26" s="454">
        <v>3000</v>
      </c>
      <c r="AA26" s="2"/>
      <c r="AB26" s="11">
        <v>5000</v>
      </c>
      <c r="AC26" s="737"/>
    </row>
    <row r="27" spans="1:34">
      <c r="A27" s="48"/>
      <c r="B27" s="11" t="s">
        <v>138</v>
      </c>
      <c r="C27" s="84">
        <v>900</v>
      </c>
      <c r="D27" s="84">
        <v>189.55</v>
      </c>
      <c r="E27" s="84">
        <v>0</v>
      </c>
      <c r="F27" s="84">
        <v>1000.54</v>
      </c>
      <c r="G27" s="84">
        <v>0</v>
      </c>
      <c r="H27" s="84">
        <v>0</v>
      </c>
      <c r="I27" s="84">
        <v>0</v>
      </c>
      <c r="J27" s="84">
        <v>0</v>
      </c>
      <c r="K27" s="84">
        <v>0</v>
      </c>
      <c r="L27" s="84">
        <v>0</v>
      </c>
      <c r="M27" s="84">
        <v>0</v>
      </c>
      <c r="N27" s="84">
        <v>0</v>
      </c>
      <c r="O27" s="162">
        <v>0</v>
      </c>
      <c r="P27" s="84">
        <v>0</v>
      </c>
      <c r="Q27" s="18"/>
      <c r="R27" s="18"/>
      <c r="T27" s="21"/>
      <c r="U27" s="21"/>
      <c r="V27" s="18"/>
      <c r="W27" s="18"/>
      <c r="X27" s="18"/>
      <c r="Y27" s="18"/>
      <c r="Z27" s="454">
        <v>800</v>
      </c>
      <c r="AA27" s="2"/>
      <c r="AB27" s="11">
        <v>800</v>
      </c>
      <c r="AC27" s="737"/>
    </row>
    <row r="28" spans="1:34">
      <c r="A28" s="48" t="s">
        <v>768</v>
      </c>
      <c r="B28" s="11" t="s">
        <v>153</v>
      </c>
      <c r="C28" s="84">
        <v>300</v>
      </c>
      <c r="D28" s="84">
        <v>500</v>
      </c>
      <c r="E28" s="84">
        <v>1000</v>
      </c>
      <c r="F28" s="84">
        <v>1000</v>
      </c>
      <c r="G28" s="84">
        <v>1000</v>
      </c>
      <c r="H28" s="84"/>
      <c r="I28" s="84">
        <v>1000</v>
      </c>
      <c r="J28" s="84">
        <v>0</v>
      </c>
      <c r="K28" s="84">
        <v>1000</v>
      </c>
      <c r="L28" s="84">
        <v>0</v>
      </c>
      <c r="M28" s="84">
        <v>1000</v>
      </c>
      <c r="O28" s="162">
        <v>0</v>
      </c>
      <c r="P28" s="84">
        <v>1085.5999999999999</v>
      </c>
      <c r="Q28" s="18">
        <v>1085.5999999999999</v>
      </c>
      <c r="R28" s="18">
        <v>1085.5999999999999</v>
      </c>
      <c r="S28" s="18">
        <v>1085.5999999999999</v>
      </c>
      <c r="T28" s="18">
        <v>1085.5999999999999</v>
      </c>
      <c r="U28" s="18"/>
      <c r="V28" s="18">
        <f>1085.6/2</f>
        <v>542.79999999999995</v>
      </c>
      <c r="W28" s="18"/>
      <c r="X28" s="18">
        <v>542.79999999999995</v>
      </c>
      <c r="Y28" s="18">
        <v>1955.18</v>
      </c>
      <c r="Z28" s="18">
        <v>542.79999999999995</v>
      </c>
      <c r="AA28" s="18">
        <v>177.46</v>
      </c>
      <c r="AB28" s="11">
        <v>542.79999999999995</v>
      </c>
      <c r="AC28" s="737"/>
    </row>
    <row r="29" spans="1:34">
      <c r="A29" s="48" t="s">
        <v>768</v>
      </c>
      <c r="B29" s="11" t="s">
        <v>775</v>
      </c>
      <c r="C29" s="84">
        <v>250</v>
      </c>
      <c r="D29" s="84">
        <v>228.26</v>
      </c>
      <c r="E29" s="84">
        <v>250</v>
      </c>
      <c r="F29" s="84">
        <v>201.8</v>
      </c>
      <c r="G29" s="84">
        <v>250</v>
      </c>
      <c r="H29" s="84">
        <v>128.69</v>
      </c>
      <c r="I29" s="84">
        <v>250</v>
      </c>
      <c r="J29" s="84">
        <v>123.38</v>
      </c>
      <c r="K29" s="84">
        <v>200</v>
      </c>
      <c r="L29" s="84">
        <v>157.88999999999999</v>
      </c>
      <c r="M29" s="84">
        <v>200</v>
      </c>
      <c r="O29" s="162">
        <v>0</v>
      </c>
      <c r="P29" s="84">
        <v>200</v>
      </c>
      <c r="Q29" s="18">
        <v>0</v>
      </c>
      <c r="R29" s="18">
        <v>200</v>
      </c>
      <c r="S29" s="189"/>
      <c r="T29" s="18"/>
      <c r="U29" s="18">
        <v>33.9</v>
      </c>
      <c r="V29" s="18"/>
      <c r="W29" s="18"/>
      <c r="X29" s="18">
        <v>1800</v>
      </c>
      <c r="Y29" s="18">
        <v>55</v>
      </c>
      <c r="Z29" s="18">
        <v>1800</v>
      </c>
      <c r="AA29" s="18"/>
      <c r="AB29" s="656">
        <v>1800</v>
      </c>
      <c r="AC29" s="737"/>
    </row>
    <row r="30" spans="1:34">
      <c r="A30" s="49" t="s">
        <v>776</v>
      </c>
      <c r="B30" s="11" t="s">
        <v>110</v>
      </c>
      <c r="C30" s="84">
        <v>0</v>
      </c>
      <c r="D30" s="84">
        <v>0</v>
      </c>
      <c r="E30" s="84">
        <v>0</v>
      </c>
      <c r="F30" s="84">
        <v>0</v>
      </c>
      <c r="G30" s="84">
        <v>1000</v>
      </c>
      <c r="H30" s="84">
        <v>0</v>
      </c>
      <c r="I30" s="84">
        <v>0</v>
      </c>
      <c r="J30" s="84">
        <v>0</v>
      </c>
      <c r="K30" s="84">
        <v>0</v>
      </c>
      <c r="L30" s="84"/>
      <c r="M30" s="84">
        <v>400</v>
      </c>
      <c r="O30" s="162">
        <v>0</v>
      </c>
      <c r="P30" s="84">
        <v>0</v>
      </c>
      <c r="Q30" s="18"/>
      <c r="R30" s="18"/>
      <c r="T30" s="21"/>
      <c r="U30" s="21"/>
      <c r="V30" s="18"/>
      <c r="W30" s="18">
        <v>0</v>
      </c>
      <c r="X30" s="18"/>
      <c r="Y30" s="18"/>
      <c r="Z30" s="18"/>
      <c r="AA30" s="18"/>
      <c r="AC30" s="737"/>
    </row>
    <row r="31" spans="1:34">
      <c r="A31" s="49" t="s">
        <v>777</v>
      </c>
      <c r="B31" s="11" t="s">
        <v>287</v>
      </c>
      <c r="C31" s="84"/>
      <c r="D31" s="84"/>
      <c r="E31" s="84"/>
      <c r="F31" s="84"/>
      <c r="G31" s="84"/>
      <c r="H31" s="84"/>
      <c r="I31" s="84"/>
      <c r="J31" s="84"/>
      <c r="K31" s="84"/>
      <c r="L31" s="84"/>
      <c r="M31" s="84"/>
      <c r="O31" s="149"/>
      <c r="P31" s="44"/>
      <c r="Q31" s="18"/>
      <c r="R31" s="18"/>
      <c r="S31" s="21">
        <v>191.3</v>
      </c>
      <c r="T31" s="18"/>
      <c r="U31" s="18"/>
      <c r="V31" s="18"/>
      <c r="W31" s="18">
        <v>0</v>
      </c>
      <c r="X31" s="18"/>
      <c r="Y31" s="18"/>
      <c r="Z31" s="18"/>
      <c r="AA31" s="18"/>
      <c r="AC31" s="737"/>
    </row>
    <row r="32" spans="1:34">
      <c r="B32" s="11" t="s">
        <v>21</v>
      </c>
      <c r="C32" s="178">
        <f>SUBTOTAL(109,VPEDExpenses[Budget 10/11])</f>
        <v>51680.18</v>
      </c>
      <c r="D32" s="178">
        <f>SUBTOTAL(109,VPEDExpenses[Actual 10/11])</f>
        <v>47104.94</v>
      </c>
      <c r="E32" s="178">
        <f>SUBTOTAL(109,VPEDExpenses[Budget 11/12])</f>
        <v>59237.1</v>
      </c>
      <c r="F32" s="178">
        <f>SUBTOTAL(109,VPEDExpenses[Actual 11/12])</f>
        <v>56541.15</v>
      </c>
      <c r="G32" s="178">
        <f>SUBTOTAL(109,VPEDExpenses[Budget 12/13])</f>
        <v>68297.308000000005</v>
      </c>
      <c r="H32" s="178">
        <f>SUBTOTAL(109,VPEDExpenses[Actual 12/13])</f>
        <v>71050.740000000005</v>
      </c>
      <c r="I32" s="178">
        <f>SUBTOTAL(109,VPEDExpenses[Budget 13/14])</f>
        <v>82168.12</v>
      </c>
      <c r="J32" s="178">
        <f>SUBTOTAL(109,VPEDExpenses[Actual 13/14])</f>
        <v>74754.840000000011</v>
      </c>
      <c r="K32" s="178">
        <f>SUBTOTAL(109,VPEDExpenses[Budget 14/15])</f>
        <v>94643.64</v>
      </c>
      <c r="L32" s="178">
        <f>SUBTOTAL(109,VPEDExpenses[Actual 14/15])</f>
        <v>77532.689999999973</v>
      </c>
      <c r="M32" s="178">
        <f>SUBTOTAL(109,VPEDExpenses[Budget 15/16])</f>
        <v>94987.760000000009</v>
      </c>
      <c r="N32" s="178">
        <f>SUBTOTAL(109,VPEDExpenses[Budget 14/18])</f>
        <v>0</v>
      </c>
      <c r="O32" s="145">
        <f>SUBTOTAL(109,VPEDExpenses[Actual 15/16])</f>
        <v>66749.040000000008</v>
      </c>
      <c r="P32" s="178">
        <f>SUBTOTAL(109,VPEDExpenses[Budget 16/17])</f>
        <v>88005.350760000001</v>
      </c>
      <c r="Q32" s="178">
        <f>SUBTOTAL(109,VPEDExpenses[Actual 16/17])</f>
        <v>83781.260000000024</v>
      </c>
      <c r="R32" s="178">
        <f>SUBTOTAL(109,VPEDExpenses[Budget 17/18])</f>
        <v>90938.580000000016</v>
      </c>
      <c r="S32" s="21">
        <f>SUM(VPEDExpenses[Actual 17/18])</f>
        <v>86571.150000000009</v>
      </c>
      <c r="T32" s="21">
        <f>SUM(VPEDExpenses[Budget 18/19])</f>
        <v>86353.680000000008</v>
      </c>
      <c r="U32" s="21">
        <f>SUM(VPEDExpenses[Actual 18/19])</f>
        <v>89841.170000000027</v>
      </c>
      <c r="V32" s="21">
        <f>SUM(VPEDExpenses[Budget 19/20])</f>
        <v>65667.606800000009</v>
      </c>
      <c r="W32" s="21">
        <f>SUM(VPEDExpenses[Actual P12 19/20])</f>
        <v>53687.15</v>
      </c>
      <c r="X32" s="21">
        <f>SUM(VPEDExpenses[Budget 20/21])</f>
        <v>75826.458800000008</v>
      </c>
      <c r="Y32" s="21">
        <f>SUM(VPEDExpenses[Actual 20/21])</f>
        <v>59926.01999999999</v>
      </c>
      <c r="Z32" s="21">
        <f>SUM(VPEDExpenses[Budget 21/22])</f>
        <v>107679.7014786552</v>
      </c>
      <c r="AA32" s="21">
        <f>SUBTOTAL(109,VPEDExpenses[Actual 21/22])</f>
        <v>87699.830000000016</v>
      </c>
      <c r="AB32" s="11">
        <f>SUM(VPEDExpenses[Budget 22/23])</f>
        <v>153303.80333333332</v>
      </c>
    </row>
    <row r="33" spans="2:28" ht="13.5" thickBot="1"/>
    <row r="34" spans="2:28" ht="19.5" thickBot="1">
      <c r="B34" s="611" t="s">
        <v>127</v>
      </c>
      <c r="C34" s="27">
        <f>VPEDRevenues[[#Totals],[Budget 10/11]]-VPEDExpenses[[#Totals],[Budget 10/11]]</f>
        <v>-51680.18</v>
      </c>
      <c r="D34" s="27">
        <f>VPEDRevenues[[#Totals],[Actual 10/11]]-VPEDExpenses[[#Totals],[Actual 10/11]]</f>
        <v>-47104.94</v>
      </c>
      <c r="E34" s="27">
        <f>VPEDRevenues[[#Totals],[Budget 11/12]]-VPEDExpenses[[#Totals],[Budget 11/12]]</f>
        <v>-59237.1</v>
      </c>
      <c r="F34" s="27">
        <f>VPEDRevenues[[#Totals],[Actual 11/12]]-VPEDExpenses[[#Totals],[Actual 11/12]]</f>
        <v>-54541.15</v>
      </c>
      <c r="G34" s="27">
        <f>VPEDRevenues[[#Totals],[Budget 12/13]]-VPEDExpenses[[#Totals],[Budget 12/13]]</f>
        <v>-68297.308000000005</v>
      </c>
      <c r="H34" s="27">
        <f>VPEDRevenues[[#Totals],[Actual 12/13]]-VPEDExpenses[[#Totals],[Actual 12/13]]</f>
        <v>-71050.740000000005</v>
      </c>
      <c r="I34" s="27">
        <f>VPEDRevenues[[#Totals],[Budget 13/14]]-VPEDExpenses[[#Totals],[Budget 13/14]]</f>
        <v>-82168.12</v>
      </c>
      <c r="J34" s="27">
        <f>VPEDRevenues[[#Totals],[Actual 13/14]]-VPEDExpenses[[#Totals],[Actual 13/14]]</f>
        <v>-74754.840000000011</v>
      </c>
      <c r="K34" s="27">
        <f>VPEDRevenues[[#Totals],[Budget 14/15]]-VPEDExpenses[[#Totals],[Budget 14/15]]</f>
        <v>-94643.64</v>
      </c>
      <c r="L34" s="27">
        <f>VPEDRevenues[[#Totals],[Actual 14/15]]-VPEDExpenses[[#Totals],[Actual 14/15]]</f>
        <v>-77532.689999999973</v>
      </c>
      <c r="M34" s="27">
        <f>VPEDRevenues[[#Totals],[Budget 15/16]]-VPEDExpenses[[#Totals],[Budget 15/16]]</f>
        <v>-94987.760000000009</v>
      </c>
      <c r="N34" s="27">
        <f>VPEDRevenues[[#Totals],[Actual 14/16]]-VPEDExpenses[[#Totals],[Budget 14/18]]</f>
        <v>0</v>
      </c>
      <c r="O34" s="27">
        <f>VPEDRevenues[[#Totals],[Actual 15/16]]-VPEDExpenses[[#Totals],[Actual 15/16]]</f>
        <v>-66749.040000000008</v>
      </c>
      <c r="P34" s="64">
        <f>VPEDRevenues[[#Totals],[Budget 16/17]]-VPEDExpenses[[#Totals],[Budget 16/17]]</f>
        <v>-88005.350760000001</v>
      </c>
      <c r="Q34" s="64">
        <f>VPEDRevenues[[#Totals],[Actual 16/17]]-VPEDExpenses[[#Totals],[Actual 16/17]]</f>
        <v>-83781.260000000024</v>
      </c>
      <c r="R34" s="64">
        <f>VPEDRevenues[[#Totals],[Budget 17/18]]-VPEDExpenses[[#Totals],[Budget 17/18]]</f>
        <v>-90938.580000000016</v>
      </c>
      <c r="S34" s="188">
        <f>VPEDRevenues[[#Totals],[Actual 17/18]]-VPEDExpenses[[#Totals],[Actual 17/18]]</f>
        <v>-86571.150000000009</v>
      </c>
      <c r="T34" s="188">
        <f>VPEDRevenues[[#Totals],[Budget 18/19]]-VPEDExpenses[[#Totals],[Budget 18/19]]</f>
        <v>-86353.680000000008</v>
      </c>
      <c r="U34" s="188">
        <f>VPEDRevenues[[#Totals],[Actual 18/19]]-VPEDExpenses[[#Totals],[Actual 18/19]]</f>
        <v>-89841.170000000027</v>
      </c>
      <c r="V34" s="188">
        <f>VPEDRevenues[[#Totals],[Budget 19/20]]-VPEDExpenses[[#Totals],[Budget 19/20]]</f>
        <v>-65667.606800000009</v>
      </c>
      <c r="W34" s="188">
        <f>VPEDRevenues[[#Totals],[Actual P12 19/20]]-VPEDExpenses[[#Totals],[Actual P12 19/20]]</f>
        <v>-53687.15</v>
      </c>
      <c r="X34" s="188">
        <f>VPEDRevenues[[#Totals],[Budget 20/21]]-VPEDExpenses[[#Totals],[Budget 20/21]]</f>
        <v>-75826.458800000008</v>
      </c>
      <c r="Y34" s="188">
        <f>VPEDRevenues[[#Totals],[Actual 20/21]]-VPEDExpenses[[#Totals],[Actual 20/21]]</f>
        <v>-59926.01999999999</v>
      </c>
      <c r="Z34" s="188">
        <f>VPEDRevenues[[#Totals],[Budget 21/22]]-VPEDExpenses[[#Totals],[Budget 21/22]]</f>
        <v>-107679.7014786552</v>
      </c>
      <c r="AA34" s="188">
        <f>VPEDRevenues[[#Totals],[Actual 21/22]]-VPEDExpenses[[#Totals],[Actual 21/22]]</f>
        <v>-87699.830000000016</v>
      </c>
      <c r="AB34" s="188">
        <f>VPEDRevenues[[#Totals],[Budget 22/23]]-VPEDExpenses[[#Totals],[Budget 22/23]]</f>
        <v>-153303.80333333332</v>
      </c>
    </row>
    <row r="42" spans="2:28">
      <c r="F42" s="100"/>
      <c r="G42" s="101"/>
      <c r="H42" s="101"/>
      <c r="I42" s="101"/>
      <c r="J42" s="101"/>
      <c r="K42" s="101"/>
      <c r="L42" s="101"/>
    </row>
    <row r="43" spans="2:28">
      <c r="F43" s="100"/>
      <c r="G43" s="101"/>
      <c r="H43" s="101"/>
      <c r="I43" s="101"/>
      <c r="J43" s="101"/>
      <c r="K43" s="101"/>
      <c r="L43" s="101"/>
    </row>
    <row r="44" spans="2:28">
      <c r="F44" s="100"/>
      <c r="G44" s="101"/>
      <c r="H44" s="101"/>
      <c r="I44" s="101"/>
      <c r="J44" s="101"/>
      <c r="K44" s="101"/>
      <c r="L44" s="101"/>
    </row>
    <row r="45" spans="2:28">
      <c r="F45" s="100"/>
      <c r="G45" s="101"/>
      <c r="H45" s="101"/>
      <c r="I45" s="101"/>
      <c r="J45" s="101"/>
      <c r="K45" s="101"/>
      <c r="L45" s="101"/>
    </row>
    <row r="46" spans="2:28">
      <c r="F46" s="100"/>
      <c r="G46" s="101"/>
      <c r="H46" s="101"/>
      <c r="I46" s="101"/>
      <c r="J46" s="101"/>
      <c r="K46" s="101"/>
      <c r="L46" s="101"/>
    </row>
    <row r="47" spans="2:28">
      <c r="F47" s="100"/>
      <c r="G47" s="101"/>
      <c r="H47" s="101"/>
      <c r="I47" s="101"/>
      <c r="J47" s="101"/>
      <c r="K47" s="101"/>
      <c r="L47" s="101"/>
    </row>
    <row r="48" spans="2:28">
      <c r="F48" s="100"/>
      <c r="G48" s="101"/>
      <c r="H48" s="101"/>
      <c r="I48" s="101"/>
      <c r="J48" s="101"/>
      <c r="K48" s="101"/>
      <c r="L48" s="101"/>
    </row>
    <row r="49" spans="6:12">
      <c r="F49" s="100"/>
      <c r="G49" s="101"/>
      <c r="H49" s="101"/>
      <c r="I49" s="101"/>
      <c r="J49" s="101"/>
      <c r="K49" s="101"/>
      <c r="L49" s="101"/>
    </row>
    <row r="50" spans="6:12">
      <c r="F50" s="100"/>
      <c r="G50" s="101"/>
      <c r="H50" s="101"/>
      <c r="I50" s="101"/>
      <c r="J50" s="101"/>
      <c r="K50" s="101"/>
      <c r="L50" s="101"/>
    </row>
    <row r="51" spans="6:12">
      <c r="F51" s="100"/>
      <c r="G51" s="101"/>
      <c r="H51" s="101"/>
      <c r="I51" s="101"/>
      <c r="J51" s="101"/>
      <c r="K51" s="101"/>
      <c r="L51" s="101"/>
    </row>
    <row r="52" spans="6:12">
      <c r="F52" s="100"/>
      <c r="G52" s="101"/>
      <c r="H52" s="101"/>
      <c r="I52" s="101"/>
      <c r="J52" s="101"/>
      <c r="K52" s="101"/>
      <c r="L52" s="101"/>
    </row>
    <row r="53" spans="6:12">
      <c r="F53" s="100"/>
      <c r="G53" s="101"/>
      <c r="H53" s="101"/>
      <c r="I53" s="101"/>
      <c r="J53" s="101"/>
      <c r="K53" s="101"/>
      <c r="L53" s="101"/>
    </row>
    <row r="54" spans="6:12">
      <c r="F54" s="100"/>
      <c r="G54" s="101"/>
      <c r="H54" s="101"/>
      <c r="I54" s="101"/>
      <c r="J54" s="101"/>
      <c r="K54" s="101"/>
      <c r="L54" s="101"/>
    </row>
  </sheetData>
  <customSheetViews>
    <customSheetView guid="{DC934874-AE9C-4DF4-8DA8-4394DABABB42}" showRuler="0">
      <selection activeCell="B33" sqref="B33"/>
      <pageMargins left="0" right="0" top="0" bottom="0" header="0" footer="0"/>
      <pageSetup orientation="portrait"/>
      <headerFooter alignWithMargins="0"/>
    </customSheetView>
    <customSheetView guid="{7FD89B2E-4983-4B8D-ABA2-A07F685A0C6E}" showRuler="0">
      <selection activeCell="G19" sqref="G19"/>
      <pageMargins left="0" right="0" top="0" bottom="0" header="0" footer="0"/>
      <pageSetup orientation="portrait"/>
      <headerFooter alignWithMargins="0"/>
    </customSheetView>
    <customSheetView guid="{84D8AC11-A493-4338-8044-6F4154C29695}" showRuler="0">
      <selection activeCell="G19" sqref="G19"/>
      <pageMargins left="0" right="0" top="0" bottom="0" header="0" footer="0"/>
      <pageSetup orientation="portrait"/>
      <headerFooter alignWithMargins="0"/>
    </customSheetView>
    <customSheetView guid="{BB157E55-0A2E-4D9F-A3BF-E83E5442FC27}" showPageBreaks="1" showRuler="0">
      <selection activeCell="G19" sqref="G19"/>
      <pageMargins left="0" right="0" top="0" bottom="0" header="0" footer="0"/>
      <pageSetup orientation="portrait"/>
      <headerFooter alignWithMargins="0"/>
    </customSheetView>
  </customSheetViews>
  <mergeCells count="1">
    <mergeCell ref="A1:B1"/>
  </mergeCells>
  <phoneticPr fontId="0" type="noConversion"/>
  <pageMargins left="0" right="0" top="0.98425196850393704" bottom="0.98425196850393704" header="0.51181102362204722" footer="0.51181102362204722"/>
  <pageSetup paperSize="5" scale="83" orientation="landscape" r:id="rId1"/>
  <headerFooter alignWithMargins="0"/>
  <legacyDrawing r:id="rId2"/>
  <tableParts count="2">
    <tablePart r:id="rId3"/>
    <tablePart r:id="rId4"/>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tabColor theme="1"/>
    <pageSetUpPr fitToPage="1"/>
  </sheetPr>
  <dimension ref="A1:AC31"/>
  <sheetViews>
    <sheetView showGridLines="0" topLeftCell="A4" zoomScaleNormal="100" workbookViewId="0">
      <selection activeCell="T29" sqref="T29"/>
    </sheetView>
  </sheetViews>
  <sheetFormatPr defaultColWidth="11.42578125" defaultRowHeight="12.75"/>
  <cols>
    <col min="1" max="1" width="10.42578125" style="11" customWidth="1"/>
    <col min="2" max="2" width="33.7109375" style="11" customWidth="1"/>
    <col min="3" max="7" width="14.42578125" style="11" hidden="1" customWidth="1"/>
    <col min="8" max="8" width="14.42578125" style="102" hidden="1" customWidth="1"/>
    <col min="9" max="9" width="14.42578125" style="11" hidden="1" customWidth="1"/>
    <col min="10" max="10" width="11.7109375" style="11" hidden="1" customWidth="1"/>
    <col min="11" max="11" width="16.7109375" style="11" hidden="1" customWidth="1"/>
    <col min="12" max="12" width="15" style="11" hidden="1" customWidth="1"/>
    <col min="13" max="13" width="15.42578125" style="11" hidden="1" customWidth="1"/>
    <col min="14" max="14" width="13.85546875" style="11" hidden="1" customWidth="1"/>
    <col min="15" max="15" width="17" style="11" hidden="1" customWidth="1"/>
    <col min="16" max="16" width="18.28515625" style="11" hidden="1" customWidth="1"/>
    <col min="17" max="17" width="22.42578125" style="11" hidden="1" customWidth="1"/>
    <col min="18" max="18" width="11.42578125" style="11" hidden="1" customWidth="1"/>
    <col min="19" max="19" width="16.42578125" style="11" bestFit="1" customWidth="1"/>
    <col min="20" max="20" width="15.42578125" style="11" customWidth="1"/>
    <col min="21" max="21" width="21.7109375" style="11" customWidth="1"/>
    <col min="22" max="16384" width="11.42578125" style="11"/>
  </cols>
  <sheetData>
    <row r="1" spans="1:29" ht="18">
      <c r="A1" s="758" t="s">
        <v>778</v>
      </c>
      <c r="B1" s="758"/>
    </row>
    <row r="2" spans="1:29">
      <c r="A2" s="28" t="s">
        <v>744</v>
      </c>
    </row>
    <row r="4" spans="1:29">
      <c r="B4" s="11" t="s">
        <v>72</v>
      </c>
      <c r="C4" s="11" t="s">
        <v>5</v>
      </c>
      <c r="D4" s="11" t="s">
        <v>6</v>
      </c>
      <c r="E4" s="11" t="s">
        <v>7</v>
      </c>
      <c r="F4" s="11" t="s">
        <v>8</v>
      </c>
      <c r="G4" s="11" t="s">
        <v>9</v>
      </c>
      <c r="H4" s="102" t="s">
        <v>10</v>
      </c>
      <c r="I4" s="11" t="s">
        <v>11</v>
      </c>
      <c r="J4" s="11" t="s">
        <v>12</v>
      </c>
      <c r="K4" s="11" t="s">
        <v>13</v>
      </c>
      <c r="L4" s="11" t="s">
        <v>14</v>
      </c>
      <c r="M4" s="11" t="s">
        <v>15</v>
      </c>
      <c r="N4" s="11" t="s">
        <v>39</v>
      </c>
      <c r="O4" s="11" t="s">
        <v>16</v>
      </c>
      <c r="P4" s="11" t="s">
        <v>81</v>
      </c>
      <c r="Q4" s="11" t="s">
        <v>17</v>
      </c>
      <c r="R4" s="11" t="s">
        <v>40</v>
      </c>
      <c r="S4" s="11" t="s">
        <v>41</v>
      </c>
      <c r="T4" s="5" t="s">
        <v>42</v>
      </c>
      <c r="U4" s="5" t="s">
        <v>43</v>
      </c>
    </row>
    <row r="5" spans="1:29">
      <c r="C5" s="25">
        <v>0</v>
      </c>
      <c r="D5" s="25">
        <v>0</v>
      </c>
      <c r="E5" s="25">
        <v>0</v>
      </c>
      <c r="F5" s="25">
        <v>0</v>
      </c>
      <c r="G5" s="25">
        <v>0</v>
      </c>
      <c r="H5" s="105">
        <v>0</v>
      </c>
      <c r="I5" s="25">
        <v>0</v>
      </c>
      <c r="J5" s="178"/>
      <c r="K5" s="178"/>
      <c r="L5" s="178"/>
      <c r="M5" s="178"/>
      <c r="N5" s="178"/>
      <c r="O5" s="178"/>
      <c r="P5" s="178"/>
      <c r="Q5" s="178"/>
      <c r="R5" s="178"/>
      <c r="S5" s="178"/>
      <c r="T5" s="178"/>
      <c r="U5" s="178"/>
    </row>
    <row r="6" spans="1:29">
      <c r="B6" s="11" t="s">
        <v>21</v>
      </c>
      <c r="C6" s="178">
        <f>SUBTOTAL(109,AcademicAffairsRevenues[Budget 13/14])</f>
        <v>0</v>
      </c>
      <c r="D6" s="178">
        <f>SUBTOTAL(109,AcademicAffairsRevenues[Actual 13/14])</f>
        <v>0</v>
      </c>
      <c r="E6" s="178">
        <f>SUBTOTAL(109,AcademicAffairsRevenues[Budget 14/15])</f>
        <v>0</v>
      </c>
      <c r="F6" s="178">
        <f>SUBTOTAL(109,AcademicAffairsRevenues[Actual 14/15])</f>
        <v>0</v>
      </c>
      <c r="G6" s="178">
        <f>SUBTOTAL(109,AcademicAffairsRevenues[Budget 15/16])</f>
        <v>0</v>
      </c>
      <c r="H6" s="104">
        <f>SUBTOTAL(109,AcademicAffairsRevenues[Actual 15/16])</f>
        <v>0</v>
      </c>
      <c r="I6" s="178">
        <f>SUBTOTAL(109,AcademicAffairsRevenues[Budget 16/17])</f>
        <v>0</v>
      </c>
      <c r="J6" s="178">
        <f>SUBTOTAL(109,AcademicAffairsRevenues[Actual 16/17])</f>
        <v>0</v>
      </c>
      <c r="K6" s="178">
        <f>SUBTOTAL(109,AcademicAffairsRevenues[Budget 17/18])</f>
        <v>0</v>
      </c>
      <c r="L6" s="11">
        <f>SUBTOTAL(109,AcademicAffairsRevenues[Revenues])</f>
        <v>0</v>
      </c>
      <c r="M6" s="11">
        <f>SUBTOTAL(109,AcademicAffairsRevenues[Budget 13/14])</f>
        <v>0</v>
      </c>
      <c r="O6" s="11">
        <f>SUBTOTAL(109,AcademicAffairsRevenues[Actual 13/14])</f>
        <v>0</v>
      </c>
      <c r="P6" s="178">
        <f>SUM(P5)</f>
        <v>0</v>
      </c>
    </row>
    <row r="7" spans="1:29">
      <c r="C7" s="39"/>
      <c r="D7" s="39"/>
      <c r="E7" s="39"/>
      <c r="F7" s="39"/>
      <c r="G7" s="39"/>
    </row>
    <row r="8" spans="1:29">
      <c r="B8" s="11" t="s">
        <v>22</v>
      </c>
      <c r="C8" s="11" t="s">
        <v>5</v>
      </c>
      <c r="D8" s="11" t="s">
        <v>6</v>
      </c>
      <c r="E8" s="11" t="s">
        <v>7</v>
      </c>
      <c r="F8" s="11" t="s">
        <v>8</v>
      </c>
      <c r="G8" s="11" t="s">
        <v>9</v>
      </c>
      <c r="H8" s="102" t="s">
        <v>10</v>
      </c>
      <c r="I8" s="11" t="s">
        <v>11</v>
      </c>
      <c r="J8" s="11" t="s">
        <v>12</v>
      </c>
      <c r="K8" s="11" t="s">
        <v>13</v>
      </c>
      <c r="L8" s="11" t="s">
        <v>14</v>
      </c>
      <c r="M8" s="11" t="s">
        <v>15</v>
      </c>
      <c r="N8" s="11" t="s">
        <v>39</v>
      </c>
      <c r="O8" s="11" t="s">
        <v>16</v>
      </c>
      <c r="P8" s="11" t="s">
        <v>81</v>
      </c>
      <c r="Q8" s="11" t="s">
        <v>17</v>
      </c>
      <c r="R8" s="11" t="s">
        <v>40</v>
      </c>
      <c r="S8" s="11" t="s">
        <v>41</v>
      </c>
      <c r="T8" s="5" t="s">
        <v>42</v>
      </c>
      <c r="U8" s="5" t="s">
        <v>43</v>
      </c>
    </row>
    <row r="9" spans="1:29" ht="13.5" thickBot="1">
      <c r="A9" s="49" t="s">
        <v>779</v>
      </c>
      <c r="B9" s="11" t="s">
        <v>93</v>
      </c>
      <c r="C9" s="25">
        <v>150</v>
      </c>
      <c r="D9" s="25">
        <v>0</v>
      </c>
      <c r="E9" s="25">
        <v>0</v>
      </c>
      <c r="F9" s="25">
        <v>0</v>
      </c>
      <c r="G9" s="25">
        <v>0</v>
      </c>
      <c r="H9" s="105">
        <v>0</v>
      </c>
      <c r="I9" s="25">
        <v>0</v>
      </c>
      <c r="J9" s="25"/>
      <c r="K9" s="25"/>
      <c r="L9" s="25"/>
      <c r="M9" s="25"/>
      <c r="N9" s="25"/>
      <c r="O9" s="25"/>
      <c r="P9" s="25">
        <v>0</v>
      </c>
      <c r="Q9" s="44"/>
      <c r="R9" s="44"/>
      <c r="S9" s="44"/>
      <c r="T9" s="44"/>
      <c r="U9" s="44"/>
    </row>
    <row r="10" spans="1:29" ht="13.5" thickBot="1">
      <c r="A10" s="49" t="s">
        <v>780</v>
      </c>
      <c r="B10" s="11" t="s">
        <v>100</v>
      </c>
      <c r="C10" s="25">
        <v>60</v>
      </c>
      <c r="D10" s="25">
        <v>1.5</v>
      </c>
      <c r="E10" s="25">
        <v>20</v>
      </c>
      <c r="F10" s="25">
        <v>0</v>
      </c>
      <c r="G10" s="25">
        <v>20</v>
      </c>
      <c r="H10" s="105">
        <v>0</v>
      </c>
      <c r="I10" s="25">
        <v>10</v>
      </c>
      <c r="J10" s="25"/>
      <c r="K10" s="25">
        <v>25</v>
      </c>
      <c r="L10" s="25"/>
      <c r="M10" s="25"/>
      <c r="N10" s="25"/>
      <c r="O10" s="25"/>
      <c r="P10" s="25">
        <v>0</v>
      </c>
      <c r="Q10" s="44"/>
      <c r="R10" s="44"/>
      <c r="S10" s="44"/>
      <c r="T10" s="44"/>
      <c r="U10" s="44"/>
      <c r="W10" s="450"/>
      <c r="X10" s="478" t="s">
        <v>750</v>
      </c>
      <c r="Y10" s="478" t="s">
        <v>781</v>
      </c>
      <c r="Z10" s="479" t="s">
        <v>753</v>
      </c>
      <c r="AA10" s="479"/>
      <c r="AB10" s="480"/>
      <c r="AC10" s="478" t="s">
        <v>21</v>
      </c>
    </row>
    <row r="11" spans="1:29" ht="13.5" thickBot="1">
      <c r="A11" s="49" t="s">
        <v>782</v>
      </c>
      <c r="B11" s="11" t="s">
        <v>755</v>
      </c>
      <c r="C11" s="25"/>
      <c r="D11" s="25"/>
      <c r="E11" s="25"/>
      <c r="F11" s="25"/>
      <c r="G11" s="25"/>
      <c r="H11" s="25"/>
      <c r="I11" s="25"/>
      <c r="J11" s="25"/>
      <c r="K11" s="25"/>
      <c r="L11" s="44"/>
      <c r="M11" s="44"/>
      <c r="N11" s="44"/>
      <c r="O11" s="44"/>
      <c r="P11" s="44">
        <v>15403.43</v>
      </c>
      <c r="Q11" s="44"/>
      <c r="R11" s="44"/>
      <c r="S11" s="44"/>
      <c r="T11" s="44"/>
      <c r="U11" s="44"/>
      <c r="W11" s="481" t="s">
        <v>783</v>
      </c>
      <c r="X11" s="482">
        <v>21</v>
      </c>
      <c r="Y11" s="478">
        <f>(708/3)</f>
        <v>236</v>
      </c>
      <c r="Z11" s="479">
        <v>1.1299999999999999</v>
      </c>
      <c r="AA11" s="479"/>
      <c r="AB11" s="480"/>
      <c r="AC11" s="482">
        <f>X11*Y11*Z11</f>
        <v>5600.28</v>
      </c>
    </row>
    <row r="12" spans="1:29" ht="13.5" thickBot="1">
      <c r="B12" s="402" t="s">
        <v>784</v>
      </c>
      <c r="C12" s="25"/>
      <c r="D12" s="25"/>
      <c r="E12" s="25"/>
      <c r="F12" s="25"/>
      <c r="G12" s="25"/>
      <c r="H12" s="25"/>
      <c r="I12" s="25"/>
      <c r="J12" s="25"/>
      <c r="K12" s="25"/>
      <c r="L12" s="44"/>
      <c r="M12" s="44"/>
      <c r="N12" s="44"/>
      <c r="O12" s="44">
        <v>11253.11</v>
      </c>
      <c r="P12" s="44"/>
      <c r="Q12" s="44">
        <v>13627.055</v>
      </c>
      <c r="R12" s="44">
        <f>4054.89+30.68</f>
        <v>4085.5699999999997</v>
      </c>
      <c r="S12" s="455">
        <v>14934.079999999998</v>
      </c>
      <c r="T12" s="117">
        <v>9306.61</v>
      </c>
      <c r="U12" s="117">
        <v>5600</v>
      </c>
      <c r="W12" s="483"/>
      <c r="X12" s="484"/>
      <c r="Y12" s="485"/>
      <c r="Z12" s="486"/>
      <c r="AA12" s="486"/>
      <c r="AB12" s="487"/>
      <c r="AC12" s="482"/>
    </row>
    <row r="13" spans="1:29" ht="13.5" thickBot="1">
      <c r="B13" s="402" t="s">
        <v>785</v>
      </c>
      <c r="C13" s="25"/>
      <c r="D13" s="25"/>
      <c r="E13" s="25"/>
      <c r="F13" s="25"/>
      <c r="G13" s="25"/>
      <c r="H13" s="25"/>
      <c r="I13" s="25"/>
      <c r="J13" s="25"/>
      <c r="K13" s="25"/>
      <c r="L13" s="44"/>
      <c r="M13" s="44"/>
      <c r="N13" s="44"/>
      <c r="O13" s="44">
        <v>11253.11</v>
      </c>
      <c r="P13" s="44"/>
      <c r="Q13" s="44">
        <v>13627.055</v>
      </c>
      <c r="R13" s="44">
        <v>7511.42</v>
      </c>
      <c r="S13" s="455">
        <v>15200.759999999998</v>
      </c>
      <c r="T13" s="117"/>
      <c r="U13" s="117">
        <v>5066.92</v>
      </c>
      <c r="W13" s="450"/>
      <c r="X13" s="450"/>
      <c r="Y13" s="450"/>
      <c r="Z13" s="450"/>
      <c r="AA13" s="450"/>
      <c r="AB13" s="450"/>
      <c r="AC13" s="482"/>
    </row>
    <row r="14" spans="1:29" ht="13.5" thickBot="1">
      <c r="B14" s="402" t="s">
        <v>786</v>
      </c>
      <c r="C14" s="25"/>
      <c r="D14" s="25"/>
      <c r="E14" s="25"/>
      <c r="F14" s="25"/>
      <c r="G14" s="25"/>
      <c r="H14" s="25"/>
      <c r="I14" s="25"/>
      <c r="J14" s="25"/>
      <c r="K14" s="25"/>
      <c r="L14" s="44"/>
      <c r="M14" s="44"/>
      <c r="N14" s="44"/>
      <c r="O14" s="44">
        <v>11253.11</v>
      </c>
      <c r="P14" s="44"/>
      <c r="Q14" s="44">
        <v>13627.055</v>
      </c>
      <c r="R14" s="44">
        <f>2452.12</f>
        <v>2452.12</v>
      </c>
      <c r="S14" s="44"/>
      <c r="T14" s="44"/>
      <c r="U14" s="117"/>
      <c r="W14" s="450"/>
      <c r="X14" s="450"/>
      <c r="Y14" s="450"/>
      <c r="Z14" s="450"/>
      <c r="AA14" s="450"/>
      <c r="AB14" s="450"/>
      <c r="AC14" s="450"/>
    </row>
    <row r="15" spans="1:29" ht="13.5" thickBot="1">
      <c r="A15" s="49" t="s">
        <v>787</v>
      </c>
      <c r="B15" s="11" t="s">
        <v>138</v>
      </c>
      <c r="C15" s="25">
        <v>400</v>
      </c>
      <c r="D15" s="25">
        <v>300</v>
      </c>
      <c r="E15" s="25">
        <v>800</v>
      </c>
      <c r="F15" s="25">
        <v>-100</v>
      </c>
      <c r="G15" s="25">
        <v>300</v>
      </c>
      <c r="H15" s="105">
        <v>0</v>
      </c>
      <c r="I15" s="25">
        <v>300</v>
      </c>
      <c r="J15" s="25"/>
      <c r="K15" s="25">
        <v>300</v>
      </c>
      <c r="L15" s="25"/>
      <c r="M15" s="25"/>
      <c r="N15" s="25"/>
      <c r="O15" s="25"/>
      <c r="P15" s="25">
        <v>254.54</v>
      </c>
      <c r="Q15" s="44"/>
      <c r="R15" s="44"/>
      <c r="S15" s="44"/>
      <c r="T15" s="44"/>
      <c r="U15" s="117"/>
      <c r="W15" s="481" t="s">
        <v>788</v>
      </c>
      <c r="X15" s="482">
        <v>19</v>
      </c>
      <c r="Y15" s="478">
        <f>708/3</f>
        <v>236</v>
      </c>
      <c r="Z15" s="479">
        <v>1.1299999999999999</v>
      </c>
      <c r="AA15" s="479"/>
      <c r="AB15" s="480"/>
      <c r="AC15" s="482">
        <f>X15*Y15*Z15</f>
        <v>5066.9199999999992</v>
      </c>
    </row>
    <row r="16" spans="1:29">
      <c r="A16" s="49" t="s">
        <v>789</v>
      </c>
      <c r="B16" s="11" t="s">
        <v>106</v>
      </c>
      <c r="C16" s="25">
        <v>0</v>
      </c>
      <c r="D16" s="25">
        <v>0</v>
      </c>
      <c r="E16" s="25">
        <v>100</v>
      </c>
      <c r="F16" s="25"/>
      <c r="G16" s="25">
        <v>100</v>
      </c>
      <c r="H16" s="105">
        <v>0</v>
      </c>
      <c r="I16" s="25">
        <v>100</v>
      </c>
      <c r="J16" s="25"/>
      <c r="K16" s="25"/>
      <c r="L16" s="25">
        <v>128.41999999999999</v>
      </c>
      <c r="M16" s="25">
        <v>600</v>
      </c>
      <c r="N16" s="25"/>
      <c r="O16" s="25">
        <v>600</v>
      </c>
      <c r="P16" s="25">
        <v>0</v>
      </c>
      <c r="Q16" s="44">
        <v>600</v>
      </c>
      <c r="R16" s="44"/>
      <c r="S16" s="44">
        <v>600</v>
      </c>
      <c r="T16" s="44"/>
      <c r="U16" s="117">
        <v>300</v>
      </c>
    </row>
    <row r="17" spans="1:22">
      <c r="A17" s="49" t="s">
        <v>790</v>
      </c>
      <c r="B17" s="11" t="s">
        <v>142</v>
      </c>
      <c r="C17" s="25">
        <v>500</v>
      </c>
      <c r="D17" s="25">
        <v>0</v>
      </c>
      <c r="E17" s="25">
        <v>0</v>
      </c>
      <c r="F17" s="25">
        <v>0</v>
      </c>
      <c r="G17" s="25">
        <v>0</v>
      </c>
      <c r="H17" s="105">
        <v>0</v>
      </c>
      <c r="I17" s="25">
        <v>0</v>
      </c>
      <c r="J17" s="25"/>
      <c r="K17" s="25"/>
      <c r="L17" s="25">
        <v>300</v>
      </c>
      <c r="M17" s="25"/>
      <c r="N17" s="25"/>
      <c r="O17" s="25"/>
      <c r="P17" s="25">
        <v>0</v>
      </c>
      <c r="Q17" s="44"/>
      <c r="R17" s="44"/>
      <c r="S17" s="44"/>
      <c r="T17" s="44"/>
      <c r="U17" s="117"/>
    </row>
    <row r="18" spans="1:22">
      <c r="A18" s="49" t="s">
        <v>787</v>
      </c>
      <c r="B18" s="11" t="s">
        <v>114</v>
      </c>
      <c r="C18" s="25">
        <v>0</v>
      </c>
      <c r="D18" s="85">
        <v>428.65</v>
      </c>
      <c r="E18" s="25">
        <v>0</v>
      </c>
      <c r="F18" s="85">
        <v>35</v>
      </c>
      <c r="G18" s="29">
        <v>0</v>
      </c>
      <c r="H18" s="106">
        <v>0</v>
      </c>
      <c r="I18" s="609">
        <v>0</v>
      </c>
      <c r="J18" s="25"/>
      <c r="K18" s="25"/>
      <c r="L18" s="25">
        <v>135.43</v>
      </c>
      <c r="M18" s="25"/>
      <c r="N18" s="25"/>
      <c r="O18" s="25"/>
      <c r="P18" s="25"/>
      <c r="Q18" s="44"/>
      <c r="R18" s="44"/>
      <c r="S18" s="44"/>
      <c r="T18" s="44"/>
      <c r="U18" s="117"/>
    </row>
    <row r="19" spans="1:22">
      <c r="A19" s="49" t="s">
        <v>787</v>
      </c>
      <c r="B19" s="11" t="s">
        <v>367</v>
      </c>
      <c r="C19" s="92">
        <v>250</v>
      </c>
      <c r="D19" s="85">
        <v>0</v>
      </c>
      <c r="E19" s="92">
        <v>100</v>
      </c>
      <c r="F19" s="25">
        <v>0</v>
      </c>
      <c r="G19" s="92">
        <v>100</v>
      </c>
      <c r="H19" s="106">
        <v>0</v>
      </c>
      <c r="I19" s="609">
        <v>200</v>
      </c>
      <c r="J19" s="25"/>
      <c r="K19" s="25"/>
      <c r="L19" s="25"/>
      <c r="M19" s="25">
        <v>125</v>
      </c>
      <c r="N19" s="25">
        <v>168.15</v>
      </c>
      <c r="O19" s="25">
        <v>625</v>
      </c>
      <c r="P19" s="25"/>
      <c r="Q19" s="44">
        <v>400</v>
      </c>
      <c r="R19" s="44"/>
      <c r="S19" s="44">
        <v>400</v>
      </c>
      <c r="T19" s="44"/>
      <c r="U19" s="117">
        <v>400</v>
      </c>
    </row>
    <row r="20" spans="1:22">
      <c r="A20" s="49"/>
      <c r="B20" s="402" t="s">
        <v>791</v>
      </c>
      <c r="C20" s="92">
        <v>500</v>
      </c>
      <c r="D20" s="25">
        <v>0</v>
      </c>
      <c r="E20" s="92">
        <v>100</v>
      </c>
      <c r="F20" s="93">
        <v>0</v>
      </c>
      <c r="G20" s="92">
        <v>100</v>
      </c>
      <c r="H20" s="106">
        <v>0</v>
      </c>
      <c r="I20" s="609">
        <v>0</v>
      </c>
      <c r="J20" s="25"/>
      <c r="K20" s="25">
        <v>100</v>
      </c>
      <c r="L20" s="25"/>
      <c r="M20" s="25"/>
      <c r="N20" s="25"/>
      <c r="O20" s="25"/>
      <c r="P20" s="25"/>
      <c r="Q20" s="44"/>
      <c r="R20" s="44"/>
      <c r="S20" s="44"/>
      <c r="T20" s="44"/>
      <c r="U20" s="117"/>
    </row>
    <row r="21" spans="1:22">
      <c r="A21" s="49"/>
      <c r="B21" s="402" t="s">
        <v>792</v>
      </c>
      <c r="C21" s="25"/>
      <c r="D21" s="25"/>
      <c r="E21" s="29"/>
      <c r="F21" s="93"/>
      <c r="G21" s="25"/>
      <c r="H21" s="85"/>
      <c r="I21" s="609"/>
      <c r="J21" s="25"/>
      <c r="K21" s="25"/>
      <c r="L21" s="44"/>
      <c r="M21" s="44"/>
      <c r="N21" s="44"/>
      <c r="O21" s="44">
        <v>300</v>
      </c>
      <c r="P21" s="44"/>
      <c r="Q21" s="44">
        <v>300</v>
      </c>
      <c r="R21" s="44"/>
      <c r="S21" s="44">
        <v>300</v>
      </c>
      <c r="T21" s="44"/>
      <c r="U21" s="117">
        <v>0</v>
      </c>
    </row>
    <row r="22" spans="1:22">
      <c r="A22" s="49"/>
      <c r="B22" s="402" t="s">
        <v>793</v>
      </c>
      <c r="C22" s="25">
        <v>250</v>
      </c>
      <c r="D22" s="93">
        <v>0</v>
      </c>
      <c r="E22" s="29">
        <v>250</v>
      </c>
      <c r="F22" s="93">
        <v>0</v>
      </c>
      <c r="G22" s="25">
        <v>100</v>
      </c>
      <c r="H22" s="106">
        <v>0</v>
      </c>
      <c r="I22" s="609">
        <v>100</v>
      </c>
      <c r="J22" s="25">
        <v>67.400000000000006</v>
      </c>
      <c r="K22" s="25">
        <v>100</v>
      </c>
      <c r="L22" s="25"/>
      <c r="M22" s="25">
        <v>150</v>
      </c>
      <c r="N22" s="25"/>
      <c r="O22" s="25">
        <v>300</v>
      </c>
      <c r="P22" s="25"/>
      <c r="Q22" s="44">
        <v>300</v>
      </c>
      <c r="R22" s="44"/>
      <c r="S22" s="44">
        <v>300</v>
      </c>
      <c r="T22" s="44"/>
      <c r="U22" s="117">
        <v>600</v>
      </c>
    </row>
    <row r="23" spans="1:22">
      <c r="A23" s="49"/>
      <c r="B23" s="402" t="s">
        <v>794</v>
      </c>
      <c r="C23" s="25"/>
      <c r="D23" s="25"/>
      <c r="E23" s="25"/>
      <c r="F23" s="25"/>
      <c r="G23" s="25"/>
      <c r="H23" s="25"/>
      <c r="I23" s="609"/>
      <c r="J23" s="25"/>
      <c r="K23" s="25"/>
      <c r="L23" s="25"/>
      <c r="M23" s="25">
        <v>100</v>
      </c>
      <c r="N23" s="25"/>
      <c r="O23" s="25">
        <v>100</v>
      </c>
      <c r="P23" s="25"/>
      <c r="Q23" s="44">
        <v>0</v>
      </c>
      <c r="R23" s="44"/>
      <c r="S23" s="44"/>
      <c r="T23" s="44"/>
      <c r="U23" s="117"/>
    </row>
    <row r="24" spans="1:22">
      <c r="A24" s="49" t="s">
        <v>795</v>
      </c>
      <c r="B24" s="403" t="s">
        <v>796</v>
      </c>
      <c r="C24" s="91">
        <v>500</v>
      </c>
      <c r="D24" s="25">
        <v>0</v>
      </c>
      <c r="E24" s="25">
        <v>0</v>
      </c>
      <c r="F24" s="25">
        <v>0</v>
      </c>
      <c r="G24" s="91">
        <v>0</v>
      </c>
      <c r="H24" s="105">
        <v>0</v>
      </c>
      <c r="I24" s="609">
        <v>0</v>
      </c>
      <c r="J24" s="25"/>
      <c r="K24" s="25"/>
      <c r="L24" s="25"/>
      <c r="M24" s="25"/>
      <c r="N24" s="25"/>
      <c r="O24" s="25"/>
      <c r="P24" s="25">
        <v>0</v>
      </c>
      <c r="Q24" s="44"/>
      <c r="R24" s="44"/>
      <c r="S24" s="44"/>
      <c r="T24" s="44"/>
      <c r="U24" s="117"/>
    </row>
    <row r="25" spans="1:22">
      <c r="B25" s="11" t="s">
        <v>797</v>
      </c>
      <c r="C25" s="25">
        <v>500</v>
      </c>
      <c r="D25" s="25">
        <v>0</v>
      </c>
      <c r="E25" s="25">
        <v>0</v>
      </c>
      <c r="F25" s="25">
        <v>0</v>
      </c>
      <c r="G25" s="25">
        <v>0</v>
      </c>
      <c r="H25" s="105">
        <v>0</v>
      </c>
      <c r="I25" s="25">
        <v>0</v>
      </c>
      <c r="J25" s="25"/>
      <c r="K25" s="25"/>
      <c r="L25" s="25"/>
      <c r="M25" s="25"/>
      <c r="N25" s="25"/>
      <c r="O25" s="25"/>
      <c r="P25" s="25"/>
      <c r="Q25" s="44"/>
      <c r="R25" s="44"/>
      <c r="S25" s="44"/>
      <c r="T25" s="44"/>
      <c r="U25" s="117"/>
    </row>
    <row r="26" spans="1:22">
      <c r="B26" s="11" t="s">
        <v>798</v>
      </c>
      <c r="C26" s="25">
        <v>0</v>
      </c>
      <c r="D26" s="25">
        <v>0</v>
      </c>
      <c r="E26" s="25">
        <v>500</v>
      </c>
      <c r="F26" s="25">
        <v>0</v>
      </c>
      <c r="G26" s="25">
        <v>500</v>
      </c>
      <c r="H26" s="105">
        <v>0</v>
      </c>
      <c r="I26" s="25">
        <v>400</v>
      </c>
      <c r="J26" s="25"/>
      <c r="K26" s="25">
        <v>300</v>
      </c>
      <c r="L26" s="25"/>
      <c r="M26" s="25"/>
      <c r="N26" s="25"/>
      <c r="O26" s="25"/>
      <c r="P26" s="25"/>
      <c r="Q26" s="44"/>
      <c r="R26" s="44"/>
      <c r="S26" s="456">
        <v>300</v>
      </c>
      <c r="T26" s="117">
        <v>98.1</v>
      </c>
      <c r="U26" s="117">
        <v>500</v>
      </c>
    </row>
    <row r="27" spans="1:22">
      <c r="B27" s="11" t="s">
        <v>287</v>
      </c>
      <c r="C27" s="25">
        <v>0</v>
      </c>
      <c r="D27" s="25">
        <v>0</v>
      </c>
      <c r="E27" s="25">
        <v>0</v>
      </c>
      <c r="F27" s="25">
        <v>0</v>
      </c>
      <c r="G27" s="25">
        <v>0</v>
      </c>
      <c r="H27" s="105">
        <v>0</v>
      </c>
      <c r="I27" s="25">
        <v>0</v>
      </c>
      <c r="J27" s="25"/>
      <c r="K27" s="25"/>
      <c r="L27" s="25"/>
      <c r="M27" s="25"/>
      <c r="N27" s="25"/>
      <c r="O27" s="25"/>
      <c r="P27" s="25"/>
      <c r="Q27" s="44"/>
      <c r="R27" s="44"/>
      <c r="S27" s="44"/>
      <c r="T27" s="44"/>
      <c r="U27" s="44"/>
      <c r="V27" s="519"/>
    </row>
    <row r="28" spans="1:22">
      <c r="B28" s="11" t="s">
        <v>799</v>
      </c>
      <c r="C28" s="25">
        <v>500</v>
      </c>
      <c r="D28" s="25">
        <v>358.41</v>
      </c>
      <c r="E28" s="25">
        <v>250</v>
      </c>
      <c r="F28" s="25">
        <v>0</v>
      </c>
      <c r="G28" s="25">
        <v>250</v>
      </c>
      <c r="H28" s="105">
        <v>0</v>
      </c>
      <c r="I28" s="25">
        <v>150</v>
      </c>
      <c r="J28" s="25">
        <v>25.96</v>
      </c>
      <c r="K28" s="25"/>
      <c r="L28" s="25"/>
      <c r="M28" s="25">
        <v>75</v>
      </c>
      <c r="N28" s="25"/>
      <c r="O28" s="25">
        <v>75</v>
      </c>
      <c r="P28" s="25"/>
      <c r="Q28" s="44">
        <v>0</v>
      </c>
      <c r="R28" s="44"/>
      <c r="S28" s="44"/>
      <c r="T28" s="44"/>
      <c r="U28" s="44"/>
    </row>
    <row r="29" spans="1:22">
      <c r="B29" s="11" t="s">
        <v>21</v>
      </c>
      <c r="C29" s="21">
        <f>SUBTOTAL(109,AcademicAffairsExpenses[Budget 13/14])</f>
        <v>3610</v>
      </c>
      <c r="D29" s="21">
        <f>SUBTOTAL(109,AcademicAffairsExpenses[Actual 13/14])</f>
        <v>1088.56</v>
      </c>
      <c r="E29" s="21">
        <f>SUBTOTAL(109,AcademicAffairsExpenses[Budget 14/15])</f>
        <v>2120</v>
      </c>
      <c r="F29" s="21">
        <f>SUBTOTAL(109,AcademicAffairsExpenses[Actual 14/15])</f>
        <v>-65</v>
      </c>
      <c r="G29" s="21">
        <f>SUBTOTAL(109,AcademicAffairsExpenses[Budget 15/16])</f>
        <v>1470</v>
      </c>
      <c r="H29" s="597">
        <f>SUBTOTAL(109,AcademicAffairsExpenses[Actual 15/16])</f>
        <v>0</v>
      </c>
      <c r="I29" s="21">
        <f>SUBTOTAL(109,AcademicAffairsExpenses[Budget 16/17])</f>
        <v>1260</v>
      </c>
      <c r="J29" s="21">
        <f>SUBTOTAL(109,AcademicAffairsExpenses[Actual 16/17])</f>
        <v>93.360000000000014</v>
      </c>
      <c r="K29" s="21">
        <f>SUBTOTAL(109,AcademicAffairsExpenses[Budget 17/18])</f>
        <v>825</v>
      </c>
      <c r="L29" s="21">
        <f>SUM(AcademicAffairsExpenses[Actual 17/18])</f>
        <v>563.84999999999991</v>
      </c>
      <c r="M29" s="21">
        <f>SUBTOTAL(109,AcademicAffairsExpenses[Budget 18/19])</f>
        <v>1050</v>
      </c>
      <c r="N29" s="21">
        <f>SUBTOTAL(109,AcademicAffairsExpenses[Actual 18/19])</f>
        <v>168.15</v>
      </c>
      <c r="O29" s="21">
        <f>SUM(AcademicAffairsExpenses[Budget 19/20])</f>
        <v>35759.33</v>
      </c>
      <c r="P29" s="21">
        <f>SUM(AcademicAffairsExpenses[Actual P12 19/20])</f>
        <v>15657.970000000001</v>
      </c>
      <c r="Q29" s="21">
        <f>SUM(AcademicAffairsExpenses[Budget 20/21])</f>
        <v>42481.165000000001</v>
      </c>
      <c r="R29" s="21">
        <f>SUM(AcademicAffairsExpenses[Actual 20/21])</f>
        <v>14049.11</v>
      </c>
      <c r="S29" s="21">
        <f>SUM(AcademicAffairsExpenses[Budget 21/22])</f>
        <v>32034.839999999997</v>
      </c>
      <c r="T29" s="21">
        <f>SUBTOTAL(109,AcademicAffairsExpenses[Actual 21/22])</f>
        <v>9404.7100000000009</v>
      </c>
      <c r="U29" s="178">
        <f>SUM(AcademicAffairsExpenses[Budget 22/23])</f>
        <v>12466.92</v>
      </c>
    </row>
    <row r="30" spans="1:22" ht="13.5" thickBot="1"/>
    <row r="31" spans="1:22" ht="19.5" thickBot="1">
      <c r="B31" s="611" t="s">
        <v>127</v>
      </c>
      <c r="C31" s="27">
        <f>AcademicAffairsRevenues[[#Totals],[Budget 13/14]]-AcademicAffairsExpenses[[#Totals],[Budget 13/14]]</f>
        <v>-3610</v>
      </c>
      <c r="D31" s="27">
        <f>AcademicAffairsRevenues[[#Totals],[Actual 13/14]]-AcademicAffairsExpenses[[#Totals],[Actual 13/14]]</f>
        <v>-1088.56</v>
      </c>
      <c r="E31" s="27">
        <f>AcademicAffairsRevenues[[#Totals],[Budget 14/15]]-AcademicAffairsExpenses[[#Totals],[Budget 14/15]]</f>
        <v>-2120</v>
      </c>
      <c r="F31" s="27">
        <f>AcademicAffairsRevenues[[#Totals],[Actual 14/15]]-AcademicAffairsExpenses[[#Totals],[Actual 14/15]]</f>
        <v>65</v>
      </c>
      <c r="G31" s="27">
        <f>AcademicAffairsRevenues[[#Totals],[Budget 15/16]]-AcademicAffairsExpenses[[#Totals],[Budget 15/16]]</f>
        <v>-1470</v>
      </c>
      <c r="H31" s="103">
        <f>AcademicAffairsRevenues[[#Totals],[Actual 15/16]]-AcademicAffairsExpenses[[#Totals],[Actual 15/16]]</f>
        <v>0</v>
      </c>
      <c r="I31" s="316">
        <f>AcademicAffairsRevenues[[#Totals],[Budget 16/17]]-AcademicAffairsExpenses[[#Totals],[Budget 16/17]]</f>
        <v>-1260</v>
      </c>
      <c r="J31" s="316">
        <f>AcademicAffairsRevenues[[#Totals],[Actual 16/17]]-AcademicAffairsExpenses[[#Totals],[Actual 16/17]]</f>
        <v>-93.360000000000014</v>
      </c>
      <c r="K31" s="316">
        <f>AcademicAffairsRevenues[[#Totals],[Budget 17/18]]-AcademicAffairsExpenses[[#Totals],[Budget 17/18]]</f>
        <v>-825</v>
      </c>
      <c r="L31" s="316">
        <f>AcademicAffairsRevenues[[#Totals],[Actual 17/18]]-AcademicAffairsExpenses[[#Totals],[Actual 17/18]]</f>
        <v>-563.84999999999991</v>
      </c>
      <c r="M31" s="316">
        <f>AcademicAffairsRevenues[[#Totals],[Budget 18/19]]-AcademicAffairsExpenses[[#Totals],[Budget 18/19]]</f>
        <v>-1050</v>
      </c>
      <c r="N31" s="316">
        <f>AcademicAffairsRevenues[[#Totals],[Actual 18/19]]-AcademicAffairsExpenses[[#Totals],[Actual 18/19]]</f>
        <v>-168.15</v>
      </c>
      <c r="O31" s="316">
        <f>AcademicAffairsRevenues[[#Totals],[Budget 19/20]]-AcademicAffairsExpenses[[#Totals],[Budget 19/20]]</f>
        <v>-35759.33</v>
      </c>
      <c r="P31" s="316">
        <f>AcademicAffairsRevenues[[#Totals],[Actual P12 19/20]]-AcademicAffairsExpenses[[#Totals],[Actual P12 19/20]]</f>
        <v>-15657.970000000001</v>
      </c>
      <c r="Q31" s="316">
        <f>AcademicAffairsRevenues[[#Totals],[Budget 20/21]]-AcademicAffairsExpenses[[#Totals],[Budget 20/21]]</f>
        <v>-42481.165000000001</v>
      </c>
      <c r="R31" s="316">
        <f>AcademicAffairsRevenues[[#Totals],[Actual 20/21]]-AcademicAffairsExpenses[[#Totals],[Actual 20/21]]</f>
        <v>-14049.11</v>
      </c>
      <c r="S31" s="316">
        <f>AcademicAffairsRevenues[[#Totals],[Budget 21/22]]-AcademicAffairsExpenses[[#Totals],[Budget 21/22]]</f>
        <v>-32034.839999999997</v>
      </c>
      <c r="T31" s="316">
        <f>AcademicAffairsRevenues[[#Totals],[Actual 21/22]]-AcademicAffairsExpenses[[#Totals],[Actual 21/22]]</f>
        <v>-9404.7100000000009</v>
      </c>
      <c r="U31" s="316">
        <f>AcademicAffairsRevenues[[#Totals],[Budget 22/23]]-AcademicAffairsExpenses[[#Totals],[Budget 22/23]]</f>
        <v>-12466.92</v>
      </c>
    </row>
  </sheetData>
  <mergeCells count="1">
    <mergeCell ref="A1:B1"/>
  </mergeCells>
  <phoneticPr fontId="90" type="noConversion"/>
  <pageMargins left="0.7" right="0.7" top="0.75" bottom="0.75" header="0.3" footer="0.3"/>
  <pageSetup scale="71" orientation="landscape" r:id="rId1"/>
  <legacyDrawing r:id="rId2"/>
  <tableParts count="2">
    <tablePart r:id="rId3"/>
    <tablePart r:id="rId4"/>
  </tablePar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1"/>
  </sheetPr>
  <dimension ref="A1:AF27"/>
  <sheetViews>
    <sheetView workbookViewId="0">
      <selection activeCell="W19" sqref="W19"/>
    </sheetView>
  </sheetViews>
  <sheetFormatPr defaultColWidth="11.42578125" defaultRowHeight="12.75"/>
  <cols>
    <col min="1" max="1" width="13.85546875" style="11" customWidth="1"/>
    <col min="2" max="2" width="35.42578125" style="11" customWidth="1"/>
    <col min="3" max="9" width="14.42578125" style="11" hidden="1" customWidth="1"/>
    <col min="10" max="10" width="12.42578125" style="11" hidden="1" customWidth="1"/>
    <col min="11" max="13" width="14.42578125" style="11" hidden="1" customWidth="1"/>
    <col min="14" max="14" width="14.42578125" style="102" hidden="1" customWidth="1"/>
    <col min="15" max="15" width="14.42578125" style="11" hidden="1" customWidth="1"/>
    <col min="16" max="17" width="0" style="11" hidden="1" customWidth="1"/>
    <col min="18" max="18" width="17" style="11" hidden="1" customWidth="1"/>
    <col min="19" max="19" width="16.85546875" style="11" hidden="1" customWidth="1"/>
    <col min="20" max="20" width="16" style="11" hidden="1" customWidth="1"/>
    <col min="21" max="21" width="14.28515625" style="11" hidden="1" customWidth="1"/>
    <col min="22" max="22" width="15.85546875" style="11" customWidth="1"/>
    <col min="23" max="23" width="15.7109375" style="11" customWidth="1"/>
    <col min="24" max="24" width="18.140625" style="11" customWidth="1"/>
    <col min="25" max="25" width="11.42578125" style="11"/>
    <col min="26" max="26" width="15.140625" style="11" bestFit="1" customWidth="1"/>
    <col min="27" max="16384" width="11.42578125" style="11"/>
  </cols>
  <sheetData>
    <row r="1" spans="1:32" ht="18">
      <c r="A1" s="758" t="s">
        <v>800</v>
      </c>
      <c r="B1" s="758"/>
    </row>
    <row r="2" spans="1:32">
      <c r="A2" s="28" t="s">
        <v>744</v>
      </c>
    </row>
    <row r="4" spans="1:32">
      <c r="B4" s="11" t="s">
        <v>72</v>
      </c>
      <c r="C4" s="11" t="s">
        <v>73</v>
      </c>
      <c r="D4" s="11" t="s">
        <v>74</v>
      </c>
      <c r="E4" s="11" t="s">
        <v>75</v>
      </c>
      <c r="F4" s="11" t="s">
        <v>76</v>
      </c>
      <c r="G4" s="11" t="s">
        <v>77</v>
      </c>
      <c r="H4" s="11" t="s">
        <v>78</v>
      </c>
      <c r="I4" s="11" t="s">
        <v>5</v>
      </c>
      <c r="J4" s="11" t="s">
        <v>6</v>
      </c>
      <c r="K4" s="11" t="s">
        <v>7</v>
      </c>
      <c r="L4" s="11" t="s">
        <v>8</v>
      </c>
      <c r="M4" s="11" t="s">
        <v>9</v>
      </c>
      <c r="N4" s="102" t="s">
        <v>10</v>
      </c>
      <c r="O4" s="11" t="s">
        <v>11</v>
      </c>
      <c r="P4" s="11" t="s">
        <v>13</v>
      </c>
      <c r="Q4" s="11" t="s">
        <v>15</v>
      </c>
      <c r="R4" s="11" t="s">
        <v>16</v>
      </c>
      <c r="S4" s="11" t="s">
        <v>81</v>
      </c>
      <c r="T4" s="11" t="s">
        <v>61</v>
      </c>
      <c r="U4" s="11" t="s">
        <v>40</v>
      </c>
      <c r="V4" s="11" t="s">
        <v>41</v>
      </c>
      <c r="W4" s="5" t="s">
        <v>42</v>
      </c>
      <c r="X4" s="5" t="s">
        <v>43</v>
      </c>
    </row>
    <row r="5" spans="1:32">
      <c r="C5" s="20">
        <v>0</v>
      </c>
      <c r="D5" s="20">
        <v>0</v>
      </c>
      <c r="E5" s="20">
        <v>0</v>
      </c>
      <c r="F5" s="20">
        <v>0</v>
      </c>
      <c r="G5" s="20">
        <v>0</v>
      </c>
      <c r="H5" s="20">
        <v>0</v>
      </c>
      <c r="I5" s="20">
        <v>0</v>
      </c>
      <c r="J5" s="20">
        <v>0</v>
      </c>
      <c r="K5" s="20">
        <v>0</v>
      </c>
      <c r="L5" s="20">
        <v>0</v>
      </c>
      <c r="M5" s="20">
        <v>0</v>
      </c>
      <c r="N5" s="320">
        <v>0</v>
      </c>
      <c r="O5" s="20">
        <v>0</v>
      </c>
      <c r="P5" s="520"/>
      <c r="Q5" s="450"/>
      <c r="R5" s="450"/>
      <c r="S5" s="450"/>
      <c r="T5" s="450"/>
      <c r="U5" s="450"/>
      <c r="V5" s="450"/>
      <c r="W5" s="450"/>
      <c r="X5" s="450"/>
    </row>
    <row r="6" spans="1:32">
      <c r="B6" s="11" t="s">
        <v>21</v>
      </c>
      <c r="C6" s="178">
        <f>SUBTOTAL(109,GovernmentAffairsRevenue11180[Budget 10/11])</f>
        <v>0</v>
      </c>
      <c r="D6" s="178">
        <f>SUBTOTAL(109,GovernmentAffairsRevenue11180[Actual 10/11])</f>
        <v>0</v>
      </c>
      <c r="E6" s="178">
        <f>SUBTOTAL(109,GovernmentAffairsRevenue11180[Budget 11/12])</f>
        <v>0</v>
      </c>
      <c r="F6" s="178">
        <f>SUBTOTAL(109,GovernmentAffairsRevenue11180[Actual 11/12])</f>
        <v>0</v>
      </c>
      <c r="G6" s="178">
        <f>SUBTOTAL(109,GovernmentAffairsRevenue11180[Budget 12/13])</f>
        <v>0</v>
      </c>
      <c r="H6" s="178">
        <f>SUBTOTAL(109,GovernmentAffairsRevenue11180[Actual 12/13])</f>
        <v>0</v>
      </c>
      <c r="I6" s="178">
        <f>SUBTOTAL(109,GovernmentAffairsRevenue11180[Budget 13/14])</f>
        <v>0</v>
      </c>
      <c r="J6" s="178">
        <f>SUBTOTAL(109,GovernmentAffairsRevenue11180[Actual 13/14])</f>
        <v>0</v>
      </c>
      <c r="K6" s="178">
        <f>SUBTOTAL(109,GovernmentAffairsRevenue11180[Budget 14/15])</f>
        <v>0</v>
      </c>
      <c r="L6" s="178">
        <f>SUBTOTAL(109,GovernmentAffairsRevenue11180[Actual 14/15])</f>
        <v>0</v>
      </c>
      <c r="M6" s="178">
        <f>SUBTOTAL(109,GovernmentAffairsRevenue11180[Budget 15/16])</f>
        <v>0</v>
      </c>
      <c r="N6" s="104">
        <f>SUBTOTAL(109,GovernmentAffairsRevenue11180[Actual 15/16])</f>
        <v>0</v>
      </c>
      <c r="O6" s="178">
        <f>SUBTOTAL(109,GovernmentAffairsRevenue11180[Budget 16/17])</f>
        <v>0</v>
      </c>
      <c r="S6" s="11">
        <f>SUM(GovernmentAffairsRevenue11180[Actual P12 19/20])</f>
        <v>0</v>
      </c>
      <c r="T6" s="11">
        <f>SUM(GovernmentAffairsRevenue11180[Budget 19/21])</f>
        <v>0</v>
      </c>
      <c r="U6" s="11">
        <f>SUM(GovernmentAffairsRevenue11180[Actual 20/21])</f>
        <v>0</v>
      </c>
      <c r="V6" s="11">
        <f>SUM(GovernmentAffairsRevenue11180[Budget 21/22])</f>
        <v>0</v>
      </c>
    </row>
    <row r="7" spans="1:32">
      <c r="C7" s="1"/>
      <c r="D7" s="1"/>
      <c r="E7" s="1"/>
      <c r="F7" s="1"/>
      <c r="G7" s="1"/>
      <c r="H7" s="1"/>
      <c r="I7" s="1"/>
      <c r="J7" s="1"/>
      <c r="K7" s="1"/>
      <c r="L7" s="1"/>
      <c r="M7" s="1"/>
    </row>
    <row r="8" spans="1:32" ht="13.5" thickBot="1">
      <c r="A8" s="48" t="s">
        <v>130</v>
      </c>
      <c r="B8" s="11" t="s">
        <v>22</v>
      </c>
      <c r="C8" s="11" t="s">
        <v>73</v>
      </c>
      <c r="D8" s="11" t="s">
        <v>74</v>
      </c>
      <c r="E8" s="11" t="s">
        <v>75</v>
      </c>
      <c r="F8" s="11" t="s">
        <v>76</v>
      </c>
      <c r="G8" s="11" t="s">
        <v>77</v>
      </c>
      <c r="H8" s="11" t="s">
        <v>78</v>
      </c>
      <c r="I8" s="11" t="s">
        <v>5</v>
      </c>
      <c r="J8" s="11" t="s">
        <v>6</v>
      </c>
      <c r="K8" s="11" t="s">
        <v>7</v>
      </c>
      <c r="L8" s="11" t="s">
        <v>8</v>
      </c>
      <c r="M8" s="11" t="s">
        <v>9</v>
      </c>
      <c r="N8" s="102" t="s">
        <v>10</v>
      </c>
      <c r="O8" s="11" t="s">
        <v>801</v>
      </c>
      <c r="P8" s="11" t="s">
        <v>802</v>
      </c>
      <c r="Q8" s="11" t="s">
        <v>15</v>
      </c>
      <c r="R8" s="11" t="s">
        <v>16</v>
      </c>
      <c r="S8" s="11" t="s">
        <v>81</v>
      </c>
      <c r="T8" s="11" t="s">
        <v>61</v>
      </c>
      <c r="U8" s="11" t="s">
        <v>40</v>
      </c>
      <c r="V8" s="11" t="s">
        <v>41</v>
      </c>
      <c r="W8" s="5" t="s">
        <v>42</v>
      </c>
      <c r="X8" s="5" t="s">
        <v>43</v>
      </c>
    </row>
    <row r="9" spans="1:32" ht="13.5" thickBot="1">
      <c r="A9" s="48"/>
      <c r="B9" s="11" t="s">
        <v>100</v>
      </c>
      <c r="C9" s="20">
        <v>0</v>
      </c>
      <c r="D9" s="20">
        <v>0</v>
      </c>
      <c r="E9" s="20">
        <v>0</v>
      </c>
      <c r="F9" s="20">
        <v>0</v>
      </c>
      <c r="G9" s="20">
        <v>0</v>
      </c>
      <c r="H9" s="20">
        <v>0</v>
      </c>
      <c r="I9" s="20">
        <v>0</v>
      </c>
      <c r="J9" s="20"/>
      <c r="K9" s="20">
        <v>0</v>
      </c>
      <c r="L9" s="20">
        <v>0</v>
      </c>
      <c r="M9" s="20">
        <v>0</v>
      </c>
      <c r="N9" s="320">
        <v>0</v>
      </c>
      <c r="O9" s="20">
        <v>0</v>
      </c>
      <c r="P9" s="336"/>
      <c r="Q9" s="336"/>
      <c r="R9" s="336"/>
      <c r="S9" s="336"/>
      <c r="T9" s="336"/>
      <c r="U9" s="336"/>
      <c r="V9" s="336"/>
      <c r="W9" s="336"/>
      <c r="X9" s="336"/>
      <c r="Z9" s="450"/>
      <c r="AA9" s="478" t="s">
        <v>750</v>
      </c>
      <c r="AB9" s="478" t="s">
        <v>781</v>
      </c>
      <c r="AC9" s="479" t="s">
        <v>753</v>
      </c>
      <c r="AD9" s="479"/>
      <c r="AE9" s="480"/>
      <c r="AF9" s="478" t="s">
        <v>21</v>
      </c>
    </row>
    <row r="10" spans="1:32" ht="13.5" thickBot="1">
      <c r="A10" s="49" t="s">
        <v>803</v>
      </c>
      <c r="B10" s="11" t="s">
        <v>804</v>
      </c>
      <c r="C10" s="25"/>
      <c r="D10" s="25"/>
      <c r="E10" s="25"/>
      <c r="F10" s="25"/>
      <c r="G10" s="25"/>
      <c r="H10" s="25"/>
      <c r="I10" s="25"/>
      <c r="J10" s="25"/>
      <c r="K10" s="25"/>
      <c r="L10" s="25"/>
      <c r="M10" s="25"/>
      <c r="N10" s="25"/>
      <c r="O10" s="25"/>
      <c r="P10" s="336"/>
      <c r="Q10" s="336"/>
      <c r="R10" s="336"/>
      <c r="S10" s="336">
        <v>2148.48</v>
      </c>
      <c r="T10" s="336"/>
      <c r="U10" s="336"/>
      <c r="V10" s="336"/>
      <c r="W10" s="336"/>
      <c r="X10" s="336"/>
      <c r="Z10" s="481" t="s">
        <v>805</v>
      </c>
      <c r="AA10" s="482">
        <v>22</v>
      </c>
      <c r="AB10" s="478">
        <v>420</v>
      </c>
      <c r="AC10" s="479">
        <v>1.1299999999999999</v>
      </c>
      <c r="AD10" s="479"/>
      <c r="AE10" s="480"/>
      <c r="AF10" s="482">
        <f>AA10*AB10*AC10</f>
        <v>10441.199999999999</v>
      </c>
    </row>
    <row r="11" spans="1:32" ht="13.5" thickBot="1">
      <c r="A11" s="48"/>
      <c r="B11" s="287" t="s">
        <v>806</v>
      </c>
      <c r="C11" s="25"/>
      <c r="D11" s="25"/>
      <c r="E11" s="25"/>
      <c r="F11" s="25"/>
      <c r="G11" s="25"/>
      <c r="H11" s="25"/>
      <c r="I11" s="25"/>
      <c r="J11" s="25"/>
      <c r="K11" s="25"/>
      <c r="L11" s="25"/>
      <c r="M11" s="25"/>
      <c r="N11" s="25"/>
      <c r="O11" s="25"/>
      <c r="P11" s="336"/>
      <c r="Q11" s="336"/>
      <c r="R11" s="336">
        <v>11253.11</v>
      </c>
      <c r="S11" s="336"/>
      <c r="T11" s="44">
        <v>13627.055</v>
      </c>
      <c r="U11" s="336">
        <v>3023.75</v>
      </c>
      <c r="V11" s="336">
        <v>21967.199999999997</v>
      </c>
      <c r="W11" s="336">
        <v>6979.17</v>
      </c>
      <c r="X11" s="521">
        <v>10441.200000000001</v>
      </c>
      <c r="Z11" s="483"/>
      <c r="AA11" s="484"/>
      <c r="AB11" s="485"/>
      <c r="AC11" s="486"/>
      <c r="AD11" s="486"/>
      <c r="AE11" s="487"/>
      <c r="AF11" s="482"/>
    </row>
    <row r="12" spans="1:32" ht="13.5" thickBot="1">
      <c r="A12" s="48"/>
      <c r="B12" s="11" t="s">
        <v>138</v>
      </c>
      <c r="C12" s="20">
        <v>300</v>
      </c>
      <c r="D12" s="20">
        <v>600</v>
      </c>
      <c r="E12" s="20">
        <v>2400</v>
      </c>
      <c r="F12" s="20">
        <v>965</v>
      </c>
      <c r="G12" s="20">
        <v>2900</v>
      </c>
      <c r="H12" s="20">
        <v>2725</v>
      </c>
      <c r="I12" s="20">
        <v>0</v>
      </c>
      <c r="J12" s="20">
        <v>-275</v>
      </c>
      <c r="K12" s="20">
        <v>0</v>
      </c>
      <c r="L12" s="20">
        <v>0</v>
      </c>
      <c r="M12" s="20">
        <v>0</v>
      </c>
      <c r="N12" s="320">
        <v>0</v>
      </c>
      <c r="O12" s="20">
        <v>0</v>
      </c>
      <c r="P12" s="336"/>
      <c r="Q12" s="336"/>
      <c r="R12" s="336"/>
      <c r="S12" s="336"/>
      <c r="T12" s="336"/>
      <c r="U12" s="336"/>
      <c r="V12" s="336"/>
      <c r="W12" s="336"/>
      <c r="X12" s="336"/>
      <c r="Z12" s="450"/>
      <c r="AA12" s="450"/>
      <c r="AB12" s="450"/>
      <c r="AC12" s="450"/>
      <c r="AD12" s="450"/>
      <c r="AE12" s="450"/>
      <c r="AF12" s="482"/>
    </row>
    <row r="13" spans="1:32">
      <c r="A13" s="48"/>
      <c r="B13" s="11" t="s">
        <v>106</v>
      </c>
      <c r="C13" s="25"/>
      <c r="D13" s="25"/>
      <c r="E13" s="25"/>
      <c r="F13" s="25"/>
      <c r="G13" s="25"/>
      <c r="H13" s="25"/>
      <c r="I13" s="25"/>
      <c r="J13" s="25"/>
      <c r="K13" s="25"/>
      <c r="L13" s="25"/>
      <c r="M13" s="25"/>
      <c r="N13" s="25"/>
      <c r="O13" s="25"/>
      <c r="P13" s="336"/>
      <c r="Q13" s="336"/>
      <c r="R13" s="336">
        <v>200</v>
      </c>
      <c r="S13" s="336"/>
      <c r="T13" s="521">
        <v>300</v>
      </c>
      <c r="U13" s="336"/>
      <c r="V13" s="336">
        <v>300</v>
      </c>
      <c r="W13" s="336">
        <v>739.79</v>
      </c>
      <c r="X13" s="336">
        <v>300</v>
      </c>
    </row>
    <row r="14" spans="1:32">
      <c r="A14" s="48"/>
      <c r="B14" s="54" t="s">
        <v>807</v>
      </c>
      <c r="C14" s="20">
        <v>3000</v>
      </c>
      <c r="D14" s="335">
        <v>944.99</v>
      </c>
      <c r="E14" s="20">
        <v>3000</v>
      </c>
      <c r="F14" s="20">
        <v>1312.32</v>
      </c>
      <c r="G14" s="20">
        <v>3000</v>
      </c>
      <c r="H14" s="335">
        <v>314.68</v>
      </c>
      <c r="I14" s="20">
        <v>0</v>
      </c>
      <c r="J14" s="335">
        <v>0</v>
      </c>
      <c r="K14" s="329">
        <v>0</v>
      </c>
      <c r="L14" s="335">
        <v>1167.6199999999999</v>
      </c>
      <c r="M14" s="329">
        <v>0</v>
      </c>
      <c r="N14" s="334">
        <v>1222.95</v>
      </c>
      <c r="O14" s="329">
        <v>0</v>
      </c>
      <c r="P14" s="336"/>
      <c r="Q14" s="336"/>
      <c r="R14" s="336">
        <v>300</v>
      </c>
      <c r="S14" s="336"/>
      <c r="T14" s="521">
        <v>300</v>
      </c>
      <c r="U14" s="336"/>
      <c r="V14" s="336">
        <v>300</v>
      </c>
      <c r="W14" s="336"/>
      <c r="X14" s="336">
        <v>300</v>
      </c>
    </row>
    <row r="15" spans="1:32" ht="13.5" thickBot="1">
      <c r="A15" s="48"/>
      <c r="B15" s="11" t="s">
        <v>808</v>
      </c>
      <c r="C15" s="332">
        <v>0</v>
      </c>
      <c r="D15" s="20">
        <v>0</v>
      </c>
      <c r="E15" s="332">
        <v>0</v>
      </c>
      <c r="F15" s="333">
        <v>0</v>
      </c>
      <c r="G15" s="332">
        <v>0</v>
      </c>
      <c r="H15" s="20">
        <v>0</v>
      </c>
      <c r="I15" s="332">
        <v>1500</v>
      </c>
      <c r="J15" s="331">
        <v>0</v>
      </c>
      <c r="K15" s="329">
        <v>2500</v>
      </c>
      <c r="L15" s="20">
        <v>0</v>
      </c>
      <c r="M15" s="330">
        <v>1000</v>
      </c>
      <c r="N15" s="323">
        <v>0</v>
      </c>
      <c r="O15" s="329">
        <v>200</v>
      </c>
      <c r="P15" s="336"/>
      <c r="Q15" s="336"/>
      <c r="R15" s="336"/>
      <c r="S15" s="336"/>
      <c r="T15" s="336"/>
      <c r="U15" s="336"/>
      <c r="V15" s="336"/>
      <c r="W15" s="336"/>
      <c r="X15" s="336"/>
    </row>
    <row r="16" spans="1:32">
      <c r="B16" s="328" t="s">
        <v>809</v>
      </c>
      <c r="C16" s="324">
        <v>0</v>
      </c>
      <c r="D16" s="325">
        <v>0</v>
      </c>
      <c r="E16" s="327">
        <v>0</v>
      </c>
      <c r="F16" s="325">
        <v>0</v>
      </c>
      <c r="G16" s="324">
        <v>0</v>
      </c>
      <c r="H16" s="325">
        <v>0</v>
      </c>
      <c r="I16" s="20">
        <v>1500</v>
      </c>
      <c r="J16" s="20">
        <v>0</v>
      </c>
      <c r="K16" s="326">
        <v>1500</v>
      </c>
      <c r="L16" s="325">
        <v>0</v>
      </c>
      <c r="M16" s="324">
        <v>750</v>
      </c>
      <c r="N16" s="323">
        <v>0</v>
      </c>
      <c r="O16" s="322">
        <v>1000</v>
      </c>
      <c r="P16" s="336"/>
      <c r="Q16" s="336"/>
      <c r="R16" s="336"/>
      <c r="S16" s="336"/>
      <c r="T16" s="336"/>
      <c r="U16" s="336"/>
      <c r="V16" s="336"/>
      <c r="W16" s="336"/>
      <c r="X16" s="336"/>
    </row>
    <row r="17" spans="1:24">
      <c r="B17" s="181" t="s">
        <v>287</v>
      </c>
      <c r="C17" s="321">
        <v>100</v>
      </c>
      <c r="D17" s="20">
        <v>0</v>
      </c>
      <c r="E17" s="20">
        <v>0</v>
      </c>
      <c r="F17" s="20">
        <v>0</v>
      </c>
      <c r="G17" s="321">
        <v>0</v>
      </c>
      <c r="H17" s="20">
        <v>0</v>
      </c>
      <c r="I17" s="321">
        <v>0</v>
      </c>
      <c r="J17" s="20">
        <v>0</v>
      </c>
      <c r="K17" s="20">
        <v>0</v>
      </c>
      <c r="L17" s="20">
        <v>0</v>
      </c>
      <c r="M17" s="321">
        <v>0</v>
      </c>
      <c r="N17" s="320">
        <v>0</v>
      </c>
      <c r="O17" s="20">
        <v>0</v>
      </c>
      <c r="P17" s="336"/>
      <c r="Q17" s="336"/>
      <c r="R17" s="336"/>
      <c r="S17" s="336"/>
      <c r="T17" s="336"/>
      <c r="U17" s="336"/>
      <c r="V17" s="336"/>
      <c r="W17" s="336"/>
      <c r="X17" s="336"/>
    </row>
    <row r="18" spans="1:24">
      <c r="B18" s="11" t="s">
        <v>810</v>
      </c>
      <c r="C18" s="20">
        <v>0</v>
      </c>
      <c r="D18" s="20">
        <v>0</v>
      </c>
      <c r="E18" s="20">
        <v>700</v>
      </c>
      <c r="F18" s="20">
        <v>0</v>
      </c>
      <c r="G18" s="20">
        <v>600</v>
      </c>
      <c r="H18" s="20">
        <v>0</v>
      </c>
      <c r="I18" s="20">
        <v>0</v>
      </c>
      <c r="J18" s="20">
        <v>0</v>
      </c>
      <c r="K18" s="20">
        <v>0</v>
      </c>
      <c r="L18" s="20">
        <v>125.82</v>
      </c>
      <c r="M18" s="20">
        <v>400</v>
      </c>
      <c r="N18" s="320">
        <v>0</v>
      </c>
      <c r="O18" s="20">
        <v>0</v>
      </c>
      <c r="P18" s="336"/>
      <c r="Q18" s="336"/>
      <c r="R18" s="336">
        <v>150</v>
      </c>
      <c r="S18" s="336"/>
      <c r="T18" s="336">
        <v>150</v>
      </c>
      <c r="U18" s="336"/>
      <c r="V18" s="336">
        <v>150</v>
      </c>
      <c r="W18" s="336"/>
      <c r="X18" s="336">
        <v>150</v>
      </c>
    </row>
    <row r="19" spans="1:24">
      <c r="B19" s="11" t="s">
        <v>21</v>
      </c>
      <c r="C19" s="178">
        <f>SUBTOTAL(109,GovernmentAffairsExpenses11281[Budget 10/11])</f>
        <v>3400</v>
      </c>
      <c r="D19" s="178">
        <f>SUBTOTAL(109,GovernmentAffairsExpenses11281[Actual 10/11])</f>
        <v>1544.99</v>
      </c>
      <c r="E19" s="178">
        <f>SUBTOTAL(109,GovernmentAffairsExpenses11281[Budget 11/12])</f>
        <v>6100</v>
      </c>
      <c r="F19" s="178">
        <f>SUBTOTAL(109,GovernmentAffairsExpenses11281[Actual 11/12])</f>
        <v>2277.3199999999997</v>
      </c>
      <c r="G19" s="178">
        <f>SUBTOTAL(109,GovernmentAffairsExpenses11281[Budget 12/13])</f>
        <v>6500</v>
      </c>
      <c r="H19" s="178">
        <f>SUBTOTAL(109,GovernmentAffairsExpenses11281[Actual 12/13])</f>
        <v>3039.68</v>
      </c>
      <c r="I19" s="178">
        <f>SUBTOTAL(109,GovernmentAffairsExpenses11281[Budget 13/14])</f>
        <v>3000</v>
      </c>
      <c r="J19" s="178">
        <f>SUBTOTAL(109,GovernmentAffairsExpenses11281[Actual 13/14])</f>
        <v>-275</v>
      </c>
      <c r="K19" s="178">
        <f>SUBTOTAL(109,GovernmentAffairsExpenses11281[Budget 14/15])</f>
        <v>4000</v>
      </c>
      <c r="L19" s="178">
        <f>SUBTOTAL(109,GovernmentAffairsExpenses11281[Actual 14/15])</f>
        <v>1293.4399999999998</v>
      </c>
      <c r="M19" s="178">
        <f>SUBTOTAL(109,GovernmentAffairsExpenses11281[Budget 15/16])</f>
        <v>2150</v>
      </c>
      <c r="N19" s="104">
        <f>SUBTOTAL(109,GovernmentAffairsExpenses11281[Actual 15/16])</f>
        <v>1222.95</v>
      </c>
      <c r="O19" s="178">
        <f>SUBTOTAL(109,GovernmentAffairsExpenses11281[Budget 17/118])</f>
        <v>1200</v>
      </c>
      <c r="R19" s="178">
        <f>SUM(R9:R18)</f>
        <v>11903.11</v>
      </c>
      <c r="S19" s="178">
        <f>SUM(GovernmentAffairsExpenses11281[Actual P12 19/20])</f>
        <v>2148.48</v>
      </c>
      <c r="T19" s="178">
        <f>SUM(T9:T18)</f>
        <v>14377.055</v>
      </c>
      <c r="U19" s="178">
        <f>SUM(U9:U18)</f>
        <v>3023.75</v>
      </c>
      <c r="V19" s="178">
        <f>SUM(V9:V18)</f>
        <v>22717.199999999997</v>
      </c>
      <c r="W19" s="21">
        <f>SUBTOTAL(109,GovernmentAffairsExpenses11281[Actual 21/22])</f>
        <v>7718.96</v>
      </c>
      <c r="X19" s="178">
        <f>SUM(GovernmentAffairsExpenses11281[Budget 22/23])</f>
        <v>11191.2</v>
      </c>
    </row>
    <row r="20" spans="1:24" ht="13.5" thickBot="1">
      <c r="A20" s="287"/>
      <c r="C20" s="20"/>
      <c r="D20" s="20"/>
      <c r="E20" s="20"/>
      <c r="F20" s="20"/>
      <c r="G20" s="20"/>
      <c r="H20" s="20"/>
      <c r="I20" s="20"/>
      <c r="J20" s="20"/>
      <c r="K20" s="20"/>
      <c r="L20" s="20"/>
      <c r="M20" s="20"/>
    </row>
    <row r="21" spans="1:24" ht="19.5" thickBot="1">
      <c r="B21" s="611" t="s">
        <v>127</v>
      </c>
      <c r="C21" s="27">
        <f>GovernmentAffairsRevenue11180[[#Totals],[Budget 10/11]]-GovernmentAffairsExpenses11281[[#Totals],[Budget 10/11]]</f>
        <v>-3400</v>
      </c>
      <c r="D21" s="27">
        <f>GovernmentAffairsRevenue11180[[#Totals],[Actual 10/11]]-GovernmentAffairsExpenses11281[[#Totals],[Actual 10/11]]</f>
        <v>-1544.99</v>
      </c>
      <c r="E21" s="27">
        <f>GovernmentAffairsRevenue11180[[#Totals],[Budget 11/12]]-GovernmentAffairsExpenses11281[[#Totals],[Budget 11/12]]</f>
        <v>-6100</v>
      </c>
      <c r="F21" s="27">
        <f>GovernmentAffairsRevenue11180[[#Totals],[Actual 11/12]]-GovernmentAffairsExpenses11281[[#Totals],[Actual 11/12]]</f>
        <v>-2277.3199999999997</v>
      </c>
      <c r="G21" s="27">
        <f>GovernmentAffairsRevenue11180[[#Totals],[Budget 12/13]]-GovernmentAffairsExpenses11281[[#Totals],[Budget 12/13]]</f>
        <v>-6500</v>
      </c>
      <c r="H21" s="27">
        <f>GovernmentAffairsRevenue11180[[#Totals],[Actual 12/13]]-GovernmentAffairsExpenses11281[[#Totals],[Actual 12/13]]</f>
        <v>-3039.68</v>
      </c>
      <c r="I21" s="27">
        <f>GovernmentAffairsRevenue11180[[#Totals],[Budget 13/14]]-GovernmentAffairsExpenses11281[[#Totals],[Budget 13/14]]</f>
        <v>-3000</v>
      </c>
      <c r="J21" s="27">
        <f>GovernmentAffairsRevenue11180[[#Totals],[Actual 13/14]]-GovernmentAffairsExpenses11281[[#Totals],[Actual 13/14]]</f>
        <v>275</v>
      </c>
      <c r="K21" s="27">
        <f>GovernmentAffairsRevenue11180[[#Totals],[Budget 14/15]]-GovernmentAffairsExpenses11281[[#Totals],[Budget 14/15]]</f>
        <v>-4000</v>
      </c>
      <c r="L21" s="27">
        <f>GovernmentAffairsRevenue11180[[#Totals],[Actual 14/15]]-GovernmentAffairsExpenses11281[[#Totals],[Actual 14/15]]</f>
        <v>-1293.4399999999998</v>
      </c>
      <c r="M21" s="64">
        <f>GovernmentAffairsRevenue11180[[#Totals],[Budget 15/16]]-GovernmentAffairsExpenses11281[[#Totals],[Budget 15/16]]</f>
        <v>-2150</v>
      </c>
      <c r="N21" s="319">
        <f>GovernmentAffairsRevenue11180[[#Totals],[Actual 15/16]]-GovernmentAffairsExpenses11281[[#Totals],[Actual 15/16]]</f>
        <v>-1222.95</v>
      </c>
      <c r="O21" s="64">
        <f>GovernmentAffairsRevenue11180[[#Totals],[Budget 16/17]]-GovernmentAffairsExpenses11281[[#Totals],[Budget 17/118]]</f>
        <v>-1200</v>
      </c>
      <c r="P21" s="64">
        <f>GovernmentAffairsRevenue11180[[#Totals],[Budget 17/18]]-GovernmentAffairsExpenses11281[[#Totals],[Budget 16/18]]</f>
        <v>0</v>
      </c>
      <c r="Q21" s="64">
        <f>GovernmentAffairsRevenue11180[[#Totals],[Budget 18/19]]-GovernmentAffairsExpenses11281[[#Totals],[Budget 18/19]]</f>
        <v>0</v>
      </c>
      <c r="R21" s="64">
        <f>GovernmentAffairsRevenue11180[[#Totals],[Budget 19/20]]-GovernmentAffairsExpenses11281[[#Totals],[Budget 19/20]]</f>
        <v>-11903.11</v>
      </c>
      <c r="S21" s="64">
        <f>GovernmentAffairsRevenue11180[[#Totals],[Actual P12 19/20]]-GovernmentAffairsExpenses11281[[#Totals],[Actual P12 19/20]]</f>
        <v>-2148.48</v>
      </c>
      <c r="T21" s="64">
        <f>GovernmentAffairsRevenue11180[[#Totals],[Budget 19/21]]-GovernmentAffairsExpenses11281[[#Totals],[Budget 19/21]]</f>
        <v>-14377.055</v>
      </c>
      <c r="U21" s="64">
        <f>GovernmentAffairsRevenue11180[[#Totals],[Actual 20/21]]-GovernmentAffairsExpenses11281[[#Totals],[Actual 20/21]]</f>
        <v>-3023.75</v>
      </c>
      <c r="V21" s="64">
        <f>GovernmentAffairsRevenue11180[[#Totals],[Budget 21/22]]-GovernmentAffairsExpenses11281[[#Totals],[Budget 21/22]]</f>
        <v>-22717.199999999997</v>
      </c>
      <c r="W21" s="64">
        <f>GovernmentAffairsRevenue11180[[#Totals],[Actual 21/22]]-GovernmentAffairsExpenses11281[[#Totals],[Actual 21/22]]</f>
        <v>-7718.96</v>
      </c>
      <c r="X21" s="64">
        <f>GovernmentAffairsRevenue11180[[#Totals],[Budget 22/23]]-GovernmentAffairsExpenses11281[[#Totals],[Budget 22/23]]</f>
        <v>-11191.2</v>
      </c>
    </row>
    <row r="22" spans="1:24">
      <c r="C22" s="1"/>
      <c r="D22" s="1"/>
      <c r="E22" s="1"/>
      <c r="F22" s="1"/>
      <c r="G22" s="1"/>
      <c r="H22" s="1"/>
      <c r="I22" s="1"/>
      <c r="J22" s="1"/>
      <c r="K22" s="1"/>
      <c r="L22" s="1"/>
      <c r="M22" s="1"/>
    </row>
    <row r="23" spans="1:24">
      <c r="B23" s="287"/>
      <c r="C23" s="21"/>
      <c r="D23" s="21"/>
      <c r="E23" s="21"/>
      <c r="F23" s="21"/>
      <c r="G23" s="21"/>
      <c r="H23" s="21"/>
      <c r="I23" s="21"/>
      <c r="J23" s="21"/>
      <c r="K23" s="21"/>
      <c r="L23" s="21"/>
      <c r="M23" s="21"/>
    </row>
    <row r="27" spans="1:24">
      <c r="E27" s="318"/>
    </row>
  </sheetData>
  <mergeCells count="1">
    <mergeCell ref="A1:B1"/>
  </mergeCells>
  <phoneticPr fontId="90" type="noConversion"/>
  <pageMargins left="0.7" right="0.7" top="0.75" bottom="0.75" header="0.3" footer="0.3"/>
  <legacyDrawing r:id="rId1"/>
  <tableParts count="2">
    <tablePart r:id="rId2"/>
    <tablePart r:id="rId3"/>
  </tablePar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theme="1"/>
  </sheetPr>
  <dimension ref="A1:AC28"/>
  <sheetViews>
    <sheetView showGridLines="0" zoomScaleNormal="100" workbookViewId="0">
      <selection activeCell="T26" sqref="T26"/>
    </sheetView>
  </sheetViews>
  <sheetFormatPr defaultColWidth="11.42578125" defaultRowHeight="12.75"/>
  <cols>
    <col min="1" max="1" width="13.85546875" style="11" customWidth="1"/>
    <col min="2" max="2" width="36" style="11" bestFit="1" customWidth="1"/>
    <col min="3" max="7" width="19" style="11" hidden="1" customWidth="1"/>
    <col min="8" max="8" width="19" style="102" hidden="1" customWidth="1"/>
    <col min="9" max="9" width="19" style="11" hidden="1" customWidth="1"/>
    <col min="10" max="10" width="0" style="11" hidden="1" customWidth="1"/>
    <col min="11" max="11" width="16.42578125" style="11" hidden="1" customWidth="1"/>
    <col min="12" max="12" width="16.7109375" style="11" hidden="1" customWidth="1"/>
    <col min="13" max="13" width="18.28515625" style="11" hidden="1" customWidth="1"/>
    <col min="14" max="14" width="18.85546875" style="11" hidden="1" customWidth="1"/>
    <col min="15" max="15" width="19.42578125" style="11" hidden="1" customWidth="1"/>
    <col min="16" max="16" width="16.7109375" style="11" hidden="1" customWidth="1"/>
    <col min="17" max="17" width="19.42578125" style="11" hidden="1" customWidth="1"/>
    <col min="18" max="18" width="13.85546875" style="11" hidden="1" customWidth="1"/>
    <col min="19" max="19" width="16.42578125" style="11" customWidth="1"/>
    <col min="20" max="20" width="14.42578125" style="11" customWidth="1"/>
    <col min="21" max="21" width="12.7109375" style="11" bestFit="1" customWidth="1"/>
    <col min="22" max="16384" width="11.42578125" style="11"/>
  </cols>
  <sheetData>
    <row r="1" spans="1:29" ht="18">
      <c r="A1" s="758" t="s">
        <v>811</v>
      </c>
      <c r="B1" s="758"/>
    </row>
    <row r="2" spans="1:29">
      <c r="A2" s="28" t="s">
        <v>744</v>
      </c>
    </row>
    <row r="4" spans="1:29">
      <c r="B4" s="11" t="s">
        <v>72</v>
      </c>
      <c r="C4" s="11" t="s">
        <v>5</v>
      </c>
      <c r="D4" s="11" t="s">
        <v>6</v>
      </c>
      <c r="E4" s="11" t="s">
        <v>7</v>
      </c>
      <c r="F4" s="11" t="s">
        <v>8</v>
      </c>
      <c r="G4" s="11" t="s">
        <v>9</v>
      </c>
      <c r="H4" s="102" t="s">
        <v>10</v>
      </c>
      <c r="I4" s="11" t="s">
        <v>11</v>
      </c>
      <c r="J4" s="11" t="s">
        <v>12</v>
      </c>
      <c r="K4" s="11" t="s">
        <v>13</v>
      </c>
      <c r="L4" s="11" t="s">
        <v>14</v>
      </c>
      <c r="M4" s="11" t="s">
        <v>15</v>
      </c>
      <c r="N4" s="11" t="s">
        <v>39</v>
      </c>
      <c r="O4" s="11" t="s">
        <v>16</v>
      </c>
      <c r="P4" s="11" t="s">
        <v>81</v>
      </c>
      <c r="Q4" s="11" t="s">
        <v>17</v>
      </c>
      <c r="R4" s="11" t="s">
        <v>40</v>
      </c>
      <c r="S4" s="11" t="s">
        <v>41</v>
      </c>
      <c r="T4" s="5" t="s">
        <v>42</v>
      </c>
      <c r="U4" s="5" t="s">
        <v>43</v>
      </c>
    </row>
    <row r="5" spans="1:29">
      <c r="C5" s="178">
        <v>0</v>
      </c>
      <c r="D5" s="178">
        <v>0</v>
      </c>
      <c r="E5" s="178">
        <v>0</v>
      </c>
      <c r="F5" s="178">
        <v>0</v>
      </c>
      <c r="G5" s="178">
        <v>0</v>
      </c>
      <c r="H5" s="104">
        <v>0</v>
      </c>
      <c r="I5" s="178">
        <v>0</v>
      </c>
      <c r="J5" s="178"/>
      <c r="K5" s="178"/>
      <c r="L5" s="178"/>
      <c r="M5" s="178"/>
      <c r="N5" s="178"/>
      <c r="O5" s="178"/>
      <c r="P5" s="178"/>
      <c r="Q5" s="178"/>
      <c r="R5" s="178"/>
      <c r="S5" s="178"/>
      <c r="T5" s="178"/>
      <c r="U5" s="178"/>
    </row>
    <row r="6" spans="1:29">
      <c r="B6" s="11" t="s">
        <v>21</v>
      </c>
      <c r="C6" s="178">
        <f>SUBTOTAL(109,LocalAffairsRevenues[Budget 13/14])</f>
        <v>0</v>
      </c>
      <c r="D6" s="178">
        <f>SUBTOTAL(109,LocalAffairsRevenues[Actual 13/14])</f>
        <v>0</v>
      </c>
      <c r="E6" s="178">
        <f>SUBTOTAL(109,LocalAffairsRevenues[Budget 14/15])</f>
        <v>0</v>
      </c>
      <c r="F6" s="178">
        <f>SUBTOTAL(109,LocalAffairsRevenues[Actual 14/15])</f>
        <v>0</v>
      </c>
      <c r="G6" s="178">
        <f>SUBTOTAL(109,LocalAffairsRevenues[Budget 15/16])</f>
        <v>0</v>
      </c>
      <c r="H6" s="104">
        <f>SUBTOTAL(109,LocalAffairsRevenues[Actual 15/16])</f>
        <v>0</v>
      </c>
      <c r="I6" s="178">
        <f>SUBTOTAL(109,LocalAffairsRevenues[Budget 16/17])</f>
        <v>0</v>
      </c>
      <c r="J6" s="178">
        <f>SUBTOTAL(109,LocalAffairsRevenues[Actual 16/17])</f>
        <v>0</v>
      </c>
      <c r="K6" s="178">
        <f>SUBTOTAL(109,LocalAffairsRevenues[Budget 17/18])</f>
        <v>0</v>
      </c>
      <c r="L6" s="11">
        <f>SUBTOTAL(109,LocalAffairsRevenues[Revenues])</f>
        <v>0</v>
      </c>
      <c r="M6" s="11">
        <f>SUBTOTAL(109,LocalAffairsRevenues[Budget 13/14])</f>
        <v>0</v>
      </c>
      <c r="O6" s="11">
        <f>SUBTOTAL(109,LocalAffairsRevenues[Actual 13/14])</f>
        <v>0</v>
      </c>
      <c r="P6" s="11">
        <f>SUM(LocalAffairsRevenues[Actual P12 19/20])</f>
        <v>0</v>
      </c>
      <c r="Q6" s="11">
        <f>SUBTOTAL(109,LocalAffairsRevenues[Budget 14/15])</f>
        <v>0</v>
      </c>
      <c r="R6" s="11">
        <f>SUBTOTAL(109,LocalAffairsRevenues[Actual 14/15])</f>
        <v>0</v>
      </c>
      <c r="S6" s="11">
        <f>SUBTOTAL(109,LocalAffairsRevenues[Budget 15/16])</f>
        <v>0</v>
      </c>
    </row>
    <row r="7" spans="1:29">
      <c r="C7" s="39"/>
      <c r="D7" s="39"/>
      <c r="E7" s="39"/>
      <c r="F7" s="39"/>
      <c r="G7" s="39"/>
      <c r="H7" s="107"/>
      <c r="I7" s="39"/>
    </row>
    <row r="8" spans="1:29" ht="13.5" thickBot="1">
      <c r="A8"/>
      <c r="B8" s="11" t="s">
        <v>22</v>
      </c>
      <c r="C8" s="11" t="s">
        <v>5</v>
      </c>
      <c r="D8" s="11" t="s">
        <v>6</v>
      </c>
      <c r="E8" s="11" t="s">
        <v>7</v>
      </c>
      <c r="F8" s="11" t="s">
        <v>8</v>
      </c>
      <c r="G8" s="11" t="s">
        <v>9</v>
      </c>
      <c r="H8" s="102" t="s">
        <v>10</v>
      </c>
      <c r="I8" s="11" t="s">
        <v>11</v>
      </c>
      <c r="J8" s="11" t="s">
        <v>12</v>
      </c>
      <c r="K8" s="11" t="s">
        <v>13</v>
      </c>
      <c r="L8" s="11" t="s">
        <v>14</v>
      </c>
      <c r="M8" s="11" t="s">
        <v>15</v>
      </c>
      <c r="N8" s="11" t="s">
        <v>39</v>
      </c>
      <c r="O8" s="11" t="s">
        <v>16</v>
      </c>
      <c r="P8" s="11" t="s">
        <v>81</v>
      </c>
      <c r="Q8" s="11" t="s">
        <v>17</v>
      </c>
      <c r="R8" s="11" t="s">
        <v>40</v>
      </c>
      <c r="S8" s="11" t="s">
        <v>41</v>
      </c>
      <c r="T8" s="5" t="s">
        <v>42</v>
      </c>
      <c r="U8" s="5" t="s">
        <v>43</v>
      </c>
    </row>
    <row r="9" spans="1:29" ht="13.5" thickBot="1">
      <c r="A9"/>
      <c r="B9" s="11" t="s">
        <v>93</v>
      </c>
      <c r="C9" s="21">
        <v>150</v>
      </c>
      <c r="D9" s="21">
        <v>0</v>
      </c>
      <c r="E9" s="21">
        <v>0</v>
      </c>
      <c r="F9" s="21">
        <v>0</v>
      </c>
      <c r="G9" s="21">
        <v>0</v>
      </c>
      <c r="H9" s="105">
        <v>0</v>
      </c>
      <c r="I9" s="25">
        <v>0</v>
      </c>
      <c r="J9" s="21"/>
      <c r="K9" s="21"/>
      <c r="L9" s="21"/>
      <c r="M9" s="21"/>
      <c r="N9" s="21"/>
      <c r="O9" s="21"/>
      <c r="P9" s="21"/>
      <c r="Q9" s="21"/>
      <c r="W9" s="450"/>
      <c r="X9" s="481" t="s">
        <v>750</v>
      </c>
      <c r="Y9" s="478" t="s">
        <v>781</v>
      </c>
      <c r="Z9" s="479" t="s">
        <v>753</v>
      </c>
      <c r="AA9" s="479"/>
      <c r="AB9" s="480"/>
      <c r="AC9" s="478" t="s">
        <v>21</v>
      </c>
    </row>
    <row r="10" spans="1:29" ht="13.5" thickBot="1">
      <c r="A10"/>
      <c r="B10" s="11" t="s">
        <v>100</v>
      </c>
      <c r="C10" s="21">
        <v>60</v>
      </c>
      <c r="D10" s="21">
        <v>0</v>
      </c>
      <c r="E10" s="21">
        <v>60</v>
      </c>
      <c r="F10" s="21">
        <v>0</v>
      </c>
      <c r="G10" s="21">
        <v>60</v>
      </c>
      <c r="H10" s="105">
        <v>0</v>
      </c>
      <c r="I10" s="25">
        <v>40</v>
      </c>
      <c r="J10" s="21"/>
      <c r="K10" s="21"/>
      <c r="L10" s="21"/>
      <c r="M10" s="21"/>
      <c r="N10" s="21"/>
      <c r="O10" s="21"/>
      <c r="P10" s="21"/>
      <c r="Q10" s="21"/>
      <c r="W10" s="481" t="s">
        <v>812</v>
      </c>
      <c r="X10" s="488">
        <v>17</v>
      </c>
      <c r="Y10" s="477">
        <v>472</v>
      </c>
      <c r="Z10" s="479">
        <v>1.1299999999999999</v>
      </c>
      <c r="AA10" s="479"/>
      <c r="AB10" s="480"/>
      <c r="AC10" s="482">
        <v>13867.36</v>
      </c>
    </row>
    <row r="11" spans="1:29" ht="13.5" thickBot="1">
      <c r="A11"/>
      <c r="B11" s="11" t="s">
        <v>755</v>
      </c>
      <c r="C11" s="21"/>
      <c r="D11" s="21"/>
      <c r="E11" s="21"/>
      <c r="F11" s="21"/>
      <c r="G11" s="21"/>
      <c r="H11" s="25"/>
      <c r="I11" s="25"/>
      <c r="J11" s="21"/>
      <c r="K11" s="21"/>
      <c r="L11" s="21"/>
      <c r="M11" s="18"/>
      <c r="N11" s="18"/>
      <c r="O11" s="18"/>
      <c r="P11" s="18"/>
      <c r="Q11" s="18"/>
      <c r="W11" s="450"/>
      <c r="X11" s="488">
        <v>18</v>
      </c>
      <c r="Y11" s="598">
        <v>236</v>
      </c>
      <c r="Z11" s="479">
        <v>1.1299999999999999</v>
      </c>
      <c r="AA11" s="479"/>
      <c r="AB11" s="480"/>
      <c r="AC11" s="450"/>
    </row>
    <row r="12" spans="1:29">
      <c r="A12" s="11" t="s">
        <v>813</v>
      </c>
      <c r="B12" s="287" t="s">
        <v>814</v>
      </c>
      <c r="C12" s="21"/>
      <c r="D12" s="21"/>
      <c r="E12" s="21"/>
      <c r="F12" s="21"/>
      <c r="G12" s="21"/>
      <c r="H12" s="25"/>
      <c r="I12" s="25"/>
      <c r="J12" s="21"/>
      <c r="K12" s="21"/>
      <c r="L12" s="21"/>
      <c r="M12" s="18"/>
      <c r="N12" s="18"/>
      <c r="O12" s="18">
        <v>11253.11</v>
      </c>
      <c r="P12" s="18">
        <v>7796.29</v>
      </c>
      <c r="Q12" s="44">
        <f>13627.055*2/3</f>
        <v>9084.7033333333329</v>
      </c>
      <c r="R12" s="11">
        <v>9097.91</v>
      </c>
      <c r="S12" s="18">
        <v>13867.359999999999</v>
      </c>
      <c r="T12" s="18">
        <v>2524.08</v>
      </c>
      <c r="U12" s="11">
        <v>0</v>
      </c>
    </row>
    <row r="13" spans="1:29">
      <c r="A13"/>
      <c r="B13" s="11" t="s">
        <v>138</v>
      </c>
      <c r="C13" s="21">
        <v>400</v>
      </c>
      <c r="D13" s="21">
        <v>0</v>
      </c>
      <c r="E13" s="21">
        <v>800</v>
      </c>
      <c r="F13" s="21"/>
      <c r="G13" s="21"/>
      <c r="H13" s="105">
        <v>0</v>
      </c>
      <c r="I13" s="25">
        <v>0</v>
      </c>
      <c r="J13" s="21"/>
      <c r="K13" s="21"/>
      <c r="L13" s="21"/>
      <c r="M13" s="21"/>
      <c r="N13" s="21"/>
      <c r="O13" s="21"/>
      <c r="P13" s="21"/>
      <c r="Q13" s="21"/>
      <c r="S13" s="21"/>
      <c r="T13" s="21"/>
    </row>
    <row r="14" spans="1:29">
      <c r="A14" s="450" t="s">
        <v>815</v>
      </c>
      <c r="B14" s="11" t="s">
        <v>142</v>
      </c>
      <c r="C14" s="21">
        <v>500</v>
      </c>
      <c r="D14" s="21">
        <v>0</v>
      </c>
      <c r="E14" s="21">
        <v>0</v>
      </c>
      <c r="F14" s="21">
        <v>100</v>
      </c>
      <c r="G14" s="21">
        <v>100</v>
      </c>
      <c r="H14" s="105">
        <v>0</v>
      </c>
      <c r="I14" s="25">
        <v>100</v>
      </c>
      <c r="J14" s="21"/>
      <c r="K14" s="21"/>
      <c r="L14" s="21"/>
      <c r="M14" s="21"/>
      <c r="N14" s="21"/>
      <c r="O14" s="21"/>
      <c r="P14" s="21"/>
      <c r="Q14" s="21"/>
      <c r="S14" s="21"/>
      <c r="T14" s="21">
        <v>87.89</v>
      </c>
    </row>
    <row r="15" spans="1:29">
      <c r="A15" s="11" t="s">
        <v>816</v>
      </c>
      <c r="B15" s="11" t="s">
        <v>106</v>
      </c>
      <c r="C15" s="21">
        <v>0</v>
      </c>
      <c r="D15" s="21">
        <v>0</v>
      </c>
      <c r="E15" s="21">
        <v>250</v>
      </c>
      <c r="F15" s="21">
        <v>0</v>
      </c>
      <c r="G15" s="21"/>
      <c r="H15" s="105">
        <v>11.3</v>
      </c>
      <c r="I15" s="25">
        <v>0</v>
      </c>
      <c r="J15" s="21"/>
      <c r="K15" s="21">
        <v>500</v>
      </c>
      <c r="L15" s="21"/>
      <c r="M15" s="21">
        <v>300</v>
      </c>
      <c r="N15" s="21">
        <v>120</v>
      </c>
      <c r="O15" s="21">
        <v>500</v>
      </c>
      <c r="P15" s="21">
        <v>0</v>
      </c>
      <c r="Q15" s="21">
        <v>500</v>
      </c>
      <c r="R15" s="11">
        <v>126.42</v>
      </c>
      <c r="S15" s="21">
        <v>500</v>
      </c>
      <c r="T15" s="21"/>
      <c r="U15" s="11">
        <v>500</v>
      </c>
    </row>
    <row r="16" spans="1:29" ht="12.95" hidden="1" customHeight="1">
      <c r="A16"/>
      <c r="B16" s="11" t="s">
        <v>114</v>
      </c>
      <c r="C16" s="21">
        <v>0</v>
      </c>
      <c r="D16" s="21">
        <v>1769.98</v>
      </c>
      <c r="E16" s="21">
        <v>0</v>
      </c>
      <c r="F16" s="21">
        <v>3.17</v>
      </c>
      <c r="G16" s="21">
        <v>25</v>
      </c>
      <c r="H16" s="105">
        <v>0</v>
      </c>
      <c r="I16" s="25">
        <v>0</v>
      </c>
      <c r="J16" s="21"/>
      <c r="K16" s="21"/>
      <c r="L16" s="21"/>
      <c r="M16" s="21"/>
      <c r="N16" s="21"/>
      <c r="O16" s="21"/>
      <c r="P16" s="21"/>
      <c r="Q16" s="21"/>
    </row>
    <row r="17" spans="1:22" ht="12.95" hidden="1" customHeight="1">
      <c r="A17"/>
      <c r="B17" s="11" t="s">
        <v>367</v>
      </c>
      <c r="C17" s="21">
        <v>100</v>
      </c>
      <c r="D17" s="21">
        <v>0</v>
      </c>
      <c r="E17" s="21">
        <v>100</v>
      </c>
      <c r="F17" s="21">
        <v>0</v>
      </c>
      <c r="G17" s="21">
        <v>300</v>
      </c>
      <c r="H17" s="105">
        <v>0</v>
      </c>
      <c r="I17" s="25">
        <v>200</v>
      </c>
      <c r="J17" s="21"/>
      <c r="K17" s="21">
        <v>200</v>
      </c>
      <c r="L17" s="21"/>
      <c r="M17" s="21">
        <v>200</v>
      </c>
      <c r="N17" s="21"/>
      <c r="O17" s="21">
        <v>200</v>
      </c>
      <c r="P17" s="21"/>
      <c r="Q17" s="21"/>
    </row>
    <row r="18" spans="1:22" ht="12.95" hidden="1" customHeight="1">
      <c r="A18" s="412"/>
      <c r="B18" s="11" t="s">
        <v>817</v>
      </c>
      <c r="C18" s="21"/>
      <c r="D18" s="21"/>
      <c r="E18" s="21"/>
      <c r="F18" s="21"/>
      <c r="G18" s="21"/>
      <c r="H18" s="105"/>
      <c r="I18" s="25"/>
      <c r="J18" s="21"/>
      <c r="K18" s="21">
        <v>100</v>
      </c>
      <c r="L18" s="21"/>
      <c r="M18" s="21"/>
      <c r="N18" s="21"/>
      <c r="O18" s="21"/>
      <c r="P18" s="21"/>
      <c r="Q18" s="21"/>
    </row>
    <row r="19" spans="1:22" ht="12.95" hidden="1" customHeight="1">
      <c r="A19"/>
      <c r="B19" s="11" t="s">
        <v>818</v>
      </c>
      <c r="C19" s="21">
        <v>200</v>
      </c>
      <c r="D19" s="21">
        <v>0</v>
      </c>
      <c r="E19" s="21">
        <v>0</v>
      </c>
      <c r="F19" s="21">
        <v>0</v>
      </c>
      <c r="G19" s="21"/>
      <c r="H19" s="105">
        <v>0</v>
      </c>
      <c r="I19" s="25">
        <v>0</v>
      </c>
      <c r="J19" s="21"/>
      <c r="K19" s="21"/>
      <c r="L19" s="21"/>
      <c r="M19" s="21"/>
      <c r="N19" s="21"/>
      <c r="O19" s="21"/>
      <c r="P19" s="21"/>
      <c r="Q19" s="21"/>
    </row>
    <row r="20" spans="1:22" ht="12.95" hidden="1" customHeight="1">
      <c r="B20" s="287" t="s">
        <v>819</v>
      </c>
      <c r="C20" s="21">
        <v>400</v>
      </c>
      <c r="D20" s="21">
        <v>0</v>
      </c>
      <c r="E20" s="21">
        <v>0</v>
      </c>
      <c r="F20" s="21">
        <v>0</v>
      </c>
      <c r="G20" s="21">
        <v>0</v>
      </c>
      <c r="H20" s="105">
        <v>0</v>
      </c>
      <c r="I20" s="25">
        <v>0</v>
      </c>
      <c r="J20" s="21"/>
      <c r="K20" s="21"/>
      <c r="L20" s="21"/>
      <c r="M20" s="21"/>
      <c r="N20" s="21"/>
      <c r="O20" s="21"/>
      <c r="P20" s="21"/>
      <c r="Q20" s="21"/>
    </row>
    <row r="21" spans="1:22">
      <c r="A21"/>
      <c r="B21" s="11" t="s">
        <v>820</v>
      </c>
      <c r="C21" s="21">
        <v>300</v>
      </c>
      <c r="D21" s="21">
        <v>0</v>
      </c>
      <c r="E21" s="21">
        <v>300</v>
      </c>
      <c r="F21" s="21">
        <v>0</v>
      </c>
      <c r="G21" s="21">
        <v>300</v>
      </c>
      <c r="H21" s="105">
        <v>0</v>
      </c>
      <c r="I21" s="25">
        <v>0</v>
      </c>
      <c r="J21" s="21"/>
      <c r="K21" s="21"/>
      <c r="L21" s="21"/>
      <c r="M21" s="21"/>
      <c r="N21" s="21"/>
      <c r="O21" s="21"/>
      <c r="P21" s="21"/>
      <c r="Q21" s="21"/>
      <c r="V21" s="21"/>
    </row>
    <row r="22" spans="1:22">
      <c r="A22"/>
      <c r="B22" s="11" t="s">
        <v>797</v>
      </c>
      <c r="C22" s="21">
        <v>500</v>
      </c>
      <c r="D22" s="21">
        <v>0</v>
      </c>
      <c r="E22" s="21">
        <v>0</v>
      </c>
      <c r="F22" s="21">
        <v>0</v>
      </c>
      <c r="G22" s="21"/>
      <c r="H22" s="105">
        <v>0</v>
      </c>
      <c r="I22" s="25">
        <v>0</v>
      </c>
      <c r="J22" s="21"/>
      <c r="K22" s="21"/>
      <c r="L22" s="21"/>
      <c r="M22" s="21"/>
      <c r="N22" s="21"/>
      <c r="O22" s="21"/>
      <c r="P22" s="21"/>
      <c r="Q22" s="21"/>
      <c r="V22" s="21"/>
    </row>
    <row r="23" spans="1:22">
      <c r="A23" s="11" t="s">
        <v>821</v>
      </c>
      <c r="B23" s="11" t="s">
        <v>417</v>
      </c>
      <c r="C23" s="21">
        <v>2400</v>
      </c>
      <c r="D23" s="21">
        <v>0</v>
      </c>
      <c r="E23" s="21">
        <v>0</v>
      </c>
      <c r="F23" s="21">
        <v>0</v>
      </c>
      <c r="G23" s="21"/>
      <c r="H23" s="105">
        <v>0</v>
      </c>
      <c r="I23" s="25">
        <v>0</v>
      </c>
      <c r="J23" s="21"/>
      <c r="K23" s="21"/>
      <c r="L23" s="21"/>
      <c r="M23" s="21">
        <v>200</v>
      </c>
      <c r="N23" s="21"/>
      <c r="O23" s="21">
        <v>200</v>
      </c>
      <c r="P23" s="21">
        <v>0</v>
      </c>
      <c r="Q23" s="21">
        <v>200</v>
      </c>
      <c r="R23" s="11">
        <v>0</v>
      </c>
      <c r="S23" s="11">
        <v>200</v>
      </c>
      <c r="V23" s="21"/>
    </row>
    <row r="24" spans="1:22">
      <c r="A24"/>
      <c r="B24" s="11" t="s">
        <v>287</v>
      </c>
      <c r="C24" s="21">
        <v>0</v>
      </c>
      <c r="D24" s="21">
        <v>0</v>
      </c>
      <c r="E24" s="21">
        <v>0</v>
      </c>
      <c r="F24" s="21">
        <v>0</v>
      </c>
      <c r="G24" s="21"/>
      <c r="H24" s="105">
        <v>0</v>
      </c>
      <c r="I24" s="25">
        <v>0</v>
      </c>
      <c r="J24" s="21"/>
      <c r="K24" s="21"/>
      <c r="L24" s="21"/>
      <c r="M24" s="21"/>
      <c r="N24" s="21"/>
      <c r="O24" s="21"/>
      <c r="P24" s="21"/>
      <c r="Q24" s="21"/>
    </row>
    <row r="25" spans="1:22">
      <c r="A25" s="11" t="s">
        <v>822</v>
      </c>
      <c r="B25" s="11" t="s">
        <v>810</v>
      </c>
      <c r="C25" s="21">
        <v>500</v>
      </c>
      <c r="D25" s="21">
        <v>34.71</v>
      </c>
      <c r="E25" s="21">
        <v>350</v>
      </c>
      <c r="F25" s="21">
        <v>23.35</v>
      </c>
      <c r="G25" s="21">
        <v>350</v>
      </c>
      <c r="H25" s="105">
        <v>43.31</v>
      </c>
      <c r="I25" s="25">
        <v>300</v>
      </c>
      <c r="J25" s="21"/>
      <c r="K25" s="21">
        <v>100</v>
      </c>
      <c r="L25" s="21">
        <v>90</v>
      </c>
      <c r="M25" s="21">
        <v>150</v>
      </c>
      <c r="N25" s="21"/>
      <c r="O25" s="21">
        <v>150</v>
      </c>
      <c r="P25" s="21">
        <v>0</v>
      </c>
      <c r="Q25" s="21">
        <v>150</v>
      </c>
      <c r="R25" s="11">
        <v>0</v>
      </c>
      <c r="S25" s="11">
        <v>150</v>
      </c>
    </row>
    <row r="26" spans="1:22">
      <c r="A26"/>
      <c r="B26" s="11" t="s">
        <v>21</v>
      </c>
      <c r="C26" s="178">
        <f>SUBTOTAL(109,LocalAffairsExpenses[Budget 13/14])</f>
        <v>4810</v>
      </c>
      <c r="D26" s="178">
        <f>SUBTOTAL(109,LocalAffairsExpenses[Actual 13/14])</f>
        <v>34.71</v>
      </c>
      <c r="E26" s="178">
        <f>SUBTOTAL(109,LocalAffairsExpenses[Budget 14/15])</f>
        <v>1760</v>
      </c>
      <c r="F26" s="178">
        <f>SUBTOTAL(109,LocalAffairsExpenses[Actual 14/15])</f>
        <v>123.35</v>
      </c>
      <c r="G26" s="178">
        <f>SUBTOTAL(109,LocalAffairsExpenses[Budget 15/16])</f>
        <v>810</v>
      </c>
      <c r="H26" s="104">
        <f>SUBTOTAL(109,LocalAffairsExpenses[Actual 15/16])</f>
        <v>54.61</v>
      </c>
      <c r="I26" s="178">
        <f>SUBTOTAL(109,LocalAffairsExpenses[Budget 16/17])</f>
        <v>440</v>
      </c>
      <c r="J26" s="178">
        <f>SUBTOTAL(109,LocalAffairsExpenses[Actual 16/17])</f>
        <v>0</v>
      </c>
      <c r="K26" s="178">
        <f>SUBTOTAL(109,LocalAffairsExpenses[Budget 17/18])</f>
        <v>600</v>
      </c>
      <c r="L26" s="11">
        <f>SUBTOTAL(109,LocalAffairsExpenses[Actual 17/18])</f>
        <v>90</v>
      </c>
      <c r="M26" s="21">
        <f>SUBTOTAL(109,LocalAffairsExpenses[Budget 18/19])</f>
        <v>650</v>
      </c>
      <c r="N26" s="21">
        <f>SUBTOTAL(109,LocalAffairsExpenses[Actual 18/19])</f>
        <v>120</v>
      </c>
      <c r="O26" s="21">
        <f>SUBTOTAL(109,LocalAffairsExpenses[Budget 19/20])</f>
        <v>12103.11</v>
      </c>
      <c r="P26" s="21">
        <f>SUM(LocalAffairsExpenses[Actual P12 19/20])</f>
        <v>7796.29</v>
      </c>
      <c r="Q26" s="21">
        <f>SUBTOTAL(109,LocalAffairsExpenses[Budget 20/21])</f>
        <v>9934.7033333333329</v>
      </c>
      <c r="R26" s="21">
        <f>SUBTOTAL(109,LocalAffairsExpenses[Actual 20/21])</f>
        <v>9224.33</v>
      </c>
      <c r="S26" s="21">
        <f>SUBTOTAL(109,LocalAffairsExpenses[Budget 21/22])</f>
        <v>14717.359999999999</v>
      </c>
      <c r="T26" s="21">
        <f>SUBTOTAL(109,LocalAffairsExpenses[Actual 21/22])</f>
        <v>2611.9699999999998</v>
      </c>
      <c r="U26" s="11">
        <f>SUM(LocalAffairsExpenses[Budget 22/23])</f>
        <v>500</v>
      </c>
    </row>
    <row r="27" spans="1:22" ht="13.5" thickBot="1"/>
    <row r="28" spans="1:22" ht="19.5" thickBot="1">
      <c r="B28" s="611" t="s">
        <v>127</v>
      </c>
      <c r="C28" s="27">
        <f>LocalAffairsRevenues[[#Totals],[Budget 13/14]]-LocalAffairsExpenses[[#Totals],[Budget 13/14]]</f>
        <v>-4810</v>
      </c>
      <c r="D28" s="27">
        <f>LocalAffairsRevenues[[#Totals],[Actual 13/14]]-LocalAffairsExpenses[[#Totals],[Actual 13/14]]</f>
        <v>-34.71</v>
      </c>
      <c r="E28" s="27">
        <f>LocalAffairsRevenues[[#Totals],[Budget 14/15]]-LocalAffairsExpenses[[#Totals],[Budget 14/15]]</f>
        <v>-1760</v>
      </c>
      <c r="F28" s="27">
        <f>LocalAffairsRevenues[[#Totals],[Actual 14/15]]-LocalAffairsExpenses[[#Totals],[Actual 14/15]]</f>
        <v>-123.35</v>
      </c>
      <c r="G28" s="27">
        <f>LocalAffairsRevenues[[#Totals],[Budget 15/16]]-LocalAffairsExpenses[[#Totals],[Budget 15/16]]</f>
        <v>-810</v>
      </c>
      <c r="H28" s="103">
        <f>LocalAffairsRevenues[[#Totals],[Actual 15/16]]-LocalAffairsExpenses[[#Totals],[Actual 15/16]]</f>
        <v>-54.61</v>
      </c>
      <c r="I28" s="64">
        <f>LocalAffairsRevenues[[#Totals],[Budget 16/17]]-LocalAffairsExpenses[[#Totals],[Budget 16/17]]</f>
        <v>-440</v>
      </c>
      <c r="J28" s="64">
        <f>LocalAffairsRevenues[[#Totals],[Actual 16/17]]-LocalAffairsExpenses[[#Totals],[Actual 16/17]]</f>
        <v>0</v>
      </c>
      <c r="K28" s="64">
        <f>LocalAffairsRevenues[[#Totals],[Budget 17/18]]-LocalAffairsExpenses[[#Totals],[Budget 17/18]]</f>
        <v>-600</v>
      </c>
      <c r="L28" s="64">
        <f>LocalAffairsRevenues[[#Totals],[Actual 17/18]]-LocalAffairsExpenses[[#Totals],[Actual 17/18]]</f>
        <v>-90</v>
      </c>
      <c r="M28" s="64">
        <f>LocalAffairsRevenues[[#Totals],[Budget 18/19]]-LocalAffairsExpenses[[#Totals],[Budget 18/19]]</f>
        <v>-650</v>
      </c>
      <c r="N28" s="64">
        <f>LocalAffairsRevenues[[#Totals],[Actual 18/19]]-LocalAffairsExpenses[[#Totals],[Actual 18/19]]</f>
        <v>-120</v>
      </c>
      <c r="O28" s="64">
        <f>LocalAffairsRevenues[[#Totals],[Budget 19/20]]-LocalAffairsExpenses[[#Totals],[Budget 19/20]]</f>
        <v>-12103.11</v>
      </c>
      <c r="P28" s="64">
        <f>LocalAffairsRevenues[[#Totals],[Actual P12 19/20]]-LocalAffairsExpenses[[#Totals],[Actual P12 19/20]]</f>
        <v>-7796.29</v>
      </c>
      <c r="Q28" s="64">
        <f>LocalAffairsRevenues[[#Totals],[Budget 20/21]]-LocalAffairsExpenses[[#Totals],[Budget 20/21]]</f>
        <v>-9934.7033333333329</v>
      </c>
      <c r="R28" s="64">
        <f>LocalAffairsRevenues[[#Totals],[Actual 20/21]]-LocalAffairsExpenses[[#Totals],[Actual 20/21]]</f>
        <v>-9224.33</v>
      </c>
      <c r="S28" s="64">
        <f>LocalAffairsRevenues[[#Totals],[Budget 21/22]]-LocalAffairsExpenses[[#Totals],[Budget 21/22]]</f>
        <v>-14717.359999999999</v>
      </c>
      <c r="T28" s="64">
        <f>LocalAffairsRevenues[[#Totals],[Actual 21/22]]-LocalAffairsExpenses[[#Totals],[Actual 21/22]]</f>
        <v>-2611.9699999999998</v>
      </c>
      <c r="U28" s="64">
        <f>LocalAffairsRevenues[[#Totals],[Budget 22/23]]-LocalAffairsExpenses[[#Totals],[Budget 22/23]]</f>
        <v>-500</v>
      </c>
    </row>
  </sheetData>
  <mergeCells count="1">
    <mergeCell ref="A1:B1"/>
  </mergeCells>
  <phoneticPr fontId="90" type="noConversion"/>
  <pageMargins left="0.7" right="0.7" top="0.75" bottom="0.75" header="0.3" footer="0.3"/>
  <pageSetup orientation="portrait" r:id="rId1"/>
  <legacyDrawing r:id="rId2"/>
  <tableParts count="2">
    <tablePart r:id="rId3"/>
    <tablePart r:id="rId4"/>
  </tablePar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tabColor theme="1"/>
    <pageSetUpPr fitToPage="1"/>
  </sheetPr>
  <dimension ref="A1:AA26"/>
  <sheetViews>
    <sheetView showGridLines="0" zoomScale="90" zoomScaleNormal="90" workbookViewId="0">
      <selection activeCell="Z16" sqref="Z16"/>
    </sheetView>
  </sheetViews>
  <sheetFormatPr defaultColWidth="11.42578125" defaultRowHeight="12.75"/>
  <cols>
    <col min="1" max="1" width="13.85546875" style="11" customWidth="1"/>
    <col min="2" max="2" width="18.7109375" style="11" bestFit="1" customWidth="1"/>
    <col min="3" max="13" width="17.7109375" style="11" hidden="1" customWidth="1"/>
    <col min="14" max="14" width="17.7109375" style="132" hidden="1" customWidth="1"/>
    <col min="15" max="15" width="17.7109375" style="11" hidden="1" customWidth="1"/>
    <col min="16" max="16" width="23.7109375" style="11" hidden="1" customWidth="1"/>
    <col min="17" max="17" width="21" style="11" hidden="1" customWidth="1"/>
    <col min="18" max="18" width="17.28515625" style="11" hidden="1" customWidth="1"/>
    <col min="19" max="19" width="22.85546875" style="11" hidden="1" customWidth="1"/>
    <col min="20" max="21" width="17.42578125" style="11" hidden="1" customWidth="1"/>
    <col min="22" max="22" width="16" style="11" hidden="1" customWidth="1"/>
    <col min="23" max="23" width="15.85546875" style="11" hidden="1" customWidth="1"/>
    <col min="24" max="24" width="15.7109375" style="11" hidden="1" customWidth="1"/>
    <col min="25" max="25" width="17.140625" style="11" bestFit="1" customWidth="1"/>
    <col min="26" max="26" width="18.42578125" style="11" customWidth="1"/>
    <col min="27" max="27" width="20" style="11" customWidth="1"/>
    <col min="28" max="16384" width="11.42578125" style="11"/>
  </cols>
  <sheetData>
    <row r="1" spans="1:27" ht="18">
      <c r="A1" s="758" t="s">
        <v>823</v>
      </c>
      <c r="B1" s="758"/>
      <c r="C1" s="758"/>
      <c r="D1" s="758"/>
    </row>
    <row r="2" spans="1:27">
      <c r="A2" s="28" t="s">
        <v>744</v>
      </c>
    </row>
    <row r="4" spans="1:27">
      <c r="B4" s="11" t="s">
        <v>72</v>
      </c>
      <c r="C4" s="11" t="s">
        <v>73</v>
      </c>
      <c r="D4" s="11" t="s">
        <v>74</v>
      </c>
      <c r="E4" s="11" t="s">
        <v>75</v>
      </c>
      <c r="F4" s="11" t="s">
        <v>76</v>
      </c>
      <c r="G4" s="11" t="s">
        <v>77</v>
      </c>
      <c r="H4" s="11" t="s">
        <v>78</v>
      </c>
      <c r="I4" s="11" t="s">
        <v>5</v>
      </c>
      <c r="J4" s="11" t="s">
        <v>6</v>
      </c>
      <c r="K4" s="11" t="s">
        <v>7</v>
      </c>
      <c r="L4" s="11" t="s">
        <v>8</v>
      </c>
      <c r="M4" s="11" t="s">
        <v>9</v>
      </c>
      <c r="N4" s="522" t="s">
        <v>10</v>
      </c>
      <c r="O4" s="5" t="s">
        <v>11</v>
      </c>
      <c r="P4" s="5" t="s">
        <v>12</v>
      </c>
      <c r="Q4" s="5" t="s">
        <v>13</v>
      </c>
      <c r="R4" s="5" t="s">
        <v>14</v>
      </c>
      <c r="S4" s="5" t="s">
        <v>15</v>
      </c>
      <c r="T4" s="5" t="s">
        <v>39</v>
      </c>
      <c r="U4" s="5" t="s">
        <v>16</v>
      </c>
      <c r="V4" s="5" t="s">
        <v>81</v>
      </c>
      <c r="W4" s="5" t="s">
        <v>17</v>
      </c>
      <c r="X4" s="11" t="s">
        <v>40</v>
      </c>
      <c r="Y4" s="11" t="s">
        <v>41</v>
      </c>
      <c r="Z4" s="5" t="s">
        <v>42</v>
      </c>
      <c r="AA4" s="5" t="s">
        <v>43</v>
      </c>
    </row>
    <row r="5" spans="1:27">
      <c r="C5" s="178">
        <v>0</v>
      </c>
      <c r="D5" s="178">
        <v>0</v>
      </c>
      <c r="E5" s="178">
        <v>0</v>
      </c>
      <c r="F5" s="178">
        <v>0</v>
      </c>
      <c r="G5" s="178">
        <v>0</v>
      </c>
      <c r="H5" s="178">
        <v>0</v>
      </c>
      <c r="I5" s="178">
        <v>0</v>
      </c>
      <c r="J5" s="178"/>
      <c r="K5" s="178"/>
      <c r="L5" s="178">
        <v>0</v>
      </c>
      <c r="M5" s="178">
        <v>0</v>
      </c>
      <c r="N5" s="145">
        <v>0</v>
      </c>
      <c r="O5" s="178">
        <v>0</v>
      </c>
      <c r="P5" s="178"/>
      <c r="Q5" s="178"/>
      <c r="R5" s="178"/>
      <c r="S5" s="178"/>
      <c r="T5" s="178"/>
      <c r="U5" s="178"/>
      <c r="V5" s="178"/>
      <c r="W5" s="178"/>
      <c r="X5" s="178"/>
      <c r="Y5" s="178"/>
      <c r="Z5" s="178"/>
      <c r="AA5" s="178"/>
    </row>
    <row r="6" spans="1:27">
      <c r="C6" s="25">
        <v>0</v>
      </c>
      <c r="D6" s="25">
        <v>0</v>
      </c>
      <c r="E6" s="25">
        <v>0</v>
      </c>
      <c r="F6" s="25">
        <v>0</v>
      </c>
      <c r="G6" s="25">
        <v>0</v>
      </c>
      <c r="H6" s="25">
        <v>0</v>
      </c>
      <c r="I6" s="25">
        <v>0</v>
      </c>
      <c r="J6" s="25"/>
      <c r="K6" s="25"/>
      <c r="L6" s="25">
        <v>0</v>
      </c>
      <c r="M6" s="25">
        <v>0</v>
      </c>
      <c r="N6" s="133">
        <v>0</v>
      </c>
      <c r="O6" s="25">
        <v>0</v>
      </c>
      <c r="P6" s="178"/>
      <c r="Q6" s="178"/>
      <c r="R6" s="178"/>
      <c r="S6" s="178"/>
      <c r="T6" s="178"/>
      <c r="U6" s="178"/>
      <c r="V6" s="178"/>
      <c r="W6" s="178"/>
      <c r="X6" s="178"/>
      <c r="Y6" s="178"/>
      <c r="Z6" s="178"/>
      <c r="AA6" s="178"/>
    </row>
    <row r="7" spans="1:27">
      <c r="B7" s="287" t="s">
        <v>21</v>
      </c>
      <c r="C7" s="178">
        <f>SUBTOTAL(109,OUSARevenues[Budget 10/11])</f>
        <v>0</v>
      </c>
      <c r="D7" s="178">
        <f>SUBTOTAL(109,OUSARevenues[Actual 10/11])</f>
        <v>0</v>
      </c>
      <c r="E7" s="178">
        <f>SUBTOTAL(109,OUSARevenues[Budget 11/12])</f>
        <v>0</v>
      </c>
      <c r="F7" s="178">
        <f>SUBTOTAL(109,OUSARevenues[Actual 11/12])</f>
        <v>0</v>
      </c>
      <c r="G7" s="178">
        <f>SUBTOTAL(109,OUSARevenues[Budget 12/13])</f>
        <v>0</v>
      </c>
      <c r="H7" s="178">
        <f>SUBTOTAL(109,OUSARevenues[Actual 12/13])</f>
        <v>0</v>
      </c>
      <c r="I7" s="178">
        <f>SUBTOTAL(109,OUSARevenues[Budget 13/14])</f>
        <v>0</v>
      </c>
      <c r="J7" s="178">
        <f>SUBTOTAL(109,OUSARevenues[Actual 13/14])</f>
        <v>0</v>
      </c>
      <c r="K7" s="178">
        <f>SUBTOTAL(109,OUSARevenues[Budget 14/15])</f>
        <v>0</v>
      </c>
      <c r="L7" s="178">
        <f>SUBTOTAL(109,OUSARevenues[Actual 14/15])</f>
        <v>0</v>
      </c>
      <c r="M7" s="178">
        <f>SUBTOTAL(109,OUSARevenues[Budget 15/16])</f>
        <v>0</v>
      </c>
      <c r="N7" s="145">
        <f>SUBTOTAL(109,OUSARevenues[Actual 15/16])</f>
        <v>0</v>
      </c>
      <c r="O7" s="178">
        <f>SUBTOTAL(109,OUSARevenues[Budget 16/17])</f>
        <v>0</v>
      </c>
      <c r="P7" s="178">
        <f>SUBTOTAL(109,OUSARevenues[Actual 16/17])</f>
        <v>0</v>
      </c>
      <c r="Q7" s="178">
        <f>SUBTOTAL(109,OUSARevenues[Budget 17/18])</f>
        <v>0</v>
      </c>
      <c r="R7" s="181">
        <f>SUBTOTAL(109,OUSARevenues[Revenues])</f>
        <v>0</v>
      </c>
      <c r="S7" s="181">
        <f>SUBTOTAL(109,OUSARevenues[Revenues])</f>
        <v>0</v>
      </c>
      <c r="T7" s="181">
        <f>SUBTOTAL(109,OUSARevenues[Budget 10/11])</f>
        <v>0</v>
      </c>
      <c r="U7" s="181">
        <f>SUBTOTAL(109,OUSARevenues[Actual 10/11])</f>
        <v>0</v>
      </c>
      <c r="V7" s="181">
        <f>SUM(OUSARevenues[Actual P12 19/20])</f>
        <v>0</v>
      </c>
      <c r="W7" s="181">
        <f>SUM(OUSARevenues[Budget 20/21])</f>
        <v>0</v>
      </c>
      <c r="X7" s="181">
        <f>SUM(OUSARevenues[Actual 20/21])</f>
        <v>0</v>
      </c>
      <c r="Y7" s="181">
        <f>SUM(OUSARevenues[Budget 21/22])</f>
        <v>0</v>
      </c>
      <c r="Z7" s="181"/>
      <c r="AA7" s="181"/>
    </row>
    <row r="8" spans="1:27">
      <c r="B8" s="287"/>
      <c r="C8" s="178"/>
      <c r="D8" s="178"/>
      <c r="E8" s="178"/>
      <c r="F8" s="178"/>
      <c r="G8" s="178"/>
      <c r="H8" s="178"/>
      <c r="I8" s="178"/>
      <c r="J8" s="178"/>
      <c r="K8" s="178"/>
      <c r="L8" s="178"/>
      <c r="M8" s="178"/>
    </row>
    <row r="9" spans="1:27">
      <c r="A9" s="48" t="s">
        <v>130</v>
      </c>
      <c r="B9" s="11" t="s">
        <v>22</v>
      </c>
      <c r="C9" s="39" t="s">
        <v>73</v>
      </c>
      <c r="D9" s="39" t="s">
        <v>74</v>
      </c>
      <c r="E9" s="39" t="s">
        <v>75</v>
      </c>
      <c r="F9" s="39" t="s">
        <v>76</v>
      </c>
      <c r="G9" s="39" t="s">
        <v>824</v>
      </c>
      <c r="H9" s="39" t="s">
        <v>78</v>
      </c>
      <c r="I9" s="39" t="s">
        <v>5</v>
      </c>
      <c r="J9" s="39" t="s">
        <v>6</v>
      </c>
      <c r="K9" s="39" t="s">
        <v>7</v>
      </c>
      <c r="L9" s="39" t="s">
        <v>8</v>
      </c>
      <c r="M9" s="39" t="s">
        <v>9</v>
      </c>
      <c r="N9" s="523" t="s">
        <v>10</v>
      </c>
      <c r="O9" s="5" t="s">
        <v>11</v>
      </c>
      <c r="P9" s="524" t="s">
        <v>12</v>
      </c>
      <c r="Q9" s="524" t="s">
        <v>13</v>
      </c>
      <c r="R9" s="524" t="s">
        <v>14</v>
      </c>
      <c r="S9" s="39" t="s">
        <v>15</v>
      </c>
      <c r="T9" s="39" t="s">
        <v>39</v>
      </c>
      <c r="U9" s="39" t="s">
        <v>16</v>
      </c>
      <c r="V9" s="39" t="s">
        <v>81</v>
      </c>
      <c r="W9" s="39" t="s">
        <v>17</v>
      </c>
      <c r="X9" s="11" t="s">
        <v>40</v>
      </c>
      <c r="Y9" s="11" t="s">
        <v>41</v>
      </c>
      <c r="Z9" s="5" t="s">
        <v>42</v>
      </c>
      <c r="AA9" s="5" t="s">
        <v>43</v>
      </c>
    </row>
    <row r="10" spans="1:27" hidden="1">
      <c r="A10" s="48" t="s">
        <v>825</v>
      </c>
      <c r="B10" s="11" t="s">
        <v>97</v>
      </c>
      <c r="C10" s="25">
        <v>0</v>
      </c>
      <c r="D10" s="25">
        <v>0</v>
      </c>
      <c r="E10" s="25">
        <v>25</v>
      </c>
      <c r="F10" s="25">
        <v>63.68</v>
      </c>
      <c r="G10" s="25">
        <v>0</v>
      </c>
      <c r="H10" s="25">
        <v>0</v>
      </c>
      <c r="I10" s="25">
        <v>0</v>
      </c>
      <c r="J10" s="25">
        <v>0</v>
      </c>
      <c r="K10" s="25">
        <v>0</v>
      </c>
      <c r="L10" s="25">
        <v>0</v>
      </c>
      <c r="M10" s="25">
        <v>0</v>
      </c>
      <c r="N10" s="133">
        <v>0</v>
      </c>
      <c r="O10" s="25"/>
      <c r="P10" s="25"/>
      <c r="Q10" s="25"/>
      <c r="R10" s="25"/>
      <c r="S10" s="25"/>
      <c r="T10" s="25"/>
      <c r="U10" s="25"/>
      <c r="V10" s="25"/>
      <c r="W10" s="25"/>
      <c r="X10" s="39"/>
      <c r="Y10" s="39"/>
      <c r="Z10" s="4"/>
      <c r="AA10" s="4"/>
    </row>
    <row r="11" spans="1:27" ht="15">
      <c r="A11" s="48" t="s">
        <v>826</v>
      </c>
      <c r="B11" s="11" t="s">
        <v>385</v>
      </c>
      <c r="C11" s="25">
        <f>24066*2.68</f>
        <v>64496.880000000005</v>
      </c>
      <c r="D11" s="25">
        <v>65677.73</v>
      </c>
      <c r="E11" s="25">
        <f>2.76*24595</f>
        <v>67882.2</v>
      </c>
      <c r="F11" s="25">
        <v>69637.56</v>
      </c>
      <c r="G11" s="25">
        <v>73347</v>
      </c>
      <c r="H11" s="25">
        <v>80133.81</v>
      </c>
      <c r="I11" s="25">
        <v>79000</v>
      </c>
      <c r="J11" s="25">
        <v>63000</v>
      </c>
      <c r="K11" s="25">
        <v>83248</v>
      </c>
      <c r="L11" s="25">
        <v>83273.5</v>
      </c>
      <c r="M11" s="25">
        <f>2.97*28715.6</f>
        <v>85285.331999999995</v>
      </c>
      <c r="N11" s="133">
        <v>85561.8</v>
      </c>
      <c r="O11" s="25">
        <v>87607</v>
      </c>
      <c r="P11" s="25">
        <v>89619.03</v>
      </c>
      <c r="Q11" s="25">
        <v>91190.88</v>
      </c>
      <c r="R11" s="25">
        <v>92893.28</v>
      </c>
      <c r="S11" s="25">
        <v>97335</v>
      </c>
      <c r="T11" s="25">
        <v>76000</v>
      </c>
      <c r="U11" s="25">
        <f>97335*1.023*0.7</f>
        <v>69701.593499999988</v>
      </c>
      <c r="V11" s="25">
        <f>49928+24340</f>
        <v>74268</v>
      </c>
      <c r="W11" s="428">
        <v>72128</v>
      </c>
      <c r="X11" s="39">
        <v>70874.73</v>
      </c>
      <c r="Y11" s="463">
        <v>91212.479999999996</v>
      </c>
      <c r="Z11" s="563">
        <v>37914.559999999998</v>
      </c>
      <c r="AA11" s="734">
        <f>33025.5*3.24</f>
        <v>107002.62000000001</v>
      </c>
    </row>
    <row r="12" spans="1:27" ht="15">
      <c r="A12" s="48" t="s">
        <v>827</v>
      </c>
      <c r="B12" s="11" t="s">
        <v>828</v>
      </c>
      <c r="C12" s="25"/>
      <c r="D12" s="25"/>
      <c r="E12" s="25"/>
      <c r="F12" s="25"/>
      <c r="G12" s="25"/>
      <c r="H12" s="25"/>
      <c r="I12" s="25"/>
      <c r="J12" s="25"/>
      <c r="K12" s="25"/>
      <c r="L12" s="25"/>
      <c r="M12" s="25"/>
      <c r="N12" s="133"/>
      <c r="O12" s="25"/>
      <c r="P12" s="25"/>
      <c r="Q12" s="25"/>
      <c r="R12" s="44"/>
      <c r="S12" s="44"/>
      <c r="T12" s="44"/>
      <c r="U12" s="25"/>
      <c r="V12" s="25"/>
      <c r="W12" s="551"/>
      <c r="X12" s="39">
        <v>600</v>
      </c>
      <c r="Y12" s="39"/>
      <c r="Z12" s="563"/>
      <c r="AA12" s="734">
        <v>2000</v>
      </c>
    </row>
    <row r="13" spans="1:27">
      <c r="A13" s="48" t="s">
        <v>829</v>
      </c>
      <c r="B13" s="11" t="s">
        <v>417</v>
      </c>
      <c r="C13" s="25">
        <v>0</v>
      </c>
      <c r="D13" s="25">
        <v>0</v>
      </c>
      <c r="E13" s="25">
        <v>0</v>
      </c>
      <c r="F13" s="25">
        <v>0</v>
      </c>
      <c r="G13" s="25">
        <v>0</v>
      </c>
      <c r="H13" s="25">
        <v>0</v>
      </c>
      <c r="I13" s="25">
        <v>2800</v>
      </c>
      <c r="J13" s="25">
        <v>2496</v>
      </c>
      <c r="K13" s="25">
        <v>2800</v>
      </c>
      <c r="L13" s="25">
        <v>1800</v>
      </c>
      <c r="M13" s="25">
        <v>2900</v>
      </c>
      <c r="N13" s="133">
        <v>1600</v>
      </c>
      <c r="O13" s="25">
        <v>2800</v>
      </c>
      <c r="P13" s="25">
        <v>1036.3499999999999</v>
      </c>
      <c r="Q13" s="25">
        <v>2800</v>
      </c>
      <c r="R13" s="25">
        <v>1300</v>
      </c>
      <c r="S13" s="25">
        <v>2000</v>
      </c>
      <c r="T13" s="25">
        <v>1710</v>
      </c>
      <c r="U13" s="25">
        <v>2050</v>
      </c>
      <c r="V13" s="25">
        <v>75</v>
      </c>
      <c r="W13" s="20">
        <v>2100</v>
      </c>
      <c r="X13" s="39">
        <v>660</v>
      </c>
      <c r="Y13" s="39">
        <v>2100</v>
      </c>
      <c r="Z13" s="4"/>
      <c r="AA13" s="644">
        <v>2100</v>
      </c>
    </row>
    <row r="14" spans="1:27">
      <c r="A14" s="48" t="s">
        <v>830</v>
      </c>
      <c r="B14" s="11" t="s">
        <v>106</v>
      </c>
      <c r="C14" s="25">
        <v>10000</v>
      </c>
      <c r="D14" s="25">
        <v>10043.51</v>
      </c>
      <c r="E14" s="25">
        <v>11000</v>
      </c>
      <c r="F14" s="25">
        <v>12586.97</v>
      </c>
      <c r="G14" s="25">
        <v>11000</v>
      </c>
      <c r="H14" s="25">
        <v>8124.71</v>
      </c>
      <c r="I14" s="25">
        <v>12500</v>
      </c>
      <c r="J14" s="25">
        <v>12077.31</v>
      </c>
      <c r="K14" s="25">
        <v>11500</v>
      </c>
      <c r="L14" s="25">
        <v>10952.05</v>
      </c>
      <c r="M14" s="25">
        <v>11500</v>
      </c>
      <c r="N14" s="133">
        <v>8958.6200000000008</v>
      </c>
      <c r="O14" s="25">
        <v>12500</v>
      </c>
      <c r="P14" s="25">
        <v>11558.66</v>
      </c>
      <c r="Q14" s="25">
        <v>8000</v>
      </c>
      <c r="R14" s="25">
        <v>10681.67</v>
      </c>
      <c r="S14" s="25">
        <v>10000</v>
      </c>
      <c r="T14" s="25">
        <v>29529.82</v>
      </c>
      <c r="U14" s="25">
        <v>10000</v>
      </c>
      <c r="V14" s="25">
        <v>5490.74</v>
      </c>
      <c r="W14" s="20">
        <v>12500</v>
      </c>
      <c r="X14" s="39">
        <v>58.25</v>
      </c>
      <c r="Y14" s="20">
        <v>12500</v>
      </c>
      <c r="Z14" s="4">
        <v>5937.99</v>
      </c>
      <c r="AA14" s="644">
        <v>15000</v>
      </c>
    </row>
    <row r="15" spans="1:27">
      <c r="A15" s="49" t="s">
        <v>831</v>
      </c>
      <c r="B15" s="11" t="s">
        <v>832</v>
      </c>
      <c r="C15" s="25"/>
      <c r="D15" s="25"/>
      <c r="E15" s="25"/>
      <c r="F15" s="25"/>
      <c r="G15" s="25"/>
      <c r="H15" s="25"/>
      <c r="I15" s="25"/>
      <c r="J15" s="25"/>
      <c r="K15" s="25"/>
      <c r="L15" s="25"/>
      <c r="M15" s="25"/>
      <c r="N15" s="133"/>
      <c r="O15" s="25"/>
      <c r="P15" s="25"/>
      <c r="Q15" s="25"/>
      <c r="R15" s="25">
        <v>169.92</v>
      </c>
      <c r="S15" s="25"/>
      <c r="T15" s="25"/>
      <c r="U15" s="25"/>
      <c r="V15" s="25">
        <v>0</v>
      </c>
      <c r="W15" s="25"/>
      <c r="X15" s="39"/>
      <c r="Y15" s="39"/>
      <c r="Z15" s="4"/>
      <c r="AA15" s="4"/>
    </row>
    <row r="16" spans="1:27" ht="13.5" thickBot="1">
      <c r="B16" s="11" t="s">
        <v>21</v>
      </c>
      <c r="C16" s="178">
        <f>SUBTOTAL(109,OUSAExpenses[Budget 10/11])</f>
        <v>74496.88</v>
      </c>
      <c r="D16" s="178">
        <f>SUBTOTAL(109,OUSAExpenses[Actual 10/11])</f>
        <v>75721.239999999991</v>
      </c>
      <c r="E16" s="178">
        <f>SUBTOTAL(109,OUSAExpenses[Budget 11/12])</f>
        <v>78882.2</v>
      </c>
      <c r="F16" s="178">
        <f>SUBTOTAL(109,OUSAExpenses[Actual 11/12])</f>
        <v>82224.53</v>
      </c>
      <c r="G16" s="178">
        <f>SUBTOTAL(109,OUSAExpenses[Budget 11/122])</f>
        <v>84347</v>
      </c>
      <c r="H16" s="178">
        <f>SUBTOTAL(109,OUSAExpenses[Actual 12/13])</f>
        <v>88258.52</v>
      </c>
      <c r="I16" s="178">
        <f>SUBTOTAL(109,OUSAExpenses[Budget 13/14])</f>
        <v>94300</v>
      </c>
      <c r="J16" s="178">
        <f>SUBTOTAL(109,OUSAExpenses[Actual 13/14])</f>
        <v>77573.31</v>
      </c>
      <c r="K16" s="178">
        <f>SUBTOTAL(109,OUSAExpenses[Budget 14/15])</f>
        <v>97548</v>
      </c>
      <c r="L16" s="178">
        <f>SUBTOTAL(109,OUSAExpenses[Actual 14/15])</f>
        <v>96025.55</v>
      </c>
      <c r="M16" s="178">
        <f>SUBTOTAL(109,OUSAExpenses[Budget 15/16])</f>
        <v>99685.331999999995</v>
      </c>
      <c r="N16" s="145">
        <f>SUBTOTAL(109,OUSAExpenses[Actual 15/16])</f>
        <v>96120.42</v>
      </c>
      <c r="O16" s="178">
        <f>SUBTOTAL(109,OUSAExpenses[Budget 16/17])</f>
        <v>102907</v>
      </c>
      <c r="P16" s="178">
        <f>SUBTOTAL(109,OUSAExpenses[Actual 16/17])</f>
        <v>102214.04000000001</v>
      </c>
      <c r="Q16" s="178">
        <f>SUBTOTAL(109,OUSAExpenses[Budget 17/18])</f>
        <v>101990.88</v>
      </c>
      <c r="R16" s="21">
        <f>SUBTOTAL(109,OUSAExpenses[Actual 17/18])</f>
        <v>105044.87</v>
      </c>
      <c r="S16" s="21">
        <f>SUM(OUSAExpenses[Budget 18/19])</f>
        <v>109335</v>
      </c>
      <c r="T16" s="21">
        <f>SUM(OUSAExpenses[Actual 18/19])</f>
        <v>107239.82</v>
      </c>
      <c r="U16" s="178">
        <f>SUM(U11:U15)</f>
        <v>81751.593499999988</v>
      </c>
      <c r="V16" s="178">
        <f>SUM(V11:V15)</f>
        <v>79833.740000000005</v>
      </c>
      <c r="W16" s="178">
        <f>SUM(W11:W15)</f>
        <v>86728</v>
      </c>
      <c r="X16" s="178">
        <f>SUM(X11:X15)</f>
        <v>72192.98</v>
      </c>
      <c r="Y16" s="178">
        <f>SUM(Y11:Y15)</f>
        <v>105812.48</v>
      </c>
      <c r="Z16" s="21">
        <f>SUBTOTAL(109,OUSAExpenses[Actual 21/22])</f>
        <v>43852.549999999996</v>
      </c>
      <c r="AA16" s="21">
        <f>SUM(AA11:AA15)</f>
        <v>126102.62000000001</v>
      </c>
    </row>
    <row r="17" spans="1:27" ht="19.5" thickBot="1">
      <c r="B17" s="611" t="s">
        <v>127</v>
      </c>
      <c r="C17" s="27">
        <f>OUSARevenues[[#Totals],[Budget 10/11]]-OUSAExpenses[[#Totals],[Budget 10/11]]</f>
        <v>-74496.88</v>
      </c>
      <c r="D17" s="27">
        <f>OUSARevenues[[#Totals],[Actual 10/11]]-OUSAExpenses[[#Totals],[Actual 10/11]]</f>
        <v>-75721.239999999991</v>
      </c>
      <c r="E17" s="27">
        <f>OUSARevenues[[#Totals],[Budget 11/12]]-OUSAExpenses[[#Totals],[Budget 11/12]]</f>
        <v>-78882.2</v>
      </c>
      <c r="F17" s="27">
        <f>OUSARevenues[[#Totals],[Actual 11/12]]-OUSAExpenses[[#Totals],[Actual 11/12]]</f>
        <v>-82224.53</v>
      </c>
      <c r="G17" s="27">
        <f>OUSARevenues[[#Totals],[Budget 12/13]]-OUSAExpenses[[#Totals],[Budget 11/122]]</f>
        <v>-84347</v>
      </c>
      <c r="H17" s="27">
        <f>OUSARevenues[[#Totals],[Actual 12/13]]-OUSAExpenses[[#Totals],[Actual 12/13]]</f>
        <v>-88258.52</v>
      </c>
      <c r="I17" s="27">
        <f>OUSARevenues[[#Totals],[Budget 13/14]]-OUSAExpenses[[#Totals],[Budget 13/14]]</f>
        <v>-94300</v>
      </c>
      <c r="J17" s="27">
        <f>OUSARevenues[[#Totals],[Actual 13/14]]-OUSAExpenses[[#Totals],[Actual 13/14]]</f>
        <v>-77573.31</v>
      </c>
      <c r="K17" s="27">
        <f>OUSARevenues[[#Totals],[Budget 14/15]]-OUSAExpenses[[#Totals],[Budget 14/15]]</f>
        <v>-97548</v>
      </c>
      <c r="L17" s="27">
        <f>OUSARevenues[[#Totals],[Actual 14/15]]-OUSAExpenses[[#Totals],[Actual 14/15]]</f>
        <v>-96025.55</v>
      </c>
      <c r="M17" s="27">
        <f>OUSARevenues[[#Totals],[Budget 15/16]]-OUSAExpenses[[#Totals],[Budget 15/16]]</f>
        <v>-99685.331999999995</v>
      </c>
      <c r="N17" s="27">
        <f>OUSARevenues[[#Totals],[Actual 15/16]]-OUSAExpenses[[#Totals],[Actual 15/16]]</f>
        <v>-96120.42</v>
      </c>
      <c r="O17" s="64">
        <f>OUSARevenues[[#Totals],[Budget 16/17]]-OUSAExpenses[[#Totals],[Budget 16/17]]</f>
        <v>-102907</v>
      </c>
      <c r="P17" s="64">
        <f>OUSARevenues[[#Totals],[Actual 16/17]]-OUSAExpenses[[#Totals],[Actual 16/17]]</f>
        <v>-102214.04000000001</v>
      </c>
      <c r="Q17" s="64">
        <f>OUSARevenues[[#Totals],[Budget 17/18]]-OUSAExpenses[[#Totals],[Budget 17/18]]</f>
        <v>-101990.88</v>
      </c>
      <c r="R17" s="64">
        <f>OUSARevenues[[#Totals],[Actual 17/18]]-OUSAExpenses[[#Totals],[Actual 17/18]]</f>
        <v>-105044.87</v>
      </c>
      <c r="S17" s="64">
        <f>-SUM(OUSAExpenses[Budget 18/19])</f>
        <v>-109335</v>
      </c>
      <c r="T17" s="64">
        <f>-SUM(OUSAExpenses[Actual 18/19])</f>
        <v>-107239.82</v>
      </c>
      <c r="U17" s="64">
        <f>-SUM(OUSAExpenses[Budget 19/20])</f>
        <v>-81751.593499999988</v>
      </c>
      <c r="V17" s="64">
        <f>OUSARevenues[[#Totals],[Actual P12 19/20]]-OUSAExpenses[[#Totals],[Actual P12 19/20]]</f>
        <v>-79833.740000000005</v>
      </c>
      <c r="W17" s="64">
        <f>-SUM(OUSAExpenses[Budget 20/21])</f>
        <v>-86728</v>
      </c>
      <c r="X17" s="64">
        <f>-SUM(OUSAExpenses[Actual 20/21])</f>
        <v>-72192.98</v>
      </c>
      <c r="Y17" s="64">
        <f>-SUM(OUSAExpenses[Budget 21/22])</f>
        <v>-105812.48</v>
      </c>
      <c r="Z17" s="64">
        <f>-SUM(OUSAExpenses[Actual 21/22])</f>
        <v>-43852.549999999996</v>
      </c>
      <c r="AA17" s="64">
        <f>-SUM(OUSAExpenses[Budget 22/23])</f>
        <v>-126102.62000000001</v>
      </c>
    </row>
    <row r="18" spans="1:27">
      <c r="C18" s="25"/>
      <c r="D18" s="25"/>
      <c r="E18" s="25"/>
      <c r="F18" s="25"/>
      <c r="G18" s="25"/>
      <c r="H18" s="25"/>
      <c r="I18" s="25"/>
      <c r="J18" s="25"/>
      <c r="K18" s="25"/>
      <c r="L18" s="25"/>
      <c r="M18" s="25"/>
    </row>
    <row r="19" spans="1:27">
      <c r="C19" s="25"/>
      <c r="D19" s="25"/>
      <c r="E19" s="25"/>
      <c r="F19" s="25"/>
      <c r="G19" s="25"/>
      <c r="H19" s="25"/>
      <c r="I19" s="25"/>
      <c r="J19" s="25"/>
      <c r="K19" s="25"/>
      <c r="L19" s="25"/>
      <c r="M19" s="25"/>
    </row>
    <row r="20" spans="1:27">
      <c r="C20" s="25"/>
      <c r="D20" s="25"/>
      <c r="E20" s="25"/>
      <c r="F20" s="25"/>
      <c r="G20" s="25"/>
      <c r="H20" s="25"/>
      <c r="I20" s="25"/>
      <c r="J20" s="25"/>
      <c r="K20" s="25"/>
      <c r="L20" s="25"/>
      <c r="M20" s="25"/>
    </row>
    <row r="21" spans="1:27">
      <c r="B21" s="287"/>
      <c r="C21" s="21"/>
      <c r="D21" s="21"/>
      <c r="E21" s="21"/>
      <c r="F21" s="21"/>
      <c r="G21" s="21"/>
      <c r="H21" s="21"/>
      <c r="I21" s="21"/>
      <c r="J21" s="21"/>
      <c r="K21" s="21"/>
      <c r="L21" s="21"/>
      <c r="M21" s="21"/>
    </row>
    <row r="22" spans="1:27">
      <c r="C22" s="39"/>
      <c r="D22" s="39"/>
      <c r="E22" s="39"/>
      <c r="F22" s="39"/>
      <c r="G22"/>
      <c r="H22"/>
      <c r="I22"/>
      <c r="J22"/>
      <c r="K22"/>
      <c r="L22"/>
      <c r="M22"/>
      <c r="N22" s="138"/>
      <c r="O22"/>
    </row>
    <row r="23" spans="1:27">
      <c r="A23" s="765"/>
      <c r="B23" s="765"/>
      <c r="C23" s="21"/>
      <c r="D23" s="21"/>
      <c r="E23" s="21"/>
      <c r="F23" s="21"/>
      <c r="G23"/>
      <c r="H23"/>
      <c r="I23"/>
      <c r="J23"/>
      <c r="K23"/>
      <c r="L23"/>
      <c r="M23"/>
      <c r="N23" s="138"/>
      <c r="O23"/>
    </row>
    <row r="24" spans="1:27">
      <c r="G24"/>
      <c r="H24"/>
      <c r="I24"/>
      <c r="J24"/>
      <c r="K24"/>
      <c r="L24"/>
      <c r="M24"/>
      <c r="N24" s="138"/>
      <c r="O24"/>
    </row>
    <row r="25" spans="1:27">
      <c r="G25"/>
      <c r="H25"/>
      <c r="I25"/>
      <c r="J25"/>
      <c r="K25"/>
      <c r="L25"/>
      <c r="M25"/>
      <c r="N25" s="138"/>
      <c r="O25"/>
    </row>
    <row r="26" spans="1:27">
      <c r="G26"/>
      <c r="H26"/>
      <c r="I26"/>
      <c r="J26"/>
      <c r="K26"/>
      <c r="L26"/>
      <c r="M26"/>
      <c r="N26" s="138"/>
      <c r="O26"/>
    </row>
  </sheetData>
  <customSheetViews>
    <customSheetView guid="{DC934874-AE9C-4DF4-8DA8-4394DABABB42}" showRuler="0">
      <selection activeCell="G15" sqref="G15"/>
      <pageMargins left="0" right="0" top="0" bottom="0" header="0" footer="0"/>
      <pageSetup orientation="portrait"/>
      <headerFooter alignWithMargins="0"/>
    </customSheetView>
    <customSheetView guid="{7FD89B2E-4983-4B8D-ABA2-A07F685A0C6E}" showRuler="0">
      <selection activeCell="G12" sqref="G12"/>
      <pageMargins left="0" right="0" top="0" bottom="0" header="0" footer="0"/>
      <pageSetup orientation="portrait"/>
      <headerFooter alignWithMargins="0"/>
    </customSheetView>
    <customSheetView guid="{84D8AC11-A493-4338-8044-6F4154C29695}" showRuler="0">
      <selection activeCell="G13" sqref="G13"/>
      <pageMargins left="0" right="0" top="0" bottom="0" header="0" footer="0"/>
      <pageSetup orientation="portrait"/>
      <headerFooter alignWithMargins="0"/>
    </customSheetView>
    <customSheetView guid="{BB157E55-0A2E-4D9F-A3BF-E83E5442FC27}" showPageBreaks="1" showRuler="0">
      <selection activeCell="A2" sqref="A2"/>
      <pageMargins left="0" right="0" top="0" bottom="0" header="0" footer="0"/>
      <pageSetup orientation="portrait"/>
      <headerFooter alignWithMargins="0"/>
    </customSheetView>
  </customSheetViews>
  <mergeCells count="2">
    <mergeCell ref="A23:B23"/>
    <mergeCell ref="A1:D1"/>
  </mergeCells>
  <phoneticPr fontId="0" type="noConversion"/>
  <pageMargins left="0" right="0" top="0.98425196850393704" bottom="0.98425196850393704" header="0.51181102362204722" footer="0.51181102362204722"/>
  <pageSetup paperSize="5" orientation="landscape" r:id="rId1"/>
  <headerFooter alignWithMargins="0"/>
  <legacyDrawing r:id="rId2"/>
  <tableParts count="2">
    <tablePart r:id="rId3"/>
    <tablePart r:id="rId4"/>
  </tablePar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tabColor theme="1"/>
    <pageSetUpPr fitToPage="1"/>
  </sheetPr>
  <dimension ref="A1:P22"/>
  <sheetViews>
    <sheetView showGridLines="0" zoomScale="80" zoomScaleNormal="80" workbookViewId="0">
      <selection activeCell="L11" sqref="L11"/>
    </sheetView>
  </sheetViews>
  <sheetFormatPr defaultColWidth="11.42578125" defaultRowHeight="12.75"/>
  <cols>
    <col min="1" max="1" width="13.85546875" style="11" customWidth="1"/>
    <col min="2" max="2" width="18.7109375" style="11" bestFit="1" customWidth="1"/>
    <col min="3" max="3" width="19" style="11" hidden="1" customWidth="1"/>
    <col min="4" max="4" width="16" style="132" hidden="1" customWidth="1"/>
    <col min="5" max="5" width="16" style="11" hidden="1" customWidth="1"/>
    <col min="6" max="6" width="15.42578125" style="11" hidden="1" customWidth="1"/>
    <col min="7" max="7" width="15.42578125" style="11" customWidth="1"/>
    <col min="8" max="8" width="14.42578125" style="11" customWidth="1"/>
    <col min="9" max="9" width="14.140625" style="11" customWidth="1"/>
    <col min="10" max="11" width="14.42578125" style="11" customWidth="1"/>
    <col min="12" max="12" width="15.42578125" style="11" customWidth="1"/>
    <col min="13" max="16384" width="11.42578125" style="11"/>
  </cols>
  <sheetData>
    <row r="1" spans="1:16" ht="18">
      <c r="A1" s="758" t="s">
        <v>833</v>
      </c>
      <c r="B1" s="758"/>
      <c r="C1" s="758"/>
    </row>
    <row r="2" spans="1:16">
      <c r="A2" s="28" t="s">
        <v>744</v>
      </c>
    </row>
    <row r="4" spans="1:16">
      <c r="B4" s="11" t="s">
        <v>72</v>
      </c>
      <c r="C4" s="11" t="s">
        <v>9</v>
      </c>
      <c r="D4" s="119" t="s">
        <v>10</v>
      </c>
      <c r="E4" s="11" t="s">
        <v>11</v>
      </c>
      <c r="F4" s="11" t="s">
        <v>12</v>
      </c>
      <c r="G4" s="11" t="s">
        <v>13</v>
      </c>
      <c r="H4" s="11" t="s">
        <v>14</v>
      </c>
      <c r="I4" s="11" t="s">
        <v>15</v>
      </c>
      <c r="J4" s="11" t="s">
        <v>39</v>
      </c>
      <c r="K4" s="11" t="s">
        <v>16</v>
      </c>
      <c r="L4" s="11" t="s">
        <v>81</v>
      </c>
      <c r="M4" s="11" t="s">
        <v>17</v>
      </c>
    </row>
    <row r="5" spans="1:16">
      <c r="C5" s="178">
        <v>0</v>
      </c>
      <c r="D5" s="145">
        <v>0</v>
      </c>
      <c r="E5" s="178">
        <v>0</v>
      </c>
      <c r="F5" s="178"/>
      <c r="G5" s="18"/>
      <c r="H5" s="18"/>
      <c r="I5" s="18"/>
      <c r="J5" s="18"/>
      <c r="K5" s="18"/>
      <c r="L5" s="18"/>
      <c r="M5" s="178">
        <v>0</v>
      </c>
    </row>
    <row r="6" spans="1:16">
      <c r="B6" s="11" t="s">
        <v>21</v>
      </c>
      <c r="C6" s="178">
        <f>SUBTOTAL(109,SRORevenues[Budget 15/16])</f>
        <v>0</v>
      </c>
      <c r="D6" s="145">
        <f>SUBTOTAL(109,SRORevenues[Actual 15/16])</f>
        <v>0</v>
      </c>
      <c r="E6" s="178">
        <f>SUBTOTAL(109,SRORevenues[Budget 16/17])</f>
        <v>0</v>
      </c>
      <c r="F6" s="178">
        <f>SUBTOTAL(109,SRORevenues[Actual 16/17])</f>
        <v>0</v>
      </c>
      <c r="G6" s="21">
        <f>SUBTOTAL(109,SRORevenues[Budget 17/18])</f>
        <v>0</v>
      </c>
      <c r="H6" s="21">
        <f>SUBTOTAL(109,SRORevenues[Revenues])</f>
        <v>0</v>
      </c>
      <c r="I6" s="21">
        <f>SUBTOTAL(109,SRORevenues[Budget 15/16])</f>
        <v>0</v>
      </c>
      <c r="J6" s="21">
        <f>SUBTOTAL(109,SRORevenues[Actual 15/16])</f>
        <v>0</v>
      </c>
      <c r="K6" s="21">
        <f>SUBTOTAL(109,SRORevenues[Budget 16/17])</f>
        <v>0</v>
      </c>
      <c r="L6" s="11">
        <f>SUM(SRORevenues[Actual P12 19/20])</f>
        <v>0</v>
      </c>
      <c r="M6" s="21">
        <f>SUBTOTAL(109,SRORevenues[Actual 16/17])</f>
        <v>0</v>
      </c>
    </row>
    <row r="7" spans="1:16">
      <c r="C7" s="25"/>
      <c r="G7"/>
      <c r="H7"/>
      <c r="I7"/>
      <c r="J7"/>
      <c r="K7"/>
      <c r="L7"/>
      <c r="M7"/>
      <c r="N7"/>
    </row>
    <row r="8" spans="1:16">
      <c r="C8" s="39"/>
      <c r="G8"/>
      <c r="H8"/>
      <c r="I8"/>
      <c r="J8"/>
      <c r="K8"/>
      <c r="L8"/>
      <c r="M8"/>
      <c r="N8"/>
    </row>
    <row r="9" spans="1:16">
      <c r="A9" s="48" t="s">
        <v>130</v>
      </c>
      <c r="B9" s="11" t="s">
        <v>22</v>
      </c>
      <c r="C9" s="11" t="s">
        <v>9</v>
      </c>
      <c r="D9" s="119" t="s">
        <v>10</v>
      </c>
      <c r="E9" s="11" t="s">
        <v>11</v>
      </c>
      <c r="F9" s="11" t="s">
        <v>12</v>
      </c>
      <c r="G9" s="11" t="s">
        <v>13</v>
      </c>
      <c r="H9" s="11" t="s">
        <v>14</v>
      </c>
      <c r="I9" s="11" t="s">
        <v>15</v>
      </c>
      <c r="J9" s="11" t="s">
        <v>39</v>
      </c>
      <c r="K9" s="11" t="s">
        <v>16</v>
      </c>
      <c r="L9" s="11" t="s">
        <v>81</v>
      </c>
      <c r="M9" s="11" t="s">
        <v>17</v>
      </c>
      <c r="N9"/>
      <c r="O9"/>
      <c r="P9"/>
    </row>
    <row r="10" spans="1:16">
      <c r="A10" s="48" t="s">
        <v>834</v>
      </c>
      <c r="B10" s="11" t="s">
        <v>93</v>
      </c>
      <c r="C10" s="25">
        <v>500</v>
      </c>
      <c r="D10" s="133">
        <v>0</v>
      </c>
      <c r="E10" s="25">
        <v>400</v>
      </c>
      <c r="F10" s="25">
        <v>200</v>
      </c>
      <c r="G10" s="172">
        <v>400</v>
      </c>
      <c r="H10" s="172">
        <v>253.37</v>
      </c>
      <c r="I10" s="172">
        <v>300</v>
      </c>
      <c r="J10" s="172">
        <v>354.5</v>
      </c>
      <c r="K10" s="172">
        <v>300</v>
      </c>
      <c r="L10" s="172">
        <v>59.85</v>
      </c>
      <c r="M10" s="172"/>
      <c r="N10"/>
      <c r="O10"/>
      <c r="P10"/>
    </row>
    <row r="11" spans="1:16">
      <c r="A11" s="48" t="s">
        <v>835</v>
      </c>
      <c r="B11" s="11" t="s">
        <v>97</v>
      </c>
      <c r="C11" s="25">
        <v>5</v>
      </c>
      <c r="D11" s="133">
        <v>0</v>
      </c>
      <c r="E11" s="25">
        <v>5</v>
      </c>
      <c r="F11" s="25"/>
      <c r="G11" s="172"/>
      <c r="H11" s="172"/>
      <c r="I11" s="172"/>
      <c r="J11" s="172"/>
      <c r="K11" s="172"/>
      <c r="L11" s="172">
        <v>0</v>
      </c>
      <c r="M11" s="172"/>
      <c r="N11"/>
      <c r="O11"/>
      <c r="P11"/>
    </row>
    <row r="12" spans="1:16">
      <c r="A12" s="48" t="s">
        <v>836</v>
      </c>
      <c r="B12" s="11" t="s">
        <v>100</v>
      </c>
      <c r="C12" s="25">
        <v>150</v>
      </c>
      <c r="D12" s="133">
        <v>111.05</v>
      </c>
      <c r="E12" s="25">
        <v>150</v>
      </c>
      <c r="F12" s="25"/>
      <c r="G12" s="172">
        <v>200</v>
      </c>
      <c r="H12" s="172">
        <v>100.32</v>
      </c>
      <c r="I12" s="172">
        <v>125</v>
      </c>
      <c r="J12" s="172">
        <v>84.74</v>
      </c>
      <c r="K12" s="172">
        <v>100</v>
      </c>
      <c r="L12" s="172">
        <v>130.83000000000001</v>
      </c>
      <c r="M12" s="172"/>
      <c r="N12"/>
      <c r="O12"/>
      <c r="P12"/>
    </row>
    <row r="13" spans="1:16">
      <c r="A13" s="48" t="s">
        <v>837</v>
      </c>
      <c r="B13" s="11" t="s">
        <v>166</v>
      </c>
      <c r="C13" s="25">
        <v>400</v>
      </c>
      <c r="D13" s="133">
        <v>26</v>
      </c>
      <c r="E13" s="25">
        <v>250</v>
      </c>
      <c r="F13" s="25">
        <v>89.92</v>
      </c>
      <c r="G13" s="172">
        <v>200</v>
      </c>
      <c r="H13" s="172">
        <v>94.33</v>
      </c>
      <c r="I13" s="172">
        <v>100</v>
      </c>
      <c r="J13" s="172"/>
      <c r="K13" s="172">
        <v>80</v>
      </c>
      <c r="L13" s="172">
        <v>0</v>
      </c>
      <c r="M13" s="172"/>
      <c r="N13"/>
      <c r="O13"/>
      <c r="P13"/>
    </row>
    <row r="14" spans="1:16">
      <c r="A14" s="48" t="s">
        <v>838</v>
      </c>
      <c r="B14" s="11" t="s">
        <v>104</v>
      </c>
      <c r="C14" s="25">
        <v>500</v>
      </c>
      <c r="D14" s="133">
        <v>34.56</v>
      </c>
      <c r="E14" s="25">
        <v>400</v>
      </c>
      <c r="F14" s="25">
        <v>222.69</v>
      </c>
      <c r="G14" s="172">
        <v>400</v>
      </c>
      <c r="H14" s="172">
        <v>143.38999999999999</v>
      </c>
      <c r="I14" s="172">
        <v>250</v>
      </c>
      <c r="J14" s="172">
        <v>235.5</v>
      </c>
      <c r="K14" s="172">
        <v>250</v>
      </c>
      <c r="L14" s="172">
        <v>0</v>
      </c>
      <c r="M14" s="172"/>
      <c r="N14"/>
      <c r="O14"/>
      <c r="P14"/>
    </row>
    <row r="15" spans="1:16">
      <c r="A15" s="48" t="s">
        <v>839</v>
      </c>
      <c r="B15" s="11" t="s">
        <v>106</v>
      </c>
      <c r="C15" s="25">
        <v>500</v>
      </c>
      <c r="D15" s="133">
        <v>0</v>
      </c>
      <c r="E15" s="25">
        <v>500</v>
      </c>
      <c r="F15" s="25">
        <v>0</v>
      </c>
      <c r="G15" s="172">
        <v>500</v>
      </c>
      <c r="H15" s="172">
        <v>337.93</v>
      </c>
      <c r="I15" s="172">
        <v>400</v>
      </c>
      <c r="J15" s="172">
        <v>16.29</v>
      </c>
      <c r="K15" s="172">
        <v>500</v>
      </c>
      <c r="L15" s="172">
        <v>0</v>
      </c>
      <c r="M15" s="172"/>
      <c r="N15"/>
      <c r="O15"/>
      <c r="P15"/>
    </row>
    <row r="16" spans="1:16">
      <c r="A16" s="48" t="s">
        <v>840</v>
      </c>
      <c r="B16" s="11" t="s">
        <v>114</v>
      </c>
      <c r="C16" s="25">
        <v>500</v>
      </c>
      <c r="D16" s="133">
        <v>19.2</v>
      </c>
      <c r="E16" s="25">
        <v>400</v>
      </c>
      <c r="F16" s="25">
        <v>0</v>
      </c>
      <c r="G16" s="172">
        <v>200</v>
      </c>
      <c r="H16" s="172">
        <v>397.17</v>
      </c>
      <c r="I16" s="172">
        <v>300</v>
      </c>
      <c r="J16" s="172">
        <v>1062.0899999999999</v>
      </c>
      <c r="K16" s="172">
        <v>300</v>
      </c>
      <c r="L16" s="172">
        <v>0</v>
      </c>
      <c r="M16" s="172"/>
      <c r="N16"/>
      <c r="O16"/>
      <c r="P16"/>
    </row>
    <row r="17" spans="1:16">
      <c r="A17" s="48" t="s">
        <v>841</v>
      </c>
      <c r="B17" s="11" t="s">
        <v>110</v>
      </c>
      <c r="C17" s="25">
        <v>236.01</v>
      </c>
      <c r="D17" s="133">
        <v>0</v>
      </c>
      <c r="E17" s="25">
        <v>0</v>
      </c>
      <c r="F17" s="25"/>
      <c r="G17" s="172"/>
      <c r="H17" s="172"/>
      <c r="I17" s="172"/>
      <c r="J17" s="172"/>
      <c r="K17" s="172"/>
      <c r="L17" s="172">
        <v>0</v>
      </c>
      <c r="M17" s="172"/>
      <c r="N17"/>
      <c r="O17"/>
      <c r="P17"/>
    </row>
    <row r="18" spans="1:16">
      <c r="A18" s="49" t="s">
        <v>842</v>
      </c>
      <c r="B18" s="11" t="s">
        <v>843</v>
      </c>
      <c r="C18" s="25">
        <v>0</v>
      </c>
      <c r="D18" s="133">
        <v>0</v>
      </c>
      <c r="E18" s="25">
        <v>0</v>
      </c>
      <c r="F18" s="25"/>
      <c r="G18" s="25"/>
      <c r="H18" s="25">
        <v>76.510000000000005</v>
      </c>
      <c r="I18" s="25"/>
      <c r="J18" s="25"/>
      <c r="K18" s="25"/>
      <c r="L18" s="25">
        <v>0</v>
      </c>
      <c r="M18" s="25"/>
    </row>
    <row r="19" spans="1:16">
      <c r="B19" s="11" t="s">
        <v>21</v>
      </c>
      <c r="C19" s="178">
        <f>SUBTOTAL(109,SROExpenses[Budget 15/16])</f>
        <v>2791.01</v>
      </c>
      <c r="D19" s="145">
        <f>SUBTOTAL(109,SROExpenses[Actual 15/16])</f>
        <v>190.81</v>
      </c>
      <c r="E19" s="178">
        <f>SUBTOTAL(109,SROExpenses[Budget 16/17])</f>
        <v>2105</v>
      </c>
      <c r="F19" s="178">
        <f>SUBTOTAL(109,SROExpenses[Actual 16/17])</f>
        <v>512.61</v>
      </c>
      <c r="G19" s="178">
        <f>SUBTOTAL(109,SROExpenses[Budget 17/18])</f>
        <v>1900</v>
      </c>
      <c r="H19" s="21">
        <f>SUBTOTAL(109,SROExpenses[Actual 17/18])</f>
        <v>1403.02</v>
      </c>
      <c r="I19" s="21">
        <f>SUM(SROExpenses[Budget 18/19])</f>
        <v>1475</v>
      </c>
      <c r="J19" s="21">
        <f>SUM(SROExpenses[Actual 18/19])</f>
        <v>1753.12</v>
      </c>
      <c r="K19" s="21">
        <f>SUM(SROExpenses[Budget 19/20])</f>
        <v>1530</v>
      </c>
      <c r="L19" s="21">
        <f>SUM(SROExpenses[Actual P12 19/20])</f>
        <v>190.68</v>
      </c>
      <c r="M19" s="21">
        <f>SUM(SROExpenses[Budget 20/21])</f>
        <v>0</v>
      </c>
    </row>
    <row r="20" spans="1:16" ht="13.5" thickBot="1"/>
    <row r="21" spans="1:16" ht="19.5" thickBot="1">
      <c r="B21" s="611" t="s">
        <v>127</v>
      </c>
      <c r="C21" s="27">
        <f>SRORevenues[[#Totals],[Budget 15/16]]-SROExpenses[[#Totals],[Budget 15/16]]</f>
        <v>-2791.01</v>
      </c>
      <c r="D21" s="27">
        <f>SRORevenues[[#Totals],[Actual 15/16]]-SROExpenses[[#Totals],[Actual 15/16]]</f>
        <v>-190.81</v>
      </c>
      <c r="E21" s="64">
        <f>SRORevenues[[#Totals],[Budget 16/17]]-SROExpenses[[#Totals],[Budget 16/17]]</f>
        <v>-2105</v>
      </c>
      <c r="F21" s="64">
        <f>SRORevenues[[#Totals],[Actual 16/17]]-SROExpenses[[#Totals],[Actual 16/17]]</f>
        <v>-512.61</v>
      </c>
      <c r="G21" s="64">
        <f>SRORevenues[[#Totals],[Budget 17/18]]-SROExpenses[[#Totals],[Budget 17/18]]</f>
        <v>-1900</v>
      </c>
      <c r="H21" s="64">
        <f>SRORevenues[[#Totals],[Actual 17/18]]-SROExpenses[[#Totals],[Actual 17/18]]</f>
        <v>-1403.02</v>
      </c>
      <c r="I21" s="64">
        <f>SRORevenues[[#Totals],[Budget 18/19]]-SROExpenses[[#Totals],[Budget 18/19]]</f>
        <v>-1475</v>
      </c>
      <c r="J21" s="64">
        <f>SRORevenues[[#Totals],[Actual 18/19]]-SROExpenses[[#Totals],[Actual 18/19]]</f>
        <v>-1753.12</v>
      </c>
      <c r="K21" s="64">
        <f>SRORevenues[[#Totals],[Budget 19/20]]-SROExpenses[[#Totals],[Budget 19/20]]</f>
        <v>-1530</v>
      </c>
      <c r="L21" s="64">
        <f>SRORevenues[[#Totals],[Actual P12 19/20]]-SROExpenses[[#Totals],[Actual P12 19/20]]</f>
        <v>-190.68</v>
      </c>
      <c r="M21" s="64">
        <f>SRORevenues[[#Totals],[Budget 20/21]]-SROExpenses[[#Totals],[Budget 20/21]]</f>
        <v>0</v>
      </c>
    </row>
    <row r="22" spans="1:16">
      <c r="M22" s="472" t="s">
        <v>844</v>
      </c>
    </row>
  </sheetData>
  <mergeCells count="1">
    <mergeCell ref="A1:C1"/>
  </mergeCells>
  <pageMargins left="0" right="0" top="0.98425196850393704" bottom="0.98425196850393704" header="0.51181102362204722" footer="0.51181102362204722"/>
  <pageSetup paperSize="5" orientation="landscape" r:id="rId1"/>
  <headerFooter alignWithMargins="0"/>
  <legacyDrawing r:id="rId2"/>
  <tableParts count="2">
    <tablePart r:id="rId3"/>
    <tablePart r:id="rId4"/>
  </tablePar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9">
    <tabColor rgb="FFFFFF00"/>
    <pageSetUpPr fitToPage="1"/>
  </sheetPr>
  <dimension ref="A1:AA34"/>
  <sheetViews>
    <sheetView showGridLines="0" zoomScale="141" zoomScaleNormal="100" workbookViewId="0">
      <selection activeCell="Y10" sqref="W5:Y10"/>
    </sheetView>
  </sheetViews>
  <sheetFormatPr defaultColWidth="11.42578125" defaultRowHeight="12.75"/>
  <cols>
    <col min="1" max="1" width="58.140625" customWidth="1"/>
    <col min="2" max="11" width="14.7109375" hidden="1" customWidth="1"/>
    <col min="12" max="13" width="11.85546875" hidden="1" customWidth="1"/>
    <col min="14" max="15" width="11.42578125" hidden="1" customWidth="1"/>
    <col min="16" max="16" width="11.85546875" hidden="1" customWidth="1"/>
    <col min="17" max="17" width="15.42578125" style="8" hidden="1" customWidth="1"/>
    <col min="18" max="18" width="19.28515625" hidden="1" customWidth="1"/>
    <col min="19" max="19" width="18.28515625" hidden="1" customWidth="1"/>
    <col min="20" max="20" width="14" hidden="1" customWidth="1"/>
    <col min="21" max="21" width="14.28515625" hidden="1" customWidth="1"/>
    <col min="22" max="22" width="17.7109375" hidden="1" customWidth="1"/>
    <col min="23" max="23" width="16.85546875" customWidth="1"/>
    <col min="24" max="24" width="14.42578125" customWidth="1"/>
    <col min="25" max="25" width="14.42578125" bestFit="1" customWidth="1"/>
  </cols>
  <sheetData>
    <row r="1" spans="1:27" ht="18">
      <c r="A1" s="552" t="s">
        <v>845</v>
      </c>
      <c r="B1" s="11"/>
      <c r="C1" s="11"/>
      <c r="D1" s="11"/>
      <c r="E1" s="11"/>
      <c r="F1" s="11"/>
      <c r="G1" s="11"/>
      <c r="H1" s="11"/>
      <c r="I1" s="11"/>
      <c r="J1" s="11"/>
      <c r="K1" s="11"/>
      <c r="L1" s="11"/>
      <c r="M1" s="11"/>
      <c r="N1" s="11"/>
      <c r="O1" s="11"/>
    </row>
    <row r="2" spans="1:27">
      <c r="A2" s="28" t="s">
        <v>199</v>
      </c>
      <c r="B2" s="11"/>
      <c r="C2" s="11"/>
      <c r="D2" s="11"/>
      <c r="E2" s="11"/>
      <c r="F2" s="11"/>
      <c r="G2" s="11"/>
      <c r="H2" s="11"/>
      <c r="I2" s="11"/>
      <c r="J2" s="11"/>
      <c r="K2" s="11"/>
      <c r="L2" s="11"/>
      <c r="M2" s="11"/>
      <c r="N2" s="11"/>
      <c r="O2" s="11"/>
    </row>
    <row r="3" spans="1:27">
      <c r="A3" s="11"/>
      <c r="B3" s="11"/>
      <c r="C3" s="11"/>
      <c r="D3" s="11"/>
      <c r="E3" s="11"/>
      <c r="F3" s="11"/>
      <c r="G3" s="11"/>
      <c r="H3" s="11"/>
      <c r="I3" s="11"/>
      <c r="J3" s="11"/>
      <c r="K3" s="11"/>
      <c r="L3" s="11"/>
      <c r="M3" s="11"/>
      <c r="N3" s="11"/>
      <c r="O3" s="11"/>
    </row>
    <row r="4" spans="1:27">
      <c r="A4" s="11" t="s">
        <v>50</v>
      </c>
      <c r="B4" s="11" t="s">
        <v>73</v>
      </c>
      <c r="C4" s="11" t="s">
        <v>74</v>
      </c>
      <c r="D4" s="11" t="s">
        <v>75</v>
      </c>
      <c r="E4" s="11" t="s">
        <v>76</v>
      </c>
      <c r="F4" s="11" t="s">
        <v>77</v>
      </c>
      <c r="G4" s="11" t="s">
        <v>78</v>
      </c>
      <c r="H4" s="11" t="s">
        <v>5</v>
      </c>
      <c r="I4" s="11" t="s">
        <v>6</v>
      </c>
      <c r="J4" s="11" t="s">
        <v>7</v>
      </c>
      <c r="K4" s="11" t="s">
        <v>8</v>
      </c>
      <c r="L4" s="11" t="s">
        <v>9</v>
      </c>
      <c r="M4" s="11" t="s">
        <v>10</v>
      </c>
      <c r="N4" s="11" t="s">
        <v>11</v>
      </c>
      <c r="O4" s="11" t="s">
        <v>12</v>
      </c>
      <c r="P4" s="11" t="s">
        <v>13</v>
      </c>
      <c r="Q4" s="11" t="s">
        <v>14</v>
      </c>
      <c r="R4" s="11" t="s">
        <v>15</v>
      </c>
      <c r="S4" s="11" t="s">
        <v>39</v>
      </c>
      <c r="T4" s="11" t="s">
        <v>16</v>
      </c>
      <c r="U4" s="11" t="s">
        <v>17</v>
      </c>
      <c r="V4" s="11" t="s">
        <v>40</v>
      </c>
      <c r="W4" s="11" t="s">
        <v>41</v>
      </c>
      <c r="X4" s="5" t="s">
        <v>42</v>
      </c>
      <c r="Y4" s="5" t="s">
        <v>43</v>
      </c>
    </row>
    <row r="5" spans="1:27">
      <c r="A5" s="11" t="s">
        <v>846</v>
      </c>
      <c r="B5" s="21"/>
      <c r="C5" s="21"/>
      <c r="D5" s="21"/>
      <c r="E5" s="21"/>
      <c r="F5" s="21"/>
      <c r="G5" s="21"/>
      <c r="H5" s="21"/>
      <c r="I5" s="21"/>
      <c r="J5" s="21"/>
      <c r="K5" s="21"/>
      <c r="L5" s="21"/>
      <c r="M5" s="21"/>
      <c r="N5" s="21"/>
      <c r="O5" s="21"/>
      <c r="P5" s="21"/>
      <c r="Q5" s="21"/>
      <c r="R5" s="21">
        <f>VPOFRevenues[[#Totals],[Budget 18/19]]</f>
        <v>0</v>
      </c>
      <c r="S5" s="21" t="s">
        <v>847</v>
      </c>
      <c r="T5" s="21" t="s">
        <v>847</v>
      </c>
      <c r="U5" s="471">
        <v>55500</v>
      </c>
      <c r="V5" s="2">
        <f>'Dir Ops &amp; Dev (11100)'!N5</f>
        <v>0</v>
      </c>
      <c r="W5" s="2"/>
      <c r="X5" s="2" t="s">
        <v>45</v>
      </c>
      <c r="Y5" s="2">
        <v>0</v>
      </c>
    </row>
    <row r="6" spans="1:27">
      <c r="A6" s="11" t="s">
        <v>848</v>
      </c>
      <c r="B6" s="21"/>
      <c r="C6" s="21"/>
      <c r="D6" s="21"/>
      <c r="E6" s="21"/>
      <c r="F6" s="21"/>
      <c r="G6" s="21"/>
      <c r="H6" s="21"/>
      <c r="I6" s="21"/>
      <c r="J6" s="21"/>
      <c r="K6" s="21"/>
      <c r="L6" s="21"/>
      <c r="M6" s="21"/>
      <c r="N6" s="21"/>
      <c r="O6" s="21"/>
      <c r="P6" s="21"/>
      <c r="Q6" s="21"/>
      <c r="R6" s="21">
        <f>DirectorofCommercialOpsRevenues[[#Totals],[Budget 18/19]]</f>
        <v>0</v>
      </c>
      <c r="S6" s="21" t="s">
        <v>847</v>
      </c>
      <c r="T6" s="21">
        <v>1108.81</v>
      </c>
      <c r="U6" s="178">
        <v>1848</v>
      </c>
      <c r="V6" s="2">
        <f>'Dir Ops &amp; Dev (11100)'!N6</f>
        <v>0</v>
      </c>
      <c r="W6" s="2">
        <v>1698</v>
      </c>
      <c r="X6" s="2" t="s">
        <v>898</v>
      </c>
      <c r="Y6" s="2">
        <v>12705</v>
      </c>
    </row>
    <row r="7" spans="1:27">
      <c r="A7" s="11" t="s">
        <v>849</v>
      </c>
      <c r="B7" s="21"/>
      <c r="C7" s="21"/>
      <c r="D7" s="21"/>
      <c r="E7" s="21"/>
      <c r="F7" s="21"/>
      <c r="G7" s="21"/>
      <c r="H7" s="21"/>
      <c r="I7" s="21"/>
      <c r="J7" s="21"/>
      <c r="K7" s="21"/>
      <c r="L7" s="21"/>
      <c r="M7" s="21"/>
      <c r="N7" s="21"/>
      <c r="O7" s="21"/>
      <c r="P7" s="21"/>
      <c r="Q7" s="21"/>
      <c r="R7" s="18">
        <f>'Summary of Ops &amp; Facilities'!B25</f>
        <v>2260910.6702320259</v>
      </c>
      <c r="S7" s="18">
        <v>1992720.72</v>
      </c>
      <c r="T7" s="18">
        <v>1805872.6</v>
      </c>
      <c r="U7" s="471">
        <v>1374534.2550318497</v>
      </c>
      <c r="V7" s="2" t="e">
        <f>'Summary of Ops &amp; Facilities'!G25</f>
        <v>#REF!</v>
      </c>
      <c r="W7" s="2">
        <v>1348190.9162250001</v>
      </c>
      <c r="X7" s="2" t="s">
        <v>45</v>
      </c>
      <c r="Y7" s="2">
        <v>1809114.7525000006</v>
      </c>
    </row>
    <row r="8" spans="1:27">
      <c r="A8" s="11" t="s">
        <v>850</v>
      </c>
      <c r="B8" s="21"/>
      <c r="C8" s="21"/>
      <c r="D8" s="21"/>
      <c r="E8" s="21"/>
      <c r="F8" s="21"/>
      <c r="G8" s="21"/>
      <c r="H8" s="21"/>
      <c r="I8" s="21"/>
      <c r="J8" s="21"/>
      <c r="K8" s="21"/>
      <c r="L8" s="21"/>
      <c r="M8" s="21"/>
      <c r="N8" s="21"/>
      <c r="O8" s="21"/>
      <c r="P8" s="21"/>
      <c r="Q8" s="21"/>
      <c r="R8" s="18">
        <v>0</v>
      </c>
      <c r="S8" s="18" t="s">
        <v>847</v>
      </c>
      <c r="T8" s="18" t="s">
        <v>847</v>
      </c>
      <c r="U8" s="471">
        <v>185000</v>
      </c>
      <c r="V8" s="2" t="e">
        <f>#REF!</f>
        <v>#REF!</v>
      </c>
      <c r="W8" s="2"/>
      <c r="X8" s="2" t="s">
        <v>45</v>
      </c>
      <c r="Y8" s="2"/>
    </row>
    <row r="9" spans="1:27">
      <c r="A9" s="11" t="s">
        <v>851</v>
      </c>
      <c r="B9" s="21"/>
      <c r="C9" s="21"/>
      <c r="D9" s="21"/>
      <c r="E9" s="21"/>
      <c r="F9" s="21"/>
      <c r="G9" s="21"/>
      <c r="H9" s="21"/>
      <c r="I9" s="21"/>
      <c r="J9" s="21"/>
      <c r="K9" s="21"/>
      <c r="L9" s="21"/>
      <c r="M9" s="21"/>
      <c r="N9" s="21"/>
      <c r="O9" s="21"/>
      <c r="P9" s="21"/>
      <c r="Q9" s="21"/>
      <c r="R9" s="18" t="e">
        <f>#REF!</f>
        <v>#REF!</v>
      </c>
      <c r="S9" s="18">
        <v>3420000</v>
      </c>
      <c r="T9" s="2">
        <v>3786337.85</v>
      </c>
      <c r="U9" s="470">
        <v>4689604.8771670023</v>
      </c>
      <c r="V9" s="2" t="e">
        <f>#REF!</f>
        <v>#REF!</v>
      </c>
      <c r="W9" s="2">
        <v>5429431.9299999997</v>
      </c>
      <c r="X9" s="2" t="s">
        <v>45</v>
      </c>
      <c r="Y9" s="2">
        <v>7175287.1399192018</v>
      </c>
    </row>
    <row r="10" spans="1:27">
      <c r="A10" s="11" t="s">
        <v>852</v>
      </c>
      <c r="B10" s="21"/>
      <c r="C10" s="21"/>
      <c r="D10" s="21"/>
      <c r="E10" s="21"/>
      <c r="F10" s="21"/>
      <c r="G10" s="21"/>
      <c r="H10" s="21"/>
      <c r="I10" s="21"/>
      <c r="J10" s="21"/>
      <c r="K10" s="21"/>
      <c r="L10" s="21"/>
      <c r="M10" s="21"/>
      <c r="N10" s="21"/>
      <c r="O10" s="21"/>
      <c r="P10" s="21"/>
      <c r="Q10" s="21"/>
      <c r="R10" s="18"/>
      <c r="S10" s="18">
        <v>118192.24</v>
      </c>
      <c r="T10" s="18">
        <v>163545.04</v>
      </c>
      <c r="U10" s="471">
        <v>86456.656204500003</v>
      </c>
      <c r="V10" s="2">
        <f>'Summary of Comms &amp; SR'!D14</f>
        <v>25131.3</v>
      </c>
      <c r="W10" s="2">
        <v>58600</v>
      </c>
      <c r="X10" s="2" t="s">
        <v>45</v>
      </c>
      <c r="Y10" s="2">
        <v>50891.134900000005</v>
      </c>
      <c r="AA10" s="293" t="s">
        <v>221</v>
      </c>
    </row>
    <row r="11" spans="1:27">
      <c r="A11" s="11" t="s">
        <v>21</v>
      </c>
      <c r="B11" s="21"/>
      <c r="C11" s="21"/>
      <c r="D11" s="21"/>
      <c r="E11" s="21"/>
      <c r="F11" s="21"/>
      <c r="G11" s="21"/>
      <c r="H11" s="21"/>
      <c r="I11" s="21"/>
      <c r="J11" s="21"/>
      <c r="K11" s="21"/>
      <c r="L11" s="21"/>
      <c r="M11" s="21"/>
      <c r="N11" s="21"/>
      <c r="O11" s="21"/>
      <c r="P11" s="21"/>
      <c r="Q11" s="21"/>
      <c r="R11" s="21" t="e">
        <f>SUBTOTAL(109,VPOFSummary69[Budget 18/19])</f>
        <v>#REF!</v>
      </c>
      <c r="S11" s="21">
        <f>SUBTOTAL(109,VPOFSummary69[Actual 18/19])</f>
        <v>5530912.96</v>
      </c>
      <c r="T11" s="21">
        <f>SUBTOTAL(109,VPOFSummary69[Budget 19/20])</f>
        <v>5756864.2999999998</v>
      </c>
      <c r="U11" s="21">
        <f>SUBTOTAL(109,VPOFSummary69[Budget 20/21])</f>
        <v>6392943.7884033518</v>
      </c>
      <c r="V11" s="21" t="e">
        <f>SUBTOTAL(109,VPOFSummary69[Actual 20/21])</f>
        <v>#REF!</v>
      </c>
      <c r="W11" s="21">
        <f>SUBTOTAL(109,VPOFSummary69[Budget 21/22])</f>
        <v>6837920.846225</v>
      </c>
      <c r="X11" s="11"/>
      <c r="Y11" s="21">
        <f>SUM(Y5:Y10)</f>
        <v>9047998.0273192022</v>
      </c>
      <c r="AA11" s="409">
        <f>(VPOFSummary69[[#Totals],[Budget 20/21]]-VPOFSummary69[[#Totals],[Budget 19/20]])/VPOFSummary69[[#Totals],[Budget 19/20]]</f>
        <v>0.1104906169845539</v>
      </c>
    </row>
    <row r="13" spans="1:27">
      <c r="A13" s="11" t="s">
        <v>68</v>
      </c>
      <c r="B13" s="11" t="s">
        <v>73</v>
      </c>
      <c r="C13" s="11" t="s">
        <v>74</v>
      </c>
      <c r="D13" s="11" t="s">
        <v>75</v>
      </c>
      <c r="E13" s="11" t="s">
        <v>76</v>
      </c>
      <c r="F13" s="11" t="s">
        <v>77</v>
      </c>
      <c r="G13" s="11" t="s">
        <v>78</v>
      </c>
      <c r="H13" s="11" t="s">
        <v>5</v>
      </c>
      <c r="I13" s="11" t="s">
        <v>6</v>
      </c>
      <c r="J13" s="11" t="s">
        <v>7</v>
      </c>
      <c r="K13" s="11" t="s">
        <v>8</v>
      </c>
      <c r="L13" s="11" t="s">
        <v>9</v>
      </c>
      <c r="M13" s="11" t="s">
        <v>10</v>
      </c>
      <c r="N13" s="11" t="s">
        <v>11</v>
      </c>
      <c r="O13" s="11" t="s">
        <v>12</v>
      </c>
      <c r="P13" s="11" t="s">
        <v>13</v>
      </c>
      <c r="Q13" s="11" t="s">
        <v>14</v>
      </c>
      <c r="R13" s="11" t="s">
        <v>15</v>
      </c>
      <c r="S13" s="11" t="s">
        <v>39</v>
      </c>
      <c r="T13" s="11" t="s">
        <v>16</v>
      </c>
      <c r="U13" s="11" t="s">
        <v>17</v>
      </c>
      <c r="V13" s="11" t="s">
        <v>40</v>
      </c>
      <c r="W13" s="11" t="s">
        <v>41</v>
      </c>
      <c r="X13" s="5" t="s">
        <v>42</v>
      </c>
      <c r="Y13" s="5" t="s">
        <v>43</v>
      </c>
      <c r="AA13" s="19"/>
    </row>
    <row r="14" spans="1:27">
      <c r="A14" s="11" t="s">
        <v>846</v>
      </c>
      <c r="B14" s="21">
        <f>VPOFRevenues[[#Totals],[Budget 10/11]]-VPOFExpenses[[#Totals],[Budget 10/11]]</f>
        <v>-132270.88</v>
      </c>
      <c r="C14" s="21">
        <f>VPOFRevenues[[#Totals],[Actual 10/11]]-VPOFExpenses[[#Totals],[Actual 10/11]]</f>
        <v>-117103.85000000002</v>
      </c>
      <c r="D14" s="21">
        <f>VPOFRevenues[[#Totals],[Budget 11/12]]-VPOFExpenses[[#Totals],[Budget 11/12]]</f>
        <v>-157425.41</v>
      </c>
      <c r="E14" s="21">
        <f>VPOFRevenues[[#Totals],[Actual 11/12]]-VPOFExpenses[[#Totals],[Actual 11/12]]</f>
        <v>-123205.68999999999</v>
      </c>
      <c r="F14" s="21">
        <f>VPOFRevenues[[#Totals],[Budget 12/13]]-VPOFExpenses[[#Totals],[Budget 12/13]]</f>
        <v>-97673.733500000002</v>
      </c>
      <c r="G14" s="21">
        <f>VPOFRevenues[[#Totals],[Actual 12/13]]-VPOFExpenses[[#Totals],[Actual 12/13]]</f>
        <v>-64348.14</v>
      </c>
      <c r="H14" s="21">
        <f>VPOFRevenues[[#Totals],[Budget 13/14]]-VPOFExpenses[[#Totals],[Budget 13/14]]</f>
        <v>-100116.2</v>
      </c>
      <c r="I14" s="21">
        <f>VPOFRevenues[[#Totals],[Actual 13/14]]-VPOFExpenses[[#Totals],[Actual 13/14]]</f>
        <v>-63102.339999999989</v>
      </c>
      <c r="J14" s="21">
        <f>VPOFRevenues[[#Totals],[Budget 14/15]]-VPOFExpenses[[#Totals],[Budget 14/15]]</f>
        <v>-78925.03</v>
      </c>
      <c r="K14" s="21">
        <f>VPOFRevenues[[#Totals],[Actual 14/15]]-VPOFExpenses[[#Totals],[Actual 14/15]]</f>
        <v>-59416.929999999986</v>
      </c>
      <c r="L14" s="21">
        <f>VPOFRevenues[[#Totals],[Budget 15/16]]-VPOFExpenses[[#Totals],[Budget 15/16]]</f>
        <v>-78567.12000000001</v>
      </c>
      <c r="M14" s="21">
        <f>VPOFRevenues[[#Totals],[Actual 15/16]]-VPOFExpenses[[#Totals],[Actual 15/16]]</f>
        <v>-63730.510000000009</v>
      </c>
      <c r="N14" s="21">
        <f>VPOFRevenues[[#Totals],[Budget 16/17]]-VPOFExpenses[[#Totals],[Budget 16/17]]</f>
        <v>-81943.880759999985</v>
      </c>
      <c r="O14" s="21">
        <f>VPOFRevenues[[#Totals],[Actual 16/17]]-VPOFExpenses[[#Totals],[Actual 16/17]]</f>
        <v>-65667.130000000019</v>
      </c>
      <c r="P14" s="21">
        <f>VPOFRevenues[[#Totals],[Budget 17/18]]-VPOFExpenses[[#Totals],[Budget 17/18]]</f>
        <v>-77621.180000000008</v>
      </c>
      <c r="Q14" s="21">
        <f>VPOFRevenues[[#Totals],[Actual 17/18]]-VPOFExpenses[[#Totals],[Actual 17/18]]</f>
        <v>-67560.060000000012</v>
      </c>
      <c r="R14" s="21">
        <f>VPOFExpenses[[#Totals],[Budget 18/19]]</f>
        <v>72173.680000000008</v>
      </c>
      <c r="S14" s="21">
        <v>63806.93</v>
      </c>
      <c r="T14" s="21">
        <v>75141.740000000005</v>
      </c>
      <c r="U14" s="471">
        <v>265358.8088</v>
      </c>
      <c r="V14" s="2">
        <f>'VP Ops &amp; Finance (10100)'!X35</f>
        <v>170199.16999999998</v>
      </c>
      <c r="W14" s="2">
        <v>131450.79147865518</v>
      </c>
      <c r="X14" s="2">
        <v>90130.18</v>
      </c>
      <c r="Y14" s="2">
        <v>40294.901722892304</v>
      </c>
      <c r="AA14" s="292"/>
    </row>
    <row r="15" spans="1:27">
      <c r="A15" s="11" t="s">
        <v>848</v>
      </c>
      <c r="B15" s="21">
        <v>0</v>
      </c>
      <c r="C15" s="21">
        <v>0</v>
      </c>
      <c r="D15" s="21">
        <v>0</v>
      </c>
      <c r="E15" s="21">
        <v>0</v>
      </c>
      <c r="F15" s="21">
        <v>0</v>
      </c>
      <c r="G15" s="21">
        <v>0</v>
      </c>
      <c r="H15" s="21">
        <v>0</v>
      </c>
      <c r="I15" s="21">
        <v>0</v>
      </c>
      <c r="J15" s="21">
        <v>0</v>
      </c>
      <c r="K15" s="21">
        <v>0</v>
      </c>
      <c r="L15" s="21">
        <f>DirectorofCommercialOpsRevenues[[#Totals],[Budget 15/16]]-DirectorofCommercialOpsExpenses[[#Totals],[Budget 15/16]]</f>
        <v>-4980</v>
      </c>
      <c r="M15" s="21">
        <f>DirectorofCommercialOpsRevenues[[#Totals],[Actual 15/16]]-DirectorofCommercialOpsExpenses[[#Totals],[Actual 15/16]]</f>
        <v>-3215.3099999999995</v>
      </c>
      <c r="N15" s="21">
        <f>DirectorofCommercialOpsRevenues[[#Totals],[Budget 16/17]]-DirectorofCommercialOpsExpenses[[#Totals],[Budget 16/17]]</f>
        <v>-4920</v>
      </c>
      <c r="O15" s="21">
        <f>DirectorofCommercialOpsRevenues[[#Totals],[Actual 16/17]]-DirectorofCommercialOpsExpenses[[#Totals],[Actual 16/17]]</f>
        <v>-3222.9300000000003</v>
      </c>
      <c r="P15" s="21">
        <f>DirectorofCommercialOpsRevenues[[#Totals],[Budget 17/18]]-DirectorofCommercialOpsExpenses[[#Totals],[Budget 17/18]]</f>
        <v>-4310</v>
      </c>
      <c r="Q15" s="21">
        <f>'Dir Ops &amp; Dev (11100)'!H21</f>
        <v>-2825.2200000000003</v>
      </c>
      <c r="R15" s="21">
        <f>'Dir Ops &amp; Dev (11100)'!I19</f>
        <v>3505</v>
      </c>
      <c r="S15" s="21">
        <v>3667.06</v>
      </c>
      <c r="T15" s="21">
        <v>3696.04</v>
      </c>
      <c r="U15" s="178">
        <v>5660</v>
      </c>
      <c r="V15" s="2">
        <f>'Dir Ops &amp; Dev (11100)'!N19</f>
        <v>1423.55</v>
      </c>
      <c r="W15" s="2">
        <v>5660</v>
      </c>
      <c r="X15" s="2">
        <v>8775.9399999999987</v>
      </c>
      <c r="Y15" s="2">
        <v>42350</v>
      </c>
      <c r="AA15" s="292"/>
    </row>
    <row r="16" spans="1:27">
      <c r="A16" s="11" t="s">
        <v>849</v>
      </c>
      <c r="B16" s="21"/>
      <c r="C16" s="21"/>
      <c r="D16" s="21"/>
      <c r="E16" s="21"/>
      <c r="F16" s="21"/>
      <c r="G16" s="21"/>
      <c r="H16" s="21"/>
      <c r="I16" s="21"/>
      <c r="J16" s="21"/>
      <c r="K16" s="21"/>
      <c r="L16" s="21"/>
      <c r="M16" s="21"/>
      <c r="N16" s="21"/>
      <c r="O16" s="21"/>
      <c r="P16" s="21"/>
      <c r="Q16" s="21"/>
      <c r="R16" s="18" t="e">
        <f>'Summary of Ops &amp; Facilities'!B40</f>
        <v>#REF!</v>
      </c>
      <c r="S16" s="18">
        <v>2551333.8199999998</v>
      </c>
      <c r="T16" s="18">
        <v>1836271.56</v>
      </c>
      <c r="U16" s="471">
        <v>1559881.4295749001</v>
      </c>
      <c r="V16" s="2" t="e">
        <f>'Summary of Ops &amp; Facilities'!G40</f>
        <v>#REF!</v>
      </c>
      <c r="W16" s="2">
        <v>1502003.8602933332</v>
      </c>
      <c r="X16" s="2" t="s">
        <v>45</v>
      </c>
      <c r="Y16" s="2">
        <v>2071107.3708941666</v>
      </c>
      <c r="AA16" s="292"/>
    </row>
    <row r="17" spans="1:27">
      <c r="A17" s="11" t="s">
        <v>853</v>
      </c>
      <c r="B17" s="21"/>
      <c r="C17" s="21"/>
      <c r="D17" s="21"/>
      <c r="E17" s="21"/>
      <c r="F17" s="21"/>
      <c r="G17" s="21"/>
      <c r="H17" s="21"/>
      <c r="I17" s="21"/>
      <c r="J17" s="21"/>
      <c r="K17" s="21"/>
      <c r="L17" s="21"/>
      <c r="M17" s="21"/>
      <c r="N17" s="21"/>
      <c r="O17" s="21"/>
      <c r="P17" s="21"/>
      <c r="Q17" s="21"/>
      <c r="R17" s="18" t="e">
        <f>#REF!</f>
        <v>#REF!</v>
      </c>
      <c r="S17" s="18">
        <v>277540.15999999997</v>
      </c>
      <c r="T17" s="18">
        <v>390522.09</v>
      </c>
      <c r="U17" s="471">
        <v>397701.52850000001</v>
      </c>
      <c r="V17" s="2" t="e">
        <f>#REF!*0.9</f>
        <v>#REF!</v>
      </c>
      <c r="W17" s="2">
        <v>453809.38500000001</v>
      </c>
      <c r="X17" s="2"/>
      <c r="Y17" s="2">
        <v>491461.78799999988</v>
      </c>
      <c r="AA17" s="292"/>
    </row>
    <row r="18" spans="1:27">
      <c r="A18" s="11" t="s">
        <v>854</v>
      </c>
      <c r="B18" s="21"/>
      <c r="C18" s="21"/>
      <c r="D18" s="21"/>
      <c r="E18" s="21"/>
      <c r="F18" s="21"/>
      <c r="G18" s="21"/>
      <c r="H18" s="21"/>
      <c r="I18" s="21"/>
      <c r="J18" s="21"/>
      <c r="K18" s="21"/>
      <c r="L18" s="21"/>
      <c r="M18" s="21"/>
      <c r="N18" s="21"/>
      <c r="O18" s="21"/>
      <c r="P18" s="21"/>
      <c r="Q18" s="21"/>
      <c r="R18" s="18" t="e">
        <f>#REF!</f>
        <v>#REF!</v>
      </c>
      <c r="S18" s="18">
        <v>765506.81</v>
      </c>
      <c r="T18" s="2">
        <v>1023284.03</v>
      </c>
      <c r="U18" s="471">
        <v>1078700.3926000001</v>
      </c>
      <c r="V18" s="2" t="e">
        <f>(#REF!-#REF!)*0.9</f>
        <v>#REF!</v>
      </c>
      <c r="W18" s="2">
        <v>1477826.1476400001</v>
      </c>
      <c r="X18" s="2"/>
      <c r="Y18" s="2">
        <v>1183697.1202800001</v>
      </c>
      <c r="AA18" s="7"/>
    </row>
    <row r="19" spans="1:27">
      <c r="A19" s="11" t="s">
        <v>855</v>
      </c>
      <c r="B19" s="21"/>
      <c r="C19" s="21"/>
      <c r="D19" s="21"/>
      <c r="E19" s="21"/>
      <c r="F19" s="21"/>
      <c r="G19" s="21"/>
      <c r="H19" s="21"/>
      <c r="I19" s="21"/>
      <c r="J19" s="21"/>
      <c r="K19" s="21"/>
      <c r="L19" s="21"/>
      <c r="M19" s="21"/>
      <c r="N19" s="21"/>
      <c r="O19" s="21"/>
      <c r="P19" s="21"/>
      <c r="Q19" s="21"/>
      <c r="R19" s="339">
        <f>VPOFSummary[[#This Row],[Actual 18/19]]</f>
        <v>1382194.09</v>
      </c>
      <c r="S19" s="18">
        <v>1382194.09</v>
      </c>
      <c r="T19" s="2">
        <v>1383410</v>
      </c>
      <c r="U19" s="471">
        <v>1501633.110165</v>
      </c>
      <c r="V19" s="2" t="e">
        <f>#REF!</f>
        <v>#REF!</v>
      </c>
      <c r="W19" s="2">
        <v>1950600</v>
      </c>
      <c r="X19" s="2"/>
      <c r="Y19" s="2">
        <v>2578235.7119999994</v>
      </c>
      <c r="AA19" s="395"/>
    </row>
    <row r="20" spans="1:27">
      <c r="A20" s="11" t="s">
        <v>852</v>
      </c>
      <c r="B20" s="21"/>
      <c r="C20" s="21"/>
      <c r="D20" s="21"/>
      <c r="E20" s="21"/>
      <c r="F20" s="21"/>
      <c r="G20" s="21"/>
      <c r="H20" s="21"/>
      <c r="I20" s="21"/>
      <c r="J20" s="21"/>
      <c r="K20" s="21"/>
      <c r="L20" s="21"/>
      <c r="M20" s="21"/>
      <c r="N20" s="21"/>
      <c r="O20" s="21"/>
      <c r="P20" s="21"/>
      <c r="Q20" s="21"/>
      <c r="R20" s="18"/>
      <c r="S20" s="18">
        <v>284294.08</v>
      </c>
      <c r="T20" s="18">
        <v>345332.25</v>
      </c>
      <c r="U20" s="471">
        <v>371162.79000000004</v>
      </c>
      <c r="V20" s="2">
        <f>'Summary of Comms &amp; SR'!D28</f>
        <v>128738.76999999997</v>
      </c>
      <c r="W20" s="2">
        <v>593090.93999999994</v>
      </c>
      <c r="X20" s="2"/>
      <c r="Y20" s="2">
        <v>560948</v>
      </c>
      <c r="AA20" s="293" t="s">
        <v>221</v>
      </c>
    </row>
    <row r="21" spans="1:27">
      <c r="A21" s="11" t="s">
        <v>21</v>
      </c>
      <c r="B21" s="21">
        <f>SUBTOTAL(109,VPOFSummary[Budget 10/11])</f>
        <v>-132270.88</v>
      </c>
      <c r="C21" s="21">
        <f>SUBTOTAL(109,VPOFSummary[Actual 10/11])</f>
        <v>-117103.85000000002</v>
      </c>
      <c r="D21" s="21">
        <f>SUBTOTAL(109,VPOFSummary[Budget 11/12])</f>
        <v>-157425.41</v>
      </c>
      <c r="E21" s="21">
        <f>SUBTOTAL(109,VPOFSummary[Actual 11/12])</f>
        <v>-123205.68999999999</v>
      </c>
      <c r="F21" s="21">
        <f>SUBTOTAL(109,VPOFSummary[Budget 12/13])</f>
        <v>-97673.733500000002</v>
      </c>
      <c r="G21" s="21">
        <f>SUBTOTAL(109,VPOFSummary[Actual 12/13])</f>
        <v>-64348.14</v>
      </c>
      <c r="H21" s="21">
        <f>SUBTOTAL(109,VPOFSummary[Budget 13/14])</f>
        <v>-100116.2</v>
      </c>
      <c r="I21" s="21">
        <f>SUBTOTAL(109,VPOFSummary[Actual 13/14])</f>
        <v>-63102.339999999989</v>
      </c>
      <c r="J21" s="21">
        <f>SUBTOTAL(109,VPOFSummary[Budget 14/15])</f>
        <v>-78925.03</v>
      </c>
      <c r="K21" s="21">
        <f>SUBTOTAL(109,VPOFSummary[Actual 14/15])</f>
        <v>-59416.929999999986</v>
      </c>
      <c r="L21" s="21">
        <f>SUBTOTAL(109,VPOFSummary[Budget 15/16])</f>
        <v>-83547.12000000001</v>
      </c>
      <c r="M21" s="21">
        <f>SUBTOTAL(109,VPOFSummary[Actual 15/16])</f>
        <v>-66945.820000000007</v>
      </c>
      <c r="N21" s="21">
        <f>SUBTOTAL(109,VPOFSummary[Budget 16/17])</f>
        <v>-86863.880759999985</v>
      </c>
      <c r="O21" s="21">
        <f>SUBTOTAL(109,VPOFSummary[Actual 16/17])</f>
        <v>-68890.060000000027</v>
      </c>
      <c r="P21" s="21">
        <f>SUBTOTAL(109,VPOFSummary[Budget 17/18])</f>
        <v>-81931.180000000008</v>
      </c>
      <c r="Q21" s="21">
        <f>SUBTOTAL(109,VPOFSummary[Actual 17/18])</f>
        <v>-70385.280000000013</v>
      </c>
      <c r="R21" s="21" t="e">
        <f>SUBTOTAL(109,VPOFSummary[Budget 18/19])</f>
        <v>#REF!</v>
      </c>
      <c r="S21" s="21">
        <f>SUBTOTAL(109,VPOFSummary[Actual 18/19])</f>
        <v>5328342.95</v>
      </c>
      <c r="T21" s="21">
        <f>SUBTOTAL(109,VPOFSummary[Budget 19/20])</f>
        <v>5057657.71</v>
      </c>
      <c r="U21" s="21">
        <f>SUBTOTAL(109,VPOFSummary[Budget 20/21])</f>
        <v>5180098.0596399</v>
      </c>
      <c r="V21" s="21" t="e">
        <f>SUBTOTAL(109,VPOFSummary[Actual 20/21])</f>
        <v>#REF!</v>
      </c>
      <c r="W21" s="21">
        <f>SUBTOTAL(109,VPOFSummary[Budget 21/22])</f>
        <v>6114441.124411989</v>
      </c>
      <c r="X21" s="11"/>
      <c r="Y21" s="21">
        <f>SUM(VPOFSummary[Budget 22/23])</f>
        <v>6968094.8928970583</v>
      </c>
      <c r="AA21" s="367">
        <f>(VPOFSummary[[#Totals],[Budget 20/21]]-VPOFSummary[[#Totals],[Budget 19/20]])/VPOFSummary[[#Totals],[Budget 19/20]]</f>
        <v>2.4208903935474122E-2</v>
      </c>
    </row>
    <row r="22" spans="1:27" ht="13.5" thickBot="1">
      <c r="A22" s="11"/>
      <c r="B22" s="11"/>
      <c r="C22" s="11"/>
      <c r="D22" s="11"/>
      <c r="E22" s="11"/>
      <c r="F22" s="11"/>
      <c r="G22" s="11"/>
      <c r="H22" s="11"/>
      <c r="I22" s="11"/>
      <c r="J22" s="11"/>
      <c r="K22" s="11"/>
      <c r="L22" s="11"/>
      <c r="M22" s="11"/>
      <c r="N22" s="11"/>
      <c r="O22" s="11"/>
      <c r="Y22" s="367"/>
    </row>
    <row r="23" spans="1:27" ht="15.75" thickBot="1">
      <c r="A23" s="296" t="s">
        <v>69</v>
      </c>
      <c r="B23" s="298"/>
      <c r="C23" s="298"/>
      <c r="D23" s="299"/>
      <c r="E23" s="299"/>
      <c r="F23" s="299"/>
      <c r="G23" s="299"/>
      <c r="H23" s="299"/>
      <c r="I23" s="299"/>
      <c r="J23" s="299"/>
      <c r="K23" s="299"/>
      <c r="L23" s="299"/>
      <c r="M23" s="299"/>
      <c r="N23" s="299"/>
      <c r="O23" s="300"/>
      <c r="P23" s="297"/>
      <c r="Q23" s="295"/>
      <c r="R23" s="295" t="e">
        <f>VPOFSummary69[[#Totals],[Budget 18/19]]-VPOFSummary[[#Totals],[Budget 18/19]]</f>
        <v>#REF!</v>
      </c>
      <c r="S23" s="295">
        <f>VPOFSummary69[[#Totals],[Actual 18/19]]-VPOFSummary[[#Totals],[Actual 18/19]]</f>
        <v>202570.00999999978</v>
      </c>
      <c r="T23" s="295">
        <f>VPOFSummary69[[#Totals],[Budget 19/20]]-VPOFSummary[[#Totals],[Budget 19/20]]</f>
        <v>699206.58999999985</v>
      </c>
      <c r="U23" s="295">
        <f>VPOFSummary69[[#Totals],[Budget 20/21]]-VPOFSummary[[#Totals],[Budget 20/21]]</f>
        <v>1212845.7287634518</v>
      </c>
      <c r="V23" s="295" t="e">
        <f>VPOFSummary69[[#Totals],[Actual 20/21]]-VPOFSummary[[#Totals],[Actual 20/21]]</f>
        <v>#REF!</v>
      </c>
      <c r="W23" s="295">
        <f>VPOFSummary69[[#Totals],[Budget 21/22]]-VPOFSummary[[#Totals],[Budget 21/22]]</f>
        <v>723479.72181301098</v>
      </c>
      <c r="X23" s="295">
        <f>VPOFSummary69[[#Totals],[Actual 21/22]]-VPOFSummary[[#Totals],[Actual 21/22]]</f>
        <v>0</v>
      </c>
      <c r="Y23" s="295">
        <f>VPOFSummary69[[#Totals],[Budget 22/23]]-VPOFSummary[[#Totals],[Budget 22/23]]</f>
        <v>2079903.1344221439</v>
      </c>
      <c r="AA23" s="367">
        <f>(U23-T23)/T23</f>
        <v>0.73460282856237391</v>
      </c>
    </row>
    <row r="24" spans="1:27">
      <c r="A24" s="11"/>
      <c r="B24" s="11"/>
      <c r="C24" s="11"/>
      <c r="D24" s="11"/>
      <c r="E24" s="11"/>
      <c r="F24" s="11"/>
      <c r="G24" s="11"/>
      <c r="H24" s="11"/>
      <c r="I24" s="11"/>
      <c r="J24" s="11"/>
      <c r="K24" s="11"/>
      <c r="L24" s="11"/>
      <c r="M24" s="11"/>
      <c r="N24" s="11"/>
      <c r="O24" s="11"/>
    </row>
    <row r="25" spans="1:27">
      <c r="A25" s="11"/>
      <c r="B25" s="11"/>
      <c r="C25" s="11"/>
      <c r="D25" s="11"/>
      <c r="E25" s="11"/>
      <c r="F25" s="11"/>
      <c r="G25" s="11"/>
      <c r="H25" s="11"/>
      <c r="I25" s="11"/>
      <c r="J25" s="11"/>
      <c r="K25" s="11"/>
      <c r="L25" s="11"/>
      <c r="M25" s="11"/>
      <c r="N25" s="11"/>
      <c r="O25" s="11"/>
    </row>
    <row r="26" spans="1:27">
      <c r="A26" s="11"/>
      <c r="B26" s="11"/>
      <c r="C26" s="11"/>
      <c r="D26" s="11"/>
      <c r="E26" s="11"/>
      <c r="F26" s="11"/>
      <c r="G26" s="11"/>
      <c r="H26" s="11"/>
      <c r="I26" s="11"/>
      <c r="J26" s="11"/>
      <c r="K26" s="11"/>
      <c r="L26" s="11"/>
      <c r="M26" s="11"/>
    </row>
    <row r="27" spans="1:27">
      <c r="A27" s="11"/>
      <c r="B27" s="11"/>
      <c r="C27" s="11"/>
      <c r="D27" s="11"/>
      <c r="E27" s="11"/>
      <c r="F27" s="11"/>
      <c r="G27" s="11"/>
      <c r="H27" s="11"/>
      <c r="I27" s="11"/>
      <c r="J27" s="11"/>
      <c r="K27" s="11"/>
      <c r="R27" s="553" t="s">
        <v>856</v>
      </c>
      <c r="S27" s="554" t="s">
        <v>857</v>
      </c>
      <c r="T27" s="554" t="s">
        <v>858</v>
      </c>
    </row>
    <row r="28" spans="1:27">
      <c r="R28" s="555" t="s">
        <v>859</v>
      </c>
      <c r="S28" s="556">
        <v>-75141.740000000005</v>
      </c>
      <c r="T28" s="556">
        <f>U5-U14</f>
        <v>-209858.8088</v>
      </c>
    </row>
    <row r="29" spans="1:27">
      <c r="R29" s="555" t="s">
        <v>860</v>
      </c>
      <c r="S29" s="556">
        <v>-2587.23</v>
      </c>
      <c r="T29" s="556">
        <f>U6-U15</f>
        <v>-3812</v>
      </c>
    </row>
    <row r="30" spans="1:27">
      <c r="R30" s="555" t="s">
        <v>861</v>
      </c>
      <c r="S30" s="556">
        <v>-30398.959999999999</v>
      </c>
      <c r="T30" s="556">
        <f>U7-U16</f>
        <v>-185347.17454305035</v>
      </c>
    </row>
    <row r="31" spans="1:27">
      <c r="R31" s="555" t="s">
        <v>862</v>
      </c>
      <c r="S31" s="556">
        <v>-390522.09</v>
      </c>
      <c r="T31" s="556">
        <f>U8-U17</f>
        <v>-212701.52850000001</v>
      </c>
    </row>
    <row r="32" spans="1:27">
      <c r="R32" s="555" t="s">
        <v>863</v>
      </c>
      <c r="S32" s="556">
        <v>1379643.82</v>
      </c>
      <c r="T32" s="556">
        <f>U9-U18-U19</f>
        <v>2109271.3744020024</v>
      </c>
    </row>
    <row r="33" spans="18:20" ht="13.5" thickBot="1">
      <c r="R33" s="557" t="s">
        <v>864</v>
      </c>
      <c r="S33" s="558">
        <v>-181787.21</v>
      </c>
      <c r="T33" s="558">
        <f>U10-U20</f>
        <v>-284706.13379550003</v>
      </c>
    </row>
    <row r="34" spans="18:20" ht="13.5" thickTop="1">
      <c r="R34" s="553" t="s">
        <v>865</v>
      </c>
      <c r="S34" s="556">
        <v>699206.6</v>
      </c>
      <c r="T34" s="556">
        <f>SUM(T28:T33)</f>
        <v>1212845.728763452</v>
      </c>
    </row>
  </sheetData>
  <customSheetViews>
    <customSheetView guid="{DC934874-AE9C-4DF4-8DA8-4394DABABB42}" showRuler="0">
      <selection activeCell="G8" sqref="G8"/>
      <pageMargins left="0" right="0" top="0" bottom="0" header="0" footer="0"/>
      <pageSetup orientation="portrait"/>
      <headerFooter alignWithMargins="0"/>
    </customSheetView>
    <customSheetView guid="{7FD89B2E-4983-4B8D-ABA2-A07F685A0C6E}" showRuler="0">
      <selection activeCell="G8" sqref="G8"/>
      <pageMargins left="0" right="0" top="0" bottom="0" header="0" footer="0"/>
      <pageSetup orientation="portrait"/>
      <headerFooter alignWithMargins="0"/>
    </customSheetView>
    <customSheetView guid="{84D8AC11-A493-4338-8044-6F4154C29695}" showRuler="0">
      <selection activeCell="H13" sqref="H13"/>
      <pageMargins left="0" right="0" top="0" bottom="0" header="0" footer="0"/>
      <pageSetup orientation="portrait"/>
      <headerFooter alignWithMargins="0"/>
    </customSheetView>
    <customSheetView guid="{BB157E55-0A2E-4D9F-A3BF-E83E5442FC27}" showPageBreaks="1" showRuler="0">
      <selection activeCell="H13" sqref="H13"/>
      <pageMargins left="0" right="0" top="0" bottom="0" header="0" footer="0"/>
      <pageSetup orientation="portrait"/>
      <headerFooter alignWithMargins="0"/>
    </customSheetView>
  </customSheetViews>
  <phoneticPr fontId="0" type="noConversion"/>
  <pageMargins left="0" right="0" top="0.98425196850393704" bottom="0.98425196850393704" header="0.51181102362204722" footer="0.51181102362204722"/>
  <pageSetup paperSize="5" orientation="landscape" r:id="rId1"/>
  <headerFooter alignWithMargins="0"/>
  <drawing r:id="rId2"/>
  <legacyDrawing r:id="rId3"/>
  <tableParts count="2">
    <tablePart r:id="rId4"/>
    <tablePart r:id="rId5"/>
  </tablePar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tabColor theme="1"/>
    <pageSetUpPr fitToPage="1"/>
  </sheetPr>
  <dimension ref="A1:AA48"/>
  <sheetViews>
    <sheetView showGridLines="0" zoomScale="85" zoomScaleNormal="85" workbookViewId="0">
      <selection activeCell="Z13" sqref="Z13"/>
    </sheetView>
  </sheetViews>
  <sheetFormatPr defaultColWidth="11.42578125" defaultRowHeight="12.75"/>
  <cols>
    <col min="1" max="1" width="10.7109375" customWidth="1"/>
    <col min="2" max="2" width="54.28515625" customWidth="1"/>
    <col min="3" max="13" width="18.42578125" hidden="1" customWidth="1"/>
    <col min="14" max="14" width="15.85546875" style="138" hidden="1" customWidth="1"/>
    <col min="15" max="15" width="16" hidden="1" customWidth="1"/>
    <col min="16" max="16" width="18.28515625" hidden="1" customWidth="1"/>
    <col min="17" max="17" width="22.140625" hidden="1" customWidth="1"/>
    <col min="18" max="18" width="35.28515625" hidden="1" customWidth="1"/>
    <col min="19" max="19" width="24.42578125" hidden="1" customWidth="1"/>
    <col min="20" max="20" width="25.42578125" hidden="1" customWidth="1"/>
    <col min="21" max="21" width="22.28515625" hidden="1" customWidth="1"/>
    <col min="22" max="22" width="23.42578125" hidden="1" customWidth="1"/>
    <col min="23" max="23" width="21.140625" hidden="1" customWidth="1"/>
    <col min="24" max="24" width="18" hidden="1" customWidth="1"/>
    <col min="25" max="25" width="18" bestFit="1" customWidth="1"/>
    <col min="26" max="26" width="16" customWidth="1"/>
    <col min="27" max="27" width="20.28515625" customWidth="1"/>
  </cols>
  <sheetData>
    <row r="1" spans="1:27" s="11" customFormat="1" ht="18">
      <c r="A1" s="758" t="s">
        <v>866</v>
      </c>
      <c r="B1" s="758"/>
      <c r="C1" s="758"/>
      <c r="N1" s="132"/>
      <c r="V1"/>
    </row>
    <row r="2" spans="1:27" s="11" customFormat="1">
      <c r="A2" s="28" t="s">
        <v>867</v>
      </c>
      <c r="N2" s="132"/>
      <c r="V2"/>
    </row>
    <row r="3" spans="1:27">
      <c r="A3" s="11"/>
      <c r="B3" s="11"/>
      <c r="C3" s="11"/>
      <c r="D3" s="11"/>
      <c r="E3" s="11"/>
      <c r="F3" s="11"/>
      <c r="G3" s="11"/>
      <c r="H3" s="11"/>
      <c r="I3" s="11"/>
      <c r="J3" s="11"/>
      <c r="K3" s="11"/>
      <c r="L3" s="11"/>
      <c r="M3" s="11"/>
      <c r="N3" s="132"/>
      <c r="O3" s="11"/>
      <c r="P3" s="11"/>
      <c r="Q3" s="11"/>
    </row>
    <row r="4" spans="1:27">
      <c r="A4" s="11"/>
      <c r="B4" s="11" t="s">
        <v>72</v>
      </c>
      <c r="C4" s="11" t="s">
        <v>73</v>
      </c>
      <c r="D4" s="11" t="s">
        <v>74</v>
      </c>
      <c r="E4" s="11" t="s">
        <v>75</v>
      </c>
      <c r="F4" s="11" t="s">
        <v>76</v>
      </c>
      <c r="G4" s="11" t="s">
        <v>77</v>
      </c>
      <c r="H4" s="11" t="s">
        <v>78</v>
      </c>
      <c r="I4" s="11" t="s">
        <v>5</v>
      </c>
      <c r="J4" s="11" t="s">
        <v>6</v>
      </c>
      <c r="K4" s="11" t="s">
        <v>7</v>
      </c>
      <c r="L4" s="11" t="s">
        <v>8</v>
      </c>
      <c r="M4" s="11" t="s">
        <v>9</v>
      </c>
      <c r="N4" s="119" t="s">
        <v>10</v>
      </c>
      <c r="O4" s="11" t="s">
        <v>11</v>
      </c>
      <c r="P4" s="11" t="s">
        <v>12</v>
      </c>
      <c r="Q4" s="11" t="s">
        <v>13</v>
      </c>
      <c r="R4" s="11" t="s">
        <v>14</v>
      </c>
      <c r="S4" s="11" t="s">
        <v>15</v>
      </c>
      <c r="T4" s="11" t="s">
        <v>39</v>
      </c>
      <c r="U4" s="11" t="s">
        <v>16</v>
      </c>
      <c r="V4" s="11" t="s">
        <v>81</v>
      </c>
      <c r="W4" s="11" t="s">
        <v>17</v>
      </c>
      <c r="X4" s="11" t="s">
        <v>40</v>
      </c>
      <c r="Y4" s="11" t="s">
        <v>41</v>
      </c>
      <c r="Z4" s="5" t="s">
        <v>42</v>
      </c>
      <c r="AA4" s="5" t="s">
        <v>43</v>
      </c>
    </row>
    <row r="5" spans="1:27">
      <c r="A5" s="11"/>
      <c r="B5" s="11" t="s">
        <v>868</v>
      </c>
      <c r="C5" s="178"/>
      <c r="D5" s="178"/>
      <c r="E5" s="178"/>
      <c r="F5" s="178"/>
      <c r="G5" s="178"/>
      <c r="H5" s="178"/>
      <c r="I5" s="178"/>
      <c r="J5" s="178"/>
      <c r="K5" s="178"/>
      <c r="L5" s="178"/>
      <c r="M5" s="178"/>
      <c r="N5" s="140"/>
      <c r="O5" s="178"/>
      <c r="P5" s="178"/>
      <c r="Q5" s="178"/>
      <c r="R5" s="178"/>
      <c r="S5" s="178"/>
      <c r="T5" s="178"/>
      <c r="U5" s="178"/>
      <c r="V5" s="178"/>
      <c r="W5" s="178">
        <f>0.05*(65000+25000)</f>
        <v>4500</v>
      </c>
      <c r="X5" s="178"/>
      <c r="Y5" s="178"/>
      <c r="Z5" s="178"/>
      <c r="AA5" s="178"/>
    </row>
    <row r="6" spans="1:27" ht="12.75" customHeight="1">
      <c r="A6" s="11"/>
      <c r="B6" s="11" t="s">
        <v>869</v>
      </c>
      <c r="C6" s="178">
        <v>0</v>
      </c>
      <c r="D6" s="178">
        <v>0</v>
      </c>
      <c r="E6" s="178">
        <v>0</v>
      </c>
      <c r="F6" s="178">
        <v>0</v>
      </c>
      <c r="G6" s="178">
        <v>0</v>
      </c>
      <c r="H6" s="178">
        <v>7244.22</v>
      </c>
      <c r="I6" s="178">
        <v>0</v>
      </c>
      <c r="J6" s="178">
        <v>0</v>
      </c>
      <c r="K6" s="178">
        <v>0</v>
      </c>
      <c r="L6" s="178">
        <v>0</v>
      </c>
      <c r="M6" s="178">
        <v>0</v>
      </c>
      <c r="N6" s="140">
        <v>0</v>
      </c>
      <c r="O6" s="178">
        <v>0</v>
      </c>
      <c r="P6" s="178"/>
      <c r="Q6" s="178"/>
      <c r="R6" s="178"/>
      <c r="S6" s="178"/>
      <c r="T6" s="178"/>
      <c r="U6" s="178"/>
      <c r="V6" s="178"/>
      <c r="W6" s="178">
        <v>51000</v>
      </c>
      <c r="X6" s="178"/>
      <c r="Y6" s="178"/>
      <c r="Z6" s="178"/>
      <c r="AA6" s="178"/>
    </row>
    <row r="7" spans="1:27">
      <c r="A7" s="11"/>
      <c r="B7" s="11" t="s">
        <v>21</v>
      </c>
      <c r="C7" s="178">
        <f>SUBTOTAL(109,VPOFRevenues[Budget 10/11])</f>
        <v>0</v>
      </c>
      <c r="D7" s="178">
        <f>SUBTOTAL(109,VPOFRevenues[Actual 10/11])</f>
        <v>0</v>
      </c>
      <c r="E7" s="178">
        <f>SUBTOTAL(109,VPOFRevenues[Budget 11/12])</f>
        <v>0</v>
      </c>
      <c r="F7" s="178">
        <f>SUBTOTAL(109,VPOFRevenues[Actual 11/12])</f>
        <v>0</v>
      </c>
      <c r="G7" s="178">
        <f>SUBTOTAL(109,VPOFRevenues[Budget 12/13])</f>
        <v>0</v>
      </c>
      <c r="H7" s="178">
        <f>SUBTOTAL(109,VPOFRevenues[Actual 12/13])</f>
        <v>7244.22</v>
      </c>
      <c r="I7" s="178">
        <f>SUBTOTAL(109,VPOFRevenues[Budget 13/14])</f>
        <v>0</v>
      </c>
      <c r="J7" s="178">
        <f>SUBTOTAL(109,VPOFRevenues[Actual 13/14])</f>
        <v>0</v>
      </c>
      <c r="K7" s="178">
        <f>SUBTOTAL(109,VPOFRevenues[Budget 14/15])</f>
        <v>0</v>
      </c>
      <c r="L7" s="178">
        <f>SUBTOTAL(109,VPOFRevenues[Actual 14/15])</f>
        <v>0</v>
      </c>
      <c r="M7" s="178">
        <f>SUBTOTAL(109,VPOFRevenues[Budget 15/16])</f>
        <v>0</v>
      </c>
      <c r="N7" s="145">
        <f>SUBTOTAL(109,VPOFRevenues[Actual 15/16])</f>
        <v>0</v>
      </c>
      <c r="O7" s="178">
        <f>SUBTOTAL(109,VPOFRevenues[Budget 16/17])</f>
        <v>0</v>
      </c>
      <c r="P7" s="11"/>
      <c r="Q7" s="11"/>
      <c r="V7">
        <f>SUM(VPOFRevenues[Actual P12 19/20])</f>
        <v>0</v>
      </c>
      <c r="W7" s="108">
        <f>W6+W5</f>
        <v>55500</v>
      </c>
      <c r="X7" s="108">
        <f t="shared" ref="X7:Y7" si="0">X6+X5</f>
        <v>0</v>
      </c>
      <c r="Y7" s="108">
        <f t="shared" si="0"/>
        <v>0</v>
      </c>
    </row>
    <row r="8" spans="1:27">
      <c r="B8" s="11"/>
      <c r="C8" s="11"/>
      <c r="D8" s="11"/>
      <c r="E8" s="11"/>
      <c r="F8" s="11"/>
      <c r="G8" s="11"/>
      <c r="H8" s="11"/>
      <c r="I8" s="11"/>
      <c r="J8" s="11"/>
      <c r="K8" s="11"/>
      <c r="L8" s="11"/>
      <c r="M8" s="11"/>
      <c r="N8" s="132"/>
      <c r="O8" s="11"/>
      <c r="P8" s="11"/>
      <c r="Q8" s="11"/>
    </row>
    <row r="9" spans="1:27">
      <c r="A9" s="48" t="s">
        <v>130</v>
      </c>
      <c r="B9" s="11" t="s">
        <v>22</v>
      </c>
      <c r="C9" s="11" t="s">
        <v>73</v>
      </c>
      <c r="D9" s="11" t="s">
        <v>74</v>
      </c>
      <c r="E9" s="11" t="s">
        <v>75</v>
      </c>
      <c r="F9" s="11" t="s">
        <v>76</v>
      </c>
      <c r="G9" s="11" t="s">
        <v>77</v>
      </c>
      <c r="H9" s="11" t="s">
        <v>78</v>
      </c>
      <c r="I9" s="11" t="s">
        <v>5</v>
      </c>
      <c r="J9" s="11" t="s">
        <v>6</v>
      </c>
      <c r="K9" s="11" t="s">
        <v>7</v>
      </c>
      <c r="L9" s="11" t="s">
        <v>8</v>
      </c>
      <c r="M9" s="11" t="s">
        <v>9</v>
      </c>
      <c r="N9" s="119" t="s">
        <v>10</v>
      </c>
      <c r="O9" s="11" t="s">
        <v>11</v>
      </c>
      <c r="P9" s="11" t="s">
        <v>12</v>
      </c>
      <c r="Q9" s="11" t="s">
        <v>13</v>
      </c>
      <c r="R9" s="11" t="s">
        <v>14</v>
      </c>
      <c r="S9" s="11" t="s">
        <v>15</v>
      </c>
      <c r="T9" s="11" t="s">
        <v>39</v>
      </c>
      <c r="U9" s="11" t="s">
        <v>16</v>
      </c>
      <c r="V9" s="11" t="s">
        <v>81</v>
      </c>
      <c r="W9" s="11" t="s">
        <v>17</v>
      </c>
      <c r="X9" s="11" t="s">
        <v>40</v>
      </c>
      <c r="Y9" s="11" t="s">
        <v>41</v>
      </c>
      <c r="Z9" s="5" t="s">
        <v>42</v>
      </c>
      <c r="AA9" s="5" t="s">
        <v>43</v>
      </c>
    </row>
    <row r="10" spans="1:27">
      <c r="A10" s="48" t="s">
        <v>870</v>
      </c>
      <c r="B10" s="11" t="s">
        <v>871</v>
      </c>
      <c r="C10" s="44">
        <v>55482</v>
      </c>
      <c r="D10" s="44">
        <v>61372.03</v>
      </c>
      <c r="E10" s="44">
        <v>70000</v>
      </c>
      <c r="F10" s="44">
        <v>62701</v>
      </c>
      <c r="G10" s="44">
        <v>27000</v>
      </c>
      <c r="H10" s="44">
        <v>0</v>
      </c>
      <c r="I10" s="44">
        <v>27000</v>
      </c>
      <c r="J10" s="44">
        <v>10161.290000000001</v>
      </c>
      <c r="K10" s="44">
        <v>10000</v>
      </c>
      <c r="L10" s="44">
        <v>6005.95</v>
      </c>
      <c r="M10" s="44">
        <v>9000</v>
      </c>
      <c r="N10" s="141">
        <v>621.5</v>
      </c>
      <c r="O10" s="44">
        <v>9000</v>
      </c>
      <c r="P10" s="44">
        <v>1564.61</v>
      </c>
      <c r="Q10" s="44">
        <v>9000</v>
      </c>
      <c r="R10" s="44">
        <v>2374</v>
      </c>
      <c r="S10" s="44">
        <v>5000</v>
      </c>
      <c r="T10" s="44">
        <v>500</v>
      </c>
      <c r="U10" s="44">
        <v>5000</v>
      </c>
      <c r="V10" s="44">
        <v>3105</v>
      </c>
      <c r="W10" s="44">
        <f>3250</f>
        <v>3250</v>
      </c>
      <c r="X10" s="117"/>
      <c r="Y10" s="453">
        <v>3250</v>
      </c>
      <c r="Z10" s="2"/>
      <c r="AA10" s="2"/>
    </row>
    <row r="11" spans="1:27">
      <c r="A11" s="48" t="s">
        <v>872</v>
      </c>
      <c r="B11" s="11" t="s">
        <v>85</v>
      </c>
      <c r="C11" s="44">
        <v>34338.879999999997</v>
      </c>
      <c r="D11" s="44">
        <v>38907.72</v>
      </c>
      <c r="E11" s="44">
        <f>0.85*46794.6</f>
        <v>39775.409999999996</v>
      </c>
      <c r="F11" s="44">
        <v>39759.74</v>
      </c>
      <c r="G11" s="44">
        <f>F11*1.025</f>
        <v>40753.733499999995</v>
      </c>
      <c r="H11" s="44">
        <v>48294.62</v>
      </c>
      <c r="I11" s="44">
        <v>47116.2</v>
      </c>
      <c r="J11" s="44">
        <v>43097.82</v>
      </c>
      <c r="K11" s="44">
        <f>4096.97 *12-P10</f>
        <v>47599.03</v>
      </c>
      <c r="L11" s="44">
        <v>41166.5</v>
      </c>
      <c r="M11" s="84">
        <v>46532.4</v>
      </c>
      <c r="N11" s="141">
        <v>46471.98</v>
      </c>
      <c r="O11" s="84">
        <f>VPOFExpenses[[#This Row],[Budget 15/16]]*1.011</f>
        <v>47044.256399999998</v>
      </c>
      <c r="P11" s="44">
        <v>47044.26</v>
      </c>
      <c r="Q11" s="44">
        <v>47702.87</v>
      </c>
      <c r="R11" s="44">
        <v>47689.97</v>
      </c>
      <c r="S11" s="44">
        <v>48227.6</v>
      </c>
      <c r="T11" s="44">
        <v>41010.54</v>
      </c>
      <c r="U11" s="44">
        <v>50060.76</v>
      </c>
      <c r="V11" s="44">
        <v>53629.24</v>
      </c>
      <c r="W11" s="44">
        <v>50060.76</v>
      </c>
      <c r="X11" s="117">
        <v>56332.18</v>
      </c>
      <c r="Y11" s="453">
        <f>'[1]VP Ops &amp; Finance (10100)'!$W11*1.022*1.007</f>
        <v>51520.231397039999</v>
      </c>
      <c r="Z11" s="2">
        <v>56800.19</v>
      </c>
      <c r="AA11" s="2">
        <f>51520.23*1.01*(20*18/(52*37.5))</f>
        <v>9606.5413476923077</v>
      </c>
    </row>
    <row r="12" spans="1:27">
      <c r="A12" s="48"/>
      <c r="B12" s="11" t="s">
        <v>86</v>
      </c>
      <c r="C12" s="44"/>
      <c r="D12" s="44"/>
      <c r="E12" s="44"/>
      <c r="F12" s="44"/>
      <c r="G12" s="44"/>
      <c r="H12" s="44"/>
      <c r="I12" s="44"/>
      <c r="J12" s="44"/>
      <c r="K12" s="44"/>
      <c r="L12" s="44"/>
      <c r="M12" s="44">
        <v>4466.76</v>
      </c>
      <c r="N12" s="141"/>
      <c r="O12" s="44">
        <f>VPOFExpenses[[#This Row],[Budget 15/16]]*1.011</f>
        <v>4515.8943599999993</v>
      </c>
      <c r="P12" s="44">
        <v>4515.8900000000003</v>
      </c>
      <c r="Q12" s="44">
        <v>4579.1099999999997</v>
      </c>
      <c r="R12" s="44">
        <v>4592.01</v>
      </c>
      <c r="S12" s="44">
        <v>4629.4799999999996</v>
      </c>
      <c r="T12" s="44"/>
      <c r="U12" s="44">
        <f>U11*0.13</f>
        <v>6507.8988000000008</v>
      </c>
      <c r="V12" s="44"/>
      <c r="W12" s="44">
        <f>W11*0.13</f>
        <v>6507.8988000000008</v>
      </c>
      <c r="X12" s="117"/>
      <c r="Y12" s="453">
        <f>Y11*0.13+1446.71*3</f>
        <v>11037.760081615201</v>
      </c>
      <c r="Z12" s="2">
        <v>0</v>
      </c>
      <c r="AA12" s="2">
        <f>AA11*0.13+1446.71</f>
        <v>2695.5603752000002</v>
      </c>
    </row>
    <row r="13" spans="1:27">
      <c r="A13" s="48" t="s">
        <v>873</v>
      </c>
      <c r="B13" s="11" t="s">
        <v>755</v>
      </c>
      <c r="C13" s="44"/>
      <c r="D13" s="44"/>
      <c r="E13" s="44"/>
      <c r="F13" s="44"/>
      <c r="G13" s="44"/>
      <c r="H13" s="44"/>
      <c r="I13" s="44"/>
      <c r="J13" s="44"/>
      <c r="K13" s="44"/>
      <c r="L13" s="44"/>
      <c r="M13" s="44"/>
      <c r="N13" s="141"/>
      <c r="O13" s="44"/>
      <c r="P13" s="44">
        <v>67.8</v>
      </c>
      <c r="Q13" s="44"/>
      <c r="R13" s="44"/>
      <c r="S13" s="44"/>
      <c r="T13" s="44"/>
      <c r="U13" s="44"/>
      <c r="V13" s="44"/>
      <c r="W13" s="44">
        <v>6725</v>
      </c>
      <c r="X13" s="117">
        <f>917.35+6090.85</f>
        <v>7008.2000000000007</v>
      </c>
      <c r="Y13" s="453">
        <v>0</v>
      </c>
      <c r="Z13" s="2">
        <v>565</v>
      </c>
      <c r="AA13" s="2"/>
    </row>
    <row r="14" spans="1:27">
      <c r="A14" s="48"/>
      <c r="B14" s="11" t="s">
        <v>874</v>
      </c>
      <c r="C14" s="44"/>
      <c r="D14" s="44"/>
      <c r="E14" s="44"/>
      <c r="F14" s="44"/>
      <c r="G14" s="44"/>
      <c r="H14" s="44"/>
      <c r="I14" s="44"/>
      <c r="J14" s="44"/>
      <c r="K14" s="44"/>
      <c r="L14" s="44"/>
      <c r="M14" s="44"/>
      <c r="N14" s="141"/>
      <c r="O14" s="44"/>
      <c r="P14" s="44"/>
      <c r="Q14" s="44"/>
      <c r="R14" s="44"/>
      <c r="S14" s="44"/>
      <c r="T14" s="44"/>
      <c r="U14" s="44"/>
      <c r="V14" s="44"/>
      <c r="W14" s="44">
        <v>4542.3500000000004</v>
      </c>
      <c r="X14" s="117"/>
      <c r="Y14" s="453">
        <v>0</v>
      </c>
      <c r="Z14" s="2"/>
      <c r="AA14" s="2"/>
    </row>
    <row r="15" spans="1:27">
      <c r="A15" s="48" t="s">
        <v>875</v>
      </c>
      <c r="B15" s="11" t="s">
        <v>869</v>
      </c>
      <c r="C15" s="44">
        <v>5000</v>
      </c>
      <c r="D15" s="44">
        <v>2656.3</v>
      </c>
      <c r="E15" s="44">
        <v>0</v>
      </c>
      <c r="F15" s="44">
        <v>65</v>
      </c>
      <c r="G15" s="44">
        <v>0</v>
      </c>
      <c r="H15" s="44">
        <v>0</v>
      </c>
      <c r="I15" s="44">
        <v>0</v>
      </c>
      <c r="J15" s="44">
        <v>0</v>
      </c>
      <c r="K15" s="44">
        <v>0</v>
      </c>
      <c r="L15" s="44">
        <v>0</v>
      </c>
      <c r="M15" s="44">
        <v>0</v>
      </c>
      <c r="N15" s="141">
        <v>0</v>
      </c>
      <c r="O15" s="44">
        <v>0</v>
      </c>
      <c r="P15" s="44"/>
      <c r="Q15" s="44"/>
      <c r="R15" s="44"/>
      <c r="S15" s="44"/>
      <c r="T15" s="44"/>
      <c r="U15" s="44"/>
      <c r="V15" s="44">
        <v>0</v>
      </c>
      <c r="W15" s="44">
        <v>51000</v>
      </c>
      <c r="X15" s="117"/>
      <c r="Y15" s="453"/>
      <c r="Z15" s="2"/>
      <c r="AA15" s="2"/>
    </row>
    <row r="16" spans="1:27">
      <c r="A16" s="48"/>
      <c r="B16" s="11" t="s">
        <v>876</v>
      </c>
      <c r="C16" s="44">
        <v>0</v>
      </c>
      <c r="D16" s="44">
        <v>0</v>
      </c>
      <c r="E16" s="44">
        <v>0</v>
      </c>
      <c r="F16" s="44">
        <v>0</v>
      </c>
      <c r="G16" s="44">
        <v>0</v>
      </c>
      <c r="H16" s="44">
        <v>0</v>
      </c>
      <c r="I16" s="44">
        <v>0</v>
      </c>
      <c r="J16" s="44">
        <v>0</v>
      </c>
      <c r="K16" s="44">
        <v>0</v>
      </c>
      <c r="L16" s="44">
        <v>323.02</v>
      </c>
      <c r="M16" s="44">
        <v>0</v>
      </c>
      <c r="N16" s="141">
        <v>0</v>
      </c>
      <c r="O16" s="44">
        <v>0</v>
      </c>
      <c r="P16" s="44"/>
      <c r="Q16" s="44"/>
      <c r="R16" s="44">
        <v>588</v>
      </c>
      <c r="S16" s="44"/>
      <c r="T16" s="44"/>
      <c r="U16" s="44"/>
      <c r="V16" s="44"/>
      <c r="W16" s="44">
        <v>1000</v>
      </c>
      <c r="X16" s="117"/>
      <c r="Y16" s="453">
        <f>40*(58+25)</f>
        <v>3320</v>
      </c>
      <c r="Z16" s="2"/>
      <c r="AA16" s="453">
        <f>40*(58+25)</f>
        <v>3320</v>
      </c>
    </row>
    <row r="17" spans="1:27">
      <c r="A17" s="48" t="s">
        <v>877</v>
      </c>
      <c r="B17" s="11" t="s">
        <v>93</v>
      </c>
      <c r="C17" s="44">
        <v>650</v>
      </c>
      <c r="D17" s="44">
        <v>303.35000000000002</v>
      </c>
      <c r="E17" s="44">
        <v>400</v>
      </c>
      <c r="F17" s="44">
        <v>307.92</v>
      </c>
      <c r="G17" s="44">
        <v>310</v>
      </c>
      <c r="H17" s="44">
        <v>305.44</v>
      </c>
      <c r="I17" s="44">
        <v>310</v>
      </c>
      <c r="J17" s="44">
        <v>298.38</v>
      </c>
      <c r="K17" s="44">
        <v>310</v>
      </c>
      <c r="L17" s="44">
        <v>299.5</v>
      </c>
      <c r="M17" s="44">
        <v>275</v>
      </c>
      <c r="N17" s="141">
        <v>275.31</v>
      </c>
      <c r="O17" s="44">
        <v>275.99</v>
      </c>
      <c r="P17" s="44">
        <v>225.87</v>
      </c>
      <c r="Q17" s="44">
        <v>300</v>
      </c>
      <c r="R17" s="174">
        <v>272.25</v>
      </c>
      <c r="S17" s="44">
        <v>300</v>
      </c>
      <c r="T17" s="44">
        <v>334.46</v>
      </c>
      <c r="U17" s="44">
        <v>300</v>
      </c>
      <c r="V17" s="44">
        <v>236.79</v>
      </c>
      <c r="W17" s="44">
        <f>VPOFExpenses[[#This Row],[Budget 19/20]]</f>
        <v>300</v>
      </c>
      <c r="X17" s="117">
        <v>119.7</v>
      </c>
      <c r="Y17" s="453"/>
      <c r="Z17" s="2"/>
      <c r="AA17" s="2"/>
    </row>
    <row r="18" spans="1:27">
      <c r="A18" s="48" t="s">
        <v>878</v>
      </c>
      <c r="B18" s="11" t="s">
        <v>95</v>
      </c>
      <c r="C18" s="44">
        <v>1150</v>
      </c>
      <c r="D18" s="44">
        <v>973.33</v>
      </c>
      <c r="E18" s="44">
        <v>1200</v>
      </c>
      <c r="F18" s="44">
        <v>1319.45</v>
      </c>
      <c r="G18" s="44">
        <v>1350</v>
      </c>
      <c r="H18" s="44">
        <v>1410.32</v>
      </c>
      <c r="I18" s="44">
        <v>840</v>
      </c>
      <c r="J18" s="44">
        <v>791.76</v>
      </c>
      <c r="K18" s="44">
        <v>930</v>
      </c>
      <c r="L18" s="44">
        <v>521.71</v>
      </c>
      <c r="M18" s="44">
        <f>67.8*12</f>
        <v>813.59999999999991</v>
      </c>
      <c r="N18" s="141">
        <v>813.6</v>
      </c>
      <c r="O18" s="44">
        <v>813.6</v>
      </c>
      <c r="P18" s="44">
        <v>745.8</v>
      </c>
      <c r="Q18" s="44">
        <v>813.6</v>
      </c>
      <c r="R18" s="44">
        <v>813.6</v>
      </c>
      <c r="S18" s="44">
        <v>876</v>
      </c>
      <c r="T18" s="44">
        <v>882.6</v>
      </c>
      <c r="U18" s="18">
        <f>876*1.023</f>
        <v>896.14799999999991</v>
      </c>
      <c r="V18" s="18">
        <v>807.95</v>
      </c>
      <c r="W18" s="44">
        <f>50*12</f>
        <v>600</v>
      </c>
      <c r="X18" s="117">
        <v>600</v>
      </c>
      <c r="Y18" s="453">
        <v>600</v>
      </c>
      <c r="Z18" s="2">
        <v>600</v>
      </c>
      <c r="AA18" s="2">
        <v>200</v>
      </c>
    </row>
    <row r="19" spans="1:27">
      <c r="A19" s="48" t="s">
        <v>879</v>
      </c>
      <c r="B19" s="11" t="s">
        <v>100</v>
      </c>
      <c r="C19" s="44">
        <v>100</v>
      </c>
      <c r="D19" s="44">
        <v>241.7</v>
      </c>
      <c r="E19" s="44">
        <v>100</v>
      </c>
      <c r="F19" s="44">
        <v>46.8</v>
      </c>
      <c r="G19" s="44">
        <v>60</v>
      </c>
      <c r="H19" s="44">
        <v>114.02</v>
      </c>
      <c r="I19" s="44">
        <v>200</v>
      </c>
      <c r="J19" s="44">
        <v>151.65</v>
      </c>
      <c r="K19" s="44">
        <v>150</v>
      </c>
      <c r="L19" s="44">
        <v>524.34</v>
      </c>
      <c r="M19" s="44">
        <v>150</v>
      </c>
      <c r="N19" s="141">
        <v>101.76</v>
      </c>
      <c r="O19" s="44">
        <v>150</v>
      </c>
      <c r="P19" s="44"/>
      <c r="Q19" s="44">
        <v>150</v>
      </c>
      <c r="R19" s="44">
        <v>60.23</v>
      </c>
      <c r="S19" s="44">
        <v>75</v>
      </c>
      <c r="T19" s="44">
        <v>188.02</v>
      </c>
      <c r="U19" s="44">
        <v>50</v>
      </c>
      <c r="V19" s="44">
        <v>329.89</v>
      </c>
      <c r="W19" s="44">
        <v>100</v>
      </c>
      <c r="X19" s="117">
        <v>16.91</v>
      </c>
      <c r="Y19" s="453">
        <v>100</v>
      </c>
      <c r="Z19" s="2"/>
      <c r="AA19" s="2"/>
    </row>
    <row r="20" spans="1:27">
      <c r="A20" s="48" t="s">
        <v>880</v>
      </c>
      <c r="B20" s="11" t="s">
        <v>237</v>
      </c>
      <c r="C20" s="44">
        <v>50</v>
      </c>
      <c r="D20" s="44">
        <v>0</v>
      </c>
      <c r="E20" s="44">
        <v>0</v>
      </c>
      <c r="F20" s="44">
        <v>0</v>
      </c>
      <c r="G20" s="44">
        <v>0</v>
      </c>
      <c r="H20" s="44">
        <v>0</v>
      </c>
      <c r="I20" s="44">
        <v>0</v>
      </c>
      <c r="J20" s="44">
        <v>0</v>
      </c>
      <c r="K20" s="44">
        <v>0</v>
      </c>
      <c r="L20" s="44"/>
      <c r="M20" s="44">
        <v>0</v>
      </c>
      <c r="N20" s="141">
        <v>0</v>
      </c>
      <c r="O20" s="44">
        <v>0</v>
      </c>
      <c r="P20" s="44"/>
      <c r="Q20" s="44"/>
      <c r="R20" s="44"/>
      <c r="S20" s="44"/>
      <c r="T20" s="44"/>
      <c r="U20" s="44"/>
      <c r="V20" s="44">
        <v>0</v>
      </c>
      <c r="W20" s="44">
        <v>250</v>
      </c>
      <c r="X20" s="117"/>
      <c r="Y20" s="453">
        <v>250</v>
      </c>
      <c r="Z20" s="2"/>
      <c r="AA20" s="2">
        <v>250</v>
      </c>
    </row>
    <row r="21" spans="1:27">
      <c r="A21" s="48" t="s">
        <v>881</v>
      </c>
      <c r="B21" s="11" t="s">
        <v>166</v>
      </c>
      <c r="C21" s="44">
        <v>50</v>
      </c>
      <c r="D21" s="44">
        <v>426.01</v>
      </c>
      <c r="E21" s="44">
        <v>250</v>
      </c>
      <c r="F21" s="44">
        <v>69.150000000000006</v>
      </c>
      <c r="G21" s="44">
        <v>100</v>
      </c>
      <c r="H21" s="44">
        <v>10.61</v>
      </c>
      <c r="I21" s="44">
        <v>50</v>
      </c>
      <c r="J21" s="44">
        <v>13.03</v>
      </c>
      <c r="K21" s="44">
        <v>50</v>
      </c>
      <c r="L21" s="44">
        <v>37.5</v>
      </c>
      <c r="M21" s="44">
        <v>40</v>
      </c>
      <c r="N21" s="141">
        <v>4.04</v>
      </c>
      <c r="O21" s="44">
        <v>40</v>
      </c>
      <c r="P21" s="44">
        <v>30.86</v>
      </c>
      <c r="Q21" s="44">
        <v>40</v>
      </c>
      <c r="R21" s="44">
        <v>26.47</v>
      </c>
      <c r="S21" s="44">
        <v>30</v>
      </c>
      <c r="T21" s="44">
        <v>0</v>
      </c>
      <c r="U21" s="44">
        <v>30</v>
      </c>
      <c r="V21" s="44">
        <v>0</v>
      </c>
      <c r="W21" s="44">
        <f>VPOFExpenses[[#This Row],[Budget 19/20]]</f>
        <v>30</v>
      </c>
      <c r="X21" s="117"/>
      <c r="Y21" s="453">
        <v>30</v>
      </c>
      <c r="Z21" s="2"/>
      <c r="AA21" s="2">
        <v>30</v>
      </c>
    </row>
    <row r="22" spans="1:27">
      <c r="A22" s="48" t="s">
        <v>882</v>
      </c>
      <c r="B22" s="11" t="s">
        <v>104</v>
      </c>
      <c r="C22" s="44">
        <v>200</v>
      </c>
      <c r="D22" s="44">
        <v>147.85</v>
      </c>
      <c r="E22" s="44">
        <v>500</v>
      </c>
      <c r="F22" s="44">
        <v>586.22</v>
      </c>
      <c r="G22" s="44">
        <v>600</v>
      </c>
      <c r="H22" s="44">
        <v>1093.71</v>
      </c>
      <c r="I22" s="44">
        <v>500</v>
      </c>
      <c r="J22" s="44">
        <v>418.56</v>
      </c>
      <c r="K22" s="44">
        <v>500</v>
      </c>
      <c r="L22" s="44">
        <v>742.33</v>
      </c>
      <c r="M22" s="44">
        <v>500</v>
      </c>
      <c r="N22" s="141">
        <v>192.27</v>
      </c>
      <c r="O22" s="44">
        <v>500</v>
      </c>
      <c r="P22" s="44">
        <v>65.900000000000006</v>
      </c>
      <c r="Q22" s="44">
        <v>600</v>
      </c>
      <c r="R22" s="44">
        <v>393.36</v>
      </c>
      <c r="S22" s="44">
        <v>400</v>
      </c>
      <c r="T22" s="44">
        <v>207.31</v>
      </c>
      <c r="U22" s="44">
        <v>400</v>
      </c>
      <c r="V22" s="44">
        <v>727.29</v>
      </c>
      <c r="W22" s="44">
        <f>VPOFExpenses[[#This Row],[Budget 19/20]]</f>
        <v>400</v>
      </c>
      <c r="X22" s="117">
        <v>2548.5</v>
      </c>
      <c r="Y22" s="453">
        <v>2600</v>
      </c>
      <c r="Z22" s="2">
        <v>1910.11</v>
      </c>
      <c r="AA22" s="2">
        <v>2600</v>
      </c>
    </row>
    <row r="23" spans="1:27">
      <c r="A23" s="48" t="s">
        <v>883</v>
      </c>
      <c r="B23" s="613" t="s">
        <v>106</v>
      </c>
      <c r="C23" s="44">
        <v>1200</v>
      </c>
      <c r="D23" s="47">
        <v>1249.95</v>
      </c>
      <c r="E23" s="44">
        <v>1850</v>
      </c>
      <c r="F23" s="44">
        <v>769.78</v>
      </c>
      <c r="G23" s="44">
        <v>1700</v>
      </c>
      <c r="H23" s="47">
        <v>1670.3</v>
      </c>
      <c r="I23" s="44">
        <v>1200</v>
      </c>
      <c r="J23" s="44">
        <v>218.61</v>
      </c>
      <c r="K23" s="44">
        <v>750</v>
      </c>
      <c r="L23" s="44">
        <v>1851.26</v>
      </c>
      <c r="M23" s="45">
        <v>750</v>
      </c>
      <c r="N23" s="141">
        <v>117.9</v>
      </c>
      <c r="O23" s="44">
        <v>1000</v>
      </c>
      <c r="P23" s="44">
        <v>454.03</v>
      </c>
      <c r="Q23" s="44">
        <v>1200</v>
      </c>
      <c r="R23" s="44">
        <v>1576.24</v>
      </c>
      <c r="S23" s="44">
        <v>1500</v>
      </c>
      <c r="T23" s="44">
        <v>1675.08</v>
      </c>
      <c r="U23" s="44">
        <v>1800</v>
      </c>
      <c r="V23" s="44">
        <v>402.49</v>
      </c>
      <c r="W23" s="44">
        <v>500</v>
      </c>
      <c r="X23" s="117">
        <v>0</v>
      </c>
      <c r="Y23" s="453">
        <v>500</v>
      </c>
      <c r="Z23" s="2"/>
      <c r="AA23" s="2">
        <v>500</v>
      </c>
    </row>
    <row r="24" spans="1:27">
      <c r="A24" s="48" t="s">
        <v>884</v>
      </c>
      <c r="B24" s="613" t="s">
        <v>843</v>
      </c>
      <c r="C24" s="55">
        <v>100</v>
      </c>
      <c r="D24" s="44">
        <v>0</v>
      </c>
      <c r="E24" s="56">
        <v>0</v>
      </c>
      <c r="F24" s="53">
        <v>613.32000000000005</v>
      </c>
      <c r="G24" s="56">
        <v>0</v>
      </c>
      <c r="H24" s="47">
        <v>0</v>
      </c>
      <c r="I24" s="56">
        <v>800</v>
      </c>
      <c r="J24" s="53">
        <v>292.5</v>
      </c>
      <c r="K24" s="56">
        <v>800</v>
      </c>
      <c r="L24" s="52">
        <v>95.6</v>
      </c>
      <c r="M24" s="45">
        <v>800</v>
      </c>
      <c r="N24" s="141">
        <v>3647.8</v>
      </c>
      <c r="O24" s="44">
        <v>5000</v>
      </c>
      <c r="P24" s="44">
        <v>3162.84</v>
      </c>
      <c r="Q24" s="44">
        <v>5000</v>
      </c>
      <c r="R24" s="44">
        <v>2979</v>
      </c>
      <c r="S24" s="44">
        <v>4000</v>
      </c>
      <c r="T24" s="44">
        <v>563.88</v>
      </c>
      <c r="U24" s="44">
        <v>3500</v>
      </c>
      <c r="V24" s="44">
        <v>0</v>
      </c>
      <c r="W24" s="44">
        <f>VPOFExpenses[[#This Row],[Budget 19/20]]</f>
        <v>3500</v>
      </c>
      <c r="X24" s="117">
        <v>-326.42</v>
      </c>
      <c r="Y24" s="453">
        <v>3500</v>
      </c>
      <c r="Z24" s="2">
        <v>57.81</v>
      </c>
      <c r="AA24" s="2">
        <v>3500</v>
      </c>
    </row>
    <row r="25" spans="1:27">
      <c r="A25" s="48" t="s">
        <v>885</v>
      </c>
      <c r="B25" s="11" t="s">
        <v>110</v>
      </c>
      <c r="C25" s="44">
        <v>0</v>
      </c>
      <c r="D25" s="44">
        <v>0</v>
      </c>
      <c r="E25" s="44">
        <v>0</v>
      </c>
      <c r="F25" s="44">
        <v>0</v>
      </c>
      <c r="G25" s="44">
        <v>1000</v>
      </c>
      <c r="H25" s="44">
        <v>0</v>
      </c>
      <c r="I25" s="44">
        <v>8000</v>
      </c>
      <c r="J25" s="44">
        <v>337.03</v>
      </c>
      <c r="K25" s="44">
        <f>836</f>
        <v>836</v>
      </c>
      <c r="L25" s="44">
        <v>1080.8399999999999</v>
      </c>
      <c r="M25" s="44">
        <f>836</f>
        <v>836</v>
      </c>
      <c r="N25" s="141">
        <v>1274.6400000000001</v>
      </c>
      <c r="O25" s="44">
        <v>1000</v>
      </c>
      <c r="P25" s="44">
        <v>937.86</v>
      </c>
      <c r="Q25" s="44">
        <v>1000</v>
      </c>
      <c r="R25" s="44">
        <v>193.8</v>
      </c>
      <c r="S25" s="44">
        <v>500</v>
      </c>
      <c r="T25" s="44">
        <v>0</v>
      </c>
      <c r="U25" s="44"/>
      <c r="V25" s="44">
        <v>0</v>
      </c>
      <c r="W25" s="44">
        <f>VPOFExpenses[[#This Row],[Budget 19/20]]</f>
        <v>0</v>
      </c>
      <c r="X25" s="117"/>
      <c r="Y25" s="453"/>
      <c r="Z25" s="2"/>
      <c r="AA25" s="2"/>
    </row>
    <row r="26" spans="1:27">
      <c r="A26" s="363" t="s">
        <v>886</v>
      </c>
      <c r="B26" s="11" t="s">
        <v>243</v>
      </c>
      <c r="C26" s="44"/>
      <c r="D26" s="44"/>
      <c r="E26" s="44"/>
      <c r="F26" s="44"/>
      <c r="G26" s="44"/>
      <c r="H26" s="44"/>
      <c r="I26" s="44"/>
      <c r="J26" s="44"/>
      <c r="K26" s="44"/>
      <c r="L26" s="44"/>
      <c r="M26" s="44"/>
      <c r="N26" s="141"/>
      <c r="O26" s="44"/>
      <c r="P26" s="44"/>
      <c r="Q26" s="44"/>
      <c r="R26" s="44"/>
      <c r="S26" s="44"/>
      <c r="T26" s="44"/>
      <c r="U26" s="44"/>
      <c r="V26" s="44"/>
      <c r="W26" s="44">
        <v>2000</v>
      </c>
      <c r="X26" s="117">
        <v>728.53</v>
      </c>
      <c r="Y26" s="453">
        <v>2000</v>
      </c>
      <c r="Z26" s="2"/>
      <c r="AA26" s="2">
        <v>2000</v>
      </c>
    </row>
    <row r="27" spans="1:27">
      <c r="A27" s="48" t="s">
        <v>887</v>
      </c>
      <c r="B27" s="11" t="s">
        <v>114</v>
      </c>
      <c r="C27" s="44">
        <v>1250</v>
      </c>
      <c r="D27" s="44">
        <v>163.91</v>
      </c>
      <c r="E27" s="44">
        <v>20000</v>
      </c>
      <c r="F27" s="44">
        <v>5022.05</v>
      </c>
      <c r="G27" s="44">
        <v>5500</v>
      </c>
      <c r="H27" s="44">
        <v>5090.6099999999997</v>
      </c>
      <c r="I27" s="44">
        <v>0</v>
      </c>
      <c r="J27" s="44">
        <v>389.2</v>
      </c>
      <c r="K27" s="44">
        <v>7000</v>
      </c>
      <c r="L27" s="44">
        <v>1852.24</v>
      </c>
      <c r="M27" s="44">
        <v>5500</v>
      </c>
      <c r="N27" s="141">
        <v>5644.51</v>
      </c>
      <c r="O27" s="44">
        <v>4500</v>
      </c>
      <c r="P27" s="44"/>
      <c r="Q27" s="44">
        <v>4000</v>
      </c>
      <c r="R27" s="44">
        <v>3127</v>
      </c>
      <c r="S27" s="44">
        <v>3500</v>
      </c>
      <c r="T27" s="525">
        <v>11525.76</v>
      </c>
      <c r="U27" s="44">
        <v>3500</v>
      </c>
      <c r="V27" s="44">
        <v>5394.27</v>
      </c>
      <c r="W27" s="44">
        <v>9000</v>
      </c>
      <c r="X27" s="117">
        <v>1522.28</v>
      </c>
      <c r="Y27" s="453">
        <v>3500</v>
      </c>
      <c r="Z27" s="2">
        <v>84.63</v>
      </c>
      <c r="AA27" s="2"/>
    </row>
    <row r="28" spans="1:27">
      <c r="A28" s="48" t="s">
        <v>887</v>
      </c>
      <c r="B28" s="11" t="s">
        <v>121</v>
      </c>
      <c r="C28" s="44">
        <v>250</v>
      </c>
      <c r="D28" s="44">
        <v>204.63</v>
      </c>
      <c r="E28" s="44">
        <v>250</v>
      </c>
      <c r="F28" s="44">
        <v>180.9</v>
      </c>
      <c r="G28" s="44">
        <v>200</v>
      </c>
      <c r="H28" s="44">
        <v>115.38</v>
      </c>
      <c r="I28" s="44">
        <v>200</v>
      </c>
      <c r="J28" s="44">
        <v>180.99</v>
      </c>
      <c r="K28" s="44">
        <v>200</v>
      </c>
      <c r="L28" s="44">
        <v>141.53</v>
      </c>
      <c r="M28" s="44">
        <v>200</v>
      </c>
      <c r="N28" s="141">
        <v>112.76</v>
      </c>
      <c r="O28" s="44">
        <v>200</v>
      </c>
      <c r="P28" s="44"/>
      <c r="Q28" s="44">
        <v>150</v>
      </c>
      <c r="R28" s="526"/>
      <c r="S28" s="44">
        <v>50</v>
      </c>
      <c r="T28" s="44">
        <v>30.74</v>
      </c>
      <c r="U28" s="44">
        <v>50</v>
      </c>
      <c r="V28" s="44"/>
      <c r="W28" s="44">
        <f>VPOFExpenses[[#This Row],[Budget 19/20]]</f>
        <v>50</v>
      </c>
      <c r="X28" s="117"/>
      <c r="Y28" s="453">
        <v>50</v>
      </c>
      <c r="Z28" s="2"/>
      <c r="AA28" s="2">
        <v>50</v>
      </c>
    </row>
    <row r="29" spans="1:27">
      <c r="A29" s="48" t="s">
        <v>887</v>
      </c>
      <c r="B29" s="11" t="s">
        <v>888</v>
      </c>
      <c r="C29" s="44">
        <v>2150</v>
      </c>
      <c r="D29" s="44">
        <v>1703.36</v>
      </c>
      <c r="E29" s="44">
        <v>2100</v>
      </c>
      <c r="F29" s="44">
        <v>1703.36</v>
      </c>
      <c r="G29" s="44">
        <v>2100</v>
      </c>
      <c r="H29" s="44">
        <v>1703.36</v>
      </c>
      <c r="I29" s="44">
        <v>1900</v>
      </c>
      <c r="J29" s="44">
        <v>1900.1</v>
      </c>
      <c r="K29" s="44">
        <v>1800</v>
      </c>
      <c r="L29" s="44">
        <v>1703.36</v>
      </c>
      <c r="M29" s="44">
        <v>1703.36</v>
      </c>
      <c r="N29" s="141">
        <v>1703.36</v>
      </c>
      <c r="O29" s="44">
        <v>1818.54</v>
      </c>
      <c r="P29" s="44">
        <v>1851.41</v>
      </c>
      <c r="Q29" s="44">
        <v>2000</v>
      </c>
      <c r="R29" s="44">
        <v>1788.53</v>
      </c>
      <c r="S29" s="44">
        <v>2000</v>
      </c>
      <c r="T29" s="44">
        <v>1788.54</v>
      </c>
      <c r="U29" s="44">
        <v>0</v>
      </c>
      <c r="V29" s="44"/>
      <c r="W29" s="44">
        <f>VPOFExpenses[[#This Row],[Budget 19/20]]</f>
        <v>0</v>
      </c>
      <c r="X29" s="117"/>
      <c r="Y29" s="453"/>
      <c r="Z29" s="2"/>
      <c r="AA29" s="2"/>
    </row>
    <row r="30" spans="1:27">
      <c r="A30" s="48" t="s">
        <v>887</v>
      </c>
      <c r="B30" s="11" t="s">
        <v>889</v>
      </c>
      <c r="C30" s="44">
        <v>300</v>
      </c>
      <c r="D30" s="44">
        <v>1000</v>
      </c>
      <c r="E30" s="44">
        <v>1000</v>
      </c>
      <c r="F30" s="44">
        <v>0</v>
      </c>
      <c r="G30" s="44">
        <v>1000</v>
      </c>
      <c r="H30" s="44">
        <v>1000</v>
      </c>
      <c r="I30" s="44">
        <v>1000</v>
      </c>
      <c r="J30" s="44">
        <v>0</v>
      </c>
      <c r="K30" s="44">
        <v>1000</v>
      </c>
      <c r="L30" s="44">
        <v>1085.5999999999999</v>
      </c>
      <c r="M30" s="44">
        <v>1000</v>
      </c>
      <c r="N30" s="141">
        <v>1085.5999999999999</v>
      </c>
      <c r="O30" s="44">
        <v>1085.5999999999999</v>
      </c>
      <c r="P30" s="44"/>
      <c r="Q30" s="44">
        <v>1085.5999999999999</v>
      </c>
      <c r="R30" s="44">
        <v>1085.5999999999999</v>
      </c>
      <c r="S30" s="44">
        <v>1085.5999999999999</v>
      </c>
      <c r="T30" s="525">
        <v>5100</v>
      </c>
      <c r="U30" s="44">
        <f>1085.6/2</f>
        <v>542.79999999999995</v>
      </c>
      <c r="V30" s="44"/>
      <c r="W30" s="44">
        <v>542.79999999999995</v>
      </c>
      <c r="X30" s="117"/>
      <c r="Y30" s="453">
        <v>542.79999999999995</v>
      </c>
      <c r="Z30" s="2"/>
      <c r="AA30" s="2">
        <v>542.79999999999995</v>
      </c>
    </row>
    <row r="31" spans="1:27">
      <c r="A31" s="363" t="s">
        <v>190</v>
      </c>
      <c r="B31" s="11" t="s">
        <v>890</v>
      </c>
      <c r="C31" s="44"/>
      <c r="D31" s="44"/>
      <c r="E31" s="44"/>
      <c r="F31" s="44"/>
      <c r="G31" s="44"/>
      <c r="H31" s="44"/>
      <c r="I31" s="44"/>
      <c r="J31" s="44"/>
      <c r="K31" s="44"/>
      <c r="L31" s="44"/>
      <c r="M31" s="44"/>
      <c r="N31" s="141"/>
      <c r="O31" s="44"/>
      <c r="P31" s="44"/>
      <c r="Q31" s="44"/>
      <c r="R31" s="44"/>
      <c r="S31" s="44"/>
      <c r="T31" s="44"/>
      <c r="U31" s="44"/>
      <c r="V31" s="44"/>
      <c r="W31" s="44">
        <v>30000</v>
      </c>
      <c r="X31" s="117"/>
      <c r="Y31" s="453"/>
      <c r="Z31" s="2"/>
      <c r="AA31" s="2"/>
    </row>
    <row r="32" spans="1:27">
      <c r="A32" s="49" t="s">
        <v>244</v>
      </c>
      <c r="B32" s="11" t="s">
        <v>891</v>
      </c>
      <c r="C32" s="44">
        <v>30000</v>
      </c>
      <c r="D32" s="44">
        <v>7753.71</v>
      </c>
      <c r="E32" s="44">
        <v>20000</v>
      </c>
      <c r="F32" s="44">
        <v>10061</v>
      </c>
      <c r="G32" s="44">
        <v>16000</v>
      </c>
      <c r="H32" s="44">
        <v>10783.99</v>
      </c>
      <c r="I32" s="44">
        <v>11000</v>
      </c>
      <c r="J32" s="44">
        <v>4851.42</v>
      </c>
      <c r="K32" s="44">
        <v>7000</v>
      </c>
      <c r="L32" s="44">
        <v>1985.65</v>
      </c>
      <c r="M32" s="44">
        <v>6000</v>
      </c>
      <c r="N32" s="141">
        <v>1663.48</v>
      </c>
      <c r="O32" s="44">
        <v>5000</v>
      </c>
      <c r="P32" s="44">
        <v>5000</v>
      </c>
      <c r="Q32" s="44"/>
      <c r="R32" s="44" t="s">
        <v>45</v>
      </c>
      <c r="S32" s="44"/>
      <c r="T32" s="44"/>
      <c r="U32" s="44">
        <v>5000</v>
      </c>
      <c r="V32" s="44"/>
      <c r="W32" s="18">
        <v>5000</v>
      </c>
      <c r="X32" s="117"/>
      <c r="Y32" s="453">
        <v>5000</v>
      </c>
      <c r="Z32" s="2"/>
      <c r="AA32" s="2">
        <v>5000</v>
      </c>
    </row>
    <row r="33" spans="1:27">
      <c r="A33" s="49" t="s">
        <v>892</v>
      </c>
      <c r="B33" s="11" t="s">
        <v>893</v>
      </c>
      <c r="C33" s="44"/>
      <c r="D33" s="44"/>
      <c r="E33" s="44"/>
      <c r="F33" s="44"/>
      <c r="G33" s="44"/>
      <c r="H33" s="44"/>
      <c r="I33" s="44"/>
      <c r="J33" s="44"/>
      <c r="K33" s="44"/>
      <c r="L33" s="44"/>
      <c r="M33" s="44"/>
      <c r="N33" s="141"/>
      <c r="O33" s="44"/>
      <c r="P33" s="44"/>
      <c r="Q33" s="44"/>
      <c r="R33" s="44"/>
      <c r="S33" s="44"/>
      <c r="T33" s="44"/>
      <c r="U33" s="44"/>
      <c r="V33" s="44">
        <v>0</v>
      </c>
      <c r="W33" s="18">
        <v>20000</v>
      </c>
      <c r="X33" s="117">
        <v>29959.23</v>
      </c>
      <c r="Y33" s="457">
        <f>300*38+150*55</f>
        <v>19650</v>
      </c>
      <c r="Z33" s="2">
        <v>22513.46</v>
      </c>
      <c r="AA33" s="2"/>
    </row>
    <row r="34" spans="1:27">
      <c r="A34" s="49" t="s">
        <v>894</v>
      </c>
      <c r="B34" s="11" t="s">
        <v>895</v>
      </c>
      <c r="C34" s="44"/>
      <c r="D34" s="44"/>
      <c r="E34" s="44"/>
      <c r="F34" s="44"/>
      <c r="G34" s="44"/>
      <c r="H34" s="44"/>
      <c r="I34" s="44"/>
      <c r="J34" s="44"/>
      <c r="K34" s="44"/>
      <c r="L34" s="44"/>
      <c r="M34" s="44"/>
      <c r="N34" s="141"/>
      <c r="O34" s="44"/>
      <c r="P34" s="44"/>
      <c r="Q34" s="44"/>
      <c r="R34" s="44"/>
      <c r="S34" s="44"/>
      <c r="T34" s="44"/>
      <c r="U34" s="44"/>
      <c r="V34" s="44">
        <v>4791.54</v>
      </c>
      <c r="W34" s="18">
        <v>50000</v>
      </c>
      <c r="X34" s="117">
        <v>71690.06</v>
      </c>
      <c r="Y34" s="457">
        <f>6*4000</f>
        <v>24000</v>
      </c>
      <c r="Z34" s="2">
        <v>7598.98</v>
      </c>
      <c r="AA34" s="2">
        <v>10000</v>
      </c>
    </row>
    <row r="35" spans="1:27">
      <c r="A35" s="11"/>
      <c r="B35" s="11" t="s">
        <v>21</v>
      </c>
      <c r="C35" s="178">
        <f>SUBTOTAL(109,VPOFExpenses[Budget 10/11])</f>
        <v>132270.88</v>
      </c>
      <c r="D35" s="178">
        <f>SUBTOTAL(109,VPOFExpenses[Actual 10/11])</f>
        <v>117103.85000000002</v>
      </c>
      <c r="E35" s="178">
        <f>SUBTOTAL(109,VPOFExpenses[Budget 11/12])</f>
        <v>157425.41</v>
      </c>
      <c r="F35" s="178">
        <f>SUBTOTAL(109,VPOFExpenses[Actual 11/12])</f>
        <v>123205.68999999999</v>
      </c>
      <c r="G35" s="178">
        <f>SUBTOTAL(109,VPOFExpenses[Budget 12/13])</f>
        <v>97673.733500000002</v>
      </c>
      <c r="H35" s="178">
        <f>SUBTOTAL(109,VPOFExpenses[Actual 12/13])</f>
        <v>71592.36</v>
      </c>
      <c r="I35" s="178">
        <f>SUBTOTAL(109,VPOFExpenses[Budget 13/14])</f>
        <v>100116.2</v>
      </c>
      <c r="J35" s="178">
        <f>SUBTOTAL(109,VPOFExpenses[Actual 13/14])</f>
        <v>63102.339999999989</v>
      </c>
      <c r="K35" s="178">
        <f>SUBTOTAL(109,VPOFExpenses[Budget 14/15])</f>
        <v>78925.03</v>
      </c>
      <c r="L35" s="178">
        <f>SUBTOTAL(109,VPOFExpenses[Actual 14/15])</f>
        <v>59416.929999999986</v>
      </c>
      <c r="M35" s="178">
        <f>SUBTOTAL(109,VPOFExpenses[Budget 15/16])</f>
        <v>78567.12000000001</v>
      </c>
      <c r="N35" s="145">
        <f>SUBTOTAL(109,VPOFExpenses[Actual 15/16])</f>
        <v>63730.510000000009</v>
      </c>
      <c r="O35" s="178">
        <f>SUBTOTAL(109,VPOFExpenses[Budget 16/17])</f>
        <v>81943.880759999985</v>
      </c>
      <c r="P35" s="178">
        <f>SUBTOTAL(109,VPOFExpenses[Actual 16/17])</f>
        <v>65667.130000000019</v>
      </c>
      <c r="Q35" s="178">
        <f>SUBTOTAL(109,VPOFExpenses[Budget 17/18])</f>
        <v>77621.180000000008</v>
      </c>
      <c r="R35" s="21">
        <f>SUM(VPOFExpenses[Actual 17/18])</f>
        <v>67560.060000000012</v>
      </c>
      <c r="S35" s="21">
        <f>SUBTOTAL(109,VPOFExpenses[Budget 18/19])</f>
        <v>72173.680000000008</v>
      </c>
      <c r="T35" s="21">
        <f>SUBTOTAL(109,VPOFExpenses[Actual 18/19])</f>
        <v>63806.929999999993</v>
      </c>
      <c r="U35" s="21">
        <f>SUBTOTAL(109,VPOFExpenses[Budget 19/20])</f>
        <v>77637.606800000009</v>
      </c>
      <c r="V35" s="21">
        <f>SUM(VPOFExpenses[Actual P12 19/20])</f>
        <v>69424.459999999992</v>
      </c>
      <c r="W35" s="21">
        <f>SUBTOTAL(109,VPOFExpenses[Budget 20/21])</f>
        <v>245358.8088</v>
      </c>
      <c r="X35" s="21">
        <f>SUBTOTAL(109,VPOFExpenses[Actual 20/21])</f>
        <v>170199.16999999998</v>
      </c>
      <c r="Y35" s="21">
        <f>SUBTOTAL(109,VPOFExpenses[Budget 21/22])</f>
        <v>131450.79147865518</v>
      </c>
      <c r="Z35" s="21">
        <f>SUBTOTAL(109,VPOFExpenses[Actual 21/22])</f>
        <v>90130.18</v>
      </c>
      <c r="AA35" s="21">
        <f>SUM(VPOFExpenses[Budget 22/23])</f>
        <v>40294.901722892304</v>
      </c>
    </row>
    <row r="36" spans="1:27" s="11" customFormat="1" ht="13.5" thickBot="1">
      <c r="N36" s="132"/>
      <c r="R36"/>
      <c r="S36"/>
      <c r="T36"/>
      <c r="U36"/>
    </row>
    <row r="37" spans="1:27" ht="19.5" thickBot="1">
      <c r="A37" s="11"/>
      <c r="B37" s="611" t="s">
        <v>127</v>
      </c>
      <c r="C37" s="27">
        <f>VPOFRevenues[[#Totals],[Budget 10/11]]-VPOFExpenses[[#Totals],[Budget 10/11]]</f>
        <v>-132270.88</v>
      </c>
      <c r="D37" s="27">
        <f>VPOFRevenues[[#Totals],[Actual 10/11]]-VPOFExpenses[[#Totals],[Actual 10/11]]</f>
        <v>-117103.85000000002</v>
      </c>
      <c r="E37" s="27">
        <f>VPOFRevenues[[#Totals],[Budget 11/12]]-VPOFExpenses[[#Totals],[Budget 11/12]]</f>
        <v>-157425.41</v>
      </c>
      <c r="F37" s="27">
        <f>VPOFRevenues[[#Totals],[Actual 11/12]]-VPOFExpenses[[#Totals],[Actual 11/12]]</f>
        <v>-123205.68999999999</v>
      </c>
      <c r="G37" s="27">
        <f>VPOFRevenues[[#Totals],[Budget 12/13]]-VPOFExpenses[[#Totals],[Budget 12/13]]</f>
        <v>-97673.733500000002</v>
      </c>
      <c r="H37" s="27">
        <f>VPOFRevenues[[#Totals],[Actual 12/13]]-VPOFExpenses[[#Totals],[Actual 12/13]]</f>
        <v>-64348.14</v>
      </c>
      <c r="I37" s="27">
        <f>VPOFRevenues[[#Totals],[Budget 13/14]]-VPOFExpenses[[#Totals],[Budget 13/14]]</f>
        <v>-100116.2</v>
      </c>
      <c r="J37" s="27">
        <f>VPOFRevenues[[#Totals],[Actual 13/14]]-VPOFExpenses[[#Totals],[Actual 13/14]]</f>
        <v>-63102.339999999989</v>
      </c>
      <c r="K37" s="27">
        <f>VPOFRevenues[[#Totals],[Budget 14/15]]-VPOFExpenses[[#Totals],[Budget 14/15]]</f>
        <v>-78925.03</v>
      </c>
      <c r="L37" s="27">
        <f>VPOFRevenues[[#Totals],[Actual 14/15]]-VPOFExpenses[[#Totals],[Actual 14/15]]</f>
        <v>-59416.929999999986</v>
      </c>
      <c r="M37" s="27">
        <f>VPOFRevenues[[#Totals],[Budget 15/16]]-VPOFExpenses[[#Totals],[Budget 15/16]]</f>
        <v>-78567.12000000001</v>
      </c>
      <c r="N37" s="27">
        <f>VPOFRevenues[[#Totals],[Actual 15/16]]-VPOFExpenses[[#Totals],[Actual 15/16]]</f>
        <v>-63730.510000000009</v>
      </c>
      <c r="O37" s="79">
        <f>VPOFRevenues[[#Totals],[Budget 16/17]]-VPOFExpenses[[#Totals],[Budget 16/17]]</f>
        <v>-81943.880759999985</v>
      </c>
      <c r="P37" s="79">
        <f>VPOFRevenues[[#Totals],[Actual 16/17]]-VPOFExpenses[[#Totals],[Actual 16/17]]</f>
        <v>-65667.130000000019</v>
      </c>
      <c r="Q37" s="79">
        <f>VPOFRevenues[[#Totals],[Budget 17/18]]-VPOFExpenses[[#Totals],[Budget 17/18]]</f>
        <v>-77621.180000000008</v>
      </c>
      <c r="R37" s="192">
        <f>VPOFRevenues[[#Totals],[Actual 17/18]]-VPOFExpenses[[#Totals],[Actual 17/18]]</f>
        <v>-67560.060000000012</v>
      </c>
      <c r="S37" s="192">
        <f>VPOFRevenues[[#Totals],[Budget 18/19]]-VPOFExpenses[[#Totals],[Budget 18/19]]</f>
        <v>-72173.680000000008</v>
      </c>
      <c r="T37" s="192">
        <f>VPOFRevenues[[#Totals],[Actual 18/19]]-VPOFExpenses[[#Totals],[Actual 18/19]]</f>
        <v>-63806.929999999993</v>
      </c>
      <c r="U37" s="192">
        <f>VPOFRevenues[[#Totals],[Budget 19/20]]-VPOFExpenses[[#Totals],[Budget 19/20]]</f>
        <v>-77637.606800000009</v>
      </c>
      <c r="V37" s="192">
        <f>VPOFRevenues[[#Totals],[Actual P12 19/20]]-VPOFExpenses[[#Totals],[Actual P12 19/20]]</f>
        <v>-69424.459999999992</v>
      </c>
      <c r="W37" s="192">
        <f>VPOFRevenues[[#Totals],[Budget 20/21]]-VPOFExpenses[[#Totals],[Budget 20/21]]</f>
        <v>-189858.8088</v>
      </c>
      <c r="X37" s="192">
        <f>VPOFRevenues[[#Totals],[Actual 20/21]]-VPOFExpenses[[#Totals],[Actual 20/21]]</f>
        <v>-170199.16999999998</v>
      </c>
      <c r="Y37" s="192">
        <f>VPOFRevenues[[#Totals],[Budget 21/22]]-VPOFExpenses[[#Totals],[Budget 21/22]]</f>
        <v>-131450.79147865518</v>
      </c>
      <c r="Z37" s="192">
        <f>VPOFRevenues[[#Totals],[Actual 21/22]]-VPOFExpenses[[#Totals],[Actual 21/22]]</f>
        <v>-90130.18</v>
      </c>
      <c r="AA37" s="192">
        <f>VPOFRevenues[[#Totals],[Budget 22/23]]-VPOFExpenses[[#Totals],[Budget 22/23]]</f>
        <v>-40294.901722892304</v>
      </c>
    </row>
    <row r="38" spans="1:27">
      <c r="A38" s="11"/>
      <c r="B38" s="11"/>
      <c r="C38" s="11"/>
      <c r="D38" s="11"/>
      <c r="E38" s="11"/>
      <c r="F38" s="11"/>
      <c r="G38" s="11"/>
      <c r="H38" s="11"/>
      <c r="I38" s="11"/>
      <c r="J38" s="11"/>
      <c r="K38" s="11"/>
      <c r="L38" s="11"/>
      <c r="M38" s="11"/>
      <c r="N38" s="132"/>
      <c r="O38" s="11"/>
      <c r="P38" s="11"/>
      <c r="Q38" s="11"/>
    </row>
    <row r="39" spans="1:27">
      <c r="A39" s="11"/>
      <c r="B39" s="11"/>
      <c r="C39" s="11"/>
      <c r="D39" s="11"/>
      <c r="E39" s="11"/>
      <c r="F39" s="11"/>
      <c r="G39" s="11"/>
      <c r="H39" s="11"/>
      <c r="I39" s="11"/>
      <c r="J39" s="11"/>
      <c r="K39" s="11"/>
      <c r="L39" s="11"/>
      <c r="M39" s="11"/>
      <c r="N39" s="132"/>
      <c r="O39" s="11"/>
      <c r="P39" s="11"/>
      <c r="Q39" s="11"/>
    </row>
    <row r="40" spans="1:27">
      <c r="A40" s="11"/>
      <c r="B40" s="11"/>
      <c r="C40" s="11"/>
      <c r="D40" s="11"/>
      <c r="E40" s="11"/>
      <c r="F40" s="11"/>
      <c r="G40" s="11"/>
      <c r="H40" s="11"/>
      <c r="I40" s="11"/>
      <c r="J40" s="11"/>
      <c r="K40" s="11"/>
      <c r="L40" s="11"/>
      <c r="M40" s="11"/>
      <c r="N40" s="132"/>
      <c r="O40" s="11"/>
      <c r="P40" s="11"/>
      <c r="Q40" s="11"/>
    </row>
    <row r="41" spans="1:27">
      <c r="A41" s="11"/>
      <c r="B41" s="11"/>
      <c r="C41" s="11"/>
      <c r="D41" s="11"/>
      <c r="E41" s="11"/>
      <c r="F41" s="11"/>
      <c r="G41" s="11"/>
      <c r="H41" s="11"/>
      <c r="I41" s="11"/>
      <c r="J41" s="11"/>
      <c r="K41" s="11"/>
      <c r="L41" s="11"/>
      <c r="M41" s="11"/>
      <c r="N41" s="132"/>
      <c r="O41" s="11"/>
      <c r="P41" s="11"/>
      <c r="Q41" s="11"/>
    </row>
    <row r="42" spans="1:27">
      <c r="A42" s="11"/>
      <c r="B42" s="11"/>
      <c r="C42" s="11"/>
      <c r="D42" s="11"/>
      <c r="E42" s="11"/>
      <c r="F42" s="11"/>
      <c r="G42" s="11"/>
      <c r="H42" s="11"/>
      <c r="I42" s="11"/>
      <c r="J42" s="11"/>
      <c r="K42" s="11"/>
      <c r="L42" s="11"/>
      <c r="M42" s="11"/>
      <c r="N42" s="132"/>
      <c r="O42" s="11"/>
      <c r="P42" s="11"/>
      <c r="Q42" s="11"/>
    </row>
    <row r="43" spans="1:27">
      <c r="A43" s="11"/>
      <c r="B43" s="11"/>
      <c r="C43" s="11"/>
      <c r="D43" s="11"/>
      <c r="E43" s="11"/>
      <c r="F43" s="11"/>
      <c r="G43" s="11"/>
      <c r="H43" s="11"/>
      <c r="I43" s="11"/>
      <c r="J43" s="11"/>
      <c r="K43" s="11"/>
      <c r="L43" s="11"/>
      <c r="M43" s="11"/>
      <c r="N43" s="132"/>
      <c r="O43" s="11"/>
      <c r="P43" s="11"/>
      <c r="Q43" s="11"/>
    </row>
    <row r="44" spans="1:27">
      <c r="A44" s="11"/>
      <c r="B44" s="11"/>
      <c r="C44" s="11"/>
      <c r="D44" s="11"/>
      <c r="E44" s="11"/>
      <c r="F44" s="11"/>
      <c r="G44" s="11"/>
      <c r="H44" s="11"/>
      <c r="I44" s="11"/>
      <c r="J44" s="11"/>
      <c r="K44" s="11"/>
      <c r="L44" s="11"/>
      <c r="M44" s="11"/>
      <c r="N44" s="132"/>
      <c r="O44" s="11"/>
      <c r="P44" s="11"/>
      <c r="Q44" s="11"/>
    </row>
    <row r="45" spans="1:27">
      <c r="A45" s="11"/>
      <c r="B45" s="11"/>
      <c r="C45" s="11"/>
      <c r="D45" s="11"/>
      <c r="E45" s="11"/>
      <c r="F45" s="11"/>
      <c r="G45" s="11"/>
      <c r="H45" s="11"/>
      <c r="I45" s="11"/>
      <c r="J45" s="11"/>
      <c r="K45" s="11"/>
      <c r="L45" s="11"/>
      <c r="M45" s="11"/>
      <c r="N45" s="132"/>
      <c r="O45" s="11"/>
      <c r="P45" s="11"/>
      <c r="Q45" s="11"/>
    </row>
    <row r="46" spans="1:27">
      <c r="B46" s="11"/>
      <c r="C46" s="11"/>
      <c r="D46" s="11"/>
      <c r="E46" s="11"/>
      <c r="F46" s="11"/>
      <c r="G46" s="11"/>
      <c r="H46" s="11"/>
      <c r="I46" s="11"/>
      <c r="J46" s="11"/>
      <c r="K46" s="11"/>
      <c r="L46" s="11"/>
      <c r="M46" s="11"/>
      <c r="N46" s="132"/>
      <c r="O46" s="11"/>
      <c r="P46" s="11"/>
      <c r="Q46" s="11"/>
    </row>
    <row r="47" spans="1:27">
      <c r="B47" s="11"/>
      <c r="C47" s="11"/>
      <c r="D47" s="11"/>
      <c r="E47" s="11"/>
      <c r="F47" s="11"/>
      <c r="G47" s="11"/>
      <c r="H47" s="11"/>
      <c r="I47" s="11"/>
      <c r="J47" s="11"/>
      <c r="K47" s="11"/>
      <c r="L47" s="11"/>
      <c r="M47" s="11"/>
    </row>
    <row r="48" spans="1:27">
      <c r="B48" s="11"/>
      <c r="C48" s="11"/>
      <c r="D48" s="11"/>
      <c r="E48" s="11"/>
      <c r="F48" s="11"/>
      <c r="G48" s="11"/>
      <c r="H48" s="11"/>
      <c r="I48" s="11"/>
      <c r="J48" s="11"/>
      <c r="K48" s="11"/>
      <c r="L48" s="11"/>
      <c r="M48" s="11"/>
    </row>
  </sheetData>
  <customSheetViews>
    <customSheetView guid="{DC934874-AE9C-4DF4-8DA8-4394DABABB42}" showRuler="0" topLeftCell="A7">
      <selection activeCell="G24" sqref="G24"/>
      <pageMargins left="0" right="0" top="0" bottom="0" header="0" footer="0"/>
      <pageSetup orientation="portrait"/>
      <headerFooter alignWithMargins="0"/>
    </customSheetView>
    <customSheetView guid="{7FD89B2E-4983-4B8D-ABA2-A07F685A0C6E}" showRuler="0" topLeftCell="A7">
      <selection activeCell="F20" sqref="F20"/>
      <pageMargins left="0" right="0" top="0" bottom="0" header="0" footer="0"/>
      <pageSetup orientation="portrait"/>
      <headerFooter alignWithMargins="0"/>
    </customSheetView>
    <customSheetView guid="{84D8AC11-A493-4338-8044-6F4154C29695}" showRuler="0" topLeftCell="A7">
      <selection activeCell="H13" sqref="H13"/>
      <pageMargins left="0" right="0" top="0" bottom="0" header="0" footer="0"/>
      <pageSetup orientation="portrait"/>
      <headerFooter alignWithMargins="0"/>
    </customSheetView>
    <customSheetView guid="{BB157E55-0A2E-4D9F-A3BF-E83E5442FC27}" showPageBreaks="1" showRuler="0" topLeftCell="A7">
      <selection activeCell="H13" sqref="H13"/>
      <pageMargins left="0" right="0" top="0" bottom="0" header="0" footer="0"/>
      <pageSetup orientation="portrait"/>
      <headerFooter alignWithMargins="0"/>
    </customSheetView>
  </customSheetViews>
  <mergeCells count="1">
    <mergeCell ref="A1:C1"/>
  </mergeCells>
  <phoneticPr fontId="0" type="noConversion"/>
  <pageMargins left="0" right="0" top="0.98425196850393704" bottom="0.98425196850393704" header="0.51181102362204722" footer="0.51181102362204722"/>
  <pageSetup paperSize="5" scale="99" orientation="landscape" r:id="rId1"/>
  <headerFooter alignWithMargins="0"/>
  <legacyDrawing r:id="rId2"/>
  <tableParts count="2">
    <tablePart r:id="rId3"/>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FF00"/>
  </sheetPr>
  <dimension ref="A1:Z20"/>
  <sheetViews>
    <sheetView zoomScaleNormal="100" workbookViewId="0">
      <selection activeCell="AC3" sqref="AC3"/>
    </sheetView>
  </sheetViews>
  <sheetFormatPr defaultColWidth="8.85546875" defaultRowHeight="12.75"/>
  <cols>
    <col min="1" max="1" width="41.85546875" customWidth="1"/>
    <col min="2" max="12" width="15.42578125" hidden="1" customWidth="1"/>
    <col min="13" max="13" width="14.42578125" hidden="1" customWidth="1"/>
    <col min="14" max="14" width="14.28515625" hidden="1" customWidth="1"/>
    <col min="15" max="15" width="12.85546875" hidden="1" customWidth="1"/>
    <col min="16" max="16" width="19.7109375" hidden="1" customWidth="1"/>
    <col min="17" max="17" width="15.140625" style="8" hidden="1" customWidth="1"/>
    <col min="18" max="18" width="14.140625" hidden="1" customWidth="1"/>
    <col min="19" max="19" width="14.42578125" hidden="1" customWidth="1"/>
    <col min="20" max="20" width="17.140625" hidden="1" customWidth="1"/>
    <col min="21" max="21" width="15.28515625" hidden="1" customWidth="1"/>
    <col min="22" max="22" width="15.85546875" hidden="1" customWidth="1"/>
    <col min="23" max="23" width="18.42578125" customWidth="1"/>
    <col min="24" max="24" width="14" bestFit="1" customWidth="1"/>
    <col min="25" max="25" width="20.42578125" bestFit="1" customWidth="1"/>
  </cols>
  <sheetData>
    <row r="1" spans="1:26" ht="18">
      <c r="A1" s="758" t="s">
        <v>48</v>
      </c>
      <c r="B1" s="758"/>
      <c r="C1" s="10"/>
      <c r="D1" s="10"/>
      <c r="E1" s="10"/>
      <c r="F1" s="10"/>
      <c r="G1" s="10"/>
      <c r="H1" s="10"/>
      <c r="I1" s="10"/>
      <c r="J1" s="10"/>
      <c r="K1" s="10"/>
      <c r="L1" s="10"/>
    </row>
    <row r="2" spans="1:26">
      <c r="A2" s="28" t="s">
        <v>49</v>
      </c>
      <c r="B2" s="24"/>
    </row>
    <row r="4" spans="1:26" s="24" customFormat="1" ht="15.75">
      <c r="A4" s="22" t="s">
        <v>50</v>
      </c>
      <c r="B4" s="131" t="s">
        <v>51</v>
      </c>
      <c r="C4" s="131" t="s">
        <v>52</v>
      </c>
      <c r="D4" s="131" t="s">
        <v>53</v>
      </c>
      <c r="E4" s="131" t="s">
        <v>54</v>
      </c>
      <c r="F4" s="131" t="s">
        <v>55</v>
      </c>
      <c r="G4" s="131" t="s">
        <v>56</v>
      </c>
      <c r="H4" s="131" t="s">
        <v>57</v>
      </c>
      <c r="I4" s="131" t="s">
        <v>58</v>
      </c>
      <c r="J4" s="131" t="s">
        <v>59</v>
      </c>
      <c r="K4" s="131" t="s">
        <v>60</v>
      </c>
      <c r="L4" s="23" t="s">
        <v>9</v>
      </c>
      <c r="M4" s="131" t="s">
        <v>10</v>
      </c>
      <c r="N4" s="131" t="s">
        <v>11</v>
      </c>
      <c r="O4" s="131" t="s">
        <v>12</v>
      </c>
      <c r="P4" s="131" t="s">
        <v>13</v>
      </c>
      <c r="Q4" s="131" t="s">
        <v>14</v>
      </c>
      <c r="R4" s="131" t="s">
        <v>15</v>
      </c>
      <c r="S4" s="131" t="s">
        <v>39</v>
      </c>
      <c r="T4" s="131" t="s">
        <v>16</v>
      </c>
      <c r="U4" s="131" t="s">
        <v>61</v>
      </c>
      <c r="V4" s="359" t="s">
        <v>40</v>
      </c>
      <c r="W4" s="359" t="s">
        <v>41</v>
      </c>
      <c r="X4" s="131" t="s">
        <v>42</v>
      </c>
      <c r="Y4" s="131" t="s">
        <v>43</v>
      </c>
      <c r="Z4" s="24" t="s">
        <v>62</v>
      </c>
    </row>
    <row r="5" spans="1:26">
      <c r="A5" s="492" t="s">
        <v>63</v>
      </c>
      <c r="B5" s="606"/>
      <c r="C5" s="606"/>
      <c r="D5" s="606"/>
      <c r="E5" s="606"/>
      <c r="F5" s="606"/>
      <c r="G5" s="606"/>
      <c r="H5" s="606"/>
      <c r="I5" s="606"/>
      <c r="J5" s="606"/>
      <c r="K5" s="606"/>
      <c r="L5" s="606"/>
      <c r="M5" s="606"/>
      <c r="N5" s="606"/>
      <c r="O5" s="606"/>
      <c r="P5" s="606"/>
      <c r="Q5" s="606"/>
      <c r="R5" s="606">
        <f>PresidentRevenues[[#Totals],[Budget 18/19]]</f>
        <v>0</v>
      </c>
      <c r="S5" s="606">
        <f>PresidentRevenues[Actual 18/19]</f>
        <v>0</v>
      </c>
      <c r="T5" s="606">
        <f>PresidentRevenues[[#Totals],[Budget 19/20]]</f>
        <v>0</v>
      </c>
      <c r="U5" s="606">
        <f>PresidentRevenues[[#Totals],[Budget 20/21]]</f>
        <v>0</v>
      </c>
      <c r="V5" s="607">
        <f>'President (30100)'!X6</f>
        <v>0</v>
      </c>
      <c r="W5" s="607">
        <v>0</v>
      </c>
      <c r="X5" s="607"/>
      <c r="Y5" s="607"/>
      <c r="Z5" s="292"/>
    </row>
    <row r="6" spans="1:26" hidden="1">
      <c r="A6" s="492" t="s">
        <v>64</v>
      </c>
      <c r="B6" s="606"/>
      <c r="C6" s="606"/>
      <c r="D6" s="606"/>
      <c r="E6" s="606"/>
      <c r="F6" s="606"/>
      <c r="G6" s="606"/>
      <c r="H6" s="606"/>
      <c r="I6" s="606"/>
      <c r="J6" s="606"/>
      <c r="K6" s="606"/>
      <c r="L6" s="606"/>
      <c r="M6" s="606"/>
      <c r="N6" s="606"/>
      <c r="O6" s="606"/>
      <c r="P6" s="606"/>
      <c r="Q6" s="606"/>
      <c r="R6" s="606">
        <v>-1490</v>
      </c>
      <c r="S6" s="606">
        <f>PresidentRevenues[Actual 18/19]</f>
        <v>0</v>
      </c>
      <c r="T6" s="606"/>
      <c r="U6" s="606"/>
      <c r="V6" s="607">
        <f>'President (30100)'!X7</f>
        <v>0</v>
      </c>
      <c r="W6" s="607"/>
      <c r="X6" s="607"/>
      <c r="Y6" s="607"/>
      <c r="Z6" s="292"/>
    </row>
    <row r="7" spans="1:26">
      <c r="A7" s="492" t="s">
        <v>65</v>
      </c>
      <c r="B7" s="606"/>
      <c r="C7" s="606"/>
      <c r="D7" s="606"/>
      <c r="E7" s="606"/>
      <c r="F7" s="606"/>
      <c r="G7" s="606"/>
      <c r="H7" s="606"/>
      <c r="I7" s="606"/>
      <c r="J7" s="606"/>
      <c r="K7" s="606"/>
      <c r="L7" s="606"/>
      <c r="M7" s="606"/>
      <c r="N7" s="606"/>
      <c r="O7" s="606"/>
      <c r="P7" s="606"/>
      <c r="Q7" s="606"/>
      <c r="R7" s="606">
        <f>ElectionsRevenues[[#Totals],[Budget 18/19]]</f>
        <v>0</v>
      </c>
      <c r="S7" s="606">
        <f>ElectionsRevenues[Actual 18/19]</f>
        <v>0</v>
      </c>
      <c r="T7" s="606">
        <f>ElectionsRevenues[[#Totals],[Budget 19/20]]</f>
        <v>0</v>
      </c>
      <c r="U7" s="606">
        <f>ElectionsRevenues[[#Totals],[Actual P12 19/20]]</f>
        <v>0</v>
      </c>
      <c r="V7" s="607">
        <f>'Elections (31300)'!X6</f>
        <v>0</v>
      </c>
      <c r="W7" s="607">
        <v>0</v>
      </c>
      <c r="X7" s="607"/>
      <c r="Y7" s="607"/>
      <c r="Z7" s="292"/>
    </row>
    <row r="8" spans="1:26" hidden="1">
      <c r="A8" s="492" t="s">
        <v>66</v>
      </c>
      <c r="B8" s="606"/>
      <c r="C8" s="606"/>
      <c r="D8" s="606"/>
      <c r="E8" s="606"/>
      <c r="F8" s="606"/>
      <c r="G8" s="606"/>
      <c r="H8" s="606"/>
      <c r="I8" s="606"/>
      <c r="J8" s="606"/>
      <c r="K8" s="606"/>
      <c r="L8" s="606"/>
      <c r="M8" s="606"/>
      <c r="N8" s="606"/>
      <c r="O8" s="606"/>
      <c r="P8" s="606"/>
      <c r="Q8" s="606"/>
      <c r="R8" s="606">
        <f>RPORevenues[[#Totals],[Budget 18/19]]</f>
        <v>0</v>
      </c>
      <c r="S8" s="606">
        <f>RPORevenues[Actual 18/19]</f>
        <v>0</v>
      </c>
      <c r="T8" s="606">
        <f>RPORevenues[[#Totals],[Actual P12 19/20]]</f>
        <v>0</v>
      </c>
      <c r="U8" s="606">
        <f>RPORevenues[[#Totals],[Budget 20/21]]</f>
        <v>0</v>
      </c>
      <c r="V8" s="607"/>
      <c r="W8" s="607">
        <v>0</v>
      </c>
      <c r="X8" s="607"/>
      <c r="Y8" s="607"/>
      <c r="Z8" s="292"/>
    </row>
    <row r="9" spans="1:26">
      <c r="A9" s="492" t="s">
        <v>67</v>
      </c>
      <c r="B9" s="606"/>
      <c r="C9" s="606"/>
      <c r="D9" s="606"/>
      <c r="E9" s="606"/>
      <c r="F9" s="606"/>
      <c r="G9" s="606"/>
      <c r="H9" s="606"/>
      <c r="I9" s="606"/>
      <c r="J9" s="606"/>
      <c r="K9" s="606"/>
      <c r="L9" s="606"/>
      <c r="M9" s="606"/>
      <c r="N9" s="606"/>
      <c r="O9" s="606"/>
      <c r="P9" s="606"/>
      <c r="Q9" s="606"/>
      <c r="R9" s="606">
        <f>StudentGovernmentRevenues[[#Totals],[Budget 18/19]]</f>
        <v>0</v>
      </c>
      <c r="S9" s="606">
        <f>StudentGovernmentRevenues[Actual 18/19]</f>
        <v>0</v>
      </c>
      <c r="T9" s="606">
        <f>StudentGovernmentRevenues[[#Totals],[Budget 19/20]]</f>
        <v>2740</v>
      </c>
      <c r="U9" s="606">
        <f>StudentGovernmentRevenues[[#Totals],[Budget 20/21]]</f>
        <v>2740</v>
      </c>
      <c r="V9" s="607">
        <f>'BoD (31100)'!X6</f>
        <v>0</v>
      </c>
      <c r="W9" s="607" cm="1">
        <f t="array" ref="W9">StudentGovernmentRevenues[Budget 21/22]</f>
        <v>0</v>
      </c>
      <c r="X9" s="607"/>
      <c r="Y9" s="607"/>
      <c r="Z9" s="292"/>
    </row>
    <row r="10" spans="1:26" ht="16.5" thickBot="1">
      <c r="A10" s="190" t="s">
        <v>21</v>
      </c>
      <c r="B10" s="191"/>
      <c r="C10" s="191"/>
      <c r="D10" s="191"/>
      <c r="E10" s="191"/>
      <c r="F10" s="191"/>
      <c r="G10" s="191"/>
      <c r="H10" s="191"/>
      <c r="I10" s="191"/>
      <c r="J10" s="191"/>
      <c r="K10" s="191"/>
      <c r="L10" s="187"/>
      <c r="M10" s="187"/>
      <c r="N10" s="187"/>
      <c r="O10" s="187"/>
      <c r="P10" s="187"/>
      <c r="Q10" s="187"/>
      <c r="R10" s="187">
        <f>SUBTOTAL(109,PresidentSummary70[Budget 18/19])</f>
        <v>0</v>
      </c>
      <c r="S10" s="187">
        <f>SUBTOTAL(109,PresidentSummary70[Actual 18/19])</f>
        <v>0</v>
      </c>
      <c r="T10" s="187">
        <f>SUBTOTAL(109,PresidentSummary70[Budget 19/20])</f>
        <v>2740</v>
      </c>
      <c r="U10" s="187">
        <f>SUBTOTAL(109,PresidentSummary70[Budget 19/21])</f>
        <v>2740</v>
      </c>
      <c r="V10" s="187">
        <f>SUBTOTAL(109,PresidentSummary70[Actual 20/21])</f>
        <v>0</v>
      </c>
      <c r="W10" s="187">
        <f>SUBTOTAL(109,PresidentSummary70[Budget 21/22])</f>
        <v>0</v>
      </c>
      <c r="X10" s="187">
        <f>SUBTOTAL(109,PresidentSummary70[Actual 21/22])</f>
        <v>0</v>
      </c>
      <c r="Y10" s="561"/>
      <c r="Z10" s="292"/>
    </row>
    <row r="12" spans="1:26" ht="15.75">
      <c r="A12" s="22" t="s">
        <v>68</v>
      </c>
      <c r="B12" s="131" t="s">
        <v>51</v>
      </c>
      <c r="C12" s="131" t="s">
        <v>52</v>
      </c>
      <c r="D12" s="131" t="s">
        <v>53</v>
      </c>
      <c r="E12" s="131" t="s">
        <v>54</v>
      </c>
      <c r="F12" s="131" t="s">
        <v>55</v>
      </c>
      <c r="G12" s="131" t="s">
        <v>56</v>
      </c>
      <c r="H12" s="131" t="s">
        <v>57</v>
      </c>
      <c r="I12" s="131" t="s">
        <v>58</v>
      </c>
      <c r="J12" s="131" t="s">
        <v>59</v>
      </c>
      <c r="K12" s="131" t="s">
        <v>60</v>
      </c>
      <c r="L12" s="23" t="s">
        <v>9</v>
      </c>
      <c r="M12" s="131" t="s">
        <v>10</v>
      </c>
      <c r="N12" s="131" t="s">
        <v>11</v>
      </c>
      <c r="O12" s="131" t="s">
        <v>12</v>
      </c>
      <c r="P12" s="131" t="s">
        <v>13</v>
      </c>
      <c r="Q12" s="131" t="s">
        <v>14</v>
      </c>
      <c r="R12" s="131" t="s">
        <v>15</v>
      </c>
      <c r="S12" s="131" t="s">
        <v>39</v>
      </c>
      <c r="T12" s="131" t="s">
        <v>16</v>
      </c>
      <c r="U12" s="131" t="s">
        <v>61</v>
      </c>
      <c r="V12" s="359" t="s">
        <v>40</v>
      </c>
      <c r="W12" s="359" t="s">
        <v>41</v>
      </c>
      <c r="X12" s="131" t="s">
        <v>42</v>
      </c>
      <c r="Y12" s="131" t="s">
        <v>43</v>
      </c>
      <c r="Z12" s="24" t="s">
        <v>62</v>
      </c>
    </row>
    <row r="13" spans="1:26">
      <c r="A13" s="492" t="s">
        <v>63</v>
      </c>
      <c r="B13" s="606"/>
      <c r="C13" s="606"/>
      <c r="D13" s="606"/>
      <c r="E13" s="606"/>
      <c r="F13" s="606"/>
      <c r="G13" s="606"/>
      <c r="H13" s="606"/>
      <c r="I13" s="606"/>
      <c r="J13" s="606"/>
      <c r="K13" s="606"/>
      <c r="L13" s="606">
        <f>PresidentRevenues[[#Totals],[Budget 15/16]]-PresidentExpenses[[#Totals],[Budget 15/16]]</f>
        <v>-75212.760000000009</v>
      </c>
      <c r="M13" s="606">
        <f>PresidentRevenues[[#Totals],[Actuals 15/16]]-PresidentExpenses[[#Totals],[Actual 15/16]]</f>
        <v>-54095.470000000008</v>
      </c>
      <c r="N13" s="606">
        <f>PresidentRevenues[[#Totals],[Budget 16/17]]-PresidentExpenses[[#Totals],[Budget 16/17]]</f>
        <v>-76909.350760000001</v>
      </c>
      <c r="O13" s="606">
        <f>PresidentRevenues[[#Totals],[Actual 16/17]]-PresidentExpenses[[#Totals],[Actual 16/17]]</f>
        <v>-71750.77</v>
      </c>
      <c r="P13" s="606">
        <f>PresidentRevenues[[#Totals],[Budget 17/18]]-PresidentExpenses[[#Totals],[Budget 17/18]]</f>
        <v>-70981.180000000008</v>
      </c>
      <c r="Q13" s="606">
        <f>'President (30100)'!R37</f>
        <v>-68167.39</v>
      </c>
      <c r="R13" s="606">
        <f>'President (30100)'!S36</f>
        <v>70468.680000000008</v>
      </c>
      <c r="S13" s="606">
        <f>'President (30100)'!T36</f>
        <v>67122.080000000002</v>
      </c>
      <c r="T13" s="606">
        <f>'President (30100)'!U36</f>
        <v>82111.458800000008</v>
      </c>
      <c r="U13" s="606">
        <f>'President (30100)'!W36</f>
        <v>104246.16213333335</v>
      </c>
      <c r="V13" s="607">
        <f>'President (30100)'!X36</f>
        <v>61532.04</v>
      </c>
      <c r="W13" s="607">
        <f>'President (30100)'!Y36</f>
        <v>138767.86147865519</v>
      </c>
      <c r="X13" s="607">
        <f>'President (30100)'!Z36</f>
        <v>62771.340000000004</v>
      </c>
      <c r="Y13" s="607">
        <f>'President (30100)'!AA36</f>
        <v>142749.13226666665</v>
      </c>
      <c r="Z13" s="292">
        <f>(PresidentSummary[[#This Row],[Budget 21/22]]-PresidentSummary[[#This Row],[Budget 19/21]])/PresidentSummary[[#This Row],[Budget 19/21]]</f>
        <v>0.33115559018055518</v>
      </c>
    </row>
    <row r="14" spans="1:26" hidden="1">
      <c r="A14" s="492" t="s">
        <v>64</v>
      </c>
      <c r="B14" s="606"/>
      <c r="C14" s="606"/>
      <c r="D14" s="606"/>
      <c r="E14" s="606"/>
      <c r="F14" s="606"/>
      <c r="G14" s="606"/>
      <c r="H14" s="606"/>
      <c r="I14" s="606"/>
      <c r="J14" s="606"/>
      <c r="K14" s="606"/>
      <c r="L14" s="606">
        <v>-14772.56</v>
      </c>
      <c r="M14" s="606">
        <v>-12968.810000000001</v>
      </c>
      <c r="N14" s="606">
        <v>-18766.8</v>
      </c>
      <c r="O14" s="606">
        <v>-10830.94</v>
      </c>
      <c r="P14" s="606">
        <v>-11743.8</v>
      </c>
      <c r="Q14" s="606">
        <v>-6918.8600000000006</v>
      </c>
      <c r="R14" s="606">
        <v>-1490</v>
      </c>
      <c r="S14" s="606">
        <f>'President (30100)'!T37</f>
        <v>-67122.080000000002</v>
      </c>
      <c r="T14" s="606"/>
      <c r="U14" s="606"/>
      <c r="V14" s="607">
        <f>'President (30100)'!X37</f>
        <v>-61532.04</v>
      </c>
      <c r="W14" s="607">
        <f>'BoD (31100)'!Y36</f>
        <v>0</v>
      </c>
      <c r="X14" s="607">
        <f>ElectionsExpenses[[#Totals],[Budget 21/22]]</f>
        <v>8300</v>
      </c>
      <c r="Y14" s="607">
        <f>'President (30100)'!AA37</f>
        <v>-142749.13226666665</v>
      </c>
      <c r="Z14" s="292" t="e">
        <f>(PresidentSummary[[#This Row],[Budget 21/22]]-PresidentSummary[[#This Row],[Budget 19/21]])/PresidentSummary[[#This Row],[Budget 19/21]]</f>
        <v>#DIV/0!</v>
      </c>
    </row>
    <row r="15" spans="1:26">
      <c r="A15" s="492" t="s">
        <v>65</v>
      </c>
      <c r="B15" s="606"/>
      <c r="C15" s="606"/>
      <c r="D15" s="606"/>
      <c r="E15" s="606"/>
      <c r="F15" s="606"/>
      <c r="G15" s="606"/>
      <c r="H15" s="606"/>
      <c r="I15" s="606"/>
      <c r="J15" s="606"/>
      <c r="K15" s="606"/>
      <c r="L15" s="606">
        <f>ElectionsRevenues[[#Totals],[Budget 15/16]]-ElectionsExpenses[[#Totals],[Budget 15/16]]</f>
        <v>-3500</v>
      </c>
      <c r="M15" s="606">
        <f>ElectionsRevenues[[#Totals],[Actual 15/16]]-ElectionsExpenses[[#Totals],[Actual 15/16]]</f>
        <v>-6636.66</v>
      </c>
      <c r="N15" s="606">
        <f>ElectionsRevenues[[#Totals],[Budget 16/17]]-ElectionsExpenses[[#Totals],[Budget 16/17]]</f>
        <v>-5850</v>
      </c>
      <c r="O15" s="606">
        <f>ElectionsRevenues[[#Totals],[Actual 16/17]]-ElectionsExpenses[[#Totals],[Actual 16/17]]</f>
        <v>-5223.74</v>
      </c>
      <c r="P15" s="606">
        <f>ElectionsRevenues[[#Totals],[Budget 17/18]]-ElectionsExpenses[[#Totals],[Budget 17/18]]</f>
        <v>-9275</v>
      </c>
      <c r="Q15" s="606">
        <f>ElectionsRevenues[[#Totals],[Actual 17/18]]-ElectionsExpenses[[#Totals],[Actual 17/18]]</f>
        <v>-3080.22</v>
      </c>
      <c r="R15" s="606">
        <f>ElectionsExpenses[[#Totals],[Budget 18/19]]</f>
        <v>6300</v>
      </c>
      <c r="S15" s="606">
        <f>ElectionsExpenses[[#Totals],[Actual 18/19]]</f>
        <v>8847.18</v>
      </c>
      <c r="T15" s="606">
        <f>ElectionsExpenses[[#Totals],[Budget 19/20]]</f>
        <v>6800</v>
      </c>
      <c r="U15" s="606">
        <f>ElectionsExpenses[[#Totals],[Budget 20/21]]</f>
        <v>6300</v>
      </c>
      <c r="V15" s="607">
        <f>'Elections (31300)'!X24</f>
        <v>3126.03</v>
      </c>
      <c r="W15" s="607">
        <f>ElectionsExpenses[[#Totals],[Budget 21/22]]</f>
        <v>8300</v>
      </c>
      <c r="X15" s="607">
        <f>ElectionsExpenses[[#Totals],[Budget 21/22]]</f>
        <v>8300</v>
      </c>
      <c r="Y15" s="607">
        <f>ElectionsExpenses[[#Totals],[Budget 22/23]]</f>
        <v>24350</v>
      </c>
      <c r="Z15" s="292">
        <f>(PresidentSummary[[#This Row],[Budget 21/22]]-PresidentSummary[[#This Row],[Budget 19/21]])/PresidentSummary[[#This Row],[Budget 19/21]]</f>
        <v>0.31746031746031744</v>
      </c>
    </row>
    <row r="16" spans="1:26" hidden="1">
      <c r="A16" s="492" t="s">
        <v>66</v>
      </c>
      <c r="B16" s="606"/>
      <c r="C16" s="606"/>
      <c r="D16" s="606"/>
      <c r="E16" s="606"/>
      <c r="F16" s="606"/>
      <c r="G16" s="606"/>
      <c r="H16" s="606"/>
      <c r="I16" s="606"/>
      <c r="J16" s="606"/>
      <c r="K16" s="606"/>
      <c r="L16" s="606">
        <f>RPORevenues[[#Totals],[Budget 15/16]]-RPOExpenses[[#Totals],[Budget 15/16]]</f>
        <v>-1491.01</v>
      </c>
      <c r="M16" s="606">
        <f>RPORevenues[[#Totals],[Actual 15/16]]-RPOExpenses[[#Totals],[Actual 15/16]]</f>
        <v>-191.07999999999998</v>
      </c>
      <c r="N16" s="606">
        <f>RPORevenues[[#Totals],[Budget 16/17]]-RPOExpenses[[#Totals],[Budget 16/17]]</f>
        <v>-1410</v>
      </c>
      <c r="O16" s="606">
        <f>RPORevenues[[#Totals],[Actual 16/17]]-RPOExpenses[[#Totals],[Actual 16/17]]</f>
        <v>-479.56000000000006</v>
      </c>
      <c r="P16" s="606">
        <f>RPORevenues[[#Totals],[Budget 17/18]]-RPOExpenses[[#Totals],[Budget 17/18]]</f>
        <v>-1410</v>
      </c>
      <c r="Q16" s="606">
        <f>RPORevenues[[#Totals],[Actual 17/18]]-RPOExpenses[[#Totals],[Actual 17/18]]</f>
        <v>-271.33</v>
      </c>
      <c r="R16" s="606">
        <f>RPOExpenses[[#Totals],[Budget 18/19]]</f>
        <v>870</v>
      </c>
      <c r="S16" s="606">
        <f>RPOExpenses[[#Totals],[Actual 18/19]]</f>
        <v>759.67000000000007</v>
      </c>
      <c r="T16" s="606">
        <f>RPOExpenses[[#Totals],[Budget 19/20]]</f>
        <v>2220</v>
      </c>
      <c r="U16" s="606">
        <f>RPOExpenses[[#Totals],[Budget 19/21]]</f>
        <v>0</v>
      </c>
      <c r="V16" s="607"/>
      <c r="W16" s="607">
        <v>0</v>
      </c>
      <c r="X16" s="607">
        <f>ElectionsExpenses[[#Totals],[Budget 21/22]]</f>
        <v>8300</v>
      </c>
      <c r="Y16" s="607">
        <f>'President (30100)'!AA39</f>
        <v>0</v>
      </c>
      <c r="Z16" s="292"/>
    </row>
    <row r="17" spans="1:26">
      <c r="A17" s="492" t="s">
        <v>67</v>
      </c>
      <c r="B17" s="606"/>
      <c r="C17" s="606"/>
      <c r="D17" s="606"/>
      <c r="E17" s="606"/>
      <c r="F17" s="606"/>
      <c r="G17" s="606"/>
      <c r="H17" s="606"/>
      <c r="I17" s="606"/>
      <c r="J17" s="606"/>
      <c r="K17" s="606"/>
      <c r="L17" s="606">
        <f>StudentGovernmentRevenues[[#Totals],[Budget 15/16]]-StudentGovernmentExpenses[[#Totals],[Budget 15/16]]</f>
        <v>-10000</v>
      </c>
      <c r="M17" s="606">
        <f>StudentGovernmentRevenues[[#Totals],[Actual 15/16]]-StudentGovernmentExpenses[[#Totals],[Actual 15/16]]</f>
        <v>-10782.07</v>
      </c>
      <c r="N17" s="606">
        <f>StudentGovernmentRevenues[[#Totals],[Budget 16/17]]-StudentGovernmentExpenses[[#Totals],[Budget 16/17]]</f>
        <v>-5951.66</v>
      </c>
      <c r="O17" s="606">
        <f>StudentGovernmentRevenues[[#Totals],[Actual 16/17]]-StudentGovernmentExpenses[[#Totals],[Actual 16/17]]</f>
        <v>-3656.6900000000005</v>
      </c>
      <c r="P17" s="606">
        <f>StudentGovernmentRevenues[[#Totals],[Budget 17/18]]-StudentGovernmentExpenses[[#Totals],[Budget 17/18]]</f>
        <v>-4701</v>
      </c>
      <c r="Q17" s="606">
        <f>-'BoD (31100)'!R38</f>
        <v>6100.1</v>
      </c>
      <c r="R17" s="606">
        <f>'BoD (31100)'!S37</f>
        <v>11100</v>
      </c>
      <c r="S17" s="606">
        <f>'BoD (31100)'!T37</f>
        <v>9449.4700000000012</v>
      </c>
      <c r="T17" s="606">
        <f>'BoD (31100)'!U37</f>
        <v>16990</v>
      </c>
      <c r="U17" s="606">
        <f>'BoD (31100)'!W37</f>
        <v>34190</v>
      </c>
      <c r="V17" s="607">
        <f>'BoD (31100)'!X37</f>
        <v>20649.32</v>
      </c>
      <c r="W17" s="607">
        <f>'BoD (31100)'!Y37</f>
        <v>36690</v>
      </c>
      <c r="X17" s="607">
        <f>'BoD (31100)'!Z37</f>
        <v>37661.160000000003</v>
      </c>
      <c r="Y17" s="607">
        <f>'BoD (31100)'!AA37</f>
        <v>124153.33333333333</v>
      </c>
      <c r="Z17" s="292">
        <f>(PresidentSummary[[#This Row],[Budget 21/22]]-PresidentSummary[[#This Row],[Budget 19/21]])/PresidentSummary[[#This Row],[Budget 19/21]]</f>
        <v>7.312079555425563E-2</v>
      </c>
    </row>
    <row r="18" spans="1:26" ht="16.5" thickBot="1">
      <c r="A18" s="190" t="s">
        <v>21</v>
      </c>
      <c r="B18" s="191"/>
      <c r="C18" s="191"/>
      <c r="D18" s="191"/>
      <c r="E18" s="191"/>
      <c r="F18" s="191"/>
      <c r="G18" s="191"/>
      <c r="H18" s="191"/>
      <c r="I18" s="191"/>
      <c r="J18" s="191"/>
      <c r="K18" s="191"/>
      <c r="L18" s="187">
        <f>SUBTOTAL(109,PresidentSummary[Budget 15/16])</f>
        <v>-88712.760000000009</v>
      </c>
      <c r="M18" s="187">
        <f>SUBTOTAL(109,PresidentSummary[Actual 15/16])</f>
        <v>-71514.200000000012</v>
      </c>
      <c r="N18" s="187">
        <f>SUBTOTAL(109,PresidentSummary[Budget 16/17])</f>
        <v>-88711.010760000005</v>
      </c>
      <c r="O18" s="187">
        <f>SUBTOTAL(109,PresidentSummary[Actual 16/17])</f>
        <v>-80631.200000000012</v>
      </c>
      <c r="P18" s="187">
        <f>SUBTOTAL(109,PresidentSummary[Budget 17/18])</f>
        <v>-84957.180000000008</v>
      </c>
      <c r="Q18" s="187">
        <f>SUBTOTAL(109,PresidentSummary[Actual 17/18])</f>
        <v>-65147.51</v>
      </c>
      <c r="R18" s="187">
        <f>SUBTOTAL(109,PresidentSummary[Budget 18/19])</f>
        <v>87868.680000000008</v>
      </c>
      <c r="S18" s="187">
        <f>SUBTOTAL(109,PresidentSummary[Actual 18/19])</f>
        <v>85418.73000000001</v>
      </c>
      <c r="T18" s="187">
        <f>SUBTOTAL(109,PresidentSummary[Budget 19/20])</f>
        <v>105901.45880000001</v>
      </c>
      <c r="U18" s="187">
        <f>SUBTOTAL(109,PresidentSummary[Budget 19/21])</f>
        <v>144736.16213333333</v>
      </c>
      <c r="V18" s="187">
        <f>SUBTOTAL(109,PresidentSummary[Actual 20/21])</f>
        <v>85307.39</v>
      </c>
      <c r="W18" s="187">
        <f>SUBTOTAL(109,PresidentSummary[Budget 21/22])</f>
        <v>183757.86147865519</v>
      </c>
      <c r="X18" s="187">
        <f>SUBTOTAL(109,PresidentSummary[Actual 21/22])</f>
        <v>108732.5</v>
      </c>
      <c r="Y18" s="187">
        <f>SUM(PresidentSummary[Budget 22/23])</f>
        <v>148503.33333333331</v>
      </c>
      <c r="Z18" s="292">
        <f>(PresidentSummary[[#Totals],[Budget 21/22]]-PresidentSummary[[#Totals],[Budget 19/21]])/PresidentSummary[[#Totals],[Budget 19/21]]</f>
        <v>0.26960573480851613</v>
      </c>
    </row>
    <row r="19" spans="1:26" ht="13.5" thickBot="1">
      <c r="O19" t="s">
        <v>45</v>
      </c>
      <c r="Y19" s="292"/>
    </row>
    <row r="20" spans="1:26" ht="15.75" thickBot="1">
      <c r="A20" s="296" t="s">
        <v>69</v>
      </c>
      <c r="B20" s="298"/>
      <c r="C20" s="298"/>
      <c r="D20" s="299"/>
      <c r="E20" s="299"/>
      <c r="F20" s="299"/>
      <c r="G20" s="299"/>
      <c r="H20" s="299"/>
      <c r="I20" s="299"/>
      <c r="J20" s="299"/>
      <c r="K20" s="299"/>
      <c r="L20" s="299"/>
      <c r="M20" s="299"/>
      <c r="N20" s="299"/>
      <c r="O20" s="300"/>
      <c r="P20" s="297"/>
      <c r="Q20" s="295"/>
      <c r="R20" s="295">
        <f>PresidentSummary70[[#Totals],[Budget 18/19]]-PresidentSummary[[#Totals],[Budget 18/19]]</f>
        <v>-87868.680000000008</v>
      </c>
      <c r="S20" s="295">
        <f>PresidentSummary70[[#Totals],[Actual 18/19]]-PresidentSummary[[#Totals],[Actual 18/19]]</f>
        <v>-85418.73000000001</v>
      </c>
      <c r="T20" s="295">
        <f>PresidentSummary70[[#Totals],[Budget 19/20]]-PresidentSummary[[#Totals],[Budget 19/20]]</f>
        <v>-103161.45880000001</v>
      </c>
      <c r="U20" s="295">
        <f>PresidentSummary70[[#Totals],[Budget 19/21]]-PresidentSummary[[#Totals],[Budget 19/21]]</f>
        <v>-141996.16213333333</v>
      </c>
      <c r="V20" s="295">
        <f>PresidentSummary70[[#Totals],[Actual 20/21]]-PresidentSummary[[#Totals],[Actual 20/21]]</f>
        <v>-85307.39</v>
      </c>
      <c r="W20" s="295">
        <f>PresidentSummary70[[#Totals],[Budget 21/22]]-PresidentSummary[[#Totals],[Budget 21/22]]</f>
        <v>-183757.86147865519</v>
      </c>
      <c r="X20" s="295">
        <f>PresidentSummary70[[#Totals],[Actual 21/22]]-PresidentSummary[[#Totals],[Actual 21/22]]</f>
        <v>-108732.5</v>
      </c>
      <c r="Y20" s="295">
        <f>PresidentSummary70[[#Totals],[Budget 22/23]]-PresidentSummary[[#Totals],[Budget 22/23]]</f>
        <v>-148503.33333333331</v>
      </c>
      <c r="Z20" s="292">
        <f>(W20-U20)/U20</f>
        <v>0.2941044230907307</v>
      </c>
    </row>
  </sheetData>
  <mergeCells count="1">
    <mergeCell ref="A1:B1"/>
  </mergeCells>
  <phoneticPr fontId="117" type="noConversion"/>
  <pageMargins left="0.7" right="0.7" top="0.75" bottom="0.75" header="0.3" footer="0.3"/>
  <pageSetup orientation="portrait" r:id="rId1"/>
  <legacyDrawing r:id="rId2"/>
  <tableParts count="2">
    <tablePart r:id="rId3"/>
    <tablePart r:id="rId4"/>
  </tablePart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1">
    <tabColor theme="1"/>
  </sheetPr>
  <dimension ref="A1:Q31"/>
  <sheetViews>
    <sheetView showGridLines="0" zoomScaleNormal="100" workbookViewId="0">
      <selection activeCell="O5" sqref="O5:Q5"/>
    </sheetView>
  </sheetViews>
  <sheetFormatPr defaultColWidth="9.140625" defaultRowHeight="12.75"/>
  <cols>
    <col min="1" max="1" width="13.85546875" style="11" customWidth="1"/>
    <col min="2" max="2" width="36" style="11" customWidth="1"/>
    <col min="3" max="3" width="17.42578125" style="11" hidden="1" customWidth="1"/>
    <col min="4" max="4" width="16.85546875" style="132" hidden="1" customWidth="1"/>
    <col min="5" max="6" width="16.85546875" style="11" hidden="1" customWidth="1"/>
    <col min="7" max="7" width="18" style="11" hidden="1" customWidth="1"/>
    <col min="8" max="10" width="16.85546875" style="11" hidden="1" customWidth="1"/>
    <col min="11" max="12" width="15.42578125" style="11" hidden="1" customWidth="1"/>
    <col min="13" max="13" width="20.85546875" style="11" hidden="1" customWidth="1"/>
    <col min="14" max="14" width="18.42578125" style="11" hidden="1" customWidth="1"/>
    <col min="15" max="15" width="19.42578125" style="11" customWidth="1"/>
    <col min="16" max="16" width="16.42578125" style="11" customWidth="1"/>
    <col min="17" max="17" width="19" style="11" customWidth="1"/>
    <col min="18" max="16384" width="9.140625" style="11"/>
  </cols>
  <sheetData>
    <row r="1" spans="1:17" ht="18">
      <c r="A1" s="758" t="s">
        <v>896</v>
      </c>
      <c r="B1" s="758"/>
      <c r="C1" s="758"/>
      <c r="M1" s="472"/>
    </row>
    <row r="2" spans="1:17">
      <c r="A2" s="28" t="s">
        <v>867</v>
      </c>
      <c r="C2" s="89"/>
    </row>
    <row r="3" spans="1:17">
      <c r="A3" s="12"/>
      <c r="B3" s="12"/>
      <c r="C3" s="59"/>
      <c r="D3" s="143"/>
      <c r="E3" s="59"/>
      <c r="F3" s="12"/>
      <c r="G3" s="12"/>
      <c r="H3" s="12"/>
      <c r="I3" s="12"/>
      <c r="J3" s="12"/>
    </row>
    <row r="4" spans="1:17">
      <c r="A4" s="48"/>
      <c r="B4" s="12" t="s">
        <v>72</v>
      </c>
      <c r="C4" s="12" t="s">
        <v>9</v>
      </c>
      <c r="D4" s="146" t="s">
        <v>10</v>
      </c>
      <c r="E4" s="12" t="s">
        <v>11</v>
      </c>
      <c r="F4" s="12" t="s">
        <v>12</v>
      </c>
      <c r="G4" s="12" t="s">
        <v>13</v>
      </c>
      <c r="H4" s="12" t="s">
        <v>14</v>
      </c>
      <c r="I4" s="12" t="s">
        <v>15</v>
      </c>
      <c r="J4" s="12" t="s">
        <v>39</v>
      </c>
      <c r="K4" s="12" t="s">
        <v>16</v>
      </c>
      <c r="L4" s="12" t="s">
        <v>81</v>
      </c>
      <c r="M4" s="12" t="s">
        <v>17</v>
      </c>
      <c r="N4" s="11" t="s">
        <v>40</v>
      </c>
      <c r="O4" s="11" t="s">
        <v>41</v>
      </c>
      <c r="P4" s="5" t="s">
        <v>42</v>
      </c>
      <c r="Q4" s="5" t="s">
        <v>43</v>
      </c>
    </row>
    <row r="5" spans="1:17">
      <c r="A5" s="48"/>
      <c r="B5" s="12" t="s">
        <v>897</v>
      </c>
      <c r="C5" s="60">
        <v>0</v>
      </c>
      <c r="D5" s="147">
        <v>0</v>
      </c>
      <c r="E5" s="60">
        <v>0</v>
      </c>
      <c r="F5" s="527"/>
      <c r="G5" s="527"/>
      <c r="H5" s="175"/>
      <c r="I5" s="175"/>
      <c r="J5" s="175"/>
      <c r="K5" s="175">
        <f>K19*0.3</f>
        <v>1108.8119999999999</v>
      </c>
      <c r="L5" s="175"/>
      <c r="M5" s="175">
        <f>M19*0.3</f>
        <v>1698</v>
      </c>
      <c r="N5" s="175">
        <v>0</v>
      </c>
      <c r="O5" s="175">
        <v>1698</v>
      </c>
      <c r="P5" s="564"/>
      <c r="Q5" s="564">
        <v>12705</v>
      </c>
    </row>
    <row r="6" spans="1:17">
      <c r="A6" s="48"/>
      <c r="B6" s="11" t="s">
        <v>21</v>
      </c>
      <c r="C6" s="178">
        <f>SUBTOTAL(109,DirectorofCommercialOpsRevenues[Budget 15/16])</f>
        <v>0</v>
      </c>
      <c r="D6" s="145">
        <f>SUBTOTAL(109,DirectorofCommercialOpsRevenues[Actual 15/16])</f>
        <v>0</v>
      </c>
      <c r="E6" s="178">
        <f>SUBTOTAL(109,DirectorofCommercialOpsRevenues[Budget 16/17])</f>
        <v>0</v>
      </c>
      <c r="H6"/>
      <c r="I6"/>
      <c r="J6"/>
      <c r="K6">
        <f>DirectorofCommercialOpsRevenues[Budget 19/20]</f>
        <v>1108.8119999999999</v>
      </c>
      <c r="L6">
        <f>SUM(DirectorofCommercialOpsRevenues[Actual P12 19/20])</f>
        <v>0</v>
      </c>
      <c r="M6">
        <f>DirectorofCommercialOpsRevenues[Budget 20/21]</f>
        <v>1698</v>
      </c>
      <c r="N6">
        <f>DirectorofCommercialOpsRevenues[Actual 20/21]</f>
        <v>0</v>
      </c>
      <c r="O6">
        <f>DirectorofCommercialOpsRevenues[Budget 21/22]</f>
        <v>1698</v>
      </c>
      <c r="P6" s="8" t="s">
        <v>898</v>
      </c>
      <c r="Q6" s="8" cm="1">
        <f t="array" ref="Q6">DirectorofCommercialOpsRevenues[Budget 22/23]</f>
        <v>12705</v>
      </c>
    </row>
    <row r="7" spans="1:17">
      <c r="B7" s="12"/>
      <c r="C7" s="61"/>
      <c r="D7" s="144"/>
      <c r="E7" s="61"/>
    </row>
    <row r="8" spans="1:17">
      <c r="A8" s="48"/>
      <c r="B8" s="12" t="s">
        <v>22</v>
      </c>
      <c r="C8" s="12" t="s">
        <v>9</v>
      </c>
      <c r="D8" s="146" t="s">
        <v>10</v>
      </c>
      <c r="E8" s="12" t="s">
        <v>11</v>
      </c>
      <c r="F8" s="12" t="s">
        <v>12</v>
      </c>
      <c r="G8" s="12" t="s">
        <v>13</v>
      </c>
      <c r="H8" s="657" t="s">
        <v>14</v>
      </c>
      <c r="I8" s="657" t="s">
        <v>15</v>
      </c>
      <c r="J8" s="657" t="s">
        <v>39</v>
      </c>
      <c r="K8" s="657" t="s">
        <v>16</v>
      </c>
      <c r="L8" s="657" t="s">
        <v>81</v>
      </c>
      <c r="M8" s="657" t="s">
        <v>17</v>
      </c>
      <c r="N8" s="608" t="s">
        <v>40</v>
      </c>
      <c r="O8" s="608" t="s">
        <v>41</v>
      </c>
      <c r="P8" s="608" t="s">
        <v>42</v>
      </c>
      <c r="Q8" s="608" t="s">
        <v>43</v>
      </c>
    </row>
    <row r="9" spans="1:17">
      <c r="A9" s="48" t="s">
        <v>899</v>
      </c>
      <c r="B9" s="12" t="s">
        <v>93</v>
      </c>
      <c r="C9" s="63">
        <v>480</v>
      </c>
      <c r="D9" s="148">
        <v>0</v>
      </c>
      <c r="E9" s="63">
        <v>480</v>
      </c>
      <c r="F9" s="528">
        <v>133.37</v>
      </c>
      <c r="G9" s="528">
        <v>480</v>
      </c>
      <c r="H9" s="658">
        <v>308.95</v>
      </c>
      <c r="I9" s="658">
        <v>350</v>
      </c>
      <c r="J9" s="658">
        <v>281.77</v>
      </c>
      <c r="K9" s="658">
        <v>350</v>
      </c>
      <c r="L9" s="658">
        <v>380.83</v>
      </c>
      <c r="M9" s="658">
        <v>350</v>
      </c>
      <c r="N9" s="658">
        <v>287.76</v>
      </c>
      <c r="O9" s="658">
        <v>350</v>
      </c>
      <c r="P9" s="658"/>
      <c r="Q9" s="658"/>
    </row>
    <row r="10" spans="1:17">
      <c r="A10" s="48" t="s">
        <v>900</v>
      </c>
      <c r="B10" s="12" t="s">
        <v>95</v>
      </c>
      <c r="C10" s="63">
        <v>480</v>
      </c>
      <c r="D10" s="148">
        <v>480</v>
      </c>
      <c r="E10" s="63">
        <v>480</v>
      </c>
      <c r="F10" s="528">
        <v>440</v>
      </c>
      <c r="G10" s="528">
        <v>480</v>
      </c>
      <c r="H10" s="658">
        <v>320</v>
      </c>
      <c r="I10" s="658">
        <v>480</v>
      </c>
      <c r="J10" s="658">
        <v>690</v>
      </c>
      <c r="K10" s="658">
        <f>480*1.023</f>
        <v>491.03999999999996</v>
      </c>
      <c r="L10" s="658">
        <v>880</v>
      </c>
      <c r="M10" s="658">
        <v>880</v>
      </c>
      <c r="N10" s="658">
        <v>920</v>
      </c>
      <c r="O10" s="658">
        <v>880</v>
      </c>
      <c r="P10" s="658">
        <v>740</v>
      </c>
      <c r="Q10" s="658">
        <v>600</v>
      </c>
    </row>
    <row r="11" spans="1:17">
      <c r="A11" s="48" t="s">
        <v>901</v>
      </c>
      <c r="B11" s="12" t="s">
        <v>280</v>
      </c>
      <c r="C11" s="63">
        <v>300</v>
      </c>
      <c r="D11" s="148">
        <v>719.43</v>
      </c>
      <c r="E11" s="63">
        <v>300</v>
      </c>
      <c r="F11" s="528">
        <v>15.84</v>
      </c>
      <c r="G11" s="528">
        <v>200</v>
      </c>
      <c r="H11" s="658">
        <v>25.88</v>
      </c>
      <c r="I11" s="658">
        <v>50</v>
      </c>
      <c r="J11" s="658">
        <v>31.37</v>
      </c>
      <c r="K11" s="658">
        <v>30</v>
      </c>
      <c r="L11" s="658">
        <v>0</v>
      </c>
      <c r="M11" s="658">
        <v>30</v>
      </c>
      <c r="N11" s="658"/>
      <c r="O11" s="658">
        <v>30</v>
      </c>
      <c r="P11" s="658"/>
      <c r="Q11" s="658">
        <v>250</v>
      </c>
    </row>
    <row r="12" spans="1:17">
      <c r="A12" s="48" t="s">
        <v>902</v>
      </c>
      <c r="B12" s="12" t="s">
        <v>380</v>
      </c>
      <c r="C12" s="63">
        <v>450</v>
      </c>
      <c r="D12" s="148">
        <v>92.7</v>
      </c>
      <c r="E12" s="63">
        <v>240</v>
      </c>
      <c r="F12" s="528">
        <v>105.42</v>
      </c>
      <c r="G12" s="528">
        <v>300</v>
      </c>
      <c r="H12" s="658">
        <v>45.97</v>
      </c>
      <c r="I12" s="658">
        <v>200</v>
      </c>
      <c r="J12" s="658">
        <v>0</v>
      </c>
      <c r="K12" s="658">
        <v>100</v>
      </c>
      <c r="L12" s="658">
        <v>0</v>
      </c>
      <c r="M12" s="658">
        <v>100</v>
      </c>
      <c r="N12" s="658"/>
      <c r="O12" s="658">
        <v>100</v>
      </c>
      <c r="P12" s="658"/>
      <c r="Q12" s="658">
        <v>250</v>
      </c>
    </row>
    <row r="13" spans="1:17">
      <c r="A13" s="48" t="s">
        <v>903</v>
      </c>
      <c r="B13" s="12" t="s">
        <v>904</v>
      </c>
      <c r="C13" s="63">
        <v>600</v>
      </c>
      <c r="D13" s="148">
        <v>268</v>
      </c>
      <c r="E13" s="63">
        <v>450</v>
      </c>
      <c r="F13" s="528">
        <v>343.25</v>
      </c>
      <c r="G13" s="528">
        <v>450</v>
      </c>
      <c r="H13" s="658">
        <v>106.08</v>
      </c>
      <c r="I13" s="658">
        <v>300</v>
      </c>
      <c r="J13" s="658">
        <v>322.27</v>
      </c>
      <c r="K13" s="658">
        <v>300</v>
      </c>
      <c r="L13" s="658">
        <v>12.1</v>
      </c>
      <c r="M13" s="658">
        <v>300</v>
      </c>
      <c r="N13" s="658"/>
      <c r="O13" s="658">
        <v>300</v>
      </c>
      <c r="P13" s="658">
        <v>40.46</v>
      </c>
      <c r="Q13" s="658">
        <v>1000</v>
      </c>
    </row>
    <row r="14" spans="1:17">
      <c r="A14" s="48" t="s">
        <v>905</v>
      </c>
      <c r="B14" s="12" t="s">
        <v>906</v>
      </c>
      <c r="C14" s="63">
        <v>1250</v>
      </c>
      <c r="D14" s="148">
        <v>1147.19</v>
      </c>
      <c r="E14" s="63">
        <v>1350</v>
      </c>
      <c r="F14" s="528">
        <v>1402.16</v>
      </c>
      <c r="G14" s="528">
        <v>1400</v>
      </c>
      <c r="H14" s="658">
        <v>1677.76</v>
      </c>
      <c r="I14" s="658">
        <v>1500</v>
      </c>
      <c r="J14" s="659">
        <v>2162.94</v>
      </c>
      <c r="K14" s="658">
        <v>1800</v>
      </c>
      <c r="L14" s="658">
        <v>1778.9</v>
      </c>
      <c r="M14" s="658">
        <v>3000</v>
      </c>
      <c r="N14" s="658"/>
      <c r="O14" s="658">
        <v>3000</v>
      </c>
      <c r="P14" s="658">
        <v>7071.19</v>
      </c>
      <c r="Q14" s="658">
        <v>7500</v>
      </c>
    </row>
    <row r="15" spans="1:17">
      <c r="A15" s="48" t="s">
        <v>907</v>
      </c>
      <c r="B15" s="12" t="s">
        <v>287</v>
      </c>
      <c r="C15" s="63">
        <v>720</v>
      </c>
      <c r="D15" s="148">
        <v>123.4</v>
      </c>
      <c r="E15" s="63">
        <v>720</v>
      </c>
      <c r="F15" s="528">
        <v>283.76</v>
      </c>
      <c r="G15" s="528">
        <v>750</v>
      </c>
      <c r="H15" s="658">
        <v>22.58</v>
      </c>
      <c r="I15" s="658">
        <v>200</v>
      </c>
      <c r="J15" s="658">
        <v>84.34</v>
      </c>
      <c r="K15" s="658">
        <v>200</v>
      </c>
      <c r="L15" s="658">
        <v>1.48</v>
      </c>
      <c r="M15" s="658">
        <v>200</v>
      </c>
      <c r="N15" s="658">
        <v>130.56</v>
      </c>
      <c r="O15" s="658">
        <v>200</v>
      </c>
      <c r="P15" s="658">
        <v>710.9</v>
      </c>
      <c r="Q15" s="658">
        <v>1000</v>
      </c>
    </row>
    <row r="16" spans="1:17">
      <c r="A16" s="48" t="s">
        <v>908</v>
      </c>
      <c r="B16" s="12" t="s">
        <v>291</v>
      </c>
      <c r="C16" s="63">
        <v>700</v>
      </c>
      <c r="D16" s="148">
        <v>353.41</v>
      </c>
      <c r="E16" s="63">
        <v>700</v>
      </c>
      <c r="F16" s="528">
        <v>451.84</v>
      </c>
      <c r="G16" s="528"/>
      <c r="H16" s="658">
        <f>232.44+12.86</f>
        <v>245.3</v>
      </c>
      <c r="I16" s="658">
        <v>200</v>
      </c>
      <c r="J16" s="658">
        <v>0</v>
      </c>
      <c r="K16" s="658">
        <v>200</v>
      </c>
      <c r="L16" s="658">
        <v>0</v>
      </c>
      <c r="M16" s="658">
        <v>200</v>
      </c>
      <c r="N16" s="658">
        <v>29.35</v>
      </c>
      <c r="O16" s="658">
        <v>200</v>
      </c>
      <c r="P16" s="658"/>
      <c r="Q16" s="658">
        <v>500</v>
      </c>
    </row>
    <row r="17" spans="1:17">
      <c r="A17" s="48" t="s">
        <v>909</v>
      </c>
      <c r="B17" s="12" t="s">
        <v>100</v>
      </c>
      <c r="C17" s="63">
        <v>0</v>
      </c>
      <c r="D17" s="148">
        <v>31.18</v>
      </c>
      <c r="E17" s="63"/>
      <c r="F17" s="528"/>
      <c r="G17" s="528">
        <v>50</v>
      </c>
      <c r="H17" s="658">
        <v>72.7</v>
      </c>
      <c r="I17" s="658">
        <v>75</v>
      </c>
      <c r="J17" s="658">
        <v>94.37</v>
      </c>
      <c r="K17" s="658">
        <v>75</v>
      </c>
      <c r="L17" s="658">
        <v>112.48</v>
      </c>
      <c r="M17" s="658">
        <v>100</v>
      </c>
      <c r="N17" s="658">
        <v>55.88</v>
      </c>
      <c r="O17" s="658">
        <v>100</v>
      </c>
      <c r="P17" s="658"/>
      <c r="Q17" s="658"/>
    </row>
    <row r="18" spans="1:17">
      <c r="A18" s="48" t="s">
        <v>910</v>
      </c>
      <c r="B18" s="12" t="s">
        <v>114</v>
      </c>
      <c r="C18" s="63">
        <v>0</v>
      </c>
      <c r="D18" s="148">
        <v>0</v>
      </c>
      <c r="E18" s="63">
        <v>200</v>
      </c>
      <c r="F18" s="528">
        <v>47.29</v>
      </c>
      <c r="G18" s="528">
        <v>200</v>
      </c>
      <c r="H18" s="658"/>
      <c r="I18" s="658">
        <v>150</v>
      </c>
      <c r="J18" s="658">
        <v>0</v>
      </c>
      <c r="K18" s="658">
        <v>150</v>
      </c>
      <c r="L18" s="658">
        <v>0</v>
      </c>
      <c r="M18" s="658">
        <v>500</v>
      </c>
      <c r="N18" s="658"/>
      <c r="O18" s="658">
        <v>500</v>
      </c>
      <c r="P18" s="658">
        <v>213.39</v>
      </c>
      <c r="Q18" s="658">
        <v>31249.999999999996</v>
      </c>
    </row>
    <row r="19" spans="1:17" ht="13.5" thickBot="1">
      <c r="A19" s="48"/>
      <c r="B19" s="11" t="s">
        <v>21</v>
      </c>
      <c r="C19" s="178">
        <f>SUBTOTAL(109,DirectorofCommercialOpsExpenses[Budget 15/16])</f>
        <v>4980</v>
      </c>
      <c r="D19" s="145">
        <f>SUBTOTAL(109,DirectorofCommercialOpsExpenses[Actual 15/16])</f>
        <v>3215.3099999999995</v>
      </c>
      <c r="E19" s="178">
        <f>SUBTOTAL(109,DirectorofCommercialOpsExpenses[Budget 16/17])</f>
        <v>4920</v>
      </c>
      <c r="F19" s="178">
        <f>SUBTOTAL(109,DirectorofCommercialOpsExpenses[Actual 16/17])</f>
        <v>3222.9300000000003</v>
      </c>
      <c r="G19" s="178">
        <f>SUBTOTAL(109,DirectorofCommercialOpsExpenses[Budget 17/18])</f>
        <v>4310</v>
      </c>
      <c r="H19" s="529">
        <f t="shared" ref="H19:M19" si="0">SUM(H9:H18)</f>
        <v>2825.2200000000003</v>
      </c>
      <c r="I19" s="529">
        <f t="shared" si="0"/>
        <v>3505</v>
      </c>
      <c r="J19" s="529">
        <f t="shared" si="0"/>
        <v>3667.06</v>
      </c>
      <c r="K19" s="529">
        <f t="shared" si="0"/>
        <v>3696.04</v>
      </c>
      <c r="L19" s="529">
        <f t="shared" si="0"/>
        <v>3165.79</v>
      </c>
      <c r="M19" s="529">
        <f t="shared" si="0"/>
        <v>5660</v>
      </c>
      <c r="N19" s="529">
        <f>SUM(N9:N18)</f>
        <v>1423.55</v>
      </c>
      <c r="O19" s="529">
        <f>SUM(O9:O18)</f>
        <v>5660</v>
      </c>
      <c r="P19" s="529">
        <f t="shared" ref="P19:Q19" si="1">SUM(P9:P18)</f>
        <v>8775.9399999999987</v>
      </c>
      <c r="Q19" s="529">
        <f t="shared" si="1"/>
        <v>42350</v>
      </c>
    </row>
    <row r="20" spans="1:17" ht="13.5" thickBot="1">
      <c r="A20" s="48"/>
      <c r="C20" s="178"/>
      <c r="D20" s="145"/>
      <c r="E20" s="178"/>
    </row>
    <row r="21" spans="1:17" ht="19.5" thickBot="1">
      <c r="A21" s="48"/>
      <c r="B21" s="611" t="s">
        <v>127</v>
      </c>
      <c r="C21" s="27">
        <f>DirectorofCommercialOpsRevenues[[#Totals],[Budget 15/16]]-DirectorofCommercialOpsExpenses[[#Totals],[Budget 15/16]]</f>
        <v>-4980</v>
      </c>
      <c r="D21" s="27">
        <f>DirectorofCommercialOpsRevenues[[#Totals],[Actual 15/16]]-DirectorofCommercialOpsExpenses[[#Totals],[Actual 15/16]]</f>
        <v>-3215.3099999999995</v>
      </c>
      <c r="E21" s="113">
        <f>DirectorofCommercialOpsRevenues[[#Totals],[Budget 16/17]]-DirectorofCommercialOpsExpenses[[#Totals],[Budget 16/17]]</f>
        <v>-4920</v>
      </c>
      <c r="F21" s="113">
        <f>DirectorofCommercialOpsRevenues[[#Totals],[Actual 16/17]]-DirectorofCommercialOpsExpenses[[#Totals],[Actual 16/17]]</f>
        <v>-3222.9300000000003</v>
      </c>
      <c r="G21" s="310">
        <f>DirectorofCommercialOpsRevenues[[#Totals],[Budget 17/18]]-DirectorofCommercialOpsExpenses[[#Totals],[Budget 17/18]]</f>
        <v>-4310</v>
      </c>
      <c r="H21" s="310">
        <f>DirectorofCommercialOpsRevenues[[#Totals],[Actual 17/18]]-H19</f>
        <v>-2825.2200000000003</v>
      </c>
      <c r="I21" s="310">
        <f>DirectorofCommercialOpsRevenues[[#Totals],[Budget 18/19]]-I19</f>
        <v>-3505</v>
      </c>
      <c r="J21" s="310">
        <f>DirectorofCommercialOpsRevenues[[#Totals],[Actual 18/19]]-J19</f>
        <v>-3667.06</v>
      </c>
      <c r="K21" s="310">
        <f>DirectorofCommercialOpsRevenues[[#Totals],[Budget 19/20]]-K19</f>
        <v>-2587.2280000000001</v>
      </c>
      <c r="L21" s="310">
        <f>DirectorofCommercialOpsRevenues[[#Totals],[Actual P12 19/20]]-L19</f>
        <v>-3165.79</v>
      </c>
      <c r="M21" s="310">
        <f>DirectorofCommercialOpsRevenues[[#Totals],[Budget 20/21]]-M19</f>
        <v>-3962</v>
      </c>
      <c r="N21" s="310">
        <f>DirectorofCommercialOpsRevenues[[#Totals],[Actual 20/21]]-N19</f>
        <v>-1423.55</v>
      </c>
      <c r="O21" s="310">
        <f>DirectorofCommercialOpsRevenues[[#Totals],[Budget 21/22]]-O19</f>
        <v>-3962</v>
      </c>
      <c r="P21" s="310">
        <f>DirectorofCommercialOpsRevenues[[#Totals],[Actual 21/22]]-P19</f>
        <v>-8775.9399999999987</v>
      </c>
      <c r="Q21" s="310">
        <f>DirectorofCommercialOpsRevenues[[#Totals],[Budget 22/23]]-Q19</f>
        <v>-29645</v>
      </c>
    </row>
    <row r="22" spans="1:17">
      <c r="A22" s="48"/>
    </row>
    <row r="23" spans="1:17">
      <c r="A23" s="48"/>
    </row>
    <row r="24" spans="1:17">
      <c r="A24" s="48"/>
    </row>
    <row r="27" spans="1:17">
      <c r="E27"/>
      <c r="F27"/>
    </row>
    <row r="28" spans="1:17">
      <c r="E28"/>
      <c r="F28"/>
    </row>
    <row r="29" spans="1:17">
      <c r="E29"/>
      <c r="F29"/>
    </row>
    <row r="30" spans="1:17">
      <c r="E30"/>
      <c r="F30"/>
    </row>
    <row r="31" spans="1:17">
      <c r="E31"/>
      <c r="F31"/>
    </row>
  </sheetData>
  <mergeCells count="1">
    <mergeCell ref="A1:C1"/>
  </mergeCells>
  <phoneticPr fontId="90" type="noConversion"/>
  <pageMargins left="0.7" right="0.7" top="0.75" bottom="0.75" header="0.3" footer="0.3"/>
  <pageSetup orientation="portrait" r:id="rId1"/>
  <legacyDrawing r:id="rId2"/>
  <tableParts count="2">
    <tablePart r:id="rId3"/>
    <tablePart r:id="rId4"/>
  </tablePar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L61"/>
  <sheetViews>
    <sheetView zoomScale="106" zoomScaleNormal="70" workbookViewId="0">
      <selection activeCell="H28" sqref="H28:J39"/>
    </sheetView>
  </sheetViews>
  <sheetFormatPr defaultColWidth="9.140625" defaultRowHeight="15"/>
  <cols>
    <col min="1" max="1" width="58.140625" style="210" customWidth="1"/>
    <col min="2" max="2" width="23.42578125" style="210" hidden="1" customWidth="1"/>
    <col min="3" max="3" width="18.140625" style="210" hidden="1" customWidth="1"/>
    <col min="4" max="4" width="17.42578125" style="210" hidden="1" customWidth="1"/>
    <col min="5" max="5" width="20.7109375" style="210" hidden="1" customWidth="1"/>
    <col min="6" max="6" width="17.42578125" style="210" hidden="1" customWidth="1"/>
    <col min="7" max="7" width="18.28515625" style="210" hidden="1" customWidth="1"/>
    <col min="8" max="8" width="20.140625" style="210" customWidth="1"/>
    <col min="9" max="9" width="23.85546875" style="210" customWidth="1"/>
    <col min="10" max="10" width="21.140625" style="210" customWidth="1"/>
    <col min="12" max="12" width="15" style="210" bestFit="1" customWidth="1"/>
    <col min="13" max="16384" width="9.140625" style="210"/>
  </cols>
  <sheetData>
    <row r="1" spans="1:10" ht="21">
      <c r="A1" s="218" t="s">
        <v>911</v>
      </c>
    </row>
    <row r="2" spans="1:10">
      <c r="A2" s="217" t="s">
        <v>199</v>
      </c>
      <c r="B2" s="216"/>
      <c r="C2" s="216"/>
    </row>
    <row r="3" spans="1:10">
      <c r="A3" s="660" t="s">
        <v>912</v>
      </c>
      <c r="B3" s="660" t="s">
        <v>913</v>
      </c>
      <c r="C3" s="660" t="s">
        <v>914</v>
      </c>
      <c r="D3" s="660" t="s">
        <v>16</v>
      </c>
      <c r="E3" s="660" t="s">
        <v>915</v>
      </c>
      <c r="F3" s="660" t="s">
        <v>394</v>
      </c>
      <c r="G3" s="661" t="s">
        <v>40</v>
      </c>
      <c r="H3" s="661" t="s">
        <v>41</v>
      </c>
      <c r="I3" s="608" t="s">
        <v>42</v>
      </c>
      <c r="J3" s="608" t="s">
        <v>43</v>
      </c>
    </row>
    <row r="4" spans="1:10">
      <c r="A4" s="662" t="s">
        <v>916</v>
      </c>
      <c r="B4" s="663">
        <v>1605004.39</v>
      </c>
      <c r="C4" s="663">
        <v>1734880.83</v>
      </c>
      <c r="D4" s="664">
        <v>1777551.16</v>
      </c>
      <c r="E4" s="664"/>
      <c r="F4" s="665">
        <v>1187844.9558999999</v>
      </c>
      <c r="G4" s="664" t="e">
        <f>#REF!</f>
        <v>#REF!</v>
      </c>
      <c r="H4" s="664">
        <v>517810</v>
      </c>
      <c r="I4" s="664"/>
      <c r="J4" s="664">
        <v>1517601.3900000001</v>
      </c>
    </row>
    <row r="5" spans="1:10">
      <c r="A5" s="718" t="s">
        <v>917</v>
      </c>
      <c r="B5" s="663"/>
      <c r="C5" s="663"/>
      <c r="D5" s="664"/>
      <c r="E5" s="664"/>
      <c r="F5" s="665"/>
      <c r="G5" s="664"/>
      <c r="H5" s="664"/>
      <c r="I5" s="664"/>
      <c r="J5" s="733">
        <v>197600</v>
      </c>
    </row>
    <row r="6" spans="1:10">
      <c r="A6" s="718" t="s">
        <v>918</v>
      </c>
      <c r="B6" s="663">
        <v>133218.19</v>
      </c>
      <c r="C6" s="663">
        <v>141813.60999999999</v>
      </c>
      <c r="D6" s="663">
        <v>112433.92</v>
      </c>
      <c r="E6" s="663"/>
      <c r="F6" s="666">
        <v>28199</v>
      </c>
      <c r="G6" s="663"/>
      <c r="H6" s="663">
        <v>8772.57</v>
      </c>
      <c r="I6" s="663"/>
      <c r="J6" s="663">
        <v>48598.55</v>
      </c>
    </row>
    <row r="7" spans="1:10">
      <c r="A7" s="662" t="s">
        <v>31</v>
      </c>
      <c r="B7" s="663">
        <v>887050</v>
      </c>
      <c r="C7" s="663">
        <v>867176.19</v>
      </c>
      <c r="D7" s="663">
        <v>915532.5</v>
      </c>
      <c r="E7" s="663"/>
      <c r="F7" s="666">
        <v>659396.25</v>
      </c>
      <c r="G7" s="663" t="e">
        <f>#REF!</f>
        <v>#REF!</v>
      </c>
      <c r="H7" s="663">
        <v>103595.8</v>
      </c>
      <c r="I7" s="663"/>
      <c r="J7" s="663">
        <v>223742.66099999999</v>
      </c>
    </row>
    <row r="8" spans="1:10">
      <c r="A8" s="305" t="s">
        <v>32</v>
      </c>
      <c r="B8" s="306">
        <v>714607.9</v>
      </c>
      <c r="C8" s="306">
        <v>738686.89</v>
      </c>
      <c r="D8" s="306">
        <v>832920</v>
      </c>
      <c r="E8" s="306"/>
      <c r="F8" s="666">
        <v>496152.32160000002</v>
      </c>
      <c r="G8" s="306" t="e">
        <f>#REF!</f>
        <v>#REF!</v>
      </c>
      <c r="H8" s="585">
        <v>426016.57</v>
      </c>
      <c r="I8" s="306"/>
      <c r="J8" s="585">
        <v>751100</v>
      </c>
    </row>
    <row r="9" spans="1:10" hidden="1">
      <c r="A9" s="718" t="s">
        <v>919</v>
      </c>
      <c r="B9" s="719">
        <v>1311231</v>
      </c>
      <c r="C9" s="720">
        <v>750195.05</v>
      </c>
      <c r="D9" s="719" t="s">
        <v>847</v>
      </c>
      <c r="E9" s="719"/>
      <c r="F9" s="721" t="s">
        <v>331</v>
      </c>
      <c r="G9" s="719"/>
      <c r="H9" s="719"/>
      <c r="I9" s="719"/>
      <c r="J9" s="719"/>
    </row>
    <row r="10" spans="1:10">
      <c r="A10" s="718" t="s">
        <v>920</v>
      </c>
      <c r="B10" s="719"/>
      <c r="C10" s="720"/>
      <c r="D10" s="719"/>
      <c r="E10" s="719"/>
      <c r="G10" s="719"/>
      <c r="H10" s="719">
        <v>165150</v>
      </c>
      <c r="I10" s="719"/>
      <c r="J10" s="719">
        <v>235262</v>
      </c>
    </row>
    <row r="11" spans="1:10">
      <c r="A11" s="718" t="s">
        <v>33</v>
      </c>
      <c r="B11" s="722">
        <v>1812852.04</v>
      </c>
      <c r="C11" s="720">
        <v>1691774.21</v>
      </c>
      <c r="D11" s="719">
        <v>1761075.32</v>
      </c>
      <c r="E11" s="719"/>
      <c r="F11" s="721">
        <v>1614426.96</v>
      </c>
      <c r="G11" s="723"/>
      <c r="H11" s="719">
        <v>1282990.72</v>
      </c>
      <c r="I11" s="719"/>
      <c r="J11" s="719">
        <v>746390</v>
      </c>
    </row>
    <row r="12" spans="1:10" ht="15.75" thickBot="1">
      <c r="A12" s="215" t="s">
        <v>21</v>
      </c>
      <c r="B12" s="355">
        <f>SUM(B4:B11)</f>
        <v>6463963.5200000005</v>
      </c>
      <c r="C12" s="355">
        <f>SUM(C4:C11)</f>
        <v>5924526.7800000003</v>
      </c>
      <c r="D12" s="356">
        <f>SUM(D4:D11)</f>
        <v>5399512.9000000004</v>
      </c>
      <c r="E12" s="356">
        <f>SUM(E4:E11)</f>
        <v>0</v>
      </c>
      <c r="F12" s="356">
        <f>SUM(F4:F11)</f>
        <v>3986019.4874999998</v>
      </c>
      <c r="G12" s="356" t="e">
        <f t="shared" ref="G12:H12" si="0">SUM(G4:G11)</f>
        <v>#REF!</v>
      </c>
      <c r="H12" s="356">
        <f t="shared" si="0"/>
        <v>2504335.66</v>
      </c>
      <c r="I12" s="356">
        <f t="shared" ref="I12:J12" si="1">SUM(I4:I11)</f>
        <v>0</v>
      </c>
      <c r="J12" s="356">
        <f t="shared" si="1"/>
        <v>3720294.6010000003</v>
      </c>
    </row>
    <row r="14" spans="1:10">
      <c r="A14" s="660" t="s">
        <v>921</v>
      </c>
      <c r="B14" s="660" t="s">
        <v>913</v>
      </c>
      <c r="C14" s="660" t="s">
        <v>914</v>
      </c>
      <c r="D14" s="660" t="s">
        <v>16</v>
      </c>
      <c r="E14" s="660" t="s">
        <v>915</v>
      </c>
      <c r="F14" s="660" t="s">
        <v>17</v>
      </c>
      <c r="G14" s="661" t="s">
        <v>40</v>
      </c>
      <c r="H14" s="661" t="s">
        <v>41</v>
      </c>
      <c r="I14" s="608" t="s">
        <v>42</v>
      </c>
      <c r="J14" s="608" t="s">
        <v>43</v>
      </c>
    </row>
    <row r="15" spans="1:10">
      <c r="A15" s="662" t="s">
        <v>916</v>
      </c>
      <c r="B15" s="663">
        <v>1216264.71</v>
      </c>
      <c r="C15" s="663">
        <v>1243223.42</v>
      </c>
      <c r="D15" s="664">
        <v>1236677.31</v>
      </c>
      <c r="E15" s="664"/>
      <c r="F15" s="665">
        <v>824960.24070015003</v>
      </c>
      <c r="G15" s="664" t="e">
        <f>#REF!</f>
        <v>#REF!</v>
      </c>
      <c r="H15" s="664">
        <v>363640.55377500004</v>
      </c>
      <c r="I15" s="664"/>
      <c r="J15" s="664">
        <v>1046696.6638999998</v>
      </c>
    </row>
    <row r="16" spans="1:10">
      <c r="A16" s="662" t="s">
        <v>922</v>
      </c>
      <c r="B16" s="663"/>
      <c r="C16" s="663"/>
      <c r="D16" s="664"/>
      <c r="E16" s="664"/>
      <c r="F16" s="665"/>
      <c r="G16" s="664"/>
      <c r="H16" s="664"/>
      <c r="I16" s="664"/>
      <c r="J16" s="733">
        <v>66739.399999999994</v>
      </c>
    </row>
    <row r="17" spans="1:10">
      <c r="A17" s="718" t="s">
        <v>918</v>
      </c>
      <c r="B17" s="663">
        <v>60546.770000000004</v>
      </c>
      <c r="C17" s="663">
        <v>59348.59</v>
      </c>
      <c r="D17" s="663">
        <v>60349.5</v>
      </c>
      <c r="E17" s="663"/>
      <c r="F17" s="666">
        <v>19773.88</v>
      </c>
      <c r="G17" s="663"/>
      <c r="H17" s="663">
        <v>6739.86</v>
      </c>
      <c r="I17" s="663"/>
      <c r="J17" s="663">
        <v>34473.267999999996</v>
      </c>
    </row>
    <row r="18" spans="1:10">
      <c r="A18" s="662" t="s">
        <v>31</v>
      </c>
      <c r="B18" s="663">
        <v>653125</v>
      </c>
      <c r="C18" s="663">
        <v>597460.36</v>
      </c>
      <c r="D18" s="663">
        <v>672548.13</v>
      </c>
      <c r="E18" s="663"/>
      <c r="F18" s="666">
        <v>476528.4375</v>
      </c>
      <c r="G18" s="663" t="e">
        <f>#REF!</f>
        <v>#REF!</v>
      </c>
      <c r="H18" s="663">
        <v>76666.98</v>
      </c>
      <c r="I18" s="663"/>
      <c r="J18" s="663">
        <v>160676.31660000002</v>
      </c>
    </row>
    <row r="19" spans="1:10">
      <c r="A19" s="305" t="s">
        <v>32</v>
      </c>
      <c r="B19" s="306">
        <v>279218.46999999997</v>
      </c>
      <c r="C19" s="306">
        <v>301426.23</v>
      </c>
      <c r="D19" s="306">
        <v>352923.36</v>
      </c>
      <c r="E19" s="306"/>
      <c r="F19" s="474">
        <v>206787.59426799999</v>
      </c>
      <c r="G19" s="306" t="e">
        <f>#REF!</f>
        <v>#REF!</v>
      </c>
      <c r="H19" s="585">
        <v>194738.07</v>
      </c>
      <c r="I19" s="306"/>
      <c r="J19" s="585">
        <v>319217.5</v>
      </c>
    </row>
    <row r="20" spans="1:10" hidden="1">
      <c r="A20" s="718" t="s">
        <v>919</v>
      </c>
      <c r="B20" s="663">
        <v>522417</v>
      </c>
      <c r="C20" s="667">
        <v>361076.58</v>
      </c>
      <c r="D20" s="663" t="s">
        <v>847</v>
      </c>
      <c r="E20" s="663"/>
      <c r="F20" s="666"/>
      <c r="G20" s="663"/>
      <c r="H20" s="663"/>
      <c r="I20" s="663"/>
      <c r="J20" s="663"/>
    </row>
    <row r="21" spans="1:10">
      <c r="A21" s="718" t="s">
        <v>920</v>
      </c>
      <c r="B21" s="663"/>
      <c r="C21" s="667"/>
      <c r="D21" s="663"/>
      <c r="E21" s="663"/>
      <c r="F21" s="666"/>
      <c r="G21" s="663"/>
      <c r="H21" s="663"/>
      <c r="I21" s="663"/>
      <c r="J21" s="663"/>
    </row>
    <row r="22" spans="1:10">
      <c r="A22" s="718" t="s">
        <v>33</v>
      </c>
      <c r="B22" s="663">
        <v>1471480.8997679746</v>
      </c>
      <c r="C22" s="667">
        <v>1369270.88</v>
      </c>
      <c r="D22" s="663">
        <v>1271142</v>
      </c>
      <c r="E22" s="663"/>
      <c r="F22" s="666">
        <v>1083435.08</v>
      </c>
      <c r="G22" s="668"/>
      <c r="H22" s="663">
        <v>514359.28</v>
      </c>
      <c r="I22" s="663"/>
      <c r="J22" s="663">
        <v>283376.7</v>
      </c>
    </row>
    <row r="23" spans="1:10" ht="15.75" thickBot="1">
      <c r="A23" s="215" t="s">
        <v>21</v>
      </c>
      <c r="B23" s="355">
        <f>SUM(B15:B22)</f>
        <v>4203052.8497679746</v>
      </c>
      <c r="C23" s="355">
        <f>SUM(C15:C22)</f>
        <v>3931806.06</v>
      </c>
      <c r="D23" s="355">
        <f>SUM(D15:D22)</f>
        <v>3593640.3</v>
      </c>
      <c r="E23" s="355">
        <f>SUM(E15:E22)</f>
        <v>0</v>
      </c>
      <c r="F23" s="355">
        <f>SUM(F15:F22)</f>
        <v>2611485.2324681501</v>
      </c>
      <c r="G23" s="355" t="e">
        <f t="shared" ref="G23:H23" si="2">SUM(G15:G22)</f>
        <v>#REF!</v>
      </c>
      <c r="H23" s="355">
        <f t="shared" si="2"/>
        <v>1156144.7437750001</v>
      </c>
      <c r="I23" s="355">
        <f t="shared" ref="I23:J23" si="3">SUM(I15:I22)</f>
        <v>0</v>
      </c>
      <c r="J23" s="355">
        <f t="shared" si="3"/>
        <v>1911179.8484999996</v>
      </c>
    </row>
    <row r="24" spans="1:10" ht="15.75" thickBot="1"/>
    <row r="25" spans="1:10" ht="15.75" thickBot="1">
      <c r="A25" s="294" t="s">
        <v>591</v>
      </c>
      <c r="B25" s="212">
        <f>B12-B23</f>
        <v>2260910.6702320259</v>
      </c>
      <c r="C25" s="212">
        <f>C12-C23</f>
        <v>1992720.7200000002</v>
      </c>
      <c r="D25" s="212">
        <f>D12-D23</f>
        <v>1805872.6000000006</v>
      </c>
      <c r="E25" s="212"/>
      <c r="F25" s="212">
        <f>F12-F23</f>
        <v>1374534.2550318497</v>
      </c>
      <c r="G25" s="212" t="e">
        <f t="shared" ref="G25:H25" si="4">G12-G23</f>
        <v>#REF!</v>
      </c>
      <c r="H25" s="212">
        <f t="shared" si="4"/>
        <v>1348190.9162250001</v>
      </c>
      <c r="I25" s="212">
        <f t="shared" ref="I25:J25" si="5">I12-I23</f>
        <v>0</v>
      </c>
      <c r="J25" s="212">
        <f t="shared" si="5"/>
        <v>1809114.7525000006</v>
      </c>
    </row>
    <row r="26" spans="1:10">
      <c r="H26" s="227"/>
      <c r="I26" s="227"/>
      <c r="J26" s="227"/>
    </row>
    <row r="27" spans="1:10">
      <c r="A27" s="660" t="s">
        <v>22</v>
      </c>
      <c r="B27" s="660" t="s">
        <v>913</v>
      </c>
      <c r="C27" s="660" t="s">
        <v>914</v>
      </c>
      <c r="D27" s="660" t="s">
        <v>16</v>
      </c>
      <c r="E27" s="660" t="s">
        <v>915</v>
      </c>
      <c r="F27" s="660" t="s">
        <v>17</v>
      </c>
      <c r="G27" s="661" t="s">
        <v>40</v>
      </c>
      <c r="H27" s="661" t="s">
        <v>41</v>
      </c>
      <c r="I27" s="608" t="s">
        <v>42</v>
      </c>
      <c r="J27" s="608" t="s">
        <v>43</v>
      </c>
    </row>
    <row r="28" spans="1:10">
      <c r="A28" s="662" t="s">
        <v>916</v>
      </c>
      <c r="B28" s="663">
        <v>365509.41</v>
      </c>
      <c r="C28" s="663">
        <v>472542.18</v>
      </c>
      <c r="D28" s="664">
        <v>463367.91</v>
      </c>
      <c r="E28" s="664"/>
      <c r="F28" s="665">
        <v>318697.61834090005</v>
      </c>
      <c r="G28" s="664" t="e">
        <f>#REF!</f>
        <v>#REF!</v>
      </c>
      <c r="H28" s="664">
        <v>247191.15</v>
      </c>
      <c r="I28" s="664"/>
      <c r="J28" s="664">
        <v>412517.64289999998</v>
      </c>
    </row>
    <row r="29" spans="1:10">
      <c r="A29" s="718" t="s">
        <v>923</v>
      </c>
      <c r="B29" s="663"/>
      <c r="C29" s="663"/>
      <c r="D29" s="664"/>
      <c r="E29" s="664"/>
      <c r="F29" s="665"/>
      <c r="G29" s="664"/>
      <c r="H29" s="664"/>
      <c r="I29" s="664"/>
      <c r="J29" s="664">
        <v>122633.14000000001</v>
      </c>
    </row>
    <row r="30" spans="1:10">
      <c r="A30" s="718" t="s">
        <v>918</v>
      </c>
      <c r="B30" s="663">
        <v>87029.759999999995</v>
      </c>
      <c r="C30" s="663">
        <v>91752.39</v>
      </c>
      <c r="D30" s="663">
        <v>76548.84</v>
      </c>
      <c r="E30" s="663"/>
      <c r="F30" s="666">
        <v>34861.040000000008</v>
      </c>
      <c r="G30" s="663"/>
      <c r="H30" s="663">
        <v>6182.59</v>
      </c>
      <c r="I30" s="663"/>
      <c r="J30" s="663">
        <v>13829.357950000001</v>
      </c>
    </row>
    <row r="31" spans="1:10">
      <c r="A31" s="662" t="s">
        <v>31</v>
      </c>
      <c r="B31" s="663">
        <v>125161.54999999999</v>
      </c>
      <c r="C31" s="663">
        <v>113066.34</v>
      </c>
      <c r="D31" s="663">
        <v>202301.08</v>
      </c>
      <c r="E31" s="663"/>
      <c r="F31" s="665">
        <v>181606.49125000002</v>
      </c>
      <c r="G31" s="664" t="e">
        <f>#REF!</f>
        <v>#REF!</v>
      </c>
      <c r="H31" s="664">
        <v>152464.35</v>
      </c>
      <c r="I31" s="664"/>
      <c r="J31" s="664">
        <v>176131.29245750001</v>
      </c>
    </row>
    <row r="32" spans="1:10">
      <c r="A32" s="662" t="s">
        <v>32</v>
      </c>
      <c r="B32" s="663">
        <v>276573.89</v>
      </c>
      <c r="C32" s="663">
        <v>335668.55</v>
      </c>
      <c r="D32" s="663">
        <v>470040.04</v>
      </c>
      <c r="E32" s="663"/>
      <c r="F32" s="474">
        <v>407391.23718400003</v>
      </c>
      <c r="G32" s="663" t="e">
        <f>#REF!</f>
        <v>#REF!</v>
      </c>
      <c r="H32" s="669">
        <v>425587.83000000007</v>
      </c>
      <c r="I32" s="663"/>
      <c r="J32" s="663">
        <v>421697.84</v>
      </c>
    </row>
    <row r="33" spans="1:12" hidden="1">
      <c r="A33" s="718" t="s">
        <v>919</v>
      </c>
      <c r="B33" s="663">
        <v>948891</v>
      </c>
      <c r="C33" s="668">
        <v>714699.61</v>
      </c>
      <c r="D33" s="663"/>
      <c r="E33" s="663"/>
      <c r="F33" s="666"/>
      <c r="G33" s="663"/>
      <c r="H33" s="663"/>
      <c r="I33" s="663"/>
      <c r="J33" s="663"/>
    </row>
    <row r="34" spans="1:12">
      <c r="A34" s="718" t="s">
        <v>920</v>
      </c>
      <c r="B34" s="663"/>
      <c r="C34" s="668"/>
      <c r="D34" s="663"/>
      <c r="E34" s="663"/>
      <c r="F34" s="670"/>
      <c r="G34" s="663"/>
      <c r="H34" s="663">
        <v>160542</v>
      </c>
      <c r="I34" s="663"/>
      <c r="J34" s="663">
        <v>166542</v>
      </c>
    </row>
    <row r="35" spans="1:12" hidden="1">
      <c r="A35" s="718" t="s">
        <v>924</v>
      </c>
      <c r="B35" s="668">
        <v>224800</v>
      </c>
      <c r="C35" s="668">
        <v>228687.06</v>
      </c>
      <c r="D35" s="671"/>
      <c r="E35" s="671"/>
      <c r="G35" s="671"/>
      <c r="H35" s="671"/>
      <c r="I35" s="671"/>
      <c r="J35" s="671"/>
    </row>
    <row r="36" spans="1:12">
      <c r="A36" s="718" t="s">
        <v>33</v>
      </c>
      <c r="B36" s="667">
        <v>327919.74450232025</v>
      </c>
      <c r="C36" s="667">
        <v>334155.95</v>
      </c>
      <c r="D36" s="671">
        <v>465815.31</v>
      </c>
      <c r="E36" s="671"/>
      <c r="F36" s="670">
        <v>451432.3849</v>
      </c>
      <c r="G36" s="672"/>
      <c r="H36" s="671">
        <v>293711.77</v>
      </c>
      <c r="I36" s="671"/>
      <c r="J36" s="671">
        <v>558922.32999999996</v>
      </c>
    </row>
    <row r="37" spans="1:12">
      <c r="A37" s="718" t="s">
        <v>925</v>
      </c>
      <c r="B37" s="663">
        <v>202413.54</v>
      </c>
      <c r="C37" s="663">
        <v>191376.7</v>
      </c>
      <c r="D37" s="663">
        <v>113698.23</v>
      </c>
      <c r="E37" s="663"/>
      <c r="F37" s="666">
        <v>119855.5991777778</v>
      </c>
      <c r="G37" s="663" t="e">
        <f>#REF!*0.1</f>
        <v>#REF!</v>
      </c>
      <c r="H37" s="663">
        <v>164202.90529333334</v>
      </c>
      <c r="I37" s="663"/>
      <c r="J37" s="663">
        <v>131521.90225333333</v>
      </c>
    </row>
    <row r="38" spans="1:12">
      <c r="A38" s="724" t="s">
        <v>926</v>
      </c>
      <c r="B38" s="304" t="e">
        <f>#REF!</f>
        <v>#REF!</v>
      </c>
      <c r="C38" s="304">
        <v>69385.039999999994</v>
      </c>
      <c r="D38" s="304">
        <v>43391.34</v>
      </c>
      <c r="E38" s="304"/>
      <c r="F38" s="473">
        <v>44189.058722222224</v>
      </c>
      <c r="G38" s="304" t="e">
        <f>#REF!*0.1</f>
        <v>#REF!</v>
      </c>
      <c r="H38" s="304">
        <v>50423.265000000007</v>
      </c>
      <c r="I38" s="304"/>
      <c r="J38" s="304">
        <v>54606.86533333332</v>
      </c>
    </row>
    <row r="39" spans="1:12">
      <c r="A39" s="718" t="s">
        <v>927</v>
      </c>
      <c r="B39" s="662"/>
      <c r="C39" s="664"/>
      <c r="D39" s="719">
        <v>1108.81</v>
      </c>
      <c r="E39" s="719"/>
      <c r="F39" s="721">
        <v>1848</v>
      </c>
      <c r="G39" s="719">
        <f>'Dir Ops &amp; Dev (11100)'!O5</f>
        <v>1698</v>
      </c>
      <c r="H39" s="719">
        <v>1698</v>
      </c>
      <c r="I39" s="719"/>
      <c r="J39" s="719">
        <v>12705</v>
      </c>
    </row>
    <row r="40" spans="1:12" ht="15.75" thickBot="1">
      <c r="A40" s="215" t="s">
        <v>21</v>
      </c>
      <c r="B40" s="355" t="e">
        <f t="shared" ref="B40:H40" si="6">SUM(B28:B39)</f>
        <v>#REF!</v>
      </c>
      <c r="C40" s="355">
        <f t="shared" si="6"/>
        <v>2551333.8200000003</v>
      </c>
      <c r="D40" s="356">
        <f t="shared" si="6"/>
        <v>1836271.56</v>
      </c>
      <c r="E40" s="356">
        <f t="shared" si="6"/>
        <v>0</v>
      </c>
      <c r="F40" s="356">
        <f>SUM(F28:F39)</f>
        <v>1559881.4295749001</v>
      </c>
      <c r="G40" s="356" t="e">
        <f t="shared" si="6"/>
        <v>#REF!</v>
      </c>
      <c r="H40" s="356">
        <f t="shared" si="6"/>
        <v>1502003.8602933332</v>
      </c>
      <c r="I40" s="356">
        <f t="shared" ref="I40:J40" si="7">SUM(I28:I39)</f>
        <v>0</v>
      </c>
      <c r="J40" s="356">
        <f t="shared" si="7"/>
        <v>2071107.3708941666</v>
      </c>
    </row>
    <row r="41" spans="1:12" ht="15.75" thickBot="1">
      <c r="B41" s="214"/>
      <c r="C41" s="214"/>
      <c r="D41" s="214"/>
      <c r="E41" s="214"/>
      <c r="F41" s="214"/>
      <c r="G41" s="214"/>
      <c r="H41" s="214"/>
      <c r="I41" s="214"/>
      <c r="J41" s="214"/>
    </row>
    <row r="42" spans="1:12" ht="15.75" thickBot="1">
      <c r="A42" s="294" t="s">
        <v>69</v>
      </c>
      <c r="B42" s="212" t="e">
        <f>B12-B23-B40</f>
        <v>#REF!</v>
      </c>
      <c r="C42" s="212">
        <f>C12-C23-C40</f>
        <v>-558613.10000000009</v>
      </c>
      <c r="D42" s="211">
        <f>D12-D23-D40</f>
        <v>-30398.959999999497</v>
      </c>
      <c r="E42" s="211"/>
      <c r="F42" s="211">
        <f>F12-F23-F40</f>
        <v>-185347.17454305035</v>
      </c>
      <c r="G42" s="211" t="e">
        <f>G12-G23-G40</f>
        <v>#REF!</v>
      </c>
      <c r="H42" s="211">
        <f>H12-H23-H40</f>
        <v>-153812.94406833313</v>
      </c>
      <c r="I42" s="211">
        <f>I12-I23-I40</f>
        <v>0</v>
      </c>
      <c r="J42" s="211">
        <f>J12-J23-J40</f>
        <v>-261992.618394166</v>
      </c>
      <c r="L42" s="565"/>
    </row>
    <row r="43" spans="1:12">
      <c r="C43" s="717" t="s">
        <v>928</v>
      </c>
      <c r="D43" s="308">
        <f>D42-D6+D17+D30</f>
        <v>-5934.5399999994843</v>
      </c>
      <c r="E43" s="308"/>
      <c r="F43" s="308">
        <f>F42-F6+F17+F30</f>
        <v>-158911.25454305034</v>
      </c>
      <c r="G43" s="308" t="e">
        <f>G42-G6+G17+G30</f>
        <v>#REF!</v>
      </c>
      <c r="H43" s="308">
        <f>H42-H6+H18+H30</f>
        <v>-79735.944068333149</v>
      </c>
      <c r="L43" s="565"/>
    </row>
    <row r="45" spans="1:12">
      <c r="D45" s="227"/>
    </row>
    <row r="46" spans="1:12" ht="19.5">
      <c r="B46" s="345" t="s">
        <v>929</v>
      </c>
      <c r="D46" s="227"/>
    </row>
    <row r="48" spans="1:12">
      <c r="B48" s="717" t="s">
        <v>930</v>
      </c>
    </row>
    <row r="49" spans="2:4">
      <c r="B49" s="348" t="s">
        <v>931</v>
      </c>
      <c r="C49" s="349"/>
    </row>
    <row r="50" spans="2:4">
      <c r="B50" s="219" t="s">
        <v>932</v>
      </c>
      <c r="C50" s="227">
        <f>F4-F15-F28</f>
        <v>44187.096858949866</v>
      </c>
    </row>
    <row r="51" spans="2:4">
      <c r="B51" s="219" t="s">
        <v>933</v>
      </c>
      <c r="C51" s="227">
        <f>F6-F17-F30</f>
        <v>-26435.920000000009</v>
      </c>
    </row>
    <row r="52" spans="2:4">
      <c r="B52" s="219" t="s">
        <v>934</v>
      </c>
      <c r="C52" s="227">
        <f>F7-F18-F31</f>
        <v>1261.321249999979</v>
      </c>
    </row>
    <row r="53" spans="2:4" ht="15.75" thickBot="1">
      <c r="B53" s="346" t="s">
        <v>935</v>
      </c>
      <c r="C53" s="347">
        <f>F8-F19-F32</f>
        <v>-118026.50985199999</v>
      </c>
    </row>
    <row r="54" spans="2:4" ht="15.75" thickTop="1">
      <c r="B54" s="219" t="s">
        <v>936</v>
      </c>
      <c r="C54" s="227">
        <f>SUM(C50:C53)</f>
        <v>-99014.011743050156</v>
      </c>
      <c r="D54" s="340" t="s">
        <v>937</v>
      </c>
    </row>
    <row r="56" spans="2:4">
      <c r="B56" s="219"/>
      <c r="C56" s="341" t="s">
        <v>938</v>
      </c>
      <c r="D56" s="340"/>
    </row>
    <row r="57" spans="2:4">
      <c r="B57" s="219" t="s">
        <v>939</v>
      </c>
      <c r="C57" s="725" t="e">
        <f>#REF!</f>
        <v>#REF!</v>
      </c>
      <c r="D57" s="340"/>
    </row>
    <row r="58" spans="2:4" ht="15.75" thickBot="1">
      <c r="B58" s="346" t="s">
        <v>940</v>
      </c>
      <c r="C58" s="347" t="e">
        <f>#REF!-F22-F37-#REF!</f>
        <v>#REF!</v>
      </c>
      <c r="D58" s="340" t="s">
        <v>937</v>
      </c>
    </row>
    <row r="59" spans="2:4" ht="15.75" thickTop="1">
      <c r="B59" s="219" t="s">
        <v>941</v>
      </c>
      <c r="C59" s="307" t="e">
        <f>SUM(C57:C58)</f>
        <v>#REF!</v>
      </c>
    </row>
    <row r="61" spans="2:4">
      <c r="B61" s="219" t="s">
        <v>127</v>
      </c>
      <c r="C61" s="341" t="e">
        <f>C59+C54</f>
        <v>#REF!</v>
      </c>
    </row>
  </sheetData>
  <phoneticPr fontId="117" type="noConversion"/>
  <pageMargins left="0.7" right="0.7" top="0.75" bottom="0.75" header="0.3" footer="0.3"/>
  <pageSetup scale="84"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G33"/>
  <sheetViews>
    <sheetView zoomScale="85" zoomScaleNormal="85" workbookViewId="0">
      <selection activeCell="G12" sqref="G12"/>
    </sheetView>
  </sheetViews>
  <sheetFormatPr defaultColWidth="8.85546875" defaultRowHeight="12.75"/>
  <cols>
    <col min="1" max="1" width="59.42578125" customWidth="1"/>
    <col min="2" max="3" width="22.42578125" hidden="1" customWidth="1"/>
    <col min="4" max="4" width="22.140625" hidden="1" customWidth="1"/>
    <col min="5" max="5" width="18.42578125" customWidth="1"/>
    <col min="6" max="6" width="12.85546875" bestFit="1" customWidth="1"/>
    <col min="7" max="7" width="13.42578125" bestFit="1" customWidth="1"/>
  </cols>
  <sheetData>
    <row r="1" spans="1:7" ht="21">
      <c r="A1" s="218" t="s">
        <v>948</v>
      </c>
      <c r="B1" s="210"/>
      <c r="C1" s="210"/>
      <c r="D1" s="210"/>
    </row>
    <row r="2" spans="1:7" ht="15">
      <c r="A2" s="217" t="s">
        <v>199</v>
      </c>
      <c r="B2" s="216"/>
      <c r="C2" s="216"/>
      <c r="D2" s="210"/>
    </row>
    <row r="3" spans="1:7" ht="15">
      <c r="A3" s="372" t="s">
        <v>734</v>
      </c>
      <c r="B3" s="372" t="s">
        <v>16</v>
      </c>
      <c r="C3" s="372" t="s">
        <v>17</v>
      </c>
      <c r="D3" s="372" t="s">
        <v>40</v>
      </c>
      <c r="E3" s="372" t="s">
        <v>41</v>
      </c>
      <c r="F3" s="372" t="s">
        <v>947</v>
      </c>
      <c r="G3" s="372" t="s">
        <v>43</v>
      </c>
    </row>
    <row r="4" spans="1:7">
      <c r="A4" s="673" t="s">
        <v>949</v>
      </c>
      <c r="B4" s="618"/>
      <c r="C4" s="674">
        <f>MarketingGeneralRevenues2[[#Totals],[Budget 20/21]]</f>
        <v>0</v>
      </c>
      <c r="D4" s="674">
        <f>'Director of Comms &amp; SR (TBD)'!D5</f>
        <v>0</v>
      </c>
      <c r="E4" s="674">
        <f>MarketingGeneralRevenues2[[#Totals],[Budget 21/22]]</f>
        <v>0</v>
      </c>
      <c r="F4" s="674">
        <f>MarketingGeneralRevenues2[[#Totals],[Actuals 21/22]]</f>
        <v>0</v>
      </c>
      <c r="G4" s="674">
        <f>MarketingGeneralRevenues2[[#Totals],[Budget 22/23]]</f>
        <v>0</v>
      </c>
    </row>
    <row r="5" spans="1:7" ht="15">
      <c r="A5" s="726" t="s">
        <v>950</v>
      </c>
      <c r="B5" s="373">
        <f>MarketingGeneralRevenues[[#Totals],[Bugdet 19/20]]</f>
        <v>25000</v>
      </c>
      <c r="C5" s="375">
        <f>MarketingGeneralRevenues[[#Totals],[Bugdet 20/21]]</f>
        <v>17500</v>
      </c>
      <c r="D5" s="375">
        <f>'Marketing General (16100)'!R9</f>
        <v>3302.8</v>
      </c>
      <c r="E5" s="375">
        <f>MarketingGeneralRevenues[[#Totals],[Bugdet 21/22]]</f>
        <v>5500</v>
      </c>
      <c r="F5" s="375">
        <f>MarketingGeneralRevenues[[#Totals],[Actuals 21/22]]</f>
        <v>47041.279999999999</v>
      </c>
      <c r="G5" s="375">
        <f>MarketingGeneralRevenues[[#Totals],[Budget 22/23]]</f>
        <v>15000</v>
      </c>
    </row>
    <row r="6" spans="1:7" ht="15">
      <c r="A6" s="718" t="s">
        <v>951</v>
      </c>
      <c r="B6" s="663">
        <f>CommunicationsRevenues16[[#Totals],[Budget 19/20]]</f>
        <v>0</v>
      </c>
      <c r="C6" s="674">
        <f>CommunicationsRevenues16[[#Totals],[Budget 19/21]]</f>
        <v>0</v>
      </c>
      <c r="D6" s="674">
        <f>'Communications (16200)'!S6</f>
        <v>0</v>
      </c>
      <c r="E6" s="674">
        <f>CommunicationsRevenues16[[#Totals],[Budget 21/22]]</f>
        <v>0</v>
      </c>
      <c r="F6" s="674">
        <f>CommunicationsRevenues16[[#Totals],[Actuals 21/22]]</f>
        <v>0</v>
      </c>
      <c r="G6" s="674">
        <f>CommunicationsRevenues16[[#Totals],[Budget 22/23]]</f>
        <v>0</v>
      </c>
    </row>
    <row r="7" spans="1:7" ht="15">
      <c r="A7" s="718" t="s">
        <v>952</v>
      </c>
      <c r="B7" s="663">
        <f>CommunicationsRevenues100[[#Totals],[Budget 19/20]]</f>
        <v>40000</v>
      </c>
      <c r="C7" s="674">
        <f>CommunicationsRevenues100[[#Totals],[Budget 21/22]]</f>
        <v>0</v>
      </c>
      <c r="D7" s="674">
        <f>'Handbook (16300)'!R5</f>
        <v>19996.78</v>
      </c>
      <c r="E7" s="674">
        <v>0</v>
      </c>
      <c r="F7" s="674">
        <v>0</v>
      </c>
      <c r="G7" s="674">
        <v>0</v>
      </c>
    </row>
    <row r="8" spans="1:7" ht="15">
      <c r="A8" s="718" t="s">
        <v>953</v>
      </c>
      <c r="B8" s="663">
        <f>MarketingAdvocacyRevenues[[#Totals],[Budget 19/20]]</f>
        <v>3240</v>
      </c>
      <c r="C8" s="663">
        <f>MarketingAdvocacyRevenues[[#Totals],[Actual 19/20]]</f>
        <v>0</v>
      </c>
      <c r="D8" s="663"/>
      <c r="E8" s="663">
        <v>0</v>
      </c>
      <c r="F8" s="663">
        <v>0</v>
      </c>
      <c r="G8" s="663">
        <v>0</v>
      </c>
    </row>
    <row r="9" spans="1:7" ht="15">
      <c r="A9" s="718" t="s">
        <v>954</v>
      </c>
      <c r="B9" s="663">
        <f>MarketingGeneralRevenues7180[[#Totals],[Budget 19/20]]</f>
        <v>0</v>
      </c>
      <c r="C9" s="674">
        <f>MarketingGeneralRevenues7180[[#Totals],[Budget 19/21]]</f>
        <v>0</v>
      </c>
      <c r="D9" s="674">
        <f>'Marketing -CL (16500)'!O5</f>
        <v>0</v>
      </c>
      <c r="E9" s="674">
        <f>MarketingGeneralRevenues7180[[#Totals],[Budget 21/22]]</f>
        <v>0</v>
      </c>
      <c r="F9" s="674">
        <f>MarketingGeneralRevenues7180[[#Totals],[Actuals 21/22]]</f>
        <v>0</v>
      </c>
      <c r="G9" s="674">
        <f>MarketingGeneralRevenues7180[[#Totals],[Budget 22/23]]</f>
        <v>0</v>
      </c>
    </row>
    <row r="10" spans="1:7" ht="15">
      <c r="A10" s="718" t="s">
        <v>955</v>
      </c>
      <c r="B10" s="663">
        <f>MarketingGeneralRevenues7180[[#Totals],[Budget 19/20]]</f>
        <v>0</v>
      </c>
      <c r="C10" s="674"/>
      <c r="D10" s="674"/>
      <c r="E10" s="674"/>
      <c r="F10" s="674"/>
      <c r="G10" s="674"/>
    </row>
    <row r="11" spans="1:7" ht="15">
      <c r="A11" s="718" t="s">
        <v>956</v>
      </c>
      <c r="B11" s="663">
        <f>MarketingGeneralRevenues718082[[#Totals],[Budget 2019/20]]</f>
        <v>95305.040000000008</v>
      </c>
      <c r="C11" s="674" t="e">
        <f>MarketingGeneralRevenues718082[[#Totals],[Budget 20/21]]</f>
        <v>#REF!</v>
      </c>
      <c r="D11" s="674">
        <f>'Marketing - Ops &amp; Fac (16600)'!O5</f>
        <v>1831.72</v>
      </c>
      <c r="E11" s="674">
        <f>MarketingGeneralRevenues718082[[#Totals],[Budget 21/22]]</f>
        <v>53100</v>
      </c>
      <c r="F11" s="674">
        <f>MarketingGeneralRevenues718082[[#Totals],[Actuals 21/22]]</f>
        <v>44301.37</v>
      </c>
      <c r="G11" s="674">
        <f>MarketingGeneralExpenses758197[[#Totals],[Budget 22/23]]</f>
        <v>48248</v>
      </c>
    </row>
    <row r="12" spans="1:7" ht="15">
      <c r="A12" s="718" t="s">
        <v>957</v>
      </c>
      <c r="B12" s="663"/>
      <c r="C12" s="674">
        <f>MarketingGeneralRevenues718014[[#Totals],[Budget 20/21]]</f>
        <v>0</v>
      </c>
      <c r="D12" s="674">
        <f>'Stakeholder Relations (41500)'!D5</f>
        <v>0</v>
      </c>
      <c r="E12" s="674">
        <f>MarketingGeneralRevenues718014[[#Totals],[Budget 21/22]]</f>
        <v>0</v>
      </c>
      <c r="F12" s="674">
        <f>MarketingGeneralRevenues718014[[#Totals],[Actuals 21/22]]</f>
        <v>0</v>
      </c>
      <c r="G12" s="674">
        <f>MarketingGeneralRevenues718014[[#Totals],[Budget 22/23]]</f>
        <v>0</v>
      </c>
    </row>
    <row r="13" spans="1:7" ht="15.75" thickBot="1">
      <c r="A13" s="727" t="s">
        <v>958</v>
      </c>
      <c r="B13" s="306"/>
      <c r="C13" s="376">
        <f>MarketingGeneralRevenues71801466[[#Totals],[Budget 20/21]]</f>
        <v>0</v>
      </c>
      <c r="D13" s="376">
        <f>'Research (31200)'!D5</f>
        <v>0</v>
      </c>
      <c r="E13" s="376">
        <f>MarketingGeneralRevenues71801466[[#Totals],[Budget 21/22]]</f>
        <v>0</v>
      </c>
      <c r="F13" s="376">
        <f>MarketingGeneralRevenues71801466[[#Totals],[Actuals 21/22]]</f>
        <v>0</v>
      </c>
      <c r="G13" s="376">
        <f>MarketingGeneralRevenues71801466[[#Totals],[Budget 22/23]]</f>
        <v>0</v>
      </c>
    </row>
    <row r="14" spans="1:7" ht="15.75" thickBot="1">
      <c r="A14" s="377" t="s">
        <v>21</v>
      </c>
      <c r="B14" s="378">
        <f>SUM(B5:B11)</f>
        <v>163545.04</v>
      </c>
      <c r="C14" s="379" t="e">
        <f>SUM(C5:C11)</f>
        <v>#REF!</v>
      </c>
      <c r="D14" s="379">
        <f>SUM(D5:D11)</f>
        <v>25131.3</v>
      </c>
      <c r="E14" s="379">
        <f>SUM(E5:E11)</f>
        <v>58600</v>
      </c>
      <c r="F14" s="379">
        <f t="shared" ref="F14:G14" si="0">SUM(F5:F11)</f>
        <v>91342.65</v>
      </c>
      <c r="G14" s="379">
        <f t="shared" si="0"/>
        <v>63248</v>
      </c>
    </row>
    <row r="16" spans="1:7" ht="15.75" thickBot="1">
      <c r="A16" s="660" t="s">
        <v>68</v>
      </c>
      <c r="B16" s="660" t="s">
        <v>16</v>
      </c>
      <c r="C16" s="660" t="s">
        <v>17</v>
      </c>
      <c r="D16" s="660" t="s">
        <v>268</v>
      </c>
      <c r="E16" s="660" t="s">
        <v>959</v>
      </c>
      <c r="F16" s="372" t="s">
        <v>947</v>
      </c>
      <c r="G16" s="372" t="s">
        <v>43</v>
      </c>
    </row>
    <row r="17" spans="1:7">
      <c r="A17" s="374" t="s">
        <v>949</v>
      </c>
      <c r="B17" s="618"/>
      <c r="C17" s="674">
        <f>MarketingGeneralExpenses63[[#Totals],[Budget 20/21]]</f>
        <v>4780</v>
      </c>
      <c r="D17" s="674">
        <f>'Director of Comms &amp; SR (TBD)'!D21</f>
        <v>0</v>
      </c>
      <c r="E17" s="674">
        <f>MarketingGeneralExpenses63[[#Totals],[Budget 21/22]]</f>
        <v>3980</v>
      </c>
      <c r="F17" s="674">
        <f>MarketingGeneralExpenses63[[#Totals],[Actuals 21/22]]</f>
        <v>0</v>
      </c>
      <c r="G17" s="674">
        <f>MarketingGeneralExpenses63[[#Totals],[Budget 22/23]]</f>
        <v>6700</v>
      </c>
    </row>
    <row r="18" spans="1:7" ht="15">
      <c r="A18" s="718" t="s">
        <v>950</v>
      </c>
      <c r="B18" s="664">
        <f>MarketingGeneralExpenses[[#Totals],[Budget 19/20]]</f>
        <v>70095.97</v>
      </c>
      <c r="C18" s="674">
        <f>MarketingGeneralExpenses[[#Totals],[Budget 20/21]]</f>
        <v>101995.06</v>
      </c>
      <c r="D18" s="674">
        <f>'Marketing General (16100)'!R38</f>
        <v>53272.68</v>
      </c>
      <c r="E18" s="674">
        <f>MarketingGeneralExpenses[[#Totals],[Budget 21/22]]</f>
        <v>217194.83000000002</v>
      </c>
      <c r="F18" s="674">
        <f>MarketingGeneralExpenses[[#Totals],[Actuals 21/22]]</f>
        <v>230165.35</v>
      </c>
      <c r="G18" s="674">
        <f>MarketingGeneralExpenses[[#Totals],[Budget 22/23]]</f>
        <v>249150</v>
      </c>
    </row>
    <row r="19" spans="1:7" ht="15">
      <c r="A19" s="718" t="s">
        <v>951</v>
      </c>
      <c r="B19" s="663">
        <f>CommunicationsExpenses17[[#Totals],[Budget 19/20]]</f>
        <v>28480.5</v>
      </c>
      <c r="C19" s="674">
        <f>CommunicationsExpenses17[[#Totals],[Budget 19/21]]</f>
        <v>30044.780000000002</v>
      </c>
      <c r="D19" s="674">
        <f>'Communications (16200)'!S27</f>
        <v>17450.589999999997</v>
      </c>
      <c r="E19" s="674">
        <f>CommunicationsExpenses17[[#Totals],[Budget 21/22]]</f>
        <v>107798.42</v>
      </c>
      <c r="F19" s="674"/>
      <c r="G19" s="674">
        <f>'Communications (16200)'!V27</f>
        <v>106250</v>
      </c>
    </row>
    <row r="20" spans="1:7" ht="15">
      <c r="A20" s="718" t="s">
        <v>952</v>
      </c>
      <c r="B20" s="663">
        <f>CommunicationsExpenses101[[#Totals],[Budget 19/20]]</f>
        <v>27000</v>
      </c>
      <c r="C20" s="674">
        <f>CommunicationsExpenses101[[#Totals],[Budget 21/22]]</f>
        <v>0</v>
      </c>
      <c r="D20" s="674">
        <f>'Handbook (16300)'!R16</f>
        <v>24339.23</v>
      </c>
      <c r="E20" s="674">
        <v>0</v>
      </c>
      <c r="F20" s="674"/>
      <c r="G20" s="674"/>
    </row>
    <row r="21" spans="1:7" ht="15">
      <c r="A21" s="718" t="s">
        <v>953</v>
      </c>
      <c r="B21" s="663">
        <f>MarketingAdvocacyExpenses[[#Totals],[Budget 19-20]]</f>
        <v>35112.509999999995</v>
      </c>
      <c r="C21" s="674"/>
      <c r="D21" s="674"/>
      <c r="E21" s="674"/>
      <c r="F21" s="674"/>
      <c r="G21" s="674"/>
    </row>
    <row r="22" spans="1:7" ht="15">
      <c r="A22" s="718" t="s">
        <v>954</v>
      </c>
      <c r="B22" s="663">
        <f>MarketingGeneralExpenses7581[[#Totals],[Budget 19/20]]</f>
        <v>55046.720000000001</v>
      </c>
      <c r="C22" s="674">
        <f>MarketingGeneralExpenses7581[[#Totals],[Budget 19/21]]</f>
        <v>56393.75</v>
      </c>
      <c r="D22" s="674">
        <f>'Marketing -CL (16500)'!O51</f>
        <v>18150.849999999999</v>
      </c>
      <c r="E22" s="674">
        <f>MarketingGeneralExpenses7581[[#Totals],[Budget 21/22]]</f>
        <v>75935.600000000006</v>
      </c>
      <c r="F22" s="674"/>
      <c r="G22" s="674">
        <f>MarketingGeneralExpenses7581[[#Totals],[Budget 22/23]]</f>
        <v>31500</v>
      </c>
    </row>
    <row r="23" spans="1:7" ht="15">
      <c r="A23" s="718" t="s">
        <v>955</v>
      </c>
      <c r="B23" s="663">
        <v>34291.51</v>
      </c>
      <c r="C23" s="674"/>
      <c r="D23" s="674"/>
      <c r="E23" s="674"/>
      <c r="F23" s="674"/>
      <c r="G23" s="674"/>
    </row>
    <row r="24" spans="1:7" ht="15">
      <c r="A24" s="718" t="s">
        <v>956</v>
      </c>
      <c r="B24" s="663">
        <f>MarketingGeneralExpenses758197[[#Totals],[Budget 2019/20]]</f>
        <v>95305.040000000008</v>
      </c>
      <c r="C24" s="674">
        <f>MarketingGeneralExpenses758197[[#Totals],[Budget 20/21]]</f>
        <v>41276.560000000005</v>
      </c>
      <c r="D24" s="674">
        <f>'Marketing - Ops &amp; Fac (16600)'!O33</f>
        <v>7443.920000000001</v>
      </c>
      <c r="E24" s="674">
        <f>MarketingGeneralExpenses758197[[#Totals],[Budget 21/22]]</f>
        <v>82552.09</v>
      </c>
      <c r="F24" s="674"/>
      <c r="G24" s="674">
        <f>MarketingGeneralExpenses758197[[#Totals],[Budget 22/23]]</f>
        <v>48248</v>
      </c>
    </row>
    <row r="25" spans="1:7" ht="15">
      <c r="A25" s="718" t="s">
        <v>957</v>
      </c>
      <c r="B25" s="663"/>
      <c r="C25" s="674">
        <f>MarketingGeneralExpenses758115[[#Totals],[Budget 20/21]]</f>
        <v>6130</v>
      </c>
      <c r="D25" s="674">
        <f>'Stakeholder Relations (41500)'!D18</f>
        <v>5.51</v>
      </c>
      <c r="E25" s="674">
        <f>MarketingGeneralExpenses758115[[#Totals],[Budget 21/22]]</f>
        <v>5130</v>
      </c>
      <c r="F25" s="674"/>
      <c r="G25" s="674">
        <f>MarketingGeneralExpenses758115[[#Totals],[Budget 22/23]]</f>
        <v>6700</v>
      </c>
    </row>
    <row r="26" spans="1:7" ht="15">
      <c r="A26" s="727" t="s">
        <v>960</v>
      </c>
      <c r="B26" s="306"/>
      <c r="C26" s="376"/>
      <c r="D26" s="376"/>
      <c r="E26" s="376"/>
      <c r="F26" s="376"/>
      <c r="G26" s="376">
        <f>MarketingGeneralExpenses75811598[[#Totals],[Budget 22/23]]</f>
        <v>5400</v>
      </c>
    </row>
    <row r="27" spans="1:7" ht="15.75" thickBot="1">
      <c r="A27" s="727" t="s">
        <v>958</v>
      </c>
      <c r="B27" s="306"/>
      <c r="C27" s="376">
        <f>MarketingGeneralExpenses75811568[[#Totals],[Budget 20/21]]</f>
        <v>92242.64</v>
      </c>
      <c r="D27" s="376">
        <f>'Research (31200)'!D20</f>
        <v>8075.99</v>
      </c>
      <c r="E27" s="376">
        <f>MarketingGeneralExpenses75811568[[#Totals],[Budget 21/22]]</f>
        <v>100500</v>
      </c>
      <c r="F27" s="376"/>
      <c r="G27" s="376">
        <f>MarketingGeneralExpenses75811568[[#Totals],[Budget 22/23]]</f>
        <v>107000</v>
      </c>
    </row>
    <row r="28" spans="1:7" ht="15.75" thickBot="1">
      <c r="A28" s="377" t="s">
        <v>21</v>
      </c>
      <c r="B28" s="378">
        <f>SUM(B18:B24)</f>
        <v>345332.25</v>
      </c>
      <c r="C28" s="379">
        <f>SUM(C17:C27)</f>
        <v>332862.78999999998</v>
      </c>
      <c r="D28" s="379">
        <f>SUM(D17:D27)</f>
        <v>128738.76999999997</v>
      </c>
      <c r="E28" s="379">
        <f>SUM(E17:E27)</f>
        <v>593090.93999999994</v>
      </c>
      <c r="F28" s="379">
        <f t="shared" ref="F28:G28" si="1">SUM(F17:F27)</f>
        <v>230165.35</v>
      </c>
      <c r="G28" s="379">
        <f t="shared" si="1"/>
        <v>560948</v>
      </c>
    </row>
    <row r="29" spans="1:7" ht="15.75" thickBot="1">
      <c r="A29" s="210"/>
      <c r="B29" s="214"/>
      <c r="C29" s="214"/>
      <c r="D29" s="214"/>
      <c r="E29" s="214"/>
      <c r="F29" s="214"/>
      <c r="G29" s="214"/>
    </row>
    <row r="30" spans="1:7" ht="15.75" thickBot="1">
      <c r="A30" s="213" t="s">
        <v>69</v>
      </c>
      <c r="B30" s="211">
        <f>B14-B28</f>
        <v>-181787.21</v>
      </c>
      <c r="C30" s="212" t="e">
        <f>C14-C28</f>
        <v>#REF!</v>
      </c>
      <c r="D30" s="212">
        <f>D14-D28</f>
        <v>-103607.46999999997</v>
      </c>
      <c r="E30" s="212">
        <f>E14-E28</f>
        <v>-534490.93999999994</v>
      </c>
      <c r="F30" s="212">
        <f t="shared" ref="F30" si="2">F14-F28</f>
        <v>-138822.70000000001</v>
      </c>
      <c r="G30" s="212">
        <f>G14-G28</f>
        <v>-497700</v>
      </c>
    </row>
    <row r="33" spans="1:1">
      <c r="A33" s="19"/>
    </row>
  </sheetData>
  <phoneticPr fontId="117" type="noConversion"/>
  <pageMargins left="0.7" right="0.7" top="0.75" bottom="0.75" header="0.3" footer="0.3"/>
  <pageSetup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B1:G28"/>
  <sheetViews>
    <sheetView workbookViewId="0">
      <selection activeCell="G19" sqref="G19"/>
    </sheetView>
  </sheetViews>
  <sheetFormatPr defaultColWidth="10" defaultRowHeight="12.75"/>
  <cols>
    <col min="1" max="1" width="12" style="228" bestFit="1" customWidth="1"/>
    <col min="2" max="2" width="48.28515625" style="228" customWidth="1"/>
    <col min="3" max="3" width="13.28515625" style="228" hidden="1" customWidth="1"/>
    <col min="4" max="4" width="14.140625" style="228" hidden="1" customWidth="1"/>
    <col min="5" max="7" width="14.140625" style="228" customWidth="1"/>
    <col min="8" max="10" width="15.85546875" style="228" customWidth="1"/>
    <col min="11" max="12" width="14.140625" style="228" customWidth="1"/>
    <col min="13" max="13" width="14.140625" style="228" bestFit="1" customWidth="1"/>
    <col min="14" max="15" width="15.85546875" style="228" bestFit="1" customWidth="1"/>
    <col min="16" max="16" width="17.7109375" style="228" bestFit="1" customWidth="1"/>
    <col min="17" max="16384" width="10" style="228"/>
  </cols>
  <sheetData>
    <row r="1" spans="2:7" ht="21">
      <c r="B1" s="218" t="s">
        <v>961</v>
      </c>
    </row>
    <row r="2" spans="2:7" ht="15">
      <c r="B2" s="217" t="s">
        <v>962</v>
      </c>
    </row>
    <row r="3" spans="2:7" ht="15">
      <c r="B3" s="228" t="s">
        <v>72</v>
      </c>
      <c r="C3" s="675" t="s">
        <v>17</v>
      </c>
      <c r="D3" s="370" t="s">
        <v>40</v>
      </c>
      <c r="E3" s="370" t="s">
        <v>41</v>
      </c>
      <c r="F3" s="372" t="s">
        <v>947</v>
      </c>
      <c r="G3" s="372" t="s">
        <v>43</v>
      </c>
    </row>
    <row r="4" spans="2:7">
      <c r="C4" s="20">
        <v>0</v>
      </c>
    </row>
    <row r="5" spans="2:7">
      <c r="B5" s="19" t="s">
        <v>21</v>
      </c>
      <c r="C5" s="178">
        <f>SUBTOTAL(109,MarketingGeneralRevenues2[Budget 20/21])</f>
        <v>0</v>
      </c>
      <c r="D5"/>
      <c r="E5"/>
      <c r="F5"/>
      <c r="G5"/>
    </row>
    <row r="7" spans="2:7" ht="15">
      <c r="B7" s="228" t="s">
        <v>22</v>
      </c>
      <c r="C7" s="675" t="s">
        <v>17</v>
      </c>
      <c r="D7" s="370" t="s">
        <v>40</v>
      </c>
      <c r="E7" s="370" t="s">
        <v>41</v>
      </c>
      <c r="F7" s="372" t="s">
        <v>947</v>
      </c>
      <c r="G7" s="372" t="s">
        <v>43</v>
      </c>
    </row>
    <row r="8" spans="2:7">
      <c r="B8" s="228" t="s">
        <v>943</v>
      </c>
      <c r="C8" s="20"/>
      <c r="D8" s="252"/>
      <c r="G8" s="568">
        <v>0</v>
      </c>
    </row>
    <row r="9" spans="2:7">
      <c r="B9" s="228" t="s">
        <v>93</v>
      </c>
      <c r="C9" s="20">
        <v>300</v>
      </c>
      <c r="D9" s="252"/>
      <c r="G9" s="569">
        <v>0</v>
      </c>
    </row>
    <row r="10" spans="2:7" ht="13.5" customHeight="1">
      <c r="B10" s="228" t="s">
        <v>95</v>
      </c>
      <c r="C10" s="20">
        <v>780</v>
      </c>
      <c r="D10" s="252"/>
      <c r="E10" s="436">
        <v>780</v>
      </c>
      <c r="G10" s="569">
        <v>0</v>
      </c>
    </row>
    <row r="11" spans="2:7" ht="15.75">
      <c r="B11" s="228" t="s">
        <v>97</v>
      </c>
      <c r="C11" s="20">
        <v>0</v>
      </c>
      <c r="D11" s="252"/>
      <c r="E11" s="436"/>
      <c r="G11" s="569">
        <v>0</v>
      </c>
    </row>
    <row r="12" spans="2:7" ht="15.75">
      <c r="B12" s="228" t="s">
        <v>100</v>
      </c>
      <c r="C12" s="20">
        <v>0</v>
      </c>
      <c r="D12" s="252"/>
      <c r="E12" s="436"/>
      <c r="G12" s="569">
        <v>0</v>
      </c>
    </row>
    <row r="13" spans="2:7" ht="15.75">
      <c r="B13" s="228" t="s">
        <v>237</v>
      </c>
      <c r="C13" s="20">
        <v>200</v>
      </c>
      <c r="D13" s="252"/>
      <c r="E13" s="436">
        <v>200</v>
      </c>
      <c r="G13" s="569">
        <v>200</v>
      </c>
    </row>
    <row r="14" spans="2:7" ht="15.75">
      <c r="B14" s="228" t="s">
        <v>963</v>
      </c>
      <c r="C14" s="20">
        <v>400</v>
      </c>
      <c r="D14" s="252"/>
      <c r="E14" s="436">
        <v>400</v>
      </c>
      <c r="G14" s="569">
        <v>400</v>
      </c>
    </row>
    <row r="15" spans="2:7" ht="15.75">
      <c r="B15" s="228" t="s">
        <v>904</v>
      </c>
      <c r="C15" s="20">
        <v>500</v>
      </c>
      <c r="D15" s="252"/>
      <c r="E15" s="436">
        <v>500</v>
      </c>
      <c r="G15" s="569">
        <v>500</v>
      </c>
    </row>
    <row r="16" spans="2:7" ht="15.75">
      <c r="B16" s="228" t="s">
        <v>964</v>
      </c>
      <c r="C16" s="20">
        <v>0</v>
      </c>
      <c r="D16" s="252"/>
      <c r="E16" s="436"/>
      <c r="G16" s="569"/>
    </row>
    <row r="17" spans="2:7" ht="15.75">
      <c r="B17" s="228" t="s">
        <v>965</v>
      </c>
      <c r="C17" s="20">
        <v>1500</v>
      </c>
      <c r="D17" s="252"/>
      <c r="E17" s="436">
        <v>1000</v>
      </c>
      <c r="G17" s="569">
        <v>2000</v>
      </c>
    </row>
    <row r="18" spans="2:7" ht="15.75">
      <c r="B18" s="228" t="s">
        <v>287</v>
      </c>
      <c r="C18" s="20">
        <v>600</v>
      </c>
      <c r="D18" s="252"/>
      <c r="E18" s="436">
        <v>600</v>
      </c>
      <c r="G18" s="569">
        <f>1000+600</f>
        <v>1600</v>
      </c>
    </row>
    <row r="19" spans="2:7" ht="15.75">
      <c r="B19" s="228" t="s">
        <v>114</v>
      </c>
      <c r="C19" s="20">
        <v>500</v>
      </c>
      <c r="D19" s="252"/>
      <c r="E19" s="436">
        <v>500</v>
      </c>
      <c r="G19" s="569">
        <v>2000</v>
      </c>
    </row>
    <row r="20" spans="2:7" ht="15.75">
      <c r="B20" s="228" t="s">
        <v>110</v>
      </c>
      <c r="C20" s="20">
        <v>0</v>
      </c>
      <c r="D20" s="252"/>
      <c r="E20" s="436"/>
    </row>
    <row r="21" spans="2:7">
      <c r="B21" s="19" t="s">
        <v>21</v>
      </c>
      <c r="C21" s="178">
        <f>SUBTOTAL(109,MarketingGeneralExpenses63[Budget 20/21])</f>
        <v>4780</v>
      </c>
      <c r="D21" s="178">
        <f>SUBTOTAL(109,MarketingGeneralExpenses63[Actual 20/21])</f>
        <v>0</v>
      </c>
      <c r="E21" s="178">
        <f>SUBTOTAL(109,MarketingGeneralExpenses63[Budget 21/22])</f>
        <v>3980</v>
      </c>
      <c r="F21" s="11"/>
      <c r="G21" s="531">
        <f>SUM(MarketingGeneralExpenses63[Budget 22/23])</f>
        <v>6700</v>
      </c>
    </row>
    <row r="22" spans="2:7" ht="13.5" thickBot="1">
      <c r="B22" s="19"/>
      <c r="C22" s="178"/>
      <c r="D22"/>
      <c r="E22"/>
    </row>
    <row r="23" spans="2:7" ht="19.5" thickBot="1">
      <c r="B23" s="676" t="s">
        <v>127</v>
      </c>
      <c r="C23" s="369">
        <f>(MarketingGeneralRevenues2[[#Totals],[Budget 20/21]]) -MarketingGeneralExpenses63[[#Totals],[Budget 20/21]]</f>
        <v>-4780</v>
      </c>
      <c r="D23" s="369">
        <f>(MarketingGeneralRevenues2[[#Totals],[Actual 20/21]]) -MarketingGeneralExpenses63[[#Totals],[Actual 20/21]]</f>
        <v>0</v>
      </c>
      <c r="E23" s="369">
        <f>(MarketingGeneralRevenues2[[#Totals],[Budget 21/22]]) -MarketingGeneralExpenses63[[#Totals],[Budget 21/22]]</f>
        <v>-3980</v>
      </c>
      <c r="F23" s="369">
        <f>(MarketingGeneralRevenues2[[#Totals],[Actuals 21/22]]) -MarketingGeneralExpenses63[[#Totals],[Actuals 21/22]]</f>
        <v>0</v>
      </c>
      <c r="G23" s="369">
        <f>(MarketingGeneralRevenues2[[#Totals],[Budget 22/23]]) -MarketingGeneralExpenses63[[#Totals],[Budget 22/23]]</f>
        <v>-6700</v>
      </c>
    </row>
    <row r="28" spans="2:7">
      <c r="B28" s="229"/>
    </row>
  </sheetData>
  <phoneticPr fontId="90" type="noConversion"/>
  <pageMargins left="0.7" right="0.7" top="0.75" bottom="0.75" header="0.3" footer="0.3"/>
  <legacyDrawing r:id="rId1"/>
  <tableParts count="2">
    <tablePart r:id="rId2"/>
    <tablePart r:id="rId3"/>
  </tablePar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1"/>
    <pageSetUpPr fitToPage="1"/>
  </sheetPr>
  <dimension ref="A1:U44"/>
  <sheetViews>
    <sheetView zoomScale="85" zoomScaleNormal="85" workbookViewId="0">
      <selection activeCell="U30" sqref="U30"/>
    </sheetView>
  </sheetViews>
  <sheetFormatPr defaultColWidth="10" defaultRowHeight="12.75"/>
  <cols>
    <col min="1" max="1" width="18.42578125" style="228" customWidth="1"/>
    <col min="2" max="2" width="48.28515625" style="228" customWidth="1"/>
    <col min="3" max="3" width="13.28515625" style="228" hidden="1" customWidth="1"/>
    <col min="4" max="7" width="14.140625" style="228" hidden="1" customWidth="1"/>
    <col min="8" max="10" width="15.85546875" style="228" hidden="1" customWidth="1"/>
    <col min="11" max="12" width="14.140625" style="228" hidden="1" customWidth="1"/>
    <col min="13" max="13" width="18.28515625" style="228" hidden="1" customWidth="1"/>
    <col min="14" max="14" width="17.7109375" style="228" hidden="1" customWidth="1"/>
    <col min="15" max="15" width="17" style="228" hidden="1" customWidth="1"/>
    <col min="16" max="16" width="17.28515625" style="228" hidden="1" customWidth="1"/>
    <col min="17" max="17" width="17" style="228" hidden="1" customWidth="1"/>
    <col min="18" max="18" width="15.42578125" style="545" hidden="1" customWidth="1"/>
    <col min="19" max="19" width="14.7109375" style="228" customWidth="1"/>
    <col min="20" max="21" width="13.140625" style="228" bestFit="1" customWidth="1"/>
    <col min="22" max="16384" width="10" style="228"/>
  </cols>
  <sheetData>
    <row r="1" spans="1:21" ht="21">
      <c r="B1" s="218" t="s">
        <v>966</v>
      </c>
    </row>
    <row r="2" spans="1:21" ht="15">
      <c r="B2" s="217" t="s">
        <v>962</v>
      </c>
    </row>
    <row r="3" spans="1:21" ht="15">
      <c r="B3" s="228" t="s">
        <v>72</v>
      </c>
      <c r="C3" s="675" t="s">
        <v>77</v>
      </c>
      <c r="D3" s="675" t="s">
        <v>5</v>
      </c>
      <c r="E3" s="675" t="s">
        <v>7</v>
      </c>
      <c r="F3" s="675" t="s">
        <v>8</v>
      </c>
      <c r="G3" s="675" t="s">
        <v>9</v>
      </c>
      <c r="H3" s="675" t="s">
        <v>10</v>
      </c>
      <c r="I3" s="677" t="s">
        <v>11</v>
      </c>
      <c r="J3" s="241" t="s">
        <v>12</v>
      </c>
      <c r="K3" s="240" t="s">
        <v>13</v>
      </c>
      <c r="L3" s="241" t="s">
        <v>14</v>
      </c>
      <c r="M3" s="240" t="s">
        <v>15</v>
      </c>
      <c r="N3" s="240" t="s">
        <v>914</v>
      </c>
      <c r="O3" s="380" t="s">
        <v>967</v>
      </c>
      <c r="P3" s="380" t="s">
        <v>915</v>
      </c>
      <c r="Q3" s="380" t="s">
        <v>968</v>
      </c>
      <c r="R3" s="546" t="s">
        <v>269</v>
      </c>
      <c r="S3" s="437" t="s">
        <v>969</v>
      </c>
      <c r="T3" s="372" t="s">
        <v>947</v>
      </c>
      <c r="U3" s="372" t="s">
        <v>43</v>
      </c>
    </row>
    <row r="4" spans="1:21" ht="15">
      <c r="A4" s="228" t="s">
        <v>970</v>
      </c>
      <c r="B4" s="717" t="s">
        <v>395</v>
      </c>
      <c r="C4" s="728"/>
      <c r="D4" s="728"/>
      <c r="E4" s="728"/>
      <c r="F4" s="728"/>
      <c r="G4" s="728"/>
      <c r="H4" s="234"/>
      <c r="I4" s="728"/>
      <c r="J4" s="728"/>
      <c r="K4" s="728"/>
      <c r="L4" s="234"/>
      <c r="M4" s="728"/>
      <c r="N4" s="20"/>
      <c r="O4" s="729"/>
      <c r="P4" s="250"/>
      <c r="Q4" s="712"/>
      <c r="S4" s="713"/>
      <c r="T4" s="229">
        <v>47041.279999999999</v>
      </c>
    </row>
    <row r="5" spans="1:21">
      <c r="A5" s="228" t="s">
        <v>971</v>
      </c>
      <c r="B5" s="228" t="s">
        <v>336</v>
      </c>
      <c r="C5" s="20">
        <v>0</v>
      </c>
      <c r="D5" s="20">
        <v>0</v>
      </c>
      <c r="E5" s="20">
        <v>0</v>
      </c>
      <c r="F5" s="242">
        <v>3472.19</v>
      </c>
      <c r="G5" s="20">
        <v>0</v>
      </c>
      <c r="H5" s="20">
        <v>0</v>
      </c>
      <c r="I5" s="20">
        <v>0</v>
      </c>
      <c r="J5" s="179"/>
      <c r="K5" s="179">
        <v>10000</v>
      </c>
      <c r="L5" s="179">
        <v>6887.43</v>
      </c>
      <c r="M5" s="179">
        <v>7000</v>
      </c>
      <c r="N5" s="179">
        <v>15961.8</v>
      </c>
      <c r="O5" s="236">
        <v>12000</v>
      </c>
      <c r="P5" s="236">
        <v>20006.310000000001</v>
      </c>
      <c r="Q5" s="179">
        <v>10000</v>
      </c>
      <c r="R5" s="545">
        <v>3185.78</v>
      </c>
      <c r="S5" s="179">
        <v>3000</v>
      </c>
      <c r="T5" s="714">
        <v>0</v>
      </c>
      <c r="U5" s="228">
        <v>10000</v>
      </c>
    </row>
    <row r="6" spans="1:21" ht="15">
      <c r="A6" s="228" t="s">
        <v>972</v>
      </c>
      <c r="B6" s="228" t="s">
        <v>973</v>
      </c>
      <c r="C6" s="728"/>
      <c r="D6" s="728"/>
      <c r="E6" s="728"/>
      <c r="F6" s="728"/>
      <c r="G6" s="728"/>
      <c r="H6" s="234"/>
      <c r="I6" s="728"/>
      <c r="J6" s="728"/>
      <c r="K6" s="728"/>
      <c r="L6" s="234"/>
      <c r="M6" s="728"/>
      <c r="N6" s="179"/>
      <c r="O6" s="729"/>
      <c r="P6" s="236"/>
      <c r="Q6" s="237"/>
      <c r="R6" s="545">
        <v>29.02</v>
      </c>
      <c r="S6" s="179"/>
      <c r="T6" s="714"/>
    </row>
    <row r="7" spans="1:21" ht="15">
      <c r="A7" s="252" t="s">
        <v>190</v>
      </c>
      <c r="B7" s="717" t="s">
        <v>974</v>
      </c>
      <c r="C7" s="728"/>
      <c r="D7" s="728"/>
      <c r="E7" s="728"/>
      <c r="F7" s="728"/>
      <c r="G7" s="728"/>
      <c r="H7" s="234"/>
      <c r="I7" s="728"/>
      <c r="J7" s="728"/>
      <c r="K7" s="728"/>
      <c r="L7" s="234"/>
      <c r="M7" s="728"/>
      <c r="N7" s="179"/>
      <c r="O7" s="729"/>
      <c r="P7" s="729"/>
      <c r="Q7" s="237"/>
      <c r="S7" s="179"/>
      <c r="T7" s="714"/>
    </row>
    <row r="8" spans="1:21">
      <c r="A8" s="228" t="s">
        <v>975</v>
      </c>
      <c r="B8" s="228" t="s">
        <v>976</v>
      </c>
      <c r="C8" s="20">
        <v>9500</v>
      </c>
      <c r="D8" s="20">
        <v>9500</v>
      </c>
      <c r="E8" s="20">
        <v>9500</v>
      </c>
      <c r="F8" s="20">
        <v>12467.1</v>
      </c>
      <c r="G8" s="20">
        <v>12500</v>
      </c>
      <c r="H8" s="20">
        <v>14772.42</v>
      </c>
      <c r="I8" s="20">
        <v>10000</v>
      </c>
      <c r="J8" s="179">
        <v>10889.91</v>
      </c>
      <c r="K8" s="179">
        <v>10000</v>
      </c>
      <c r="L8" s="179">
        <v>12976.73</v>
      </c>
      <c r="M8" s="179">
        <v>13000</v>
      </c>
      <c r="N8" s="179">
        <v>11634.8</v>
      </c>
      <c r="O8" s="236">
        <v>13000</v>
      </c>
      <c r="P8" s="236">
        <v>14385.39</v>
      </c>
      <c r="Q8" s="179">
        <v>7500</v>
      </c>
      <c r="R8" s="545">
        <v>88</v>
      </c>
      <c r="S8" s="179">
        <v>2500</v>
      </c>
      <c r="T8" s="714">
        <v>0</v>
      </c>
      <c r="U8" s="228">
        <v>5000</v>
      </c>
    </row>
    <row r="9" spans="1:21">
      <c r="B9" s="19" t="s">
        <v>21</v>
      </c>
      <c r="C9" s="178">
        <f>SUBTOTAL(109,MarketingGeneralRevenues[Budget 12/13])</f>
        <v>9500</v>
      </c>
      <c r="D9" s="178">
        <f>SUBTOTAL(109,MarketingGeneralRevenues[Budget 13/14])</f>
        <v>9500</v>
      </c>
      <c r="E9" s="178">
        <f>SUBTOTAL(109,MarketingGeneralRevenues[Budget 14/15])</f>
        <v>9500</v>
      </c>
      <c r="F9" s="178">
        <f>SUBTOTAL(109,MarketingGeneralRevenues[Actual 14/15])</f>
        <v>15939.29</v>
      </c>
      <c r="G9" s="178">
        <f>SUBTOTAL(109,MarketingGeneralRevenues[Budget 15/16])</f>
        <v>12500</v>
      </c>
      <c r="H9" s="178">
        <f>SUBTOTAL(109,MarketingGeneralRevenues[Actual 15/16])</f>
        <v>14772.42</v>
      </c>
      <c r="I9" s="178">
        <f>SUBTOTAL(109,MarketingGeneralRevenues[Budget 16/17])</f>
        <v>10000</v>
      </c>
      <c r="J9" s="178">
        <f>SUBTOTAL(109,MarketingGeneralRevenues[Actual 16/17])</f>
        <v>10889.91</v>
      </c>
      <c r="K9" s="178">
        <f>SUBTOTAL(109,MarketingGeneralRevenues[Budget 17/18])</f>
        <v>20000</v>
      </c>
      <c r="L9" s="178">
        <f>SUM(L4:L8)</f>
        <v>19864.16</v>
      </c>
      <c r="M9" s="178">
        <f>SUBTOTAL(109,MarketingGeneralRevenues[Budget 18/19])</f>
        <v>20000</v>
      </c>
      <c r="N9" s="178">
        <f>SUBTOTAL(109,MarketingGeneralRevenues[Actuals 18/19])</f>
        <v>27596.6</v>
      </c>
      <c r="O9" s="178">
        <f>SUBTOTAL(109,MarketingGeneralRevenues[Bugdet 19/20])</f>
        <v>25000</v>
      </c>
      <c r="P9" s="178">
        <f>SUM(MarketingGeneralRevenues[Actuals 19/20])</f>
        <v>34391.699999999997</v>
      </c>
      <c r="Q9" s="178">
        <f>SUBTOTAL(109,MarketingGeneralRevenues[Bugdet 20/21])</f>
        <v>17500</v>
      </c>
      <c r="R9" s="547">
        <f>SUBTOTAL(109,MarketingGeneralRevenues[Actuals 20/21])</f>
        <v>3302.8</v>
      </c>
      <c r="S9" s="178">
        <f>SUBTOTAL(109,MarketingGeneralRevenues[Bugdet 21/22])</f>
        <v>5500</v>
      </c>
      <c r="T9" s="50">
        <f>SUBTOTAL(109,MarketingGeneralRevenues[Actuals 21/22])</f>
        <v>47041.279999999999</v>
      </c>
      <c r="U9" s="11">
        <f>SUM(MarketingGeneralRevenues[Budget 22/23])</f>
        <v>15000</v>
      </c>
    </row>
    <row r="10" spans="1:21" ht="15">
      <c r="B10" s="228" t="s">
        <v>22</v>
      </c>
      <c r="C10" s="675" t="s">
        <v>77</v>
      </c>
      <c r="D10" s="675" t="s">
        <v>5</v>
      </c>
      <c r="E10" s="675" t="s">
        <v>7</v>
      </c>
      <c r="F10" s="675" t="s">
        <v>8</v>
      </c>
      <c r="G10" s="675" t="s">
        <v>9</v>
      </c>
      <c r="H10" s="675" t="s">
        <v>10</v>
      </c>
      <c r="I10" s="677" t="s">
        <v>11</v>
      </c>
      <c r="J10" s="241" t="s">
        <v>12</v>
      </c>
      <c r="K10" s="240" t="s">
        <v>13</v>
      </c>
      <c r="L10" s="241" t="s">
        <v>14</v>
      </c>
      <c r="M10" s="240" t="s">
        <v>15</v>
      </c>
      <c r="N10" s="240" t="s">
        <v>39</v>
      </c>
      <c r="O10" s="380" t="s">
        <v>16</v>
      </c>
      <c r="P10" s="380" t="s">
        <v>915</v>
      </c>
      <c r="Q10" s="370" t="s">
        <v>17</v>
      </c>
      <c r="R10" s="546" t="s">
        <v>269</v>
      </c>
      <c r="S10" s="437" t="s">
        <v>41</v>
      </c>
      <c r="T10" s="372" t="s">
        <v>947</v>
      </c>
      <c r="U10" s="372" t="s">
        <v>43</v>
      </c>
    </row>
    <row r="11" spans="1:21" ht="15.75">
      <c r="A11" s="228" t="s">
        <v>977</v>
      </c>
      <c r="B11" s="228" t="s">
        <v>943</v>
      </c>
      <c r="C11" s="20">
        <v>62000</v>
      </c>
      <c r="D11" s="20">
        <v>70000</v>
      </c>
      <c r="E11" s="20">
        <v>92500</v>
      </c>
      <c r="F11" s="20">
        <v>128871.03</v>
      </c>
      <c r="G11" s="20">
        <v>95000</v>
      </c>
      <c r="H11" s="20">
        <v>90305.12</v>
      </c>
      <c r="I11" s="20">
        <v>130000</v>
      </c>
      <c r="J11" s="179">
        <v>134942.42000000001</v>
      </c>
      <c r="K11" s="179">
        <v>138000</v>
      </c>
      <c r="L11" s="179">
        <v>140778.51</v>
      </c>
      <c r="M11" s="237">
        <v>164588</v>
      </c>
      <c r="N11" s="237">
        <v>146286.07</v>
      </c>
      <c r="O11" s="236">
        <v>36455.97</v>
      </c>
      <c r="P11" s="236">
        <v>43413.39</v>
      </c>
      <c r="Q11" s="678">
        <f>26509.8+43105.26</f>
        <v>69615.06</v>
      </c>
      <c r="R11" s="545">
        <v>48909.61</v>
      </c>
      <c r="S11" s="436">
        <v>85164.83</v>
      </c>
      <c r="T11" s="229">
        <v>91832.13</v>
      </c>
      <c r="U11" s="600">
        <v>147400</v>
      </c>
    </row>
    <row r="12" spans="1:21" ht="15.75">
      <c r="A12" s="228" t="s">
        <v>978</v>
      </c>
      <c r="B12" s="228" t="s">
        <v>93</v>
      </c>
      <c r="C12" s="20">
        <v>1200</v>
      </c>
      <c r="D12" s="20">
        <v>1200</v>
      </c>
      <c r="E12" s="20">
        <v>1200</v>
      </c>
      <c r="F12" s="20">
        <v>1320.23</v>
      </c>
      <c r="G12" s="20">
        <v>600</v>
      </c>
      <c r="H12" s="20">
        <v>1321.31</v>
      </c>
      <c r="I12" s="20">
        <v>300</v>
      </c>
      <c r="J12" s="179">
        <v>1614.89</v>
      </c>
      <c r="K12" s="179">
        <v>300</v>
      </c>
      <c r="L12" s="179">
        <v>697.1</v>
      </c>
      <c r="M12" s="239">
        <v>600</v>
      </c>
      <c r="N12" s="239">
        <v>683.9</v>
      </c>
      <c r="O12" s="236">
        <v>300</v>
      </c>
      <c r="P12" s="236">
        <v>228.4</v>
      </c>
      <c r="Q12" s="678">
        <v>900</v>
      </c>
      <c r="R12" s="545">
        <f>143.7+305.4</f>
        <v>449.09999999999997</v>
      </c>
      <c r="S12" s="436">
        <v>0</v>
      </c>
      <c r="T12" s="229"/>
      <c r="U12" s="600"/>
    </row>
    <row r="13" spans="1:21" ht="13.5" customHeight="1">
      <c r="A13" s="228" t="s">
        <v>979</v>
      </c>
      <c r="B13" s="228" t="s">
        <v>95</v>
      </c>
      <c r="C13" s="20"/>
      <c r="D13" s="20"/>
      <c r="E13" s="20">
        <v>0</v>
      </c>
      <c r="F13" s="20"/>
      <c r="G13" s="20">
        <v>0</v>
      </c>
      <c r="H13" s="20">
        <v>801.4</v>
      </c>
      <c r="I13" s="20">
        <v>720</v>
      </c>
      <c r="J13" s="179">
        <v>720</v>
      </c>
      <c r="K13" s="179">
        <v>720</v>
      </c>
      <c r="L13" s="179">
        <v>300.35000000000002</v>
      </c>
      <c r="M13" s="237">
        <f>70*12</f>
        <v>840</v>
      </c>
      <c r="N13" s="237">
        <v>829.15</v>
      </c>
      <c r="O13" s="236">
        <v>840</v>
      </c>
      <c r="P13" s="236">
        <v>220.35</v>
      </c>
      <c r="Q13" s="678">
        <v>780</v>
      </c>
      <c r="R13" s="545">
        <f>240</f>
        <v>240</v>
      </c>
      <c r="S13" s="436">
        <v>780</v>
      </c>
      <c r="T13" s="229"/>
      <c r="U13" s="600"/>
    </row>
    <row r="14" spans="1:21" ht="15.75">
      <c r="B14" s="228" t="s">
        <v>97</v>
      </c>
      <c r="C14" s="20">
        <v>0</v>
      </c>
      <c r="D14" s="20">
        <v>0</v>
      </c>
      <c r="E14" s="20">
        <v>0</v>
      </c>
      <c r="F14" s="20">
        <v>0</v>
      </c>
      <c r="G14" s="20">
        <v>0</v>
      </c>
      <c r="H14" s="20">
        <v>0</v>
      </c>
      <c r="I14" s="20">
        <v>0</v>
      </c>
      <c r="J14" s="179"/>
      <c r="K14" s="179"/>
      <c r="L14" s="179"/>
      <c r="M14" s="237"/>
      <c r="N14" s="237"/>
      <c r="O14" s="236"/>
      <c r="P14" s="236"/>
      <c r="Q14" s="678"/>
      <c r="S14" s="436"/>
      <c r="T14" s="229"/>
      <c r="U14" s="600"/>
    </row>
    <row r="15" spans="1:21" ht="15.75">
      <c r="A15" s="228" t="s">
        <v>980</v>
      </c>
      <c r="B15" s="228" t="s">
        <v>100</v>
      </c>
      <c r="C15" s="20">
        <v>350</v>
      </c>
      <c r="D15" s="20">
        <v>350</v>
      </c>
      <c r="E15" s="20">
        <v>350</v>
      </c>
      <c r="F15" s="20">
        <v>-6513.57</v>
      </c>
      <c r="G15" s="20">
        <v>116.67</v>
      </c>
      <c r="H15" s="20">
        <v>2474.65</v>
      </c>
      <c r="I15" s="20">
        <v>100</v>
      </c>
      <c r="J15" s="179"/>
      <c r="K15" s="179">
        <v>100</v>
      </c>
      <c r="L15" s="179">
        <v>1856.97</v>
      </c>
      <c r="M15" s="237">
        <v>100</v>
      </c>
      <c r="N15" s="237">
        <v>-3108.24</v>
      </c>
      <c r="O15" s="236">
        <v>100</v>
      </c>
      <c r="P15" s="236">
        <v>916.56</v>
      </c>
      <c r="Q15" s="678">
        <v>150</v>
      </c>
      <c r="R15" s="545">
        <v>111.73</v>
      </c>
      <c r="S15" s="436">
        <v>150</v>
      </c>
      <c r="T15" s="229"/>
      <c r="U15" s="600"/>
    </row>
    <row r="16" spans="1:21" ht="15.75">
      <c r="A16" s="228" t="s">
        <v>981</v>
      </c>
      <c r="B16" s="228" t="s">
        <v>237</v>
      </c>
      <c r="C16" s="20">
        <v>8000</v>
      </c>
      <c r="D16" s="20">
        <v>5000</v>
      </c>
      <c r="E16" s="20">
        <v>5000</v>
      </c>
      <c r="F16" s="20">
        <v>7635.32</v>
      </c>
      <c r="G16" s="20">
        <v>5000</v>
      </c>
      <c r="H16" s="20">
        <v>3929.49</v>
      </c>
      <c r="I16" s="20">
        <v>4000</v>
      </c>
      <c r="J16" s="179">
        <v>1006.99</v>
      </c>
      <c r="K16" s="179">
        <v>4000</v>
      </c>
      <c r="L16" s="179">
        <v>1756.42</v>
      </c>
      <c r="M16" s="237">
        <v>3000</v>
      </c>
      <c r="N16" s="237">
        <v>-374.87</v>
      </c>
      <c r="O16" s="236">
        <v>1000</v>
      </c>
      <c r="P16" s="236">
        <v>2336.84</v>
      </c>
      <c r="Q16" s="678">
        <v>1300</v>
      </c>
      <c r="R16" s="545">
        <v>66.760000000000005</v>
      </c>
      <c r="S16" s="436">
        <v>1300</v>
      </c>
      <c r="T16" s="229">
        <v>270.66000000000003</v>
      </c>
      <c r="U16" s="600">
        <v>1300</v>
      </c>
    </row>
    <row r="17" spans="1:21" ht="15.75">
      <c r="A17" s="228" t="s">
        <v>982</v>
      </c>
      <c r="B17" s="228" t="s">
        <v>963</v>
      </c>
      <c r="C17" s="20">
        <v>5000</v>
      </c>
      <c r="D17" s="20">
        <v>3500</v>
      </c>
      <c r="E17" s="20">
        <v>3000</v>
      </c>
      <c r="F17" s="20">
        <v>2368.96</v>
      </c>
      <c r="G17" s="20">
        <v>1000</v>
      </c>
      <c r="H17" s="20">
        <v>2399.84</v>
      </c>
      <c r="I17" s="20">
        <v>1000</v>
      </c>
      <c r="J17" s="179">
        <v>1851.68</v>
      </c>
      <c r="K17" s="179">
        <v>2000</v>
      </c>
      <c r="L17" s="179">
        <v>2721.72</v>
      </c>
      <c r="M17" s="237">
        <v>2500</v>
      </c>
      <c r="N17" s="237">
        <f>2470.26+15.88</f>
        <v>2486.1400000000003</v>
      </c>
      <c r="O17" s="236">
        <v>1500</v>
      </c>
      <c r="P17" s="236">
        <v>461.86</v>
      </c>
      <c r="Q17" s="678">
        <v>1750</v>
      </c>
      <c r="R17" s="545">
        <v>149.16</v>
      </c>
      <c r="S17" s="436">
        <v>1500</v>
      </c>
      <c r="T17" s="229">
        <v>285.95999999999998</v>
      </c>
      <c r="U17" s="600">
        <v>1750</v>
      </c>
    </row>
    <row r="18" spans="1:21" ht="15">
      <c r="A18" s="228" t="s">
        <v>983</v>
      </c>
      <c r="B18" s="717" t="s">
        <v>156</v>
      </c>
      <c r="C18" s="234"/>
      <c r="D18" s="728"/>
      <c r="E18" s="728"/>
      <c r="F18" s="728"/>
      <c r="G18" s="728"/>
      <c r="H18" s="728"/>
      <c r="I18" s="728"/>
      <c r="J18" s="728"/>
      <c r="K18" s="728"/>
      <c r="L18" s="234"/>
      <c r="M18" s="234"/>
      <c r="N18" s="237"/>
      <c r="O18" s="729"/>
      <c r="P18" s="236"/>
      <c r="Q18" s="678"/>
      <c r="T18" s="229">
        <v>200.01</v>
      </c>
    </row>
    <row r="19" spans="1:21" ht="15.75">
      <c r="A19" s="228" t="s">
        <v>984</v>
      </c>
      <c r="B19" s="228" t="s">
        <v>904</v>
      </c>
      <c r="C19" s="20">
        <v>1000</v>
      </c>
      <c r="D19" s="20">
        <v>1000</v>
      </c>
      <c r="E19" s="20">
        <v>1000</v>
      </c>
      <c r="F19" s="20">
        <v>1257.81</v>
      </c>
      <c r="G19" s="20">
        <v>900</v>
      </c>
      <c r="H19" s="20">
        <v>205.67</v>
      </c>
      <c r="I19" s="20">
        <v>500</v>
      </c>
      <c r="J19" s="179">
        <v>213.73</v>
      </c>
      <c r="K19" s="179">
        <v>1000</v>
      </c>
      <c r="L19" s="179">
        <v>200.57</v>
      </c>
      <c r="M19" s="237">
        <v>500</v>
      </c>
      <c r="N19" s="237">
        <f>1259.85+44.34</f>
        <v>1304.1899999999998</v>
      </c>
      <c r="O19" s="236">
        <v>200</v>
      </c>
      <c r="P19" s="236">
        <v>85</v>
      </c>
      <c r="Q19" s="678">
        <v>500</v>
      </c>
      <c r="R19" s="545">
        <v>50</v>
      </c>
      <c r="S19" s="436">
        <v>500</v>
      </c>
      <c r="T19" s="229">
        <v>488.8</v>
      </c>
      <c r="U19" s="600">
        <v>500</v>
      </c>
    </row>
    <row r="20" spans="1:21" ht="15.75">
      <c r="A20" s="228" t="s">
        <v>985</v>
      </c>
      <c r="B20" s="228" t="s">
        <v>964</v>
      </c>
      <c r="C20" s="20">
        <v>3000</v>
      </c>
      <c r="D20" s="20">
        <v>10000</v>
      </c>
      <c r="E20" s="20">
        <v>5000</v>
      </c>
      <c r="F20" s="20">
        <v>7395.62</v>
      </c>
      <c r="G20" s="20">
        <v>8000</v>
      </c>
      <c r="H20" s="20">
        <v>3791.97</v>
      </c>
      <c r="I20" s="20">
        <v>10000</v>
      </c>
      <c r="J20" s="179">
        <v>11287.55</v>
      </c>
      <c r="K20" s="179">
        <v>8000</v>
      </c>
      <c r="L20" s="179">
        <v>5138.8999999999996</v>
      </c>
      <c r="M20" s="237">
        <v>6000</v>
      </c>
      <c r="N20" s="237">
        <v>1403.6</v>
      </c>
      <c r="O20" s="236">
        <v>9700</v>
      </c>
      <c r="P20" s="236">
        <v>7161.54</v>
      </c>
      <c r="Q20" s="678">
        <v>9500</v>
      </c>
      <c r="R20" s="545">
        <v>-492.12</v>
      </c>
      <c r="S20" s="436">
        <v>104300</v>
      </c>
      <c r="T20" s="229"/>
      <c r="U20" s="689">
        <v>45000</v>
      </c>
    </row>
    <row r="21" spans="1:21" ht="15">
      <c r="A21" s="228" t="s">
        <v>985</v>
      </c>
      <c r="B21" s="210" t="s">
        <v>986</v>
      </c>
      <c r="C21" s="234"/>
      <c r="D21" s="728"/>
      <c r="E21" s="728"/>
      <c r="F21" s="728"/>
      <c r="G21" s="728"/>
      <c r="H21" s="728"/>
      <c r="I21" s="728"/>
      <c r="J21" s="728"/>
      <c r="K21" s="728"/>
      <c r="L21" s="234"/>
      <c r="M21" s="234"/>
      <c r="N21" s="237"/>
      <c r="O21" s="729"/>
      <c r="P21" s="236"/>
      <c r="Q21" s="678"/>
      <c r="R21" s="545">
        <v>-152.16</v>
      </c>
      <c r="T21" s="229"/>
      <c r="U21" s="600"/>
    </row>
    <row r="22" spans="1:21" ht="15.75">
      <c r="A22" s="228" t="s">
        <v>987</v>
      </c>
      <c r="B22" s="228" t="s">
        <v>965</v>
      </c>
      <c r="C22" s="20">
        <v>2000</v>
      </c>
      <c r="D22" s="20">
        <v>3000</v>
      </c>
      <c r="E22" s="20">
        <v>2000</v>
      </c>
      <c r="F22" s="20">
        <v>1394.2</v>
      </c>
      <c r="G22" s="20">
        <v>3500</v>
      </c>
      <c r="H22" s="20">
        <v>1222.6300000000001</v>
      </c>
      <c r="I22" s="20">
        <v>2800</v>
      </c>
      <c r="J22" s="179">
        <v>3188.79</v>
      </c>
      <c r="K22" s="179">
        <v>3500</v>
      </c>
      <c r="L22" s="179">
        <v>1648.9</v>
      </c>
      <c r="M22" s="237">
        <v>2000</v>
      </c>
      <c r="N22" s="237">
        <v>1496.3</v>
      </c>
      <c r="O22" s="236">
        <v>3000</v>
      </c>
      <c r="P22" s="236">
        <v>1635.9</v>
      </c>
      <c r="Q22" s="678">
        <v>2000</v>
      </c>
      <c r="R22" s="545">
        <v>1264.57</v>
      </c>
      <c r="S22" s="436">
        <v>2400</v>
      </c>
      <c r="T22" s="229">
        <v>505.66</v>
      </c>
      <c r="U22" s="600">
        <v>5000</v>
      </c>
    </row>
    <row r="23" spans="1:21" ht="15">
      <c r="A23" s="228" t="s">
        <v>988</v>
      </c>
      <c r="B23" s="717" t="s">
        <v>989</v>
      </c>
      <c r="C23" s="234"/>
      <c r="D23" s="728"/>
      <c r="E23" s="728"/>
      <c r="F23" s="728"/>
      <c r="G23" s="728"/>
      <c r="H23" s="728"/>
      <c r="I23" s="728"/>
      <c r="J23" s="728"/>
      <c r="K23" s="728"/>
      <c r="L23" s="234"/>
      <c r="M23" s="234"/>
      <c r="N23" s="237"/>
      <c r="O23" s="729"/>
      <c r="P23" s="236"/>
      <c r="Q23" s="678"/>
      <c r="T23" s="229">
        <v>133693.96</v>
      </c>
    </row>
    <row r="24" spans="1:21" ht="15.75">
      <c r="A24" s="228" t="s">
        <v>990</v>
      </c>
      <c r="B24" s="228" t="s">
        <v>336</v>
      </c>
      <c r="C24" s="20">
        <v>9000</v>
      </c>
      <c r="D24" s="20">
        <v>15000</v>
      </c>
      <c r="E24" s="20">
        <v>13000</v>
      </c>
      <c r="F24" s="20">
        <v>14433.95</v>
      </c>
      <c r="G24" s="20">
        <v>13500</v>
      </c>
      <c r="H24" s="20">
        <v>9182.73</v>
      </c>
      <c r="I24" s="238">
        <v>10000</v>
      </c>
      <c r="J24" s="179">
        <v>2179.6</v>
      </c>
      <c r="K24" s="179">
        <v>8000</v>
      </c>
      <c r="L24" s="179">
        <v>3157.24</v>
      </c>
      <c r="M24" s="237">
        <v>5000</v>
      </c>
      <c r="N24" s="237">
        <v>6554.88</v>
      </c>
      <c r="O24" s="236">
        <v>14000</v>
      </c>
      <c r="P24" s="236">
        <v>7358.85</v>
      </c>
      <c r="Q24" s="678"/>
      <c r="R24" s="545">
        <v>1745.13</v>
      </c>
      <c r="S24" s="550">
        <v>10100</v>
      </c>
      <c r="T24" s="229">
        <v>821.51</v>
      </c>
      <c r="U24" s="600">
        <v>20000</v>
      </c>
    </row>
    <row r="25" spans="1:21" ht="15.75">
      <c r="B25" s="730" t="s">
        <v>991</v>
      </c>
      <c r="C25" s="234"/>
      <c r="D25" s="728"/>
      <c r="E25" s="728"/>
      <c r="F25" s="728"/>
      <c r="G25" s="728"/>
      <c r="H25" s="728"/>
      <c r="I25" s="728"/>
      <c r="J25" s="728"/>
      <c r="K25" s="728"/>
      <c r="L25" s="234"/>
      <c r="M25" s="234"/>
      <c r="N25" s="237"/>
      <c r="O25" s="729"/>
      <c r="P25" s="729"/>
      <c r="Q25" s="678">
        <v>2000</v>
      </c>
      <c r="R25" s="548"/>
      <c r="S25" s="550">
        <v>500</v>
      </c>
      <c r="T25" s="229"/>
      <c r="U25" s="600">
        <v>1000</v>
      </c>
    </row>
    <row r="26" spans="1:21" ht="15.75">
      <c r="B26" s="730" t="s">
        <v>992</v>
      </c>
      <c r="C26" s="234"/>
      <c r="D26" s="728"/>
      <c r="E26" s="728"/>
      <c r="F26" s="728"/>
      <c r="G26" s="728"/>
      <c r="H26" s="728"/>
      <c r="I26" s="728"/>
      <c r="J26" s="728"/>
      <c r="K26" s="728"/>
      <c r="L26" s="234"/>
      <c r="M26" s="234"/>
      <c r="N26" s="237"/>
      <c r="O26" s="729"/>
      <c r="P26" s="729"/>
      <c r="Q26" s="678">
        <v>2500</v>
      </c>
      <c r="R26" s="548"/>
      <c r="S26" s="550">
        <v>1500</v>
      </c>
      <c r="T26" s="229"/>
      <c r="U26" s="600">
        <v>2500</v>
      </c>
    </row>
    <row r="27" spans="1:21" ht="15.75">
      <c r="B27" s="730" t="s">
        <v>993</v>
      </c>
      <c r="C27" s="234"/>
      <c r="D27" s="728"/>
      <c r="E27" s="728"/>
      <c r="F27" s="728"/>
      <c r="G27" s="728"/>
      <c r="H27" s="728"/>
      <c r="I27" s="728"/>
      <c r="J27" s="728"/>
      <c r="K27" s="728"/>
      <c r="L27" s="234"/>
      <c r="M27" s="234"/>
      <c r="N27" s="237"/>
      <c r="O27" s="729"/>
      <c r="P27" s="729"/>
      <c r="Q27" s="678">
        <v>5000</v>
      </c>
      <c r="R27" s="548"/>
      <c r="S27" s="550">
        <v>5000</v>
      </c>
      <c r="T27" s="229"/>
      <c r="U27" s="600">
        <v>10000</v>
      </c>
    </row>
    <row r="28" spans="1:21" ht="15.75">
      <c r="B28" s="730" t="s">
        <v>994</v>
      </c>
      <c r="C28" s="234"/>
      <c r="D28" s="728"/>
      <c r="E28" s="728"/>
      <c r="F28" s="728"/>
      <c r="G28" s="728"/>
      <c r="H28" s="728"/>
      <c r="I28" s="728"/>
      <c r="J28" s="728"/>
      <c r="K28" s="728"/>
      <c r="L28" s="234"/>
      <c r="M28" s="234"/>
      <c r="N28" s="237"/>
      <c r="O28" s="729"/>
      <c r="P28" s="729"/>
      <c r="Q28" s="678">
        <v>1500</v>
      </c>
      <c r="R28" s="548"/>
      <c r="S28" s="550">
        <v>1500</v>
      </c>
      <c r="T28" s="229"/>
      <c r="U28" s="600">
        <v>2500</v>
      </c>
    </row>
    <row r="29" spans="1:21" ht="15.75">
      <c r="A29" s="228" t="s">
        <v>995</v>
      </c>
      <c r="B29" s="371" t="s">
        <v>996</v>
      </c>
      <c r="C29" s="20">
        <v>11000</v>
      </c>
      <c r="D29" s="20">
        <v>10000</v>
      </c>
      <c r="E29" s="20">
        <v>12000</v>
      </c>
      <c r="F29" s="20">
        <v>8458.08</v>
      </c>
      <c r="G29" s="20"/>
      <c r="H29" s="20">
        <v>0</v>
      </c>
      <c r="I29" s="20"/>
      <c r="J29" s="179"/>
      <c r="K29" s="179"/>
      <c r="L29" s="179"/>
      <c r="M29" s="237"/>
      <c r="N29" s="237"/>
      <c r="O29" s="236"/>
      <c r="P29" s="236"/>
      <c r="Q29" s="678"/>
      <c r="R29" s="548"/>
      <c r="S29" s="550"/>
      <c r="T29" s="229">
        <v>485.65</v>
      </c>
      <c r="U29" s="600">
        <v>3000</v>
      </c>
    </row>
    <row r="30" spans="1:21" ht="15.75">
      <c r="A30" s="228" t="s">
        <v>997</v>
      </c>
      <c r="B30" s="371" t="s">
        <v>998</v>
      </c>
      <c r="C30" s="20"/>
      <c r="D30" s="20"/>
      <c r="E30" s="20">
        <v>5600</v>
      </c>
      <c r="F30" s="20"/>
      <c r="G30" s="20"/>
      <c r="H30" s="20">
        <v>0</v>
      </c>
      <c r="I30" s="20"/>
      <c r="J30" s="179"/>
      <c r="K30" s="179"/>
      <c r="L30" s="179"/>
      <c r="M30" s="237"/>
      <c r="N30" s="237"/>
      <c r="O30" s="236"/>
      <c r="P30" s="236"/>
      <c r="Q30" s="678">
        <v>1500</v>
      </c>
      <c r="R30" s="548"/>
      <c r="S30" s="550">
        <v>1500</v>
      </c>
      <c r="T30" s="229">
        <v>823.54</v>
      </c>
      <c r="U30" s="600">
        <v>3500</v>
      </c>
    </row>
    <row r="31" spans="1:21" ht="15.75">
      <c r="B31" s="371" t="s">
        <v>999</v>
      </c>
      <c r="C31" s="20">
        <v>30000</v>
      </c>
      <c r="D31" s="20">
        <v>37000</v>
      </c>
      <c r="E31" s="20">
        <v>35000</v>
      </c>
      <c r="F31" s="20">
        <v>43625.95</v>
      </c>
      <c r="G31" s="20"/>
      <c r="H31" s="20">
        <v>0</v>
      </c>
      <c r="I31" s="20"/>
      <c r="J31" s="179"/>
      <c r="K31" s="179"/>
      <c r="L31" s="179"/>
      <c r="M31" s="237"/>
      <c r="N31" s="237">
        <v>17.11</v>
      </c>
      <c r="O31" s="236"/>
      <c r="P31" s="236"/>
      <c r="Q31" s="678"/>
      <c r="R31" s="548"/>
      <c r="S31" s="436"/>
      <c r="T31" s="229"/>
      <c r="U31" s="600"/>
    </row>
    <row r="32" spans="1:21" ht="15.75">
      <c r="B32" s="371" t="s">
        <v>1000</v>
      </c>
      <c r="C32" s="20">
        <v>12000</v>
      </c>
      <c r="D32" s="20">
        <v>14000</v>
      </c>
      <c r="E32" s="20">
        <v>18000</v>
      </c>
      <c r="F32" s="20">
        <v>18686.68</v>
      </c>
      <c r="G32" s="20"/>
      <c r="H32" s="20">
        <v>0</v>
      </c>
      <c r="I32" s="20"/>
      <c r="J32" s="179"/>
      <c r="K32" s="179"/>
      <c r="L32" s="179"/>
      <c r="M32" s="237"/>
      <c r="N32" s="237"/>
      <c r="O32" s="236"/>
      <c r="P32" s="236"/>
      <c r="Q32" s="678"/>
      <c r="R32" s="548"/>
      <c r="S32" s="436"/>
      <c r="T32" s="229"/>
      <c r="U32" s="600">
        <v>1500</v>
      </c>
    </row>
    <row r="33" spans="1:21" ht="15.75">
      <c r="A33" s="228" t="s">
        <v>1001</v>
      </c>
      <c r="B33" s="228" t="s">
        <v>287</v>
      </c>
      <c r="C33" s="20">
        <v>1500</v>
      </c>
      <c r="D33" s="20">
        <v>1500</v>
      </c>
      <c r="E33" s="20">
        <v>1750</v>
      </c>
      <c r="F33" s="20">
        <v>2168.5500000000002</v>
      </c>
      <c r="G33" s="20">
        <v>1200</v>
      </c>
      <c r="H33" s="20">
        <v>1029.97</v>
      </c>
      <c r="I33" s="20">
        <v>1200</v>
      </c>
      <c r="J33" s="179">
        <v>2050.09</v>
      </c>
      <c r="K33" s="179">
        <v>1200</v>
      </c>
      <c r="L33" s="179">
        <v>1253.67</v>
      </c>
      <c r="M33" s="237">
        <v>3000</v>
      </c>
      <c r="N33" s="237">
        <v>767.58</v>
      </c>
      <c r="O33" s="236">
        <v>2000</v>
      </c>
      <c r="P33" s="236">
        <v>676.34</v>
      </c>
      <c r="Q33" s="678">
        <v>2000</v>
      </c>
      <c r="R33" s="545">
        <v>930.9</v>
      </c>
      <c r="S33" s="436"/>
      <c r="T33" s="229">
        <v>757.47</v>
      </c>
      <c r="U33" s="600">
        <v>2200</v>
      </c>
    </row>
    <row r="34" spans="1:21" ht="15.75">
      <c r="B34" s="228" t="s">
        <v>265</v>
      </c>
      <c r="C34" s="20">
        <v>922.13</v>
      </c>
      <c r="D34" s="20">
        <v>922.13</v>
      </c>
      <c r="E34" s="20">
        <v>922.13</v>
      </c>
      <c r="F34" s="20">
        <v>311.89999999999998</v>
      </c>
      <c r="G34" s="20">
        <v>0</v>
      </c>
      <c r="H34" s="20">
        <v>176</v>
      </c>
      <c r="I34" s="20">
        <v>0</v>
      </c>
      <c r="J34" s="179"/>
      <c r="K34" s="179"/>
      <c r="L34" s="179"/>
      <c r="M34" s="237"/>
      <c r="N34" s="237">
        <v>48.47</v>
      </c>
      <c r="O34" s="236"/>
      <c r="P34" s="236"/>
      <c r="Q34" s="678"/>
      <c r="R34" s="548"/>
      <c r="S34" s="436"/>
      <c r="T34" s="229"/>
      <c r="U34" s="600"/>
    </row>
    <row r="35" spans="1:21" ht="15.75">
      <c r="A35" s="228" t="s">
        <v>1002</v>
      </c>
      <c r="B35" s="228" t="s">
        <v>114</v>
      </c>
      <c r="C35" s="20">
        <v>5000</v>
      </c>
      <c r="D35" s="20">
        <v>2500</v>
      </c>
      <c r="E35" s="20">
        <v>4500</v>
      </c>
      <c r="F35" s="20">
        <v>2139.42</v>
      </c>
      <c r="G35" s="20">
        <v>2500</v>
      </c>
      <c r="H35" s="20">
        <v>0</v>
      </c>
      <c r="I35" s="20">
        <v>1500</v>
      </c>
      <c r="J35" s="179">
        <v>162.24</v>
      </c>
      <c r="K35" s="179">
        <v>1500</v>
      </c>
      <c r="L35" s="179">
        <f>1485.74+37.8</f>
        <v>1523.54</v>
      </c>
      <c r="M35" s="237">
        <v>1500</v>
      </c>
      <c r="N35" s="237"/>
      <c r="O35" s="236">
        <v>1000</v>
      </c>
      <c r="P35" s="236">
        <v>0</v>
      </c>
      <c r="Q35" s="678">
        <v>1000</v>
      </c>
      <c r="S35" s="436">
        <v>1000</v>
      </c>
      <c r="T35" s="229"/>
      <c r="U35" s="600">
        <v>2000</v>
      </c>
    </row>
    <row r="36" spans="1:21">
      <c r="A36" s="228" t="s">
        <v>1003</v>
      </c>
      <c r="B36" s="228" t="s">
        <v>110</v>
      </c>
      <c r="C36" s="20">
        <v>1005.96</v>
      </c>
      <c r="D36" s="20">
        <v>1346.64</v>
      </c>
      <c r="E36" s="20">
        <v>1558.44</v>
      </c>
      <c r="F36" s="20">
        <v>2178.94</v>
      </c>
      <c r="G36" s="20">
        <v>2555.1999999999998</v>
      </c>
      <c r="H36" s="20">
        <v>2674.77</v>
      </c>
      <c r="I36" s="20">
        <f>12*190</f>
        <v>2280</v>
      </c>
      <c r="J36" s="179">
        <v>2278.92</v>
      </c>
      <c r="K36" s="179"/>
      <c r="L36" s="179">
        <v>1288.2</v>
      </c>
      <c r="M36" s="237">
        <v>940.2</v>
      </c>
      <c r="N36" s="237">
        <v>82.42</v>
      </c>
      <c r="O36" s="236"/>
      <c r="P36" s="236">
        <v>0</v>
      </c>
      <c r="Q36" s="678"/>
      <c r="T36" s="229"/>
      <c r="U36" s="600"/>
    </row>
    <row r="37" spans="1:21" ht="13.5" thickBot="1">
      <c r="B37" s="228" t="s">
        <v>1004</v>
      </c>
      <c r="C37" s="20"/>
      <c r="D37" s="20"/>
      <c r="E37" s="20"/>
      <c r="F37" s="20"/>
      <c r="G37" s="20"/>
      <c r="H37" s="20"/>
      <c r="I37" s="20"/>
      <c r="J37" s="179"/>
      <c r="K37" s="179"/>
      <c r="L37" s="179">
        <v>511.9</v>
      </c>
      <c r="M37" s="237"/>
      <c r="N37" s="237"/>
      <c r="O37" s="236"/>
      <c r="P37" s="236"/>
      <c r="Q37" s="678"/>
      <c r="T37" s="229"/>
    </row>
    <row r="38" spans="1:21" ht="13.5" thickBot="1">
      <c r="B38" s="19" t="s">
        <v>21</v>
      </c>
      <c r="C38" s="178">
        <f>SUBTOTAL(109,MarketingGeneralExpenses[Budget 12/13])</f>
        <v>152978.09</v>
      </c>
      <c r="D38" s="178">
        <f>SUBTOTAL(109,MarketingGeneralExpenses[Budget 13/14])</f>
        <v>176318.77000000002</v>
      </c>
      <c r="E38" s="178">
        <f>SUBTOTAL(109,MarketingGeneralExpenses[Budget 14/15])</f>
        <v>202380.57</v>
      </c>
      <c r="F38" s="178">
        <f>SUBTOTAL(109,MarketingGeneralExpenses[Actual 14/15])</f>
        <v>235733.07</v>
      </c>
      <c r="G38" s="178">
        <f>SUBTOTAL(109,MarketingGeneralExpenses[Budget 15/16])</f>
        <v>133871.87</v>
      </c>
      <c r="H38" s="178">
        <f>SUBTOTAL(109,MarketingGeneralExpenses[Actual 15/16])</f>
        <v>119515.54999999999</v>
      </c>
      <c r="I38" s="178">
        <f>SUBTOTAL(109,MarketingGeneralExpenses[Budget 16/17])</f>
        <v>164400</v>
      </c>
      <c r="J38" s="178">
        <f>SUBTOTAL(109,MarketingGeneralExpenses[Actual 16/17])</f>
        <v>161496.90000000002</v>
      </c>
      <c r="K38" s="178">
        <f>SUBTOTAL(109,MarketingGeneralExpenses[Budget 17/18])</f>
        <v>168320</v>
      </c>
      <c r="L38" s="178">
        <f>SUBTOTAL(109,MarketingGeneralExpenses[Actual 17/18])</f>
        <v>162833.99000000005</v>
      </c>
      <c r="M38" s="350">
        <f>SUBTOTAL(109,MarketingGeneralExpenses[Budget 18/19])</f>
        <v>190568.2</v>
      </c>
      <c r="N38" s="350">
        <f>SUBTOTAL(109,MarketingGeneralExpenses[Actual 18/19])</f>
        <v>158476.70000000001</v>
      </c>
      <c r="O38" s="350">
        <f>SUM(O11:O37)</f>
        <v>70095.97</v>
      </c>
      <c r="P38" s="350">
        <f>SUM(MarketingGeneralExpenses[Actuals 19/20])</f>
        <v>64495.029999999992</v>
      </c>
      <c r="Q38" s="350">
        <f>SUM(Q11:Q37)</f>
        <v>101995.06</v>
      </c>
      <c r="R38" s="549">
        <f>SUM(R11:R37)</f>
        <v>53272.68</v>
      </c>
      <c r="S38" s="350">
        <f>SUM(S11:S37)</f>
        <v>217194.83000000002</v>
      </c>
      <c r="T38" s="715">
        <f>SUBTOTAL(109,MarketingGeneralExpenses[Actuals 21/22])</f>
        <v>230165.35</v>
      </c>
      <c r="U38" s="566">
        <f>SUM(MarketingGeneralExpenses[Budget 22/23])</f>
        <v>249150</v>
      </c>
    </row>
    <row r="39" spans="1:21" ht="19.5" thickBot="1">
      <c r="B39" s="676" t="s">
        <v>127</v>
      </c>
      <c r="C39" s="233">
        <f>(MarketingGeneralRevenues[[#Totals],[Budget 12/13]]) -MarketingGeneralExpenses[[#Totals],[Budget 12/13]]</f>
        <v>-143478.09</v>
      </c>
      <c r="D39" s="233">
        <f>(MarketingGeneralRevenues[[#Totals],[Budget 13/14]]) -MarketingGeneralExpenses[[#Totals],[Budget 13/14]]</f>
        <v>-166818.77000000002</v>
      </c>
      <c r="E39" s="233">
        <f>(MarketingGeneralRevenues[[#Totals],[Budget 14/15]]) -MarketingGeneralExpenses[[#Totals],[Budget 14/15]]</f>
        <v>-192880.57</v>
      </c>
      <c r="F39" s="233">
        <f>(MarketingGeneralRevenues[[#Totals],[Actual 14/15]]) -MarketingGeneralExpenses[[#Totals],[Actual 14/15]]</f>
        <v>-219793.78</v>
      </c>
      <c r="G39" s="233">
        <f>(MarketingGeneralRevenues[[#Totals],[Budget 15/16]]) -MarketingGeneralExpenses[[#Totals],[Budget 15/16]]</f>
        <v>-121371.87</v>
      </c>
      <c r="H39" s="233">
        <f>(MarketingGeneralRevenues[[#Totals],[Actual 15/16]]) -MarketingGeneralExpenses[[#Totals],[Actual 15/16]]</f>
        <v>-104743.12999999999</v>
      </c>
      <c r="I39" s="232">
        <f>(MarketingGeneralRevenues[[#Totals],[Budget 16/17]]) -MarketingGeneralExpenses[[#Totals],[Budget 16/17]]</f>
        <v>-154400</v>
      </c>
      <c r="J39" s="232">
        <f>(MarketingGeneralRevenues[[#Totals],[Actual 16/17]]) -MarketingGeneralExpenses[[#Totals],[Actual 16/17]]</f>
        <v>-150606.99000000002</v>
      </c>
      <c r="K39" s="232">
        <f>(MarketingGeneralRevenues[[#Totals],[Budget 17/18]]) -MarketingGeneralExpenses[[#Totals],[Budget 17/18]]</f>
        <v>-148320</v>
      </c>
      <c r="L39" s="232">
        <f>(MarketingGeneralRevenues[[#Totals],[Actual 17/18]]) -MarketingGeneralExpenses[[#Totals],[Actual 17/18]]</f>
        <v>-142969.83000000005</v>
      </c>
      <c r="M39" s="232">
        <f>(MarketingGeneralRevenues[[#Totals],[Budget 18/19]]) -MarketingGeneralExpenses[[#Totals],[Budget 18/19]]</f>
        <v>-170568.2</v>
      </c>
      <c r="N39" s="232">
        <f>(MarketingGeneralRevenues[[#Totals],[Actuals 18/19]]) -MarketingGeneralExpenses[[#Totals],[Actual 18/19]]</f>
        <v>-130880.1</v>
      </c>
      <c r="O39" s="231">
        <f>MarketingGeneralRevenues[[#Totals],[Bugdet 19/20]]-MarketingGeneralExpenses[[#Totals],[Budget 19/20]]</f>
        <v>-45095.97</v>
      </c>
      <c r="P39" s="231">
        <f>MarketingGeneralRevenues[[#Totals],[Actuals 19/20]]-MarketingGeneralExpenses[[#Totals],[Actuals 19/20]]</f>
        <v>-30103.329999999994</v>
      </c>
      <c r="Q39" s="231">
        <f>MarketingGeneralRevenues[[#Totals],[Bugdet 20/21]]-MarketingGeneralExpenses[[#Totals],[Budget 20/21]]</f>
        <v>-84495.06</v>
      </c>
      <c r="R39" s="544">
        <f>MarketingGeneralRevenues[[#Totals],[Actuals 20/21]]-MarketingGeneralExpenses[[#Totals],[Actuals 20/21]]</f>
        <v>-49969.88</v>
      </c>
      <c r="S39" s="231">
        <f>MarketingGeneralRevenues[[#Totals],[Bugdet 21/22]]-MarketingGeneralExpenses[[#Totals],[Budget 21/22]]</f>
        <v>-211694.83000000002</v>
      </c>
      <c r="T39" s="231">
        <f>MarketingGeneralRevenues[[#Totals],[Actuals 21/22]]-MarketingGeneralExpenses[[#Totals],[Actuals 21/22]]</f>
        <v>-183124.07</v>
      </c>
      <c r="U39" s="231">
        <f>MarketingGeneralRevenues[[#Totals],[Budget 22/23]]-MarketingGeneralExpenses[[#Totals],[Budget 22/23]]</f>
        <v>-234150</v>
      </c>
    </row>
    <row r="40" spans="1:21">
      <c r="D40" s="230"/>
      <c r="E40" s="230"/>
      <c r="F40" s="230"/>
      <c r="G40" s="230"/>
      <c r="H40" s="230"/>
      <c r="I40" s="230"/>
    </row>
    <row r="44" spans="1:21">
      <c r="B44" s="229"/>
      <c r="O44" s="229"/>
    </row>
  </sheetData>
  <phoneticPr fontId="90" type="noConversion"/>
  <pageMargins left="0.7" right="0.7" top="0.75" bottom="0.75" header="0.3" footer="0.3"/>
  <pageSetup scale="94" orientation="landscape" r:id="rId1"/>
  <legacyDrawing r:id="rId2"/>
  <tableParts count="2">
    <tablePart r:id="rId3"/>
    <tablePart r:id="rId4"/>
  </tablePar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1"/>
    <pageSetUpPr fitToPage="1"/>
  </sheetPr>
  <dimension ref="A1:V31"/>
  <sheetViews>
    <sheetView zoomScale="70" zoomScaleNormal="70" workbookViewId="0">
      <selection activeCell="U24" sqref="U24"/>
    </sheetView>
  </sheetViews>
  <sheetFormatPr defaultColWidth="10" defaultRowHeight="18"/>
  <cols>
    <col min="1" max="1" width="16.85546875" style="228" customWidth="1"/>
    <col min="2" max="2" width="46" style="228" customWidth="1"/>
    <col min="3" max="3" width="12.42578125" style="228" hidden="1" customWidth="1"/>
    <col min="4" max="4" width="13.28515625" style="228" hidden="1" customWidth="1"/>
    <col min="5" max="8" width="14.140625" style="228" hidden="1" customWidth="1"/>
    <col min="9" max="13" width="15.85546875" style="228" hidden="1" customWidth="1"/>
    <col min="14" max="14" width="16.85546875" style="417" hidden="1" customWidth="1"/>
    <col min="15" max="15" width="16.85546875" style="416" hidden="1" customWidth="1"/>
    <col min="16" max="18" width="16.85546875" style="417" hidden="1" customWidth="1"/>
    <col min="19" max="19" width="18.42578125" style="229" hidden="1" customWidth="1"/>
    <col min="20" max="20" width="19.28515625" style="228" customWidth="1"/>
    <col min="21" max="22" width="18.85546875" style="228" bestFit="1" customWidth="1"/>
    <col min="23" max="16384" width="10" style="228"/>
  </cols>
  <sheetData>
    <row r="1" spans="1:22" s="210" customFormat="1" ht="21">
      <c r="B1" s="218" t="s">
        <v>951</v>
      </c>
      <c r="C1" s="228"/>
      <c r="D1" s="228"/>
      <c r="E1" s="228"/>
      <c r="F1" s="228"/>
      <c r="G1" s="228"/>
      <c r="H1" s="228"/>
      <c r="I1" s="228"/>
      <c r="J1" s="228"/>
      <c r="K1" s="228"/>
      <c r="L1" s="228"/>
      <c r="M1" s="228"/>
      <c r="N1" s="416"/>
      <c r="O1" s="417"/>
      <c r="P1" s="418"/>
      <c r="Q1" s="418"/>
      <c r="R1" s="418"/>
      <c r="S1" s="227"/>
    </row>
    <row r="2" spans="1:22" s="210" customFormat="1" ht="18.75">
      <c r="B2" s="217" t="s">
        <v>962</v>
      </c>
      <c r="C2" s="228"/>
      <c r="D2" s="228"/>
      <c r="E2" s="228"/>
      <c r="F2" s="228"/>
      <c r="G2" s="228"/>
      <c r="H2" s="228"/>
      <c r="I2" s="228"/>
      <c r="J2" s="228"/>
      <c r="K2" s="228"/>
      <c r="L2" s="228"/>
      <c r="M2" s="228"/>
      <c r="N2" s="416"/>
      <c r="O2" s="417"/>
      <c r="P2" s="418"/>
      <c r="Q2" s="418"/>
      <c r="R2" s="418"/>
      <c r="S2" s="227"/>
    </row>
    <row r="3" spans="1:22" s="210" customFormat="1" ht="18.75">
      <c r="B3" s="228" t="s">
        <v>72</v>
      </c>
      <c r="C3" s="675" t="s">
        <v>77</v>
      </c>
      <c r="D3" s="675" t="s">
        <v>5</v>
      </c>
      <c r="E3" s="675" t="s">
        <v>6</v>
      </c>
      <c r="F3" s="675" t="s">
        <v>7</v>
      </c>
      <c r="G3" s="675" t="s">
        <v>8</v>
      </c>
      <c r="H3" s="675" t="s">
        <v>9</v>
      </c>
      <c r="I3" s="677" t="s">
        <v>10</v>
      </c>
      <c r="J3" s="380" t="s">
        <v>11</v>
      </c>
      <c r="K3" s="241" t="s">
        <v>12</v>
      </c>
      <c r="L3" s="240" t="s">
        <v>13</v>
      </c>
      <c r="M3" s="241" t="s">
        <v>14</v>
      </c>
      <c r="N3" s="419" t="s">
        <v>15</v>
      </c>
      <c r="O3" s="419" t="s">
        <v>39</v>
      </c>
      <c r="P3" s="420" t="s">
        <v>16</v>
      </c>
      <c r="Q3" s="420" t="s">
        <v>1005</v>
      </c>
      <c r="R3" s="420" t="s">
        <v>61</v>
      </c>
      <c r="S3" s="540" t="s">
        <v>269</v>
      </c>
      <c r="T3" s="420" t="s">
        <v>41</v>
      </c>
      <c r="U3" s="372" t="s">
        <v>947</v>
      </c>
      <c r="V3" s="372" t="s">
        <v>43</v>
      </c>
    </row>
    <row r="4" spans="1:22" s="210" customFormat="1" ht="18.75">
      <c r="B4" s="717" t="s">
        <v>974</v>
      </c>
      <c r="C4" s="396"/>
      <c r="D4" s="396"/>
      <c r="E4" s="396"/>
      <c r="F4" s="396"/>
      <c r="G4" s="396"/>
      <c r="H4" s="731"/>
      <c r="I4" s="731"/>
      <c r="J4" s="396"/>
      <c r="N4" s="421"/>
      <c r="O4" s="422"/>
      <c r="P4" s="418"/>
      <c r="Q4" s="418"/>
      <c r="R4" s="427"/>
      <c r="S4" s="227"/>
    </row>
    <row r="5" spans="1:22" s="210" customFormat="1">
      <c r="B5" s="228" t="s">
        <v>336</v>
      </c>
      <c r="C5" s="242"/>
      <c r="D5" s="242"/>
      <c r="E5" s="242"/>
      <c r="F5" s="242">
        <v>0</v>
      </c>
      <c r="G5" s="242">
        <v>0</v>
      </c>
      <c r="H5" s="242">
        <v>0</v>
      </c>
      <c r="I5" s="242">
        <v>0</v>
      </c>
      <c r="J5" s="242">
        <v>0</v>
      </c>
      <c r="K5" s="228"/>
      <c r="L5" s="228"/>
      <c r="M5" s="228"/>
      <c r="N5" s="416"/>
      <c r="O5" s="416"/>
      <c r="P5" s="417"/>
      <c r="Q5" s="417"/>
      <c r="R5" s="417"/>
      <c r="S5" s="227"/>
    </row>
    <row r="6" spans="1:22" s="210" customFormat="1" ht="18.75">
      <c r="B6" s="19" t="s">
        <v>21</v>
      </c>
      <c r="C6" s="178">
        <f>SUBTOTAL(109,CommunicationsRevenues16[Budget 12/13])</f>
        <v>0</v>
      </c>
      <c r="D6" s="178">
        <f>SUBTOTAL(109,CommunicationsRevenues16[Budget 13/14])</f>
        <v>0</v>
      </c>
      <c r="E6" s="178">
        <f>SUBTOTAL(109,CommunicationsRevenues16[Actual 13/14])</f>
        <v>0</v>
      </c>
      <c r="F6" s="178">
        <f>SUBTOTAL(109,CommunicationsRevenues16[Budget 14/15])</f>
        <v>0</v>
      </c>
      <c r="G6" s="178">
        <f>SUBTOTAL(109,CommunicationsRevenues16[Actual 14/15])</f>
        <v>0</v>
      </c>
      <c r="H6" s="178">
        <f>SUBTOTAL(109,CommunicationsRevenues16[Budget 15/16])</f>
        <v>0</v>
      </c>
      <c r="I6" s="178">
        <f>SUBTOTAL(109,CommunicationsRevenues16[Actual 15/16])</f>
        <v>0</v>
      </c>
      <c r="J6" s="21">
        <f>SUM(CommunicationsRevenues16[Budget 16/17])</f>
        <v>0</v>
      </c>
      <c r="K6" s="21">
        <f>SUM(CommunicationsRevenues16[Actual 16/17])</f>
        <v>0</v>
      </c>
      <c r="L6" s="21">
        <f>SUM(CommunicationsRevenues16[Budget 17/18])</f>
        <v>0</v>
      </c>
      <c r="M6" s="21">
        <f>SUM(CommunicationsRevenues16[Actual 17/18])</f>
        <v>0</v>
      </c>
      <c r="N6" s="423">
        <f>SUM(CommunicationsRevenues16[Budget 18/19])</f>
        <v>0</v>
      </c>
      <c r="O6" s="423">
        <f>SUM(CommunicationsRevenues16[Actual 18/19])</f>
        <v>0</v>
      </c>
      <c r="P6" s="423">
        <f>SUM(CommunicationsRevenues16[Budget 19/20])</f>
        <v>0</v>
      </c>
      <c r="Q6" s="423">
        <f>SUM(CommunicationsRevenues16[Actual 19/20])</f>
        <v>0</v>
      </c>
      <c r="R6" s="423">
        <f>SUM(CommunicationsRevenues16[Budget 19/21])</f>
        <v>0</v>
      </c>
      <c r="S6" s="541">
        <f>SUM(CommunicationsRevenues16[Actuals 20/21])</f>
        <v>0</v>
      </c>
      <c r="T6" s="423">
        <f>SUM(CommunicationsRevenues16[Budget 21/22])</f>
        <v>0</v>
      </c>
      <c r="U6" s="567">
        <f>SUM(CommunicationsRevenues16[Revenues])</f>
        <v>0</v>
      </c>
      <c r="V6" s="567">
        <f>SUM(CommunicationsRevenues16[Budget 12/13])</f>
        <v>0</v>
      </c>
    </row>
    <row r="7" spans="1:22" s="210" customFormat="1" ht="18.75">
      <c r="B7" s="228"/>
      <c r="C7" s="228"/>
      <c r="D7" s="228"/>
      <c r="E7" s="228"/>
      <c r="F7" s="228"/>
      <c r="G7" s="228"/>
      <c r="H7" s="228"/>
      <c r="I7" s="228"/>
      <c r="J7" s="228"/>
      <c r="K7" s="228"/>
      <c r="L7" s="228"/>
      <c r="M7" s="228"/>
      <c r="N7" s="416"/>
      <c r="O7" s="417"/>
      <c r="P7" s="418"/>
      <c r="Q7" s="418"/>
      <c r="R7" s="418"/>
      <c r="S7" s="725"/>
      <c r="T7" s="717"/>
    </row>
    <row r="8" spans="1:22" s="210" customFormat="1" ht="18.75">
      <c r="B8" s="228" t="s">
        <v>22</v>
      </c>
      <c r="C8" s="675" t="s">
        <v>77</v>
      </c>
      <c r="D8" s="675" t="s">
        <v>5</v>
      </c>
      <c r="E8" s="675" t="s">
        <v>6</v>
      </c>
      <c r="F8" s="675" t="s">
        <v>7</v>
      </c>
      <c r="G8" s="675" t="s">
        <v>8</v>
      </c>
      <c r="H8" s="675" t="s">
        <v>9</v>
      </c>
      <c r="I8" s="677" t="s">
        <v>10</v>
      </c>
      <c r="J8" s="380" t="s">
        <v>11</v>
      </c>
      <c r="K8" s="241" t="s">
        <v>12</v>
      </c>
      <c r="L8" s="240" t="s">
        <v>13</v>
      </c>
      <c r="M8" s="241" t="s">
        <v>14</v>
      </c>
      <c r="N8" s="419" t="s">
        <v>15</v>
      </c>
      <c r="O8" s="419" t="s">
        <v>39</v>
      </c>
      <c r="P8" s="420" t="s">
        <v>16</v>
      </c>
      <c r="Q8" s="420" t="s">
        <v>1005</v>
      </c>
      <c r="R8" s="420" t="s">
        <v>61</v>
      </c>
      <c r="S8" s="540" t="s">
        <v>269</v>
      </c>
      <c r="T8" s="420" t="s">
        <v>41</v>
      </c>
      <c r="U8" s="679" t="s">
        <v>947</v>
      </c>
      <c r="V8" s="679" t="s">
        <v>43</v>
      </c>
    </row>
    <row r="9" spans="1:22" s="210" customFormat="1">
      <c r="A9" s="210" t="s">
        <v>1006</v>
      </c>
      <c r="B9" s="228" t="s">
        <v>1007</v>
      </c>
      <c r="C9" s="20">
        <v>25000</v>
      </c>
      <c r="D9" s="20">
        <v>20000</v>
      </c>
      <c r="E9" s="20">
        <v>22782.66</v>
      </c>
      <c r="F9" s="20">
        <v>22000</v>
      </c>
      <c r="G9" s="20">
        <v>21170.17</v>
      </c>
      <c r="H9" s="20">
        <v>18000</v>
      </c>
      <c r="I9" s="20">
        <v>19329.71</v>
      </c>
      <c r="J9" s="20">
        <v>18000</v>
      </c>
      <c r="K9" s="228">
        <v>10588.91</v>
      </c>
      <c r="L9" s="247">
        <v>18000</v>
      </c>
      <c r="M9" s="247">
        <v>7470.7</v>
      </c>
      <c r="N9" s="416">
        <v>15000</v>
      </c>
      <c r="O9" s="416">
        <v>18630.72</v>
      </c>
      <c r="P9" s="424">
        <v>20707.5</v>
      </c>
      <c r="Q9" s="424">
        <v>18906.55</v>
      </c>
      <c r="R9" s="425">
        <f>19560.83+4000</f>
        <v>23560.83</v>
      </c>
      <c r="S9" s="542">
        <v>15657.47</v>
      </c>
      <c r="T9" s="425">
        <v>102208.42</v>
      </c>
      <c r="U9" s="680">
        <v>40318.81</v>
      </c>
      <c r="V9" s="690">
        <v>97100</v>
      </c>
    </row>
    <row r="10" spans="1:22" s="210" customFormat="1">
      <c r="A10" s="210" t="s">
        <v>1008</v>
      </c>
      <c r="B10" s="228" t="s">
        <v>1009</v>
      </c>
      <c r="C10" s="20">
        <v>500</v>
      </c>
      <c r="D10" s="20">
        <v>375.03</v>
      </c>
      <c r="E10" s="20">
        <v>276.98</v>
      </c>
      <c r="F10" s="20">
        <v>375.03</v>
      </c>
      <c r="G10" s="20">
        <v>276.92</v>
      </c>
      <c r="H10" s="20">
        <v>375</v>
      </c>
      <c r="I10" s="20">
        <v>246.57</v>
      </c>
      <c r="J10" s="20">
        <v>600</v>
      </c>
      <c r="K10" s="413">
        <v>306.14</v>
      </c>
      <c r="L10" s="247">
        <v>600</v>
      </c>
      <c r="M10" s="247">
        <v>558.58000000000004</v>
      </c>
      <c r="N10" s="416">
        <v>600</v>
      </c>
      <c r="O10" s="416">
        <v>479.94</v>
      </c>
      <c r="P10" s="425">
        <v>900</v>
      </c>
      <c r="Q10" s="425">
        <v>665.55</v>
      </c>
      <c r="R10" s="425">
        <v>900</v>
      </c>
      <c r="S10" s="542">
        <v>359.1</v>
      </c>
      <c r="T10" s="425">
        <v>0</v>
      </c>
      <c r="U10" s="680"/>
      <c r="V10" s="680"/>
    </row>
    <row r="11" spans="1:22" s="210" customFormat="1">
      <c r="A11" s="210" t="s">
        <v>1010</v>
      </c>
      <c r="B11" s="228" t="s">
        <v>1011</v>
      </c>
      <c r="C11" s="20">
        <v>0</v>
      </c>
      <c r="D11" s="20">
        <v>0</v>
      </c>
      <c r="E11" s="20">
        <v>0</v>
      </c>
      <c r="F11" s="20">
        <v>0</v>
      </c>
      <c r="G11" s="20">
        <v>0</v>
      </c>
      <c r="H11" s="20">
        <v>240</v>
      </c>
      <c r="I11" s="20">
        <v>380</v>
      </c>
      <c r="J11" s="20">
        <v>390</v>
      </c>
      <c r="K11" s="413">
        <v>240</v>
      </c>
      <c r="L11" s="247">
        <v>390</v>
      </c>
      <c r="M11" s="247">
        <v>160</v>
      </c>
      <c r="N11" s="416">
        <v>240</v>
      </c>
      <c r="O11" s="416">
        <v>220</v>
      </c>
      <c r="P11" s="425">
        <v>240</v>
      </c>
      <c r="Q11" s="425">
        <v>320</v>
      </c>
      <c r="R11" s="425">
        <v>240</v>
      </c>
      <c r="S11" s="542">
        <v>400</v>
      </c>
      <c r="T11" s="425">
        <v>240</v>
      </c>
      <c r="U11" s="680">
        <v>360</v>
      </c>
      <c r="V11" s="680"/>
    </row>
    <row r="12" spans="1:22" s="210" customFormat="1">
      <c r="B12" s="228" t="s">
        <v>1012</v>
      </c>
      <c r="C12" s="20">
        <v>0</v>
      </c>
      <c r="D12" s="20">
        <v>0</v>
      </c>
      <c r="E12" s="20">
        <v>0</v>
      </c>
      <c r="F12" s="20">
        <v>0</v>
      </c>
      <c r="G12" s="20">
        <v>0</v>
      </c>
      <c r="H12" s="20">
        <v>0</v>
      </c>
      <c r="I12" s="20">
        <v>0</v>
      </c>
      <c r="J12" s="20">
        <v>0</v>
      </c>
      <c r="K12" s="413"/>
      <c r="L12" s="247"/>
      <c r="M12" s="247"/>
      <c r="N12" s="416"/>
      <c r="O12" s="416"/>
      <c r="P12" s="425"/>
      <c r="Q12" s="425"/>
      <c r="R12" s="425"/>
      <c r="S12" s="542"/>
      <c r="T12" s="425"/>
      <c r="U12" s="680"/>
      <c r="V12" s="680"/>
    </row>
    <row r="13" spans="1:22" s="210" customFormat="1">
      <c r="A13" s="210" t="s">
        <v>1013</v>
      </c>
      <c r="B13" s="228" t="s">
        <v>1014</v>
      </c>
      <c r="C13" s="20">
        <v>25</v>
      </c>
      <c r="D13" s="20">
        <v>25</v>
      </c>
      <c r="E13" s="20">
        <v>20.9</v>
      </c>
      <c r="F13" s="20">
        <v>25</v>
      </c>
      <c r="G13" s="20" t="s">
        <v>1015</v>
      </c>
      <c r="H13" s="20">
        <v>25</v>
      </c>
      <c r="I13" s="20">
        <v>0</v>
      </c>
      <c r="J13" s="20">
        <v>25</v>
      </c>
      <c r="K13" s="413"/>
      <c r="L13" s="247">
        <v>25</v>
      </c>
      <c r="M13" s="247">
        <v>15.09</v>
      </c>
      <c r="N13" s="416">
        <v>25</v>
      </c>
      <c r="O13" s="416"/>
      <c r="P13" s="425">
        <v>25</v>
      </c>
      <c r="Q13" s="425">
        <v>0</v>
      </c>
      <c r="R13" s="425">
        <v>0</v>
      </c>
      <c r="S13" s="542">
        <v>0.99</v>
      </c>
      <c r="T13" s="425"/>
      <c r="U13" s="680"/>
      <c r="V13" s="680"/>
    </row>
    <row r="14" spans="1:22" s="210" customFormat="1">
      <c r="A14" s="210" t="s">
        <v>1016</v>
      </c>
      <c r="B14" s="228" t="s">
        <v>1017</v>
      </c>
      <c r="C14" s="20">
        <v>500</v>
      </c>
      <c r="D14" s="20">
        <v>375.03</v>
      </c>
      <c r="E14" s="20">
        <v>97.86</v>
      </c>
      <c r="F14" s="20">
        <v>200</v>
      </c>
      <c r="G14" s="20" t="s">
        <v>1015</v>
      </c>
      <c r="H14" s="20">
        <v>100</v>
      </c>
      <c r="I14" s="20">
        <v>0</v>
      </c>
      <c r="J14" s="20">
        <v>100</v>
      </c>
      <c r="K14" s="413">
        <v>98.37</v>
      </c>
      <c r="L14" s="247">
        <v>100</v>
      </c>
      <c r="M14" s="247">
        <v>212.58</v>
      </c>
      <c r="N14" s="416">
        <v>200</v>
      </c>
      <c r="O14" s="416">
        <v>143.18</v>
      </c>
      <c r="P14" s="425">
        <v>200</v>
      </c>
      <c r="Q14" s="425">
        <v>47.69</v>
      </c>
      <c r="R14" s="425">
        <v>200</v>
      </c>
      <c r="S14" s="542">
        <v>136.66999999999999</v>
      </c>
      <c r="T14" s="425">
        <v>200</v>
      </c>
      <c r="U14" s="680"/>
      <c r="V14" s="680">
        <v>200</v>
      </c>
    </row>
    <row r="15" spans="1:22" s="210" customFormat="1">
      <c r="A15" s="210" t="s">
        <v>1018</v>
      </c>
      <c r="B15" s="228" t="s">
        <v>1019</v>
      </c>
      <c r="C15" s="20">
        <v>350</v>
      </c>
      <c r="D15" s="20">
        <v>500</v>
      </c>
      <c r="E15" s="20"/>
      <c r="F15" s="20">
        <v>500</v>
      </c>
      <c r="G15" s="20" t="s">
        <v>1015</v>
      </c>
      <c r="H15" s="20">
        <v>200</v>
      </c>
      <c r="I15" s="20">
        <v>0</v>
      </c>
      <c r="J15" s="20">
        <v>100</v>
      </c>
      <c r="K15" s="413">
        <v>38.06</v>
      </c>
      <c r="L15" s="247">
        <v>100</v>
      </c>
      <c r="M15" s="247">
        <v>198.99</v>
      </c>
      <c r="N15" s="416">
        <v>200</v>
      </c>
      <c r="O15" s="416">
        <v>25.31</v>
      </c>
      <c r="P15" s="425">
        <v>100</v>
      </c>
      <c r="Q15" s="425">
        <v>27.56</v>
      </c>
      <c r="R15" s="425">
        <v>100</v>
      </c>
      <c r="S15" s="542">
        <v>0</v>
      </c>
      <c r="T15" s="425">
        <v>200</v>
      </c>
      <c r="U15" s="680">
        <v>45.41</v>
      </c>
      <c r="V15" s="680">
        <v>200</v>
      </c>
    </row>
    <row r="16" spans="1:22" s="210" customFormat="1">
      <c r="A16" s="210" t="s">
        <v>1020</v>
      </c>
      <c r="B16" s="228" t="s">
        <v>1021</v>
      </c>
      <c r="C16" s="20">
        <v>800</v>
      </c>
      <c r="D16" s="20">
        <v>800</v>
      </c>
      <c r="E16" s="20">
        <v>1839.08</v>
      </c>
      <c r="F16" s="20">
        <v>800</v>
      </c>
      <c r="G16" s="20">
        <v>659.67</v>
      </c>
      <c r="H16" s="20">
        <v>800</v>
      </c>
      <c r="I16" s="20">
        <v>1040.26</v>
      </c>
      <c r="J16" s="20">
        <v>600</v>
      </c>
      <c r="K16" s="413">
        <v>807.13</v>
      </c>
      <c r="L16" s="247">
        <v>600</v>
      </c>
      <c r="M16" s="247"/>
      <c r="N16" s="416">
        <v>300</v>
      </c>
      <c r="O16" s="416">
        <v>62.28</v>
      </c>
      <c r="P16" s="425">
        <v>150</v>
      </c>
      <c r="Q16" s="425">
        <v>0</v>
      </c>
      <c r="R16" s="425">
        <v>150</v>
      </c>
      <c r="S16" s="542">
        <v>161.25</v>
      </c>
      <c r="T16" s="425">
        <v>150</v>
      </c>
      <c r="U16" s="680">
        <v>270</v>
      </c>
      <c r="V16" s="680">
        <v>150</v>
      </c>
    </row>
    <row r="17" spans="1:22" s="210" customFormat="1">
      <c r="A17" s="717" t="s">
        <v>1022</v>
      </c>
      <c r="B17" s="228" t="s">
        <v>1023</v>
      </c>
      <c r="C17" s="20">
        <v>4000</v>
      </c>
      <c r="D17" s="20">
        <v>3000</v>
      </c>
      <c r="E17" s="20">
        <v>1476.74</v>
      </c>
      <c r="F17" s="20">
        <v>2000</v>
      </c>
      <c r="G17" s="20">
        <v>2003.8</v>
      </c>
      <c r="H17" s="20">
        <v>2000</v>
      </c>
      <c r="I17" s="20">
        <v>1363.56</v>
      </c>
      <c r="J17" s="20">
        <v>2000</v>
      </c>
      <c r="K17" s="413">
        <v>1146.6600000000001</v>
      </c>
      <c r="L17" s="247">
        <v>2000</v>
      </c>
      <c r="M17" s="247">
        <v>1025.19</v>
      </c>
      <c r="N17" s="416">
        <v>1000</v>
      </c>
      <c r="O17" s="416">
        <v>315</v>
      </c>
      <c r="P17" s="425">
        <v>1000</v>
      </c>
      <c r="Q17" s="425">
        <v>0</v>
      </c>
      <c r="R17" s="425">
        <v>500</v>
      </c>
      <c r="S17" s="542">
        <v>0</v>
      </c>
      <c r="T17" s="425">
        <v>2000</v>
      </c>
      <c r="U17" s="680">
        <v>375</v>
      </c>
      <c r="V17" s="680">
        <v>1500</v>
      </c>
    </row>
    <row r="18" spans="1:22" s="210" customFormat="1">
      <c r="A18" s="210" t="s">
        <v>1024</v>
      </c>
      <c r="B18" s="228" t="s">
        <v>1025</v>
      </c>
      <c r="C18" s="20">
        <v>1200</v>
      </c>
      <c r="D18" s="20">
        <v>1200</v>
      </c>
      <c r="E18" s="20">
        <v>93.48</v>
      </c>
      <c r="F18" s="20">
        <v>800</v>
      </c>
      <c r="G18" s="20" t="s">
        <v>1015</v>
      </c>
      <c r="H18" s="20">
        <v>800</v>
      </c>
      <c r="I18" s="20">
        <v>264.38</v>
      </c>
      <c r="J18" s="20">
        <v>1400</v>
      </c>
      <c r="K18" s="413">
        <v>123.94</v>
      </c>
      <c r="L18" s="247">
        <v>1400</v>
      </c>
      <c r="M18" s="247"/>
      <c r="N18" s="416">
        <v>750</v>
      </c>
      <c r="O18" s="416">
        <v>625.04</v>
      </c>
      <c r="P18" s="425">
        <v>2200</v>
      </c>
      <c r="Q18" s="425">
        <v>2154.96</v>
      </c>
      <c r="R18" s="425">
        <v>2000</v>
      </c>
      <c r="S18" s="542">
        <v>0</v>
      </c>
      <c r="T18" s="425">
        <v>1600</v>
      </c>
      <c r="U18" s="680">
        <v>1124.3499999999999</v>
      </c>
      <c r="V18" s="680">
        <v>3000</v>
      </c>
    </row>
    <row r="19" spans="1:22" s="210" customFormat="1">
      <c r="A19" s="210" t="s">
        <v>1026</v>
      </c>
      <c r="B19" s="228" t="s">
        <v>1027</v>
      </c>
      <c r="C19" s="20">
        <v>1500</v>
      </c>
      <c r="D19" s="20">
        <v>1000</v>
      </c>
      <c r="E19" s="20"/>
      <c r="F19" s="20">
        <v>500</v>
      </c>
      <c r="G19" s="20">
        <v>412.1</v>
      </c>
      <c r="H19" s="20">
        <v>500</v>
      </c>
      <c r="I19" s="20">
        <v>339</v>
      </c>
      <c r="J19" s="20">
        <v>500</v>
      </c>
      <c r="K19" s="413"/>
      <c r="L19" s="247">
        <v>500</v>
      </c>
      <c r="M19" s="247"/>
      <c r="N19" s="416">
        <v>500</v>
      </c>
      <c r="O19" s="416">
        <v>271</v>
      </c>
      <c r="P19" s="425">
        <v>300</v>
      </c>
      <c r="Q19" s="425">
        <v>0</v>
      </c>
      <c r="R19" s="425">
        <v>300</v>
      </c>
      <c r="S19" s="542">
        <v>141.16999999999999</v>
      </c>
      <c r="T19" s="425">
        <v>300</v>
      </c>
      <c r="U19" s="680"/>
      <c r="V19" s="680">
        <v>300</v>
      </c>
    </row>
    <row r="20" spans="1:22" s="210" customFormat="1" ht="18.75">
      <c r="A20" s="210" t="s">
        <v>1028</v>
      </c>
      <c r="B20" s="572" t="s">
        <v>1029</v>
      </c>
      <c r="C20" s="234"/>
      <c r="D20" s="234"/>
      <c r="E20" s="234"/>
      <c r="F20" s="234"/>
      <c r="G20" s="234"/>
      <c r="H20" s="728"/>
      <c r="I20" s="728"/>
      <c r="J20" s="234"/>
      <c r="M20" s="732"/>
      <c r="N20" s="418"/>
      <c r="O20" s="416"/>
      <c r="P20" s="425"/>
      <c r="Q20" s="425"/>
      <c r="R20" s="425"/>
      <c r="S20" s="542"/>
      <c r="T20" s="425"/>
      <c r="U20" s="680"/>
      <c r="V20" s="680">
        <v>1800</v>
      </c>
    </row>
    <row r="21" spans="1:22" s="210" customFormat="1">
      <c r="A21" s="717" t="s">
        <v>1030</v>
      </c>
      <c r="B21" s="228" t="s">
        <v>989</v>
      </c>
      <c r="C21" s="20">
        <v>16500</v>
      </c>
      <c r="D21" s="20">
        <v>16500</v>
      </c>
      <c r="E21" s="20">
        <v>28075.39</v>
      </c>
      <c r="F21" s="20" t="s">
        <v>1015</v>
      </c>
      <c r="G21" s="20">
        <v>137.41</v>
      </c>
      <c r="H21" s="20" t="s">
        <v>1015</v>
      </c>
      <c r="I21" s="20"/>
      <c r="J21" s="20"/>
      <c r="K21" s="413"/>
      <c r="L21" s="247"/>
      <c r="M21" s="247"/>
      <c r="N21" s="416"/>
      <c r="O21" s="416"/>
      <c r="P21" s="425"/>
      <c r="Q21" s="425"/>
      <c r="R21" s="425"/>
      <c r="S21" s="542"/>
      <c r="T21" s="425"/>
      <c r="U21" s="680">
        <v>53.11</v>
      </c>
      <c r="V21" s="680"/>
    </row>
    <row r="22" spans="1:22" s="210" customFormat="1">
      <c r="A22" s="210" t="s">
        <v>1031</v>
      </c>
      <c r="B22" s="228" t="s">
        <v>1032</v>
      </c>
      <c r="C22" s="20">
        <v>1500</v>
      </c>
      <c r="D22" s="20">
        <v>786.78</v>
      </c>
      <c r="E22" s="20">
        <v>1688.1</v>
      </c>
      <c r="F22" s="20">
        <v>2327.04</v>
      </c>
      <c r="G22" s="20">
        <v>1310.53</v>
      </c>
      <c r="H22" s="20">
        <v>2177.81</v>
      </c>
      <c r="I22" s="20">
        <v>2177.7600000000002</v>
      </c>
      <c r="J22" s="20">
        <v>2177</v>
      </c>
      <c r="K22" s="413">
        <v>1538.76</v>
      </c>
      <c r="L22" s="247">
        <v>2177</v>
      </c>
      <c r="M22" s="247">
        <v>899.8</v>
      </c>
      <c r="N22" s="416"/>
      <c r="O22" s="416">
        <v>99.89</v>
      </c>
      <c r="P22" s="425">
        <v>408</v>
      </c>
      <c r="Q22" s="425"/>
      <c r="R22" s="425">
        <v>443.95</v>
      </c>
      <c r="S22" s="542">
        <v>443.94</v>
      </c>
      <c r="T22" s="425"/>
      <c r="U22" s="680">
        <v>311.99</v>
      </c>
      <c r="V22" s="681"/>
    </row>
    <row r="23" spans="1:22" s="210" customFormat="1">
      <c r="A23" s="210" t="s">
        <v>1033</v>
      </c>
      <c r="B23" s="228" t="s">
        <v>1034</v>
      </c>
      <c r="C23" s="20">
        <v>3000</v>
      </c>
      <c r="D23" s="20">
        <v>2000</v>
      </c>
      <c r="E23" s="20">
        <v>1319.8</v>
      </c>
      <c r="F23" s="20">
        <v>2000</v>
      </c>
      <c r="G23" s="20">
        <v>3141.6</v>
      </c>
      <c r="H23" s="20">
        <v>2000</v>
      </c>
      <c r="I23" s="20">
        <v>1245.28</v>
      </c>
      <c r="J23" s="20">
        <v>1000</v>
      </c>
      <c r="K23" s="413">
        <v>1334.17</v>
      </c>
      <c r="L23" s="247">
        <v>1000</v>
      </c>
      <c r="M23" s="247">
        <v>255</v>
      </c>
      <c r="N23" s="416">
        <v>750</v>
      </c>
      <c r="O23" s="416">
        <v>0.56999999999999995</v>
      </c>
      <c r="P23" s="425">
        <v>750</v>
      </c>
      <c r="Q23" s="425">
        <v>160.03</v>
      </c>
      <c r="R23" s="425">
        <v>400</v>
      </c>
      <c r="S23" s="542">
        <v>150</v>
      </c>
      <c r="T23" s="425">
        <v>400</v>
      </c>
      <c r="U23" s="680">
        <v>351.78</v>
      </c>
      <c r="V23" s="680">
        <v>500</v>
      </c>
    </row>
    <row r="24" spans="1:22" s="210" customFormat="1">
      <c r="B24" s="228" t="s">
        <v>1035</v>
      </c>
      <c r="C24" s="20">
        <v>1000</v>
      </c>
      <c r="D24" s="20">
        <v>1000</v>
      </c>
      <c r="E24" s="20">
        <v>40.68</v>
      </c>
      <c r="F24" s="20">
        <v>500</v>
      </c>
      <c r="G24" s="20" t="s">
        <v>1015</v>
      </c>
      <c r="H24" s="20">
        <v>200</v>
      </c>
      <c r="I24" s="20">
        <v>0</v>
      </c>
      <c r="J24" s="20">
        <v>100</v>
      </c>
      <c r="K24" s="413"/>
      <c r="L24" s="247">
        <v>100</v>
      </c>
      <c r="M24" s="247"/>
      <c r="N24" s="416"/>
      <c r="O24" s="416"/>
      <c r="P24" s="425"/>
      <c r="Q24" s="425"/>
      <c r="R24" s="425"/>
      <c r="S24" s="542"/>
      <c r="T24" s="425"/>
      <c r="U24" s="680"/>
      <c r="V24" s="680"/>
    </row>
    <row r="25" spans="1:22" s="210" customFormat="1">
      <c r="A25" s="210" t="s">
        <v>1033</v>
      </c>
      <c r="B25" s="228" t="s">
        <v>1036</v>
      </c>
      <c r="C25" s="20">
        <v>3000</v>
      </c>
      <c r="D25" s="20">
        <v>2000</v>
      </c>
      <c r="E25" s="20"/>
      <c r="F25" s="20">
        <v>1000</v>
      </c>
      <c r="G25" s="20">
        <v>1136.73</v>
      </c>
      <c r="H25" s="20">
        <v>1000</v>
      </c>
      <c r="I25" s="20">
        <v>700</v>
      </c>
      <c r="J25" s="20">
        <v>700</v>
      </c>
      <c r="K25" s="413"/>
      <c r="L25" s="247">
        <v>700</v>
      </c>
      <c r="M25" s="247"/>
      <c r="N25" s="416">
        <v>700</v>
      </c>
      <c r="O25" s="416"/>
      <c r="P25" s="425">
        <v>500</v>
      </c>
      <c r="Q25" s="425"/>
      <c r="R25" s="425">
        <v>500</v>
      </c>
      <c r="S25" s="542"/>
      <c r="T25" s="425">
        <v>500</v>
      </c>
      <c r="U25" s="680"/>
      <c r="V25" s="680">
        <v>1500</v>
      </c>
    </row>
    <row r="26" spans="1:22" s="210" customFormat="1" ht="18.75" thickBot="1">
      <c r="A26" s="210" t="s">
        <v>1033</v>
      </c>
      <c r="B26" s="228" t="s">
        <v>1037</v>
      </c>
      <c r="C26" s="20"/>
      <c r="D26" s="20"/>
      <c r="E26" s="20"/>
      <c r="F26" s="20"/>
      <c r="G26" s="20"/>
      <c r="H26" s="20"/>
      <c r="I26" s="20">
        <v>672.88</v>
      </c>
      <c r="J26" s="20">
        <v>1000</v>
      </c>
      <c r="K26" s="228"/>
      <c r="L26" s="247">
        <v>1000</v>
      </c>
      <c r="M26" s="247"/>
      <c r="N26" s="416">
        <v>1000</v>
      </c>
      <c r="O26" s="416"/>
      <c r="P26" s="425">
        <v>1000</v>
      </c>
      <c r="Q26" s="425"/>
      <c r="R26" s="425">
        <v>750</v>
      </c>
      <c r="S26" s="542"/>
      <c r="T26" s="425"/>
      <c r="U26" s="680"/>
      <c r="V26" s="680"/>
    </row>
    <row r="27" spans="1:22" s="210" customFormat="1" ht="19.5" thickBot="1">
      <c r="B27" s="19" t="s">
        <v>21</v>
      </c>
      <c r="C27" s="178">
        <f>SUBTOTAL(109,CommunicationsExpenses17[Budget 12/13])</f>
        <v>58875</v>
      </c>
      <c r="D27" s="178">
        <f>SUBTOTAL(109,CommunicationsExpenses17[Budget 13/14])</f>
        <v>49561.84</v>
      </c>
      <c r="E27" s="178">
        <f>SUBTOTAL(109,CommunicationsExpenses17[Actual 13/14])</f>
        <v>57711.670000000006</v>
      </c>
      <c r="F27" s="178">
        <f>SUBTOTAL(109,CommunicationsExpenses17[Budget 14/15])</f>
        <v>33027.07</v>
      </c>
      <c r="G27" s="178">
        <f>SUBTOTAL(109,CommunicationsExpenses17[Budget 16/17])</f>
        <v>28692</v>
      </c>
      <c r="H27" s="178">
        <f>SUBTOTAL(109,CommunicationsExpenses17[Budget 15/16])</f>
        <v>28417.81</v>
      </c>
      <c r="I27" s="178">
        <f>SUBTOTAL(109,CommunicationsExpenses17[Actual 15/16])</f>
        <v>27759.399999999998</v>
      </c>
      <c r="J27" s="21">
        <f>SUM(CommunicationsExpenses17[Budget 16/17])</f>
        <v>28692</v>
      </c>
      <c r="K27" s="21">
        <f>SUM(CommunicationsExpenses17[Actual 16/17])</f>
        <v>16222.14</v>
      </c>
      <c r="L27" s="21">
        <f>SUM(CommunicationsExpenses17[Budget 17/18])</f>
        <v>28692</v>
      </c>
      <c r="M27" s="178">
        <f>SUM(M9:M26)</f>
        <v>10795.929999999998</v>
      </c>
      <c r="N27" s="423">
        <f>SUM(CommunicationsExpenses17[Budget 18/19])</f>
        <v>21265</v>
      </c>
      <c r="O27" s="423">
        <f>SUM(CommunicationsExpenses17[Actual 18/19])</f>
        <v>20872.93</v>
      </c>
      <c r="P27" s="423">
        <f>SUM(P9:P26)</f>
        <v>28480.5</v>
      </c>
      <c r="Q27" s="440">
        <f>SUM(CommunicationsExpenses17[Actual 19/20])</f>
        <v>22282.339999999997</v>
      </c>
      <c r="R27" s="423">
        <f>SUM(R9:R26)</f>
        <v>30044.780000000002</v>
      </c>
      <c r="S27" s="541">
        <f>SUM(S9:S26)</f>
        <v>17450.589999999997</v>
      </c>
      <c r="T27" s="423">
        <f>SUM(T9:T25)</f>
        <v>107798.42</v>
      </c>
      <c r="U27" s="571">
        <f t="shared" ref="U27:V27" si="0">SUM(U9:U25)</f>
        <v>43210.45</v>
      </c>
      <c r="V27" s="571">
        <f t="shared" si="0"/>
        <v>106250</v>
      </c>
    </row>
    <row r="28" spans="1:22" s="210" customFormat="1" ht="19.5" thickBot="1">
      <c r="B28" s="19"/>
      <c r="C28" s="178"/>
      <c r="D28" s="178"/>
      <c r="E28" s="178"/>
      <c r="F28" s="178"/>
      <c r="G28" s="178"/>
      <c r="H28" s="178"/>
      <c r="I28" s="178"/>
      <c r="J28" s="21"/>
      <c r="K28" s="21"/>
      <c r="L28" s="21"/>
      <c r="M28" s="178"/>
      <c r="N28" s="423"/>
      <c r="O28" s="423"/>
      <c r="P28" s="423"/>
      <c r="Q28" s="440"/>
      <c r="R28" s="423"/>
      <c r="S28" s="541"/>
      <c r="T28" s="423"/>
      <c r="U28" s="423"/>
      <c r="V28" s="423"/>
    </row>
    <row r="29" spans="1:22" s="210" customFormat="1" ht="19.5" thickBot="1">
      <c r="B29" s="676" t="s">
        <v>127</v>
      </c>
      <c r="C29" s="415">
        <f>(CommunicationsRevenues16[[#Totals],[Budget 12/13]]) -CommunicationsExpenses17[[#Totals],[Budget 12/13]]</f>
        <v>-58875</v>
      </c>
      <c r="D29" s="415">
        <f>(CommunicationsRevenues16[[#Totals],[Budget 13/14]]) -CommunicationsExpenses17[[#Totals],[Budget 13/14]]</f>
        <v>-49561.84</v>
      </c>
      <c r="E29" s="415">
        <f>(CommunicationsRevenues16[[#Totals],[Actual 13/14]]) -CommunicationsExpenses17[[#Totals],[Actual 13/14]]</f>
        <v>-57711.670000000006</v>
      </c>
      <c r="F29" s="415">
        <f>(CommunicationsRevenues16[[#Totals],[Budget 14/15]]) -CommunicationsExpenses17[[#Totals],[Budget 14/15]]</f>
        <v>-33027.07</v>
      </c>
      <c r="G29" s="415">
        <f>(CommunicationsRevenues16[[#Totals],[Actual 14/15]]) -CommunicationsExpenses17[[#Totals],[Actual 14/15]]</f>
        <v>-28692</v>
      </c>
      <c r="H29" s="415">
        <f>(CommunicationsRevenues16[[#Totals],[Budget 15/16]]) -CommunicationsExpenses17[[#Totals],[Budget 15/16]]</f>
        <v>-28417.81</v>
      </c>
      <c r="I29" s="415">
        <f>(CommunicationsRevenues16[[#Totals],[Actual 15/16]]) -CommunicationsExpenses17[[#Totals],[Actual 15/16]]</f>
        <v>-27759.399999999998</v>
      </c>
      <c r="J29" s="415">
        <f>CommunicationsRevenues16[[#Totals],[Budget 16/17]]-CommunicationsExpenses17[[#Totals],[Budget 16/17]]</f>
        <v>-28692</v>
      </c>
      <c r="K29" s="415">
        <f>CommunicationsRevenues16[[#Totals],[Actual 16/17]]-CommunicationsExpenses17[[#Totals],[Actual 16/17]]</f>
        <v>-16222.14</v>
      </c>
      <c r="L29" s="415">
        <f>CommunicationsRevenues16[[#Totals],[Budget 17/18]]-CommunicationsExpenses17[[#Totals],[Budget 17/18]]</f>
        <v>-28692</v>
      </c>
      <c r="M29" s="415">
        <f>CommunicationsRevenues16[[#Totals],[Actual 17/18]]-CommunicationsExpenses17[[#Totals],[Actual 17/18]]</f>
        <v>-10795.929999999998</v>
      </c>
      <c r="N29" s="426">
        <f>CommunicationsRevenues16[[#Totals],[Budget 18/19]]-CommunicationsExpenses17[[#Totals],[Budget 18/19]]</f>
        <v>-21265</v>
      </c>
      <c r="O29" s="426">
        <f>CommunicationsRevenues16[[#Totals],[Actual 18/19]]-CommunicationsExpenses17[[#Totals],[Actual 18/19]]</f>
        <v>-20872.93</v>
      </c>
      <c r="P29" s="426">
        <f>CommunicationsRevenues16[[#Totals],[Budget 19/20]]-CommunicationsExpenses17[[#Totals],[Budget 19/20]]</f>
        <v>-28480.5</v>
      </c>
      <c r="Q29" s="426">
        <f>CommunicationsRevenues16[[#Totals],[Actual 19/20]]-CommunicationsExpenses17[[#Totals],[Actual 19/20]]</f>
        <v>-22282.339999999997</v>
      </c>
      <c r="R29" s="426">
        <f>CommunicationsRevenues16[[#Totals],[Budget 19/21]]-CommunicationsExpenses17[[#Totals],[Budget 19/21]]</f>
        <v>-30044.780000000002</v>
      </c>
      <c r="S29" s="543">
        <f>CommunicationsRevenues16[[#Totals],[Actuals 20/21]]-CommunicationsExpenses17[[#Totals],[Actuals 20/21]]</f>
        <v>-17450.589999999997</v>
      </c>
      <c r="T29" s="426">
        <f>CommunicationsRevenues16[[#Totals],[Budget 21/22]]-CommunicationsExpenses17[[#Totals],[Budget 21/22]]</f>
        <v>-107798.42</v>
      </c>
      <c r="U29" s="426">
        <f>CommunicationsRevenues16[[#Totals],[Actuals 21/22]]-U27</f>
        <v>-43210.45</v>
      </c>
      <c r="V29" s="426">
        <f>CommunicationsRevenues16[[#Totals],[Budget 22/23]]-V27</f>
        <v>-106250</v>
      </c>
    </row>
    <row r="30" spans="1:22">
      <c r="E30" s="230"/>
      <c r="F30" s="230"/>
    </row>
    <row r="31" spans="1:22">
      <c r="B31" s="573" t="s">
        <v>1038</v>
      </c>
    </row>
  </sheetData>
  <phoneticPr fontId="90" type="noConversion"/>
  <pageMargins left="0.7" right="0.7" top="0.75" bottom="0.75" header="0.3" footer="0.3"/>
  <pageSetup scale="91" orientation="landscape" r:id="rId1"/>
  <legacyDrawing r:id="rId2"/>
  <tableParts count="2">
    <tablePart r:id="rId3"/>
    <tablePart r:id="rId4"/>
  </tablePar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1"/>
    <pageSetUpPr fitToPage="1"/>
  </sheetPr>
  <dimension ref="A1:U18"/>
  <sheetViews>
    <sheetView zoomScale="70" zoomScaleNormal="70" workbookViewId="0">
      <selection activeCell="P63" sqref="P63"/>
    </sheetView>
  </sheetViews>
  <sheetFormatPr defaultColWidth="10" defaultRowHeight="12.75"/>
  <cols>
    <col min="1" max="1" width="10.7109375" style="228" bestFit="1" customWidth="1"/>
    <col min="2" max="2" width="51.140625" style="228" bestFit="1" customWidth="1"/>
    <col min="3" max="3" width="13.28515625" style="228" hidden="1" customWidth="1"/>
    <col min="4" max="7" width="14.140625" style="228" hidden="1" customWidth="1"/>
    <col min="8" max="10" width="15.85546875" style="228" hidden="1" customWidth="1"/>
    <col min="11" max="12" width="14.140625" style="228" hidden="1" customWidth="1"/>
    <col min="13" max="13" width="19.85546875" style="228" customWidth="1"/>
    <col min="14" max="14" width="15.85546875" style="228" bestFit="1" customWidth="1"/>
    <col min="15" max="15" width="17.7109375" style="228" customWidth="1"/>
    <col min="16" max="16" width="17.7109375" style="228" bestFit="1" customWidth="1"/>
    <col min="17" max="17" width="22" style="228" customWidth="1"/>
    <col min="18" max="18" width="16.140625" style="228" customWidth="1"/>
    <col min="19" max="19" width="15.42578125" style="228" customWidth="1"/>
    <col min="20" max="16384" width="10" style="228"/>
  </cols>
  <sheetData>
    <row r="1" spans="1:21" ht="21">
      <c r="B1" s="218" t="s">
        <v>1039</v>
      </c>
      <c r="M1" s="574" t="s">
        <v>1040</v>
      </c>
      <c r="O1" s="682"/>
    </row>
    <row r="2" spans="1:21" ht="15">
      <c r="B2" s="217" t="s">
        <v>962</v>
      </c>
      <c r="O2" s="242"/>
    </row>
    <row r="3" spans="1:21" ht="15.75">
      <c r="B3" s="228" t="s">
        <v>72</v>
      </c>
      <c r="C3" s="675" t="s">
        <v>77</v>
      </c>
      <c r="D3" s="675" t="s">
        <v>5</v>
      </c>
      <c r="E3" s="675" t="s">
        <v>7</v>
      </c>
      <c r="F3" s="675" t="s">
        <v>8</v>
      </c>
      <c r="G3" s="675" t="s">
        <v>9</v>
      </c>
      <c r="H3" s="675" t="s">
        <v>10</v>
      </c>
      <c r="I3" s="241" t="s">
        <v>11</v>
      </c>
      <c r="J3" s="250" t="s">
        <v>12</v>
      </c>
      <c r="K3" s="240" t="s">
        <v>13</v>
      </c>
      <c r="L3" s="241" t="s">
        <v>14</v>
      </c>
      <c r="M3" s="240" t="s">
        <v>15</v>
      </c>
      <c r="N3" s="240" t="s">
        <v>39</v>
      </c>
      <c r="O3" s="380" t="s">
        <v>16</v>
      </c>
      <c r="P3" s="380" t="s">
        <v>1005</v>
      </c>
      <c r="Q3" s="380" t="s">
        <v>17</v>
      </c>
      <c r="R3" s="438" t="s">
        <v>269</v>
      </c>
      <c r="S3" s="536" t="s">
        <v>41</v>
      </c>
      <c r="T3" s="537"/>
      <c r="U3" s="538"/>
    </row>
    <row r="4" spans="1:21">
      <c r="A4" s="249" t="s">
        <v>1041</v>
      </c>
      <c r="B4" s="228" t="s">
        <v>336</v>
      </c>
      <c r="C4" s="242">
        <v>45881.5</v>
      </c>
      <c r="D4" s="242">
        <v>40000</v>
      </c>
      <c r="E4" s="242">
        <v>45000</v>
      </c>
      <c r="F4" s="242">
        <v>53530.18</v>
      </c>
      <c r="G4" s="242">
        <v>45000</v>
      </c>
      <c r="H4" s="242">
        <v>46665.59</v>
      </c>
      <c r="I4" s="251">
        <v>45000</v>
      </c>
      <c r="J4" s="251">
        <v>43569.55</v>
      </c>
      <c r="K4" s="251">
        <v>45000</v>
      </c>
      <c r="L4" s="251">
        <v>39658.25</v>
      </c>
      <c r="M4" s="251">
        <v>40000</v>
      </c>
      <c r="N4" s="251">
        <v>46744.39</v>
      </c>
      <c r="O4" s="251">
        <v>40000</v>
      </c>
      <c r="P4" s="251">
        <v>41295.5</v>
      </c>
      <c r="Q4" s="251">
        <v>30000</v>
      </c>
      <c r="R4" s="683">
        <v>19996.78</v>
      </c>
      <c r="S4" s="684"/>
      <c r="T4" s="242"/>
      <c r="U4" s="242"/>
    </row>
    <row r="5" spans="1:21">
      <c r="A5" s="249"/>
      <c r="B5" s="19" t="s">
        <v>21</v>
      </c>
      <c r="C5" s="178">
        <f>SUBTOTAL(109,CommunicationsRevenues100[Budget 12/13])</f>
        <v>45881.5</v>
      </c>
      <c r="D5" s="178">
        <f>SUBTOTAL(109,CommunicationsRevenues100[Budget 13/14])</f>
        <v>40000</v>
      </c>
      <c r="E5" s="178">
        <f>SUBTOTAL(109,CommunicationsRevenues100[Budget 14/15])</f>
        <v>45000</v>
      </c>
      <c r="F5" s="178">
        <f>SUBTOTAL(109,CommunicationsRevenues100[Actual 14/15])</f>
        <v>53530.18</v>
      </c>
      <c r="G5" s="178">
        <f>SUBTOTAL(109,CommunicationsRevenues100[Budget 15/16])</f>
        <v>45000</v>
      </c>
      <c r="H5" s="178">
        <f>SUBTOTAL(109,CommunicationsRevenues100[Actual 15/16])</f>
        <v>46665.59</v>
      </c>
      <c r="I5" s="178">
        <f>SUBTOTAL(109,CommunicationsRevenues100[Budget 16/17])</f>
        <v>45000</v>
      </c>
      <c r="J5" s="178">
        <f>SUBTOTAL(109,CommunicationsRevenues100[Actual 16/17])</f>
        <v>43569.55</v>
      </c>
      <c r="K5" s="178">
        <f>SUBTOTAL(109,CommunicationsRevenues100[Budget 17/18])</f>
        <v>45000</v>
      </c>
      <c r="L5" s="178">
        <f>SUBTOTAL(109,CommunicationsRevenues100[Actual 17/18])</f>
        <v>39658.25</v>
      </c>
      <c r="M5" s="178">
        <f>SUBTOTAL(109,CommunicationsRevenues100[Budget 18/19])</f>
        <v>40000</v>
      </c>
      <c r="N5" s="178">
        <f>SUBTOTAL(109,CommunicationsRevenues100[Actual 18/19])</f>
        <v>46744.39</v>
      </c>
      <c r="O5" s="178">
        <f>SUBTOTAL(109,CommunicationsRevenues100[Budget 19/20])</f>
        <v>40000</v>
      </c>
      <c r="P5" s="178">
        <f>SUM(CommunicationsRevenues100[Actual 19/20])</f>
        <v>41295.5</v>
      </c>
      <c r="Q5" s="178">
        <f>SUM(CommunicationsRevenues100[Budget 20/21])</f>
        <v>30000</v>
      </c>
      <c r="R5" s="178">
        <f>SUM(CommunicationsRevenues100[Actuals 20/21])</f>
        <v>19996.78</v>
      </c>
      <c r="S5" s="178"/>
      <c r="T5" s="178"/>
      <c r="U5" s="539"/>
    </row>
    <row r="6" spans="1:21" ht="15.75">
      <c r="A6" s="249"/>
      <c r="K6" s="242"/>
      <c r="R6" s="441"/>
      <c r="S6" s="436"/>
    </row>
    <row r="7" spans="1:21" ht="15.75">
      <c r="B7" s="228" t="s">
        <v>22</v>
      </c>
      <c r="C7" s="675" t="s">
        <v>77</v>
      </c>
      <c r="D7" s="675" t="s">
        <v>5</v>
      </c>
      <c r="E7" s="675" t="s">
        <v>7</v>
      </c>
      <c r="F7" s="675" t="s">
        <v>8</v>
      </c>
      <c r="G7" s="675" t="s">
        <v>9</v>
      </c>
      <c r="H7" s="675" t="s">
        <v>1042</v>
      </c>
      <c r="I7" s="241" t="s">
        <v>11</v>
      </c>
      <c r="J7" s="250" t="s">
        <v>12</v>
      </c>
      <c r="K7" s="240" t="s">
        <v>13</v>
      </c>
      <c r="L7" s="241" t="s">
        <v>14</v>
      </c>
      <c r="M7" s="240" t="s">
        <v>15</v>
      </c>
      <c r="N7" s="240" t="s">
        <v>39</v>
      </c>
      <c r="O7" s="380" t="s">
        <v>16</v>
      </c>
      <c r="P7" s="380" t="s">
        <v>1005</v>
      </c>
      <c r="Q7" s="380" t="s">
        <v>17</v>
      </c>
      <c r="R7" s="438" t="s">
        <v>269</v>
      </c>
      <c r="S7" s="536" t="s">
        <v>41</v>
      </c>
      <c r="T7" s="537"/>
      <c r="U7" s="538"/>
    </row>
    <row r="8" spans="1:21">
      <c r="A8" s="249" t="s">
        <v>1043</v>
      </c>
      <c r="B8" s="228" t="s">
        <v>1044</v>
      </c>
      <c r="C8" s="242">
        <v>588</v>
      </c>
      <c r="D8" s="242">
        <v>5000</v>
      </c>
      <c r="E8" s="242">
        <v>5000</v>
      </c>
      <c r="F8" s="242">
        <v>5000</v>
      </c>
      <c r="G8" s="242">
        <v>5000</v>
      </c>
      <c r="H8" s="242">
        <v>6176.63</v>
      </c>
      <c r="I8" s="179">
        <v>5000</v>
      </c>
      <c r="J8" s="179">
        <v>7686.8</v>
      </c>
      <c r="K8" s="179">
        <v>6000</v>
      </c>
      <c r="L8" s="179">
        <v>6964.53</v>
      </c>
      <c r="M8" s="179">
        <v>7000</v>
      </c>
      <c r="N8" s="179">
        <v>6103.37</v>
      </c>
      <c r="O8" s="179">
        <v>7000</v>
      </c>
      <c r="P8" s="179">
        <v>5274.81</v>
      </c>
      <c r="Q8" s="179">
        <v>5000</v>
      </c>
      <c r="R8" s="636">
        <v>5289.23</v>
      </c>
      <c r="S8" s="685"/>
      <c r="T8" s="20"/>
      <c r="U8" s="20"/>
    </row>
    <row r="9" spans="1:21" ht="15">
      <c r="A9" s="249"/>
      <c r="B9" s="235" t="s">
        <v>95</v>
      </c>
      <c r="C9" s="234"/>
      <c r="D9" s="234"/>
      <c r="E9" s="234"/>
      <c r="F9" s="234"/>
      <c r="G9" s="234"/>
      <c r="H9" s="728"/>
      <c r="I9" s="234"/>
      <c r="J9" s="234"/>
      <c r="K9" s="234"/>
      <c r="L9" s="234"/>
      <c r="M9" s="234"/>
      <c r="N9" s="179">
        <v>60</v>
      </c>
      <c r="O9" s="237"/>
      <c r="P9" s="237"/>
      <c r="Q9" s="237"/>
      <c r="R9" s="237"/>
      <c r="S9" s="237"/>
      <c r="T9" s="20"/>
      <c r="U9" s="20"/>
    </row>
    <row r="10" spans="1:21">
      <c r="A10" s="249"/>
      <c r="B10" s="228" t="s">
        <v>944</v>
      </c>
      <c r="C10" s="20"/>
      <c r="D10" s="20"/>
      <c r="E10" s="20"/>
      <c r="F10" s="242">
        <v>86.26</v>
      </c>
      <c r="G10" s="20" t="s">
        <v>1045</v>
      </c>
      <c r="H10" s="20" t="s">
        <v>1046</v>
      </c>
      <c r="I10" s="179"/>
      <c r="J10" s="179"/>
      <c r="K10" s="179"/>
      <c r="L10" s="179">
        <v>46.68</v>
      </c>
      <c r="M10" s="179"/>
      <c r="N10" s="179"/>
      <c r="O10" s="179"/>
      <c r="P10" s="179"/>
      <c r="Q10" s="179"/>
      <c r="R10" s="179"/>
      <c r="S10" s="179"/>
      <c r="T10" s="20"/>
      <c r="U10" s="20"/>
    </row>
    <row r="11" spans="1:21">
      <c r="A11" s="249"/>
      <c r="B11" s="228" t="s">
        <v>1047</v>
      </c>
      <c r="C11" s="242">
        <v>2365.8000000000002</v>
      </c>
      <c r="D11" s="20" t="s">
        <v>1045</v>
      </c>
      <c r="E11" s="20" t="s">
        <v>1045</v>
      </c>
      <c r="F11" s="20" t="s">
        <v>1045</v>
      </c>
      <c r="G11" s="20" t="s">
        <v>1045</v>
      </c>
      <c r="H11" s="20" t="s">
        <v>1046</v>
      </c>
      <c r="I11" s="179"/>
      <c r="J11" s="179"/>
      <c r="K11" s="179"/>
      <c r="L11" s="179"/>
      <c r="M11" s="179"/>
      <c r="N11" s="179"/>
      <c r="O11" s="179"/>
      <c r="P11" s="179"/>
      <c r="Q11" s="179"/>
      <c r="R11" s="179"/>
      <c r="S11" s="179"/>
      <c r="T11" s="20"/>
      <c r="U11" s="20"/>
    </row>
    <row r="12" spans="1:21">
      <c r="A12" s="249"/>
      <c r="B12" s="228" t="s">
        <v>1048</v>
      </c>
      <c r="C12" s="20"/>
      <c r="D12" s="242">
        <v>20</v>
      </c>
      <c r="E12" s="20" t="s">
        <v>1045</v>
      </c>
      <c r="F12" s="20" t="s">
        <v>1045</v>
      </c>
      <c r="G12" s="20" t="s">
        <v>1045</v>
      </c>
      <c r="H12" s="242">
        <v>187.92</v>
      </c>
      <c r="I12" s="179"/>
      <c r="J12" s="179"/>
      <c r="K12" s="179"/>
      <c r="L12" s="179"/>
      <c r="M12" s="179"/>
      <c r="N12" s="179">
        <v>43.36</v>
      </c>
      <c r="O12" s="179"/>
      <c r="P12" s="179"/>
      <c r="Q12" s="179"/>
      <c r="R12" s="179"/>
      <c r="S12" s="179"/>
      <c r="T12" s="20"/>
      <c r="U12" s="20"/>
    </row>
    <row r="13" spans="1:21">
      <c r="A13" s="249" t="s">
        <v>1049</v>
      </c>
      <c r="B13" s="228" t="s">
        <v>237</v>
      </c>
      <c r="C13" s="242">
        <v>39750</v>
      </c>
      <c r="D13" s="242">
        <v>34500</v>
      </c>
      <c r="E13" s="242">
        <v>30000</v>
      </c>
      <c r="F13" s="242">
        <v>23847.8</v>
      </c>
      <c r="G13" s="242">
        <v>32000</v>
      </c>
      <c r="H13" s="242">
        <v>37657.589999999997</v>
      </c>
      <c r="I13" s="179">
        <v>34000</v>
      </c>
      <c r="J13" s="179">
        <v>25217.200000000001</v>
      </c>
      <c r="K13" s="179">
        <v>35000</v>
      </c>
      <c r="L13" s="179">
        <v>35505.01</v>
      </c>
      <c r="M13" s="179">
        <v>34300</v>
      </c>
      <c r="N13" s="179">
        <v>34022.06</v>
      </c>
      <c r="O13" s="179">
        <v>20000</v>
      </c>
      <c r="P13" s="179">
        <v>15246.54</v>
      </c>
      <c r="Q13" s="179">
        <v>25000</v>
      </c>
      <c r="R13" s="636">
        <v>19050</v>
      </c>
      <c r="S13" s="685"/>
      <c r="T13" s="20"/>
      <c r="U13" s="20"/>
    </row>
    <row r="14" spans="1:21">
      <c r="A14" s="249"/>
      <c r="B14" s="228" t="s">
        <v>265</v>
      </c>
      <c r="C14" s="20"/>
      <c r="D14" s="20" t="s">
        <v>1045</v>
      </c>
      <c r="E14" s="20" t="s">
        <v>1045</v>
      </c>
      <c r="F14" s="242">
        <v>51.88</v>
      </c>
      <c r="G14" s="20" t="s">
        <v>1045</v>
      </c>
      <c r="H14" s="20" t="s">
        <v>1046</v>
      </c>
      <c r="I14" s="179"/>
      <c r="J14" s="179"/>
      <c r="K14" s="179"/>
      <c r="L14" s="179"/>
      <c r="M14" s="179"/>
      <c r="N14" s="179">
        <v>-105.8</v>
      </c>
      <c r="O14" s="179"/>
      <c r="P14" s="179"/>
      <c r="Q14" s="179"/>
      <c r="R14" s="179"/>
      <c r="S14" s="179"/>
      <c r="T14" s="20"/>
      <c r="U14" s="20"/>
    </row>
    <row r="15" spans="1:21">
      <c r="A15" s="249"/>
      <c r="B15" s="228" t="s">
        <v>1050</v>
      </c>
      <c r="C15" s="20"/>
      <c r="D15" s="20" t="s">
        <v>1045</v>
      </c>
      <c r="E15" s="20" t="s">
        <v>1045</v>
      </c>
      <c r="F15" s="20" t="s">
        <v>1045</v>
      </c>
      <c r="G15" s="20" t="s">
        <v>1045</v>
      </c>
      <c r="H15" s="20" t="s">
        <v>1046</v>
      </c>
      <c r="I15" s="179"/>
      <c r="J15" s="179"/>
      <c r="K15" s="179"/>
      <c r="L15" s="179"/>
      <c r="M15" s="179"/>
      <c r="N15" s="179"/>
      <c r="O15" s="179"/>
      <c r="P15" s="179"/>
      <c r="Q15" s="179"/>
      <c r="R15" s="179"/>
      <c r="S15" s="179"/>
      <c r="T15" s="20"/>
      <c r="U15" s="20"/>
    </row>
    <row r="16" spans="1:21">
      <c r="B16" s="19" t="s">
        <v>21</v>
      </c>
      <c r="C16" s="178">
        <f>SUBTOTAL(109,CommunicationsExpenses101[Budget 12/13])</f>
        <v>42703.8</v>
      </c>
      <c r="D16" s="178">
        <f>SUBTOTAL(109,CommunicationsExpenses101[Budget 13/14])</f>
        <v>39520</v>
      </c>
      <c r="E16" s="178">
        <f>SUBTOTAL(109,CommunicationsExpenses101[Budget 14/15])</f>
        <v>35000</v>
      </c>
      <c r="F16" s="178">
        <f>SUBTOTAL(109,CommunicationsExpenses101[Actual 14/15])</f>
        <v>28985.94</v>
      </c>
      <c r="G16" s="178">
        <f>SUBTOTAL(109,CommunicationsExpenses101[Budget 15/16])</f>
        <v>37000</v>
      </c>
      <c r="H16" s="178">
        <f>SUBTOTAL(109,CommunicationsExpenses101[Proposed 16/17])</f>
        <v>44022.14</v>
      </c>
      <c r="I16" s="178">
        <f>SUBTOTAL(109,CommunicationsExpenses101[Budget 16/17])</f>
        <v>39000</v>
      </c>
      <c r="J16" s="178">
        <f>SUBTOTAL(109,CommunicationsExpenses101[Actual 16/17])</f>
        <v>32904</v>
      </c>
      <c r="K16" s="178">
        <f>SUBTOTAL(109,CommunicationsExpenses101[Budget 17/18])</f>
        <v>41000</v>
      </c>
      <c r="L16" s="178">
        <f>SUBTOTAL(109,CommunicationsExpenses101[Actual 17/18])</f>
        <v>42516.22</v>
      </c>
      <c r="M16" s="178">
        <f>SUBTOTAL(109,CommunicationsExpenses101[Budget 18/19])</f>
        <v>41300</v>
      </c>
      <c r="N16" s="178">
        <f>SUBTOTAL(109,CommunicationsExpenses101[Actual 18/19])</f>
        <v>40122.989999999991</v>
      </c>
      <c r="O16" s="178">
        <f>SUM(CommunicationsExpenses101[Budget 19/20])</f>
        <v>27000</v>
      </c>
      <c r="P16" s="178">
        <f>SUM(CommunicationsExpenses101[Actual 19/20])</f>
        <v>20521.350000000002</v>
      </c>
      <c r="Q16" s="178">
        <f>SUM(CommunicationsExpenses101[Budget 20/21])</f>
        <v>30000</v>
      </c>
      <c r="R16" s="178">
        <f>SUM(CommunicationsExpenses101[Actuals 20/21])</f>
        <v>24339.23</v>
      </c>
      <c r="S16" s="178">
        <f>SUM(CommunicationsExpenses101[Budget 21/22])</f>
        <v>0</v>
      </c>
      <c r="T16" s="178"/>
      <c r="U16" s="178"/>
    </row>
    <row r="17" spans="2:19" ht="18.75">
      <c r="B17" s="676" t="s">
        <v>127</v>
      </c>
      <c r="C17" s="415">
        <f>(CommunicationsRevenues100[[#Totals],[Budget 12/13]]) -CommunicationsExpenses101[[#Totals],[Budget 12/13]]</f>
        <v>3177.6999999999971</v>
      </c>
      <c r="D17" s="415">
        <f>(CommunicationsRevenues100[[#Totals],[Budget 13/14]]) -CommunicationsExpenses101[[#Totals],[Budget 13/14]]</f>
        <v>480</v>
      </c>
      <c r="E17" s="415">
        <f>(CommunicationsRevenues100[[#Totals],[Budget 14/15]]) -CommunicationsExpenses101[[#Totals],[Budget 14/15]]</f>
        <v>10000</v>
      </c>
      <c r="F17" s="415">
        <f>(CommunicationsRevenues100[[#Totals],[Actual 14/15]]) -CommunicationsExpenses101[[#Totals],[Actual 14/15]]</f>
        <v>24544.240000000002</v>
      </c>
      <c r="G17" s="415">
        <f>(CommunicationsRevenues100[[#Totals],[Budget 15/16]]) -CommunicationsExpenses101[[#Totals],[Budget 15/16]]</f>
        <v>8000</v>
      </c>
      <c r="H17" s="415">
        <f>(CommunicationsRevenues100[[#Totals],[Actual 15/16]]) -CommunicationsExpenses101[[#Totals],[Proposed 16/17]]</f>
        <v>2643.4499999999971</v>
      </c>
      <c r="I17" s="415">
        <f>(CommunicationsRevenues100[[#Totals],[Budget 16/17]]) -CommunicationsExpenses101[[#Totals],[Budget 16/17]]</f>
        <v>6000</v>
      </c>
      <c r="J17" s="415">
        <f>(CommunicationsRevenues100[[#Totals],[Actual 16/17]]) -CommunicationsExpenses101[[#Totals],[Actual 16/17]]</f>
        <v>10665.550000000003</v>
      </c>
      <c r="K17" s="415">
        <f>(CommunicationsRevenues100[[#Totals],[Budget 17/18]]) -CommunicationsExpenses101[[#Totals],[Budget 17/18]]</f>
        <v>4000</v>
      </c>
      <c r="L17" s="415">
        <f>(CommunicationsRevenues100[[#Totals],[Actual 17/18]]) -CommunicationsExpenses101[[#Totals],[Actual 17/18]]</f>
        <v>-2857.9700000000012</v>
      </c>
      <c r="M17" s="415">
        <f>(CommunicationsRevenues100[[#Totals],[Budget 18/19]]) -CommunicationsExpenses101[[#Totals],[Budget 18/19]]</f>
        <v>-1300</v>
      </c>
      <c r="N17" s="415">
        <f>(CommunicationsRevenues100[[#Totals],[Actual 18/19]]) -CommunicationsExpenses101[[#Totals],[Actual 18/19]]</f>
        <v>6621.4000000000087</v>
      </c>
      <c r="O17" s="415">
        <f>(CommunicationsRevenues100[[#Totals],[Budget 19/20]]) -CommunicationsExpenses101[[#Totals],[Budget 19/20]]</f>
        <v>13000</v>
      </c>
      <c r="P17" s="415">
        <f>CommunicationsRevenues100[[#Totals],[Actual 19/20]]-CommunicationsExpenses101[[#Totals],[Actual 19/20]]</f>
        <v>20774.149999999998</v>
      </c>
      <c r="Q17" s="415">
        <f>CommunicationsRevenues100[[#Totals],[Budget 20/21]]-CommunicationsExpenses101[[#Totals],[Budget 20/21]]</f>
        <v>0</v>
      </c>
      <c r="R17" s="415">
        <f>CommunicationsRevenues100[[#Totals],[Actuals 20/21]]-CommunicationsExpenses101[[#Totals],[Actuals 20/21]]</f>
        <v>-4342.4500000000007</v>
      </c>
      <c r="S17" s="233">
        <f>CommunicationsRevenues100[[#Totals],[Budget 21/22]]-CommunicationsExpenses101[[#Totals],[Budget 21/22]]</f>
        <v>0</v>
      </c>
    </row>
    <row r="18" spans="2:19">
      <c r="D18" s="230"/>
      <c r="E18" s="230"/>
    </row>
  </sheetData>
  <pageMargins left="0.7" right="0.7" top="0.75" bottom="0.75" header="0.3" footer="0.3"/>
  <pageSetup scale="70" orientation="landscape" r:id="rId1"/>
  <legacyDrawing r:id="rId2"/>
  <tableParts count="2">
    <tablePart r:id="rId3"/>
    <tablePart r:id="rId4"/>
  </tablePart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1"/>
    <pageSetUpPr fitToPage="1"/>
  </sheetPr>
  <dimension ref="A1:N33"/>
  <sheetViews>
    <sheetView tabSelected="1" zoomScale="90" zoomScaleNormal="90" workbookViewId="0">
      <selection activeCell="M11" sqref="M11:M17"/>
    </sheetView>
  </sheetViews>
  <sheetFormatPr defaultColWidth="10" defaultRowHeight="12.75"/>
  <cols>
    <col min="1" max="1" width="23.28515625" style="228" bestFit="1" customWidth="1"/>
    <col min="2" max="2" width="46.140625" style="228" customWidth="1"/>
    <col min="3" max="3" width="13.28515625" style="228" hidden="1" customWidth="1"/>
    <col min="4" max="8" width="14.140625" style="228" hidden="1" customWidth="1"/>
    <col min="9" max="10" width="15.85546875" style="228" bestFit="1" customWidth="1"/>
    <col min="11" max="11" width="16.85546875" style="228" customWidth="1"/>
    <col min="12" max="14" width="14.140625" style="228" bestFit="1" customWidth="1"/>
    <col min="15" max="16" width="15.85546875" style="228" bestFit="1" customWidth="1"/>
    <col min="17" max="17" width="17.7109375" style="228" bestFit="1" customWidth="1"/>
    <col min="18" max="16384" width="10" style="228"/>
  </cols>
  <sheetData>
    <row r="1" spans="1:13" ht="21">
      <c r="B1" s="218" t="s">
        <v>953</v>
      </c>
    </row>
    <row r="2" spans="1:13" ht="15">
      <c r="B2" s="217" t="s">
        <v>962</v>
      </c>
    </row>
    <row r="3" spans="1:13">
      <c r="B3" s="228" t="s">
        <v>72</v>
      </c>
      <c r="C3" s="675" t="s">
        <v>9</v>
      </c>
      <c r="D3" s="675" t="s">
        <v>10</v>
      </c>
      <c r="E3" s="677" t="s">
        <v>11</v>
      </c>
      <c r="F3" s="241" t="s">
        <v>12</v>
      </c>
      <c r="G3" s="240" t="s">
        <v>13</v>
      </c>
      <c r="H3" s="241" t="s">
        <v>14</v>
      </c>
      <c r="I3" s="240" t="s">
        <v>15</v>
      </c>
      <c r="J3" s="240" t="s">
        <v>39</v>
      </c>
      <c r="K3" s="380" t="s">
        <v>16</v>
      </c>
      <c r="L3" s="380" t="s">
        <v>1005</v>
      </c>
      <c r="M3" s="370" t="s">
        <v>17</v>
      </c>
    </row>
    <row r="4" spans="1:13">
      <c r="B4" s="228" t="s">
        <v>336</v>
      </c>
      <c r="C4" s="20">
        <v>0</v>
      </c>
      <c r="D4" s="20">
        <v>0</v>
      </c>
      <c r="E4" s="20">
        <v>0</v>
      </c>
      <c r="F4" s="20"/>
    </row>
    <row r="5" spans="1:13">
      <c r="B5" s="228" t="s">
        <v>1051</v>
      </c>
      <c r="C5" s="60"/>
      <c r="D5" s="60"/>
      <c r="E5" s="60"/>
      <c r="F5" s="60"/>
      <c r="H5" s="288"/>
      <c r="I5" s="288"/>
      <c r="J5" s="288"/>
      <c r="K5" s="530">
        <v>500</v>
      </c>
      <c r="L5" s="530"/>
    </row>
    <row r="6" spans="1:13">
      <c r="B6" s="228" t="s">
        <v>129</v>
      </c>
      <c r="C6" s="60"/>
      <c r="D6" s="60"/>
      <c r="E6" s="60"/>
      <c r="F6" s="60"/>
      <c r="H6" s="288"/>
      <c r="I6" s="288"/>
      <c r="J6" s="288"/>
      <c r="K6" s="530">
        <v>2740</v>
      </c>
      <c r="L6" s="530"/>
    </row>
    <row r="7" spans="1:13">
      <c r="B7" s="19" t="s">
        <v>21</v>
      </c>
      <c r="C7" s="178">
        <f>SUBTOTAL(109,MarketingAdvocacyRevenues[Budget 15/16])</f>
        <v>0</v>
      </c>
      <c r="D7" s="178">
        <f>SUBTOTAL(109,MarketingAdvocacyRevenues[Actual 15/16])</f>
        <v>0</v>
      </c>
      <c r="E7" s="178">
        <f>SUBTOTAL(109,MarketingAdvocacyRevenues[Budget 16/17])</f>
        <v>0</v>
      </c>
      <c r="F7" s="178">
        <f>SUBTOTAL(109,MarketingAdvocacyRevenues[Actual 16/17])</f>
        <v>0</v>
      </c>
      <c r="G7" s="178">
        <f>SUBTOTAL(109,MarketingAdvocacyRevenues[Budget 17/18])</f>
        <v>0</v>
      </c>
      <c r="H7" s="178">
        <f>SUBTOTAL(109,MarketingAdvocacyRevenues[Actual 17/18])</f>
        <v>0</v>
      </c>
      <c r="I7" s="178">
        <f>SUBTOTAL(109,MarketingAdvocacyRevenues[Budget 18/19])</f>
        <v>0</v>
      </c>
      <c r="J7" s="178">
        <f>SUBTOTAL(109,MarketingAdvocacyRevenues[Actual 18/19])</f>
        <v>0</v>
      </c>
      <c r="K7" s="21">
        <f>SUM(MarketingAdvocacyRevenues[Budget 19/20])</f>
        <v>3240</v>
      </c>
      <c r="L7" s="21">
        <f>SUM(MarketingAdvocacyRevenues[Actual 19/20])</f>
        <v>0</v>
      </c>
      <c r="M7" s="21">
        <f>SUM(MarketingAdvocacyRevenues[Budget 20/21])</f>
        <v>0</v>
      </c>
    </row>
    <row r="9" spans="1:13">
      <c r="B9" s="228" t="s">
        <v>22</v>
      </c>
      <c r="C9" s="675" t="s">
        <v>9</v>
      </c>
      <c r="D9" s="675" t="s">
        <v>10</v>
      </c>
      <c r="E9" s="677" t="s">
        <v>11</v>
      </c>
      <c r="F9" s="380" t="s">
        <v>12</v>
      </c>
      <c r="G9" s="380" t="s">
        <v>13</v>
      </c>
      <c r="H9" s="241" t="s">
        <v>14</v>
      </c>
      <c r="I9" s="240" t="s">
        <v>15</v>
      </c>
      <c r="J9" s="240" t="s">
        <v>39</v>
      </c>
      <c r="K9" s="380" t="s">
        <v>1052</v>
      </c>
      <c r="L9" s="380" t="s">
        <v>1005</v>
      </c>
      <c r="M9" s="370" t="s">
        <v>17</v>
      </c>
    </row>
    <row r="10" spans="1:13">
      <c r="A10" s="228" t="s">
        <v>1053</v>
      </c>
      <c r="B10" s="228" t="s">
        <v>943</v>
      </c>
      <c r="C10" s="20">
        <v>0</v>
      </c>
      <c r="D10" s="20">
        <v>0</v>
      </c>
      <c r="E10" s="20">
        <v>0</v>
      </c>
      <c r="F10" s="20"/>
      <c r="G10" s="179"/>
      <c r="H10" s="179"/>
      <c r="I10" s="179"/>
      <c r="J10" s="179"/>
      <c r="K10" s="236">
        <v>23152.51</v>
      </c>
      <c r="L10" s="236">
        <v>18605.05</v>
      </c>
    </row>
    <row r="11" spans="1:13">
      <c r="A11" s="228" t="s">
        <v>1054</v>
      </c>
      <c r="B11" s="228" t="s">
        <v>93</v>
      </c>
      <c r="C11" s="20">
        <v>300</v>
      </c>
      <c r="D11" s="20">
        <v>58.07</v>
      </c>
      <c r="E11" s="20">
        <v>300</v>
      </c>
      <c r="F11" s="20">
        <v>78.38</v>
      </c>
      <c r="G11" s="179">
        <v>300</v>
      </c>
      <c r="H11" s="179">
        <v>250</v>
      </c>
      <c r="I11" s="179">
        <v>250</v>
      </c>
      <c r="J11" s="179">
        <v>277.39999999999998</v>
      </c>
      <c r="K11" s="236">
        <v>300</v>
      </c>
      <c r="L11" s="236">
        <v>231.45</v>
      </c>
    </row>
    <row r="12" spans="1:13">
      <c r="A12" s="228" t="s">
        <v>1055</v>
      </c>
      <c r="B12" s="228" t="s">
        <v>95</v>
      </c>
      <c r="C12" s="20">
        <v>240</v>
      </c>
      <c r="D12" s="20">
        <v>200</v>
      </c>
      <c r="E12" s="20">
        <v>240</v>
      </c>
      <c r="F12" s="20">
        <v>210</v>
      </c>
      <c r="G12" s="179">
        <v>240</v>
      </c>
      <c r="H12" s="179">
        <v>160</v>
      </c>
      <c r="I12" s="179">
        <v>240</v>
      </c>
      <c r="J12" s="179">
        <v>260</v>
      </c>
      <c r="K12" s="236">
        <v>240</v>
      </c>
      <c r="L12" s="236">
        <v>220</v>
      </c>
    </row>
    <row r="13" spans="1:13">
      <c r="B13" s="228" t="s">
        <v>97</v>
      </c>
      <c r="C13" s="20">
        <v>0</v>
      </c>
      <c r="D13" s="20">
        <v>0</v>
      </c>
      <c r="E13" s="20">
        <v>0</v>
      </c>
      <c r="F13" s="20"/>
      <c r="G13" s="179"/>
      <c r="H13" s="179"/>
      <c r="I13" s="179"/>
      <c r="J13" s="179"/>
      <c r="K13" s="236"/>
      <c r="L13" s="236"/>
    </row>
    <row r="14" spans="1:13">
      <c r="A14" s="228" t="s">
        <v>1056</v>
      </c>
      <c r="B14" s="228" t="s">
        <v>100</v>
      </c>
      <c r="C14" s="20">
        <v>100</v>
      </c>
      <c r="D14" s="20">
        <v>0</v>
      </c>
      <c r="E14" s="20">
        <v>100</v>
      </c>
      <c r="F14" s="20"/>
      <c r="G14" s="179">
        <v>100</v>
      </c>
      <c r="H14" s="179"/>
      <c r="I14" s="179">
        <v>20</v>
      </c>
      <c r="J14" s="179"/>
      <c r="K14" s="236">
        <v>20</v>
      </c>
      <c r="L14" s="236">
        <v>0</v>
      </c>
    </row>
    <row r="15" spans="1:13">
      <c r="A15" s="228" t="s">
        <v>1057</v>
      </c>
      <c r="B15" s="228" t="s">
        <v>237</v>
      </c>
      <c r="C15" s="20">
        <v>1000</v>
      </c>
      <c r="D15" s="20">
        <v>105.17</v>
      </c>
      <c r="E15" s="20">
        <v>500</v>
      </c>
      <c r="F15" s="20">
        <v>315.87</v>
      </c>
      <c r="G15" s="179">
        <v>1000</v>
      </c>
      <c r="H15" s="179">
        <v>918.18</v>
      </c>
      <c r="I15" s="179">
        <v>1000</v>
      </c>
      <c r="J15" s="179">
        <v>442.35</v>
      </c>
      <c r="K15" s="236">
        <v>300</v>
      </c>
      <c r="L15" s="236">
        <v>53.28</v>
      </c>
    </row>
    <row r="16" spans="1:13">
      <c r="A16" s="228" t="s">
        <v>1058</v>
      </c>
      <c r="B16" s="228" t="s">
        <v>963</v>
      </c>
      <c r="C16" s="20">
        <v>500</v>
      </c>
      <c r="D16" s="20">
        <v>0</v>
      </c>
      <c r="E16" s="20">
        <v>500</v>
      </c>
      <c r="F16" s="20">
        <v>70.37</v>
      </c>
      <c r="G16" s="179">
        <v>500</v>
      </c>
      <c r="H16" s="179">
        <v>119.76</v>
      </c>
      <c r="I16" s="179">
        <v>200</v>
      </c>
      <c r="J16" s="179">
        <v>66.88</v>
      </c>
      <c r="K16" s="236">
        <v>200</v>
      </c>
      <c r="L16" s="236">
        <v>0</v>
      </c>
    </row>
    <row r="17" spans="1:14">
      <c r="A17" s="228" t="s">
        <v>1059</v>
      </c>
      <c r="B17" s="228" t="s">
        <v>904</v>
      </c>
      <c r="C17" s="20">
        <v>200</v>
      </c>
      <c r="D17" s="20">
        <v>215.83</v>
      </c>
      <c r="E17" s="20">
        <v>200</v>
      </c>
      <c r="F17" s="20">
        <v>468.23</v>
      </c>
      <c r="G17" s="179">
        <v>200</v>
      </c>
      <c r="H17" s="179">
        <v>19.54</v>
      </c>
      <c r="I17" s="179">
        <v>200</v>
      </c>
      <c r="J17" s="179">
        <v>124.21</v>
      </c>
      <c r="K17" s="236">
        <v>200</v>
      </c>
      <c r="L17" s="236">
        <v>144.78</v>
      </c>
    </row>
    <row r="18" spans="1:14">
      <c r="A18" s="228" t="s">
        <v>1060</v>
      </c>
      <c r="B18" s="228" t="s">
        <v>964</v>
      </c>
      <c r="C18" s="20">
        <v>2000</v>
      </c>
      <c r="D18" s="20">
        <v>723.59</v>
      </c>
      <c r="E18" s="20">
        <v>2250</v>
      </c>
      <c r="F18" s="20">
        <v>542.6</v>
      </c>
      <c r="G18" s="179">
        <v>2250</v>
      </c>
      <c r="H18" s="179">
        <v>1225.06</v>
      </c>
      <c r="I18" s="179">
        <v>1750</v>
      </c>
      <c r="J18" s="179">
        <v>1481.47</v>
      </c>
      <c r="K18" s="236">
        <v>0</v>
      </c>
      <c r="L18" s="236">
        <v>0</v>
      </c>
    </row>
    <row r="19" spans="1:14">
      <c r="B19" s="228" t="s">
        <v>965</v>
      </c>
      <c r="C19" s="20">
        <v>0</v>
      </c>
      <c r="D19" s="20">
        <v>0</v>
      </c>
      <c r="E19" s="20">
        <v>0</v>
      </c>
      <c r="F19" s="20"/>
      <c r="G19" s="179"/>
      <c r="H19" s="179"/>
      <c r="I19" s="179"/>
      <c r="J19" s="179"/>
      <c r="K19" s="236"/>
      <c r="L19" s="236"/>
    </row>
    <row r="20" spans="1:14">
      <c r="A20" s="228" t="s">
        <v>1061</v>
      </c>
      <c r="B20" s="228" t="s">
        <v>336</v>
      </c>
      <c r="C20" s="20">
        <v>4500</v>
      </c>
      <c r="D20" s="20"/>
      <c r="E20" s="20">
        <v>3350</v>
      </c>
      <c r="F20" s="20"/>
      <c r="G20" s="179"/>
      <c r="H20" s="179"/>
      <c r="I20" s="179"/>
      <c r="J20" s="179">
        <v>103.87</v>
      </c>
      <c r="K20" s="236"/>
      <c r="L20" s="236">
        <v>0</v>
      </c>
    </row>
    <row r="21" spans="1:14">
      <c r="A21" s="252" t="s">
        <v>1062</v>
      </c>
      <c r="B21" s="228" t="s">
        <v>1063</v>
      </c>
      <c r="C21" s="20">
        <v>2500</v>
      </c>
      <c r="D21" s="20">
        <v>2757.44</v>
      </c>
      <c r="E21" s="20">
        <v>2600</v>
      </c>
      <c r="F21" s="20">
        <v>189.08</v>
      </c>
      <c r="G21" s="179"/>
      <c r="H21" s="179"/>
      <c r="I21" s="179"/>
      <c r="J21" s="179"/>
      <c r="K21" s="236">
        <v>500</v>
      </c>
      <c r="L21" s="236"/>
    </row>
    <row r="22" spans="1:14">
      <c r="A22" s="228" t="s">
        <v>1064</v>
      </c>
      <c r="B22" s="228" t="s">
        <v>1065</v>
      </c>
      <c r="C22" s="20">
        <v>2000</v>
      </c>
      <c r="D22" s="20">
        <v>3074.06</v>
      </c>
      <c r="E22" s="20">
        <v>1800</v>
      </c>
      <c r="F22" s="20">
        <v>3171.88</v>
      </c>
      <c r="G22" s="179">
        <v>3000</v>
      </c>
      <c r="H22" s="179">
        <v>2462.31</v>
      </c>
      <c r="I22" s="179">
        <v>3000</v>
      </c>
      <c r="J22" s="179">
        <v>1736.28</v>
      </c>
      <c r="K22" s="236">
        <v>4200</v>
      </c>
      <c r="L22" s="236">
        <v>1268.01</v>
      </c>
    </row>
    <row r="23" spans="1:14">
      <c r="A23" s="228" t="s">
        <v>1066</v>
      </c>
      <c r="B23" s="228" t="s">
        <v>1067</v>
      </c>
      <c r="C23" s="20"/>
      <c r="D23" s="20"/>
      <c r="E23" s="20"/>
      <c r="F23" s="20">
        <v>1639.41</v>
      </c>
      <c r="G23" s="179"/>
      <c r="H23" s="179">
        <v>1372.89</v>
      </c>
      <c r="I23" s="179">
        <v>2000</v>
      </c>
      <c r="J23" s="179">
        <v>3115.06</v>
      </c>
      <c r="K23" s="236">
        <v>5000</v>
      </c>
      <c r="L23" s="236">
        <v>2556.9699999999998</v>
      </c>
    </row>
    <row r="24" spans="1:14">
      <c r="A24" s="252" t="s">
        <v>1068</v>
      </c>
      <c r="B24" s="228" t="s">
        <v>1069</v>
      </c>
      <c r="C24" s="20"/>
      <c r="D24" s="20"/>
      <c r="E24" s="20"/>
      <c r="F24" s="20"/>
      <c r="G24" s="179"/>
      <c r="H24" s="179"/>
      <c r="I24" s="179"/>
      <c r="J24" s="179"/>
      <c r="K24" s="236">
        <v>1000</v>
      </c>
      <c r="L24" s="236"/>
    </row>
    <row r="25" spans="1:14">
      <c r="B25" s="228" t="s">
        <v>287</v>
      </c>
      <c r="C25" s="20">
        <v>0</v>
      </c>
      <c r="D25" s="20">
        <v>0</v>
      </c>
      <c r="E25" s="20">
        <v>0</v>
      </c>
      <c r="F25" s="20"/>
      <c r="G25" s="179"/>
      <c r="H25" s="179"/>
      <c r="I25" s="179"/>
      <c r="J25" s="179"/>
      <c r="K25" s="236"/>
      <c r="L25" s="236"/>
      <c r="N25" s="230"/>
    </row>
    <row r="26" spans="1:14">
      <c r="B26" s="228" t="s">
        <v>265</v>
      </c>
      <c r="C26" s="20">
        <v>0</v>
      </c>
      <c r="D26" s="20">
        <v>0</v>
      </c>
      <c r="E26" s="20">
        <v>0</v>
      </c>
      <c r="F26" s="20"/>
      <c r="G26" s="179"/>
      <c r="H26" s="179"/>
      <c r="I26" s="179"/>
      <c r="J26" s="179"/>
      <c r="K26" s="236"/>
      <c r="L26" s="236"/>
    </row>
    <row r="27" spans="1:14">
      <c r="B27" s="228" t="s">
        <v>114</v>
      </c>
      <c r="C27" s="20">
        <v>0</v>
      </c>
      <c r="D27" s="20">
        <v>675.46</v>
      </c>
      <c r="E27" s="20">
        <v>0</v>
      </c>
      <c r="F27" s="20">
        <v>668.63</v>
      </c>
      <c r="G27" s="179"/>
      <c r="H27" s="179"/>
      <c r="I27" s="179"/>
      <c r="J27" s="179"/>
      <c r="K27" s="236"/>
      <c r="L27" s="236"/>
    </row>
    <row r="28" spans="1:14">
      <c r="B28" s="228" t="s">
        <v>110</v>
      </c>
      <c r="C28" s="20">
        <v>0</v>
      </c>
      <c r="D28" s="20">
        <v>0</v>
      </c>
      <c r="E28" s="20">
        <v>0</v>
      </c>
      <c r="F28" s="20"/>
      <c r="G28" s="179"/>
      <c r="H28" s="179"/>
      <c r="I28" s="179"/>
      <c r="J28" s="179"/>
      <c r="K28" s="236"/>
      <c r="L28" s="236"/>
    </row>
    <row r="29" spans="1:14" ht="13.5" thickBot="1">
      <c r="B29" s="19" t="s">
        <v>21</v>
      </c>
      <c r="C29" s="178">
        <f>SUBTOTAL(109,MarketingAdvocacyExpenses[Budget 15/16])</f>
        <v>13340</v>
      </c>
      <c r="D29" s="178">
        <f>SUBTOTAL(109,MarketingAdvocacyExpenses[Actual 15/16])</f>
        <v>7809.62</v>
      </c>
      <c r="E29" s="178">
        <f>SUBTOTAL(109,MarketingAdvocacyExpenses[Budget 16/17])</f>
        <v>11840</v>
      </c>
      <c r="F29" s="178">
        <f>SUBTOTAL(109,MarketingAdvocacyExpenses[Actual 16/17])</f>
        <v>7354.45</v>
      </c>
      <c r="G29" s="178">
        <f>SUBTOTAL(109,MarketingAdvocacyExpenses[Budget 17/18])</f>
        <v>7590</v>
      </c>
      <c r="H29" s="178">
        <f>SUBTOTAL(109,MarketingAdvocacyExpenses[Actual 17/18])</f>
        <v>6527.7400000000007</v>
      </c>
      <c r="I29" s="178">
        <f>SUBTOTAL(109,MarketingAdvocacyExpenses[Budget 18/19])</f>
        <v>8660</v>
      </c>
      <c r="J29" s="178">
        <f>SUBTOTAL(109,MarketingAdvocacyExpenses[Actual 18/19])</f>
        <v>7607.52</v>
      </c>
      <c r="K29" s="21">
        <f>SUM(K10:K28)</f>
        <v>35112.509999999995</v>
      </c>
      <c r="L29" s="21">
        <f>SUM(MarketingAdvocacyExpenses[Actual 19/20])</f>
        <v>23079.539999999997</v>
      </c>
      <c r="M29" s="21">
        <f>SUM(M10:M28)</f>
        <v>0</v>
      </c>
    </row>
    <row r="30" spans="1:14" ht="19.5" thickBot="1">
      <c r="B30" s="676" t="s">
        <v>127</v>
      </c>
      <c r="C30" s="233">
        <f>(MarketingAdvocacyRevenues[[#Totals],[Budget 15/16]]) -MarketingAdvocacyExpenses[[#Totals],[Budget 15/16]]</f>
        <v>-13340</v>
      </c>
      <c r="D30" s="233">
        <f>(MarketingAdvocacyRevenues[[#Totals],[Actual 15/16]]) -MarketingAdvocacyExpenses[[#Totals],[Actual 15/16]]</f>
        <v>-7809.62</v>
      </c>
      <c r="E30" s="233">
        <f>(MarketingAdvocacyRevenues[[#Totals],[Budget 16/17]]) -MarketingAdvocacyExpenses[[#Totals],[Budget 16/17]]</f>
        <v>-11840</v>
      </c>
      <c r="F30" s="233">
        <f>(MarketingAdvocacyRevenues[[#Totals],[Actual 16/17]]) -MarketingAdvocacyExpenses[[#Totals],[Actual 16/17]]</f>
        <v>-7354.45</v>
      </c>
      <c r="G30" s="233">
        <f>(MarketingAdvocacyRevenues[[#Totals],[Budget 15/16]]) -MarketingAdvocacyExpenses[[#Totals],[Budget 17/18]]</f>
        <v>-7590</v>
      </c>
      <c r="H30" s="233">
        <f>(MarketingAdvocacyRevenues[[#Totals],[Actual 15/16]]) -MarketingAdvocacyExpenses[[#Totals],[Actual 17/18]]</f>
        <v>-6527.7400000000007</v>
      </c>
      <c r="I30" s="233">
        <f>(MarketingAdvocacyRevenues[[#Totals],[Budget 16/17]]) -MarketingAdvocacyExpenses[[#Totals],[Budget 18/19]]</f>
        <v>-8660</v>
      </c>
      <c r="J30" s="233">
        <f>(MarketingAdvocacyRevenues[[#Totals],[Actual 16/17]]) -MarketingAdvocacyExpenses[[#Totals],[Actual 18/19]]</f>
        <v>-7607.52</v>
      </c>
      <c r="K30" s="231">
        <f>MarketingAdvocacyRevenues[[#Totals],[Budget 19/20]]-MarketingAdvocacyExpenses[[#Totals],[Budget 19-20]]</f>
        <v>-31872.509999999995</v>
      </c>
      <c r="L30" s="231">
        <f>MarketingAdvocacyRevenues[[#Totals],[Actual 19/20]]-MarketingAdvocacyExpenses[[#Totals],[Actual 19/20]]</f>
        <v>-23079.539999999997</v>
      </c>
      <c r="M30" s="231">
        <f>MarketingAdvocacyRevenues[[#Totals],[Budget 20/21]]-MarketingAdvocacyExpenses[[#Totals],[Budget 20/21]]</f>
        <v>0</v>
      </c>
    </row>
    <row r="31" spans="1:14">
      <c r="D31" s="230"/>
      <c r="E31" s="230"/>
      <c r="F31" s="230"/>
      <c r="L31" s="228" t="s">
        <v>1070</v>
      </c>
    </row>
    <row r="33" spans="7:10">
      <c r="G33" s="230"/>
      <c r="H33" s="230"/>
      <c r="I33" s="230"/>
      <c r="J33" s="230"/>
    </row>
  </sheetData>
  <pageMargins left="0.7" right="0.7" top="0.75" bottom="0.75" header="0.3" footer="0.3"/>
  <pageSetup scale="77" orientation="landscape" r:id="rId1"/>
  <legacyDrawing r:id="rId2"/>
  <tableParts count="2">
    <tablePart r:id="rId3"/>
    <tablePart r:id="rId4"/>
  </tablePart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1"/>
    <pageSetUpPr fitToPage="1"/>
  </sheetPr>
  <dimension ref="A1:R53"/>
  <sheetViews>
    <sheetView zoomScale="90" zoomScaleNormal="90" workbookViewId="0">
      <selection activeCell="Q51" sqref="Q51"/>
    </sheetView>
  </sheetViews>
  <sheetFormatPr defaultColWidth="10" defaultRowHeight="12.75"/>
  <cols>
    <col min="1" max="1" width="15.28515625" style="228" customWidth="1"/>
    <col min="2" max="2" width="49.85546875" style="228" customWidth="1"/>
    <col min="3" max="3" width="13.28515625" style="228" hidden="1" customWidth="1"/>
    <col min="4" max="4" width="14.140625" style="228" hidden="1" customWidth="1"/>
    <col min="5" max="6" width="14.28515625" style="228" hidden="1" customWidth="1"/>
    <col min="7" max="8" width="14.140625" style="228" hidden="1" customWidth="1"/>
    <col min="9" max="9" width="15.85546875" style="228" hidden="1" customWidth="1"/>
    <col min="10" max="10" width="15.85546875" style="243" hidden="1" customWidth="1"/>
    <col min="11" max="11" width="34.7109375" style="228" hidden="1" customWidth="1"/>
    <col min="12" max="12" width="14.140625" style="228" hidden="1" customWidth="1"/>
    <col min="13" max="13" width="15.140625" style="228" hidden="1" customWidth="1"/>
    <col min="14" max="14" width="26.7109375" style="228" hidden="1" customWidth="1"/>
    <col min="15" max="15" width="15.85546875" style="228" hidden="1" customWidth="1"/>
    <col min="16" max="16" width="15.85546875" style="228" bestFit="1" customWidth="1"/>
    <col min="17" max="17" width="17.7109375" style="228" bestFit="1" customWidth="1"/>
    <col min="18" max="18" width="13.140625" style="228" bestFit="1" customWidth="1"/>
    <col min="19" max="16384" width="10" style="228"/>
  </cols>
  <sheetData>
    <row r="1" spans="1:18" ht="21">
      <c r="B1" s="218" t="s">
        <v>1071</v>
      </c>
    </row>
    <row r="2" spans="1:18" ht="15">
      <c r="B2" s="217" t="s">
        <v>962</v>
      </c>
    </row>
    <row r="3" spans="1:18" ht="15">
      <c r="B3" s="228" t="s">
        <v>72</v>
      </c>
      <c r="C3" s="228" t="s">
        <v>8</v>
      </c>
      <c r="D3" s="675" t="s">
        <v>9</v>
      </c>
      <c r="E3" s="677" t="s">
        <v>10</v>
      </c>
      <c r="F3" s="677" t="s">
        <v>11</v>
      </c>
      <c r="G3" s="241" t="s">
        <v>12</v>
      </c>
      <c r="H3" s="240" t="s">
        <v>13</v>
      </c>
      <c r="I3" s="241" t="s">
        <v>14</v>
      </c>
      <c r="J3" s="248" t="s">
        <v>15</v>
      </c>
      <c r="K3" s="248" t="s">
        <v>39</v>
      </c>
      <c r="L3" s="380" t="s">
        <v>16</v>
      </c>
      <c r="M3" s="380" t="s">
        <v>1005</v>
      </c>
      <c r="N3" s="380" t="s">
        <v>61</v>
      </c>
      <c r="O3" s="380" t="s">
        <v>269</v>
      </c>
      <c r="P3" s="380" t="s">
        <v>41</v>
      </c>
      <c r="Q3" s="372" t="s">
        <v>947</v>
      </c>
      <c r="R3" s="372" t="s">
        <v>43</v>
      </c>
    </row>
    <row r="4" spans="1:18">
      <c r="B4" s="228" t="s">
        <v>336</v>
      </c>
      <c r="C4" s="20">
        <v>0</v>
      </c>
      <c r="D4" s="20">
        <v>0</v>
      </c>
      <c r="E4" s="20">
        <v>0</v>
      </c>
      <c r="F4" s="20">
        <v>0</v>
      </c>
      <c r="K4" s="243"/>
      <c r="L4" s="255">
        <v>0</v>
      </c>
      <c r="M4" s="255"/>
      <c r="N4" s="255">
        <v>0</v>
      </c>
    </row>
    <row r="5" spans="1:18">
      <c r="B5" s="19" t="s">
        <v>21</v>
      </c>
      <c r="C5" s="178">
        <f>SUBTOTAL(109,MarketingGeneralRevenues7180[Actual 14/15])</f>
        <v>0</v>
      </c>
      <c r="D5" s="178">
        <f>SUBTOTAL(109,MarketingGeneralRevenues7180[Budget 15/16])</f>
        <v>0</v>
      </c>
      <c r="E5" s="178">
        <f>SUBTOTAL(109,MarketingGeneralRevenues7180[Actual 15/16])</f>
        <v>0</v>
      </c>
      <c r="F5" s="178">
        <f>SUBTOTAL(109,MarketingGeneralRevenues7180[Actual 15/16])</f>
        <v>0</v>
      </c>
      <c r="G5" s="178">
        <f>SUBTOTAL(109,MarketingGeneralRevenues7180[Budget 16/17])</f>
        <v>0</v>
      </c>
      <c r="H5" s="178">
        <f>SUBTOTAL(109,MarketingGeneralRevenues7180[Actual 16/17])</f>
        <v>0</v>
      </c>
      <c r="I5" s="178">
        <f>SUBTOTAL(109,MarketingGeneralRevenues7180[Budget 17/18])</f>
        <v>0</v>
      </c>
      <c r="J5" s="178">
        <f>SUBTOTAL(109,MarketingGeneralRevenues7180[Actual 17/18])</f>
        <v>0</v>
      </c>
      <c r="K5" s="178">
        <f>SUBTOTAL(109,MarketingGeneralRevenues7180[Budget 18/19])</f>
        <v>0</v>
      </c>
      <c r="L5" s="178">
        <f>MarketingGeneralRevenues7180[Budget 19/20]</f>
        <v>0</v>
      </c>
      <c r="M5" s="178">
        <f>SUM(MarketingGeneralRevenues7180[Actual 19/20])</f>
        <v>0</v>
      </c>
      <c r="N5" s="178">
        <f>MarketingGeneralRevenues7180[Budget 19/21]</f>
        <v>0</v>
      </c>
      <c r="O5" s="11"/>
      <c r="P5" s="11"/>
      <c r="Q5" s="11"/>
      <c r="R5" s="11"/>
    </row>
    <row r="6" spans="1:18">
      <c r="K6" s="255"/>
    </row>
    <row r="7" spans="1:18" ht="15">
      <c r="B7" s="228" t="s">
        <v>22</v>
      </c>
      <c r="C7" s="228" t="s">
        <v>7</v>
      </c>
      <c r="D7" s="675" t="s">
        <v>9</v>
      </c>
      <c r="E7" s="677" t="s">
        <v>1072</v>
      </c>
      <c r="F7" s="677" t="s">
        <v>11</v>
      </c>
      <c r="G7" s="241" t="s">
        <v>12</v>
      </c>
      <c r="H7" s="240" t="s">
        <v>13</v>
      </c>
      <c r="I7" s="241" t="s">
        <v>14</v>
      </c>
      <c r="J7" s="248" t="s">
        <v>15</v>
      </c>
      <c r="K7" s="248" t="s">
        <v>39</v>
      </c>
      <c r="L7" s="414" t="s">
        <v>16</v>
      </c>
      <c r="M7" s="414" t="s">
        <v>1005</v>
      </c>
      <c r="N7" s="380" t="s">
        <v>61</v>
      </c>
      <c r="O7" s="380" t="s">
        <v>269</v>
      </c>
      <c r="P7" s="380" t="s">
        <v>41</v>
      </c>
      <c r="Q7" s="372" t="s">
        <v>947</v>
      </c>
      <c r="R7" s="372" t="s">
        <v>43</v>
      </c>
    </row>
    <row r="8" spans="1:18" ht="15.75">
      <c r="A8" s="228" t="s">
        <v>1073</v>
      </c>
      <c r="B8" s="717" t="s">
        <v>942</v>
      </c>
      <c r="C8" s="234"/>
      <c r="D8" s="728"/>
      <c r="E8" s="728"/>
      <c r="F8" s="234"/>
      <c r="G8" s="210"/>
      <c r="H8" s="210"/>
      <c r="I8" s="210"/>
      <c r="J8" s="210"/>
      <c r="K8" s="210"/>
      <c r="L8" s="344">
        <v>36731.72</v>
      </c>
      <c r="M8" s="344">
        <v>30223.54</v>
      </c>
      <c r="N8" s="343">
        <v>36018.75</v>
      </c>
      <c r="O8" s="228">
        <v>16705.099999999999</v>
      </c>
      <c r="P8" s="436">
        <v>55545.599999999999</v>
      </c>
      <c r="Q8" s="229">
        <v>13168.32</v>
      </c>
      <c r="R8" s="569">
        <v>0</v>
      </c>
    </row>
    <row r="9" spans="1:18">
      <c r="A9" s="228" t="s">
        <v>1074</v>
      </c>
      <c r="B9" s="228" t="s">
        <v>93</v>
      </c>
      <c r="C9" s="20">
        <v>0</v>
      </c>
      <c r="D9" s="20">
        <v>600</v>
      </c>
      <c r="E9" s="20">
        <v>119.05</v>
      </c>
      <c r="F9" s="20">
        <v>600</v>
      </c>
      <c r="G9" s="247"/>
      <c r="H9" s="247">
        <v>600</v>
      </c>
      <c r="I9" s="247">
        <v>250</v>
      </c>
      <c r="J9" s="243">
        <v>300</v>
      </c>
      <c r="K9" s="243">
        <v>227.4</v>
      </c>
      <c r="L9" s="246">
        <v>300</v>
      </c>
      <c r="M9" s="246">
        <v>208.45</v>
      </c>
      <c r="N9" s="246">
        <v>0</v>
      </c>
      <c r="O9" s="228">
        <v>137.69999999999999</v>
      </c>
      <c r="Q9" s="229"/>
      <c r="R9" s="569">
        <v>0</v>
      </c>
    </row>
    <row r="10" spans="1:18" ht="15.75">
      <c r="A10" s="228" t="s">
        <v>1075</v>
      </c>
      <c r="B10" s="228" t="s">
        <v>95</v>
      </c>
      <c r="C10" s="20">
        <v>0</v>
      </c>
      <c r="D10" s="20">
        <v>240</v>
      </c>
      <c r="E10" s="20">
        <v>280</v>
      </c>
      <c r="F10" s="20">
        <v>240</v>
      </c>
      <c r="G10" s="247">
        <v>200</v>
      </c>
      <c r="H10" s="247">
        <v>240</v>
      </c>
      <c r="I10" s="247">
        <v>200</v>
      </c>
      <c r="J10" s="243">
        <v>240</v>
      </c>
      <c r="K10" s="243">
        <v>200</v>
      </c>
      <c r="L10" s="246">
        <v>240</v>
      </c>
      <c r="M10" s="246">
        <v>220</v>
      </c>
      <c r="N10" s="246">
        <v>0</v>
      </c>
      <c r="O10" s="228">
        <v>240</v>
      </c>
      <c r="P10" s="436">
        <v>240</v>
      </c>
      <c r="Q10" s="229">
        <v>140</v>
      </c>
      <c r="R10" s="569">
        <v>0</v>
      </c>
    </row>
    <row r="11" spans="1:18">
      <c r="B11" s="228" t="s">
        <v>97</v>
      </c>
      <c r="C11" s="20">
        <v>0</v>
      </c>
      <c r="D11" s="20">
        <v>0</v>
      </c>
      <c r="E11" s="20">
        <v>0</v>
      </c>
      <c r="F11" s="20">
        <v>0</v>
      </c>
      <c r="G11" s="247"/>
      <c r="H11" s="247"/>
      <c r="I11" s="247"/>
      <c r="K11" s="243"/>
      <c r="L11" s="246"/>
      <c r="M11" s="246"/>
      <c r="N11" s="246"/>
      <c r="Q11" s="229"/>
      <c r="R11" s="569"/>
    </row>
    <row r="12" spans="1:18">
      <c r="A12" s="228" t="s">
        <v>1076</v>
      </c>
      <c r="B12" s="228" t="s">
        <v>100</v>
      </c>
      <c r="C12" s="20">
        <v>117</v>
      </c>
      <c r="D12" s="20">
        <v>117</v>
      </c>
      <c r="E12" s="20">
        <v>0</v>
      </c>
      <c r="F12" s="20">
        <v>117</v>
      </c>
      <c r="G12" s="247"/>
      <c r="H12" s="247">
        <v>117</v>
      </c>
      <c r="I12" s="247">
        <v>2.38</v>
      </c>
      <c r="J12" s="243">
        <v>50</v>
      </c>
      <c r="K12" s="243"/>
      <c r="L12" s="246"/>
      <c r="M12" s="246">
        <v>0</v>
      </c>
      <c r="N12" s="246"/>
      <c r="Q12" s="229"/>
      <c r="R12" s="569"/>
    </row>
    <row r="13" spans="1:18">
      <c r="A13" s="228" t="s">
        <v>1077</v>
      </c>
      <c r="B13" s="228" t="s">
        <v>237</v>
      </c>
      <c r="C13" s="20">
        <v>1500</v>
      </c>
      <c r="D13" s="20">
        <v>1500</v>
      </c>
      <c r="E13" s="20">
        <v>268.04000000000002</v>
      </c>
      <c r="F13" s="20">
        <v>1500</v>
      </c>
      <c r="G13" s="247">
        <v>414.38</v>
      </c>
      <c r="H13" s="247">
        <v>1000</v>
      </c>
      <c r="I13" s="247">
        <v>397.54</v>
      </c>
      <c r="J13" s="243">
        <v>500</v>
      </c>
      <c r="K13" s="243">
        <v>131.75</v>
      </c>
      <c r="L13" s="246">
        <v>300</v>
      </c>
      <c r="M13" s="246">
        <v>36.4</v>
      </c>
      <c r="N13" s="246">
        <v>0</v>
      </c>
      <c r="Q13" s="229"/>
      <c r="R13" s="569">
        <v>500</v>
      </c>
    </row>
    <row r="14" spans="1:18">
      <c r="A14" s="228" t="s">
        <v>1078</v>
      </c>
      <c r="B14" s="228" t="s">
        <v>963</v>
      </c>
      <c r="C14" s="20">
        <v>1000</v>
      </c>
      <c r="D14" s="20">
        <v>1000</v>
      </c>
      <c r="E14" s="20">
        <v>0</v>
      </c>
      <c r="F14" s="20">
        <v>1000</v>
      </c>
      <c r="G14" s="247">
        <v>365.99</v>
      </c>
      <c r="H14" s="247">
        <v>400</v>
      </c>
      <c r="I14" s="247">
        <v>90.05</v>
      </c>
      <c r="J14" s="243">
        <v>200</v>
      </c>
      <c r="K14" s="243"/>
      <c r="L14" s="246">
        <v>100</v>
      </c>
      <c r="M14" s="246">
        <v>82.46</v>
      </c>
      <c r="N14" s="246">
        <v>0</v>
      </c>
      <c r="Q14" s="229"/>
      <c r="R14" s="569"/>
    </row>
    <row r="15" spans="1:18">
      <c r="A15" s="228" t="s">
        <v>1079</v>
      </c>
      <c r="B15" s="228" t="s">
        <v>904</v>
      </c>
      <c r="C15" s="20">
        <v>300</v>
      </c>
      <c r="D15" s="20">
        <v>300</v>
      </c>
      <c r="E15" s="20">
        <v>0</v>
      </c>
      <c r="F15" s="20">
        <v>200</v>
      </c>
      <c r="G15" s="247">
        <v>166.83</v>
      </c>
      <c r="H15" s="247">
        <v>200</v>
      </c>
      <c r="I15" s="247">
        <v>37.700000000000003</v>
      </c>
      <c r="J15" s="243">
        <v>100</v>
      </c>
      <c r="K15" s="243">
        <v>20.38</v>
      </c>
      <c r="L15" s="246">
        <v>75</v>
      </c>
      <c r="M15" s="246">
        <v>0</v>
      </c>
      <c r="N15" s="246">
        <v>0</v>
      </c>
      <c r="Q15" s="229"/>
      <c r="R15" s="569"/>
    </row>
    <row r="16" spans="1:18" ht="15.75">
      <c r="A16" s="228" t="s">
        <v>1080</v>
      </c>
      <c r="B16" s="228" t="s">
        <v>964</v>
      </c>
      <c r="C16" s="20">
        <v>0</v>
      </c>
      <c r="D16" s="20">
        <v>0</v>
      </c>
      <c r="E16" s="20">
        <v>0</v>
      </c>
      <c r="F16" s="20">
        <v>0</v>
      </c>
      <c r="G16" s="247"/>
      <c r="H16" s="247"/>
      <c r="I16" s="247"/>
      <c r="K16" s="243">
        <v>58.6</v>
      </c>
      <c r="L16" s="246"/>
      <c r="M16" s="246"/>
      <c r="N16" s="246">
        <v>750</v>
      </c>
      <c r="P16" s="436">
        <v>750</v>
      </c>
      <c r="Q16" s="229">
        <v>2.74</v>
      </c>
      <c r="R16" s="692">
        <v>2000</v>
      </c>
    </row>
    <row r="17" spans="1:18">
      <c r="B17" s="228" t="s">
        <v>965</v>
      </c>
      <c r="C17" s="20">
        <v>0</v>
      </c>
      <c r="D17" s="20">
        <v>0</v>
      </c>
      <c r="E17" s="20">
        <v>0</v>
      </c>
      <c r="F17" s="20">
        <v>0</v>
      </c>
      <c r="G17" s="247"/>
      <c r="H17" s="247"/>
      <c r="I17" s="247"/>
      <c r="K17" s="243"/>
      <c r="L17" s="246"/>
      <c r="M17" s="246"/>
      <c r="N17" s="246"/>
      <c r="Q17" s="229"/>
      <c r="R17" s="569"/>
    </row>
    <row r="18" spans="1:18" ht="15">
      <c r="A18" s="228" t="s">
        <v>1081</v>
      </c>
      <c r="B18" s="717" t="s">
        <v>989</v>
      </c>
      <c r="C18" s="234"/>
      <c r="D18" s="728"/>
      <c r="E18" s="728"/>
      <c r="F18" s="234"/>
      <c r="G18" s="210"/>
      <c r="H18" s="210"/>
      <c r="I18" s="210"/>
      <c r="J18" s="210"/>
      <c r="K18" s="243"/>
      <c r="L18" s="246"/>
      <c r="M18" s="246"/>
      <c r="N18" s="246"/>
      <c r="Q18" s="229">
        <v>236.17</v>
      </c>
      <c r="R18" s="569"/>
    </row>
    <row r="19" spans="1:18" ht="15.75">
      <c r="A19" s="228" t="s">
        <v>1082</v>
      </c>
      <c r="B19" s="228" t="s">
        <v>336</v>
      </c>
      <c r="C19" s="20">
        <v>2000</v>
      </c>
      <c r="D19" s="20">
        <v>4000</v>
      </c>
      <c r="E19" s="20">
        <v>1853.14</v>
      </c>
      <c r="F19" s="20">
        <v>2500</v>
      </c>
      <c r="G19" s="247">
        <v>1055.74</v>
      </c>
      <c r="H19" s="247">
        <v>1000</v>
      </c>
      <c r="I19" s="247">
        <v>734.65</v>
      </c>
      <c r="J19" s="243">
        <v>800</v>
      </c>
      <c r="K19" s="243">
        <v>544.54999999999995</v>
      </c>
      <c r="L19" s="246">
        <v>500</v>
      </c>
      <c r="M19" s="246">
        <v>379.35</v>
      </c>
      <c r="N19" s="246">
        <v>700</v>
      </c>
      <c r="O19" s="228">
        <v>382.02</v>
      </c>
      <c r="P19" s="436">
        <v>700</v>
      </c>
      <c r="Q19" s="229">
        <v>910.85</v>
      </c>
      <c r="R19" s="569">
        <v>700</v>
      </c>
    </row>
    <row r="20" spans="1:18" ht="15.75">
      <c r="A20" s="228" t="s">
        <v>1083</v>
      </c>
      <c r="B20" s="717" t="s">
        <v>1084</v>
      </c>
      <c r="C20" s="234"/>
      <c r="D20" s="728"/>
      <c r="E20" s="728"/>
      <c r="F20" s="234"/>
      <c r="G20" s="210"/>
      <c r="H20" s="210"/>
      <c r="I20" s="210"/>
      <c r="J20" s="210"/>
      <c r="K20" s="243"/>
      <c r="L20" s="246"/>
      <c r="M20" s="246"/>
      <c r="N20" s="246">
        <v>1200</v>
      </c>
      <c r="P20" s="436">
        <v>1200</v>
      </c>
      <c r="Q20" s="229">
        <v>2711.29</v>
      </c>
      <c r="R20" s="569">
        <v>1200</v>
      </c>
    </row>
    <row r="21" spans="1:18" ht="15.75">
      <c r="A21" s="228" t="s">
        <v>1085</v>
      </c>
      <c r="B21" s="717" t="s">
        <v>1086</v>
      </c>
      <c r="C21" s="234"/>
      <c r="D21" s="728"/>
      <c r="E21" s="728"/>
      <c r="F21" s="234"/>
      <c r="G21" s="210"/>
      <c r="H21" s="210"/>
      <c r="I21" s="210"/>
      <c r="J21" s="210"/>
      <c r="K21" s="243"/>
      <c r="L21" s="246"/>
      <c r="M21" s="246"/>
      <c r="N21" s="246">
        <v>200</v>
      </c>
      <c r="P21" s="436">
        <v>200</v>
      </c>
      <c r="Q21" s="229"/>
      <c r="R21" s="569">
        <v>200</v>
      </c>
    </row>
    <row r="22" spans="1:18" ht="15.75">
      <c r="B22" s="717" t="s">
        <v>1087</v>
      </c>
      <c r="C22" s="234"/>
      <c r="D22" s="728"/>
      <c r="E22" s="728"/>
      <c r="F22" s="234"/>
      <c r="G22" s="210"/>
      <c r="H22" s="210"/>
      <c r="I22" s="210"/>
      <c r="J22" s="210"/>
      <c r="K22" s="243"/>
      <c r="L22" s="246"/>
      <c r="M22" s="246"/>
      <c r="N22" s="246">
        <v>600</v>
      </c>
      <c r="P22" s="436">
        <v>300</v>
      </c>
      <c r="Q22" s="229"/>
      <c r="R22" s="692">
        <v>1000</v>
      </c>
    </row>
    <row r="23" spans="1:18" ht="15.75">
      <c r="A23" s="228" t="s">
        <v>1088</v>
      </c>
      <c r="B23" s="228" t="s">
        <v>1089</v>
      </c>
      <c r="C23" s="20">
        <v>2434</v>
      </c>
      <c r="D23" s="20">
        <v>2000</v>
      </c>
      <c r="E23" s="20">
        <v>224.59</v>
      </c>
      <c r="F23" s="20">
        <v>1000</v>
      </c>
      <c r="G23" s="247">
        <v>228.51</v>
      </c>
      <c r="H23" s="254">
        <v>400</v>
      </c>
      <c r="I23" s="247">
        <f>56.5+378.46</f>
        <v>434.96</v>
      </c>
      <c r="J23" s="243">
        <v>200</v>
      </c>
      <c r="K23" s="243">
        <v>103.75</v>
      </c>
      <c r="L23" s="246">
        <v>200</v>
      </c>
      <c r="M23" s="246">
        <v>17.11</v>
      </c>
      <c r="N23" s="246">
        <v>200</v>
      </c>
      <c r="O23" s="228">
        <v>250</v>
      </c>
      <c r="P23" s="436">
        <v>200</v>
      </c>
      <c r="Q23" s="229">
        <v>479.69</v>
      </c>
      <c r="R23" s="569">
        <v>2000</v>
      </c>
    </row>
    <row r="24" spans="1:18" ht="15">
      <c r="A24" s="228" t="s">
        <v>1090</v>
      </c>
      <c r="B24" s="717" t="s">
        <v>1091</v>
      </c>
      <c r="C24" s="234"/>
      <c r="D24" s="728"/>
      <c r="E24" s="728"/>
      <c r="F24" s="234"/>
      <c r="G24" s="210"/>
      <c r="H24" s="210"/>
      <c r="I24" s="210"/>
      <c r="J24" s="210"/>
      <c r="K24" s="243"/>
      <c r="L24" s="246"/>
      <c r="M24" s="246"/>
      <c r="N24" s="246"/>
      <c r="Q24" s="229">
        <v>5.16</v>
      </c>
      <c r="R24" s="569"/>
    </row>
    <row r="25" spans="1:18" ht="15.75">
      <c r="A25" s="228" t="s">
        <v>1092</v>
      </c>
      <c r="B25" s="228" t="s">
        <v>1093</v>
      </c>
      <c r="C25" s="20">
        <v>1684.61</v>
      </c>
      <c r="D25" s="20">
        <v>2000</v>
      </c>
      <c r="E25" s="20">
        <v>1864.09</v>
      </c>
      <c r="F25" s="20">
        <v>1000</v>
      </c>
      <c r="G25" s="247">
        <v>561.53</v>
      </c>
      <c r="H25" s="254">
        <v>700</v>
      </c>
      <c r="I25" s="247">
        <v>760.84</v>
      </c>
      <c r="J25" s="243">
        <v>700</v>
      </c>
      <c r="K25" s="243">
        <v>926.74</v>
      </c>
      <c r="L25" s="246">
        <v>800</v>
      </c>
      <c r="M25" s="246">
        <v>786.86</v>
      </c>
      <c r="N25" s="246">
        <v>800</v>
      </c>
      <c r="P25" s="436">
        <v>950</v>
      </c>
      <c r="Q25" s="229"/>
      <c r="R25" s="569">
        <v>0</v>
      </c>
    </row>
    <row r="26" spans="1:18" ht="15.75">
      <c r="A26" s="228" t="s">
        <v>1094</v>
      </c>
      <c r="B26" s="228" t="s">
        <v>1095</v>
      </c>
      <c r="C26" s="20">
        <v>1012.38</v>
      </c>
      <c r="D26" s="20">
        <v>1500</v>
      </c>
      <c r="E26" s="20">
        <v>2493.67</v>
      </c>
      <c r="F26" s="20">
        <v>1800</v>
      </c>
      <c r="G26" s="247">
        <v>1290</v>
      </c>
      <c r="H26" s="254">
        <v>1000</v>
      </c>
      <c r="I26" s="247">
        <v>1084.8900000000001</v>
      </c>
      <c r="J26" s="243">
        <v>1500</v>
      </c>
      <c r="K26" s="243">
        <v>1451.1</v>
      </c>
      <c r="L26" s="246">
        <v>1000</v>
      </c>
      <c r="M26" s="246">
        <v>734.19</v>
      </c>
      <c r="N26" s="246">
        <v>800</v>
      </c>
      <c r="O26" s="228">
        <v>17.71</v>
      </c>
      <c r="P26" s="436">
        <v>1200</v>
      </c>
      <c r="Q26" s="229"/>
      <c r="R26" s="569">
        <v>1500</v>
      </c>
    </row>
    <row r="27" spans="1:18" ht="15.75">
      <c r="A27" s="228" t="s">
        <v>1096</v>
      </c>
      <c r="B27" s="228" t="s">
        <v>1097</v>
      </c>
      <c r="C27" s="20">
        <v>1061.52</v>
      </c>
      <c r="D27" s="20">
        <v>1500</v>
      </c>
      <c r="E27" s="20">
        <v>2317.9299999999998</v>
      </c>
      <c r="F27" s="20">
        <v>2000</v>
      </c>
      <c r="G27" s="247">
        <v>1189.9100000000001</v>
      </c>
      <c r="H27" s="254">
        <v>1200</v>
      </c>
      <c r="I27" s="247">
        <v>1147.5899999999999</v>
      </c>
      <c r="J27" s="243">
        <v>1200</v>
      </c>
      <c r="K27" s="243">
        <v>1206.45</v>
      </c>
      <c r="L27" s="246">
        <v>1000</v>
      </c>
      <c r="M27" s="246">
        <v>1225.5</v>
      </c>
      <c r="N27" s="246">
        <v>800</v>
      </c>
      <c r="O27" s="228">
        <v>264.5</v>
      </c>
      <c r="P27" s="436">
        <v>1200</v>
      </c>
      <c r="Q27" s="229">
        <v>489.62</v>
      </c>
      <c r="R27" s="569">
        <v>2000</v>
      </c>
    </row>
    <row r="28" spans="1:18" ht="15.75">
      <c r="A28" s="228" t="s">
        <v>1098</v>
      </c>
      <c r="B28" s="228" t="s">
        <v>1099</v>
      </c>
      <c r="C28" s="20">
        <v>3011.92</v>
      </c>
      <c r="D28" s="20">
        <v>2000</v>
      </c>
      <c r="E28" s="20">
        <v>2036.95</v>
      </c>
      <c r="F28" s="20">
        <v>2000</v>
      </c>
      <c r="G28" s="247">
        <v>1596</v>
      </c>
      <c r="H28" s="254">
        <v>1500</v>
      </c>
      <c r="I28" s="247">
        <v>1352.42</v>
      </c>
      <c r="J28" s="243">
        <v>1000</v>
      </c>
      <c r="K28" s="243">
        <v>937.18</v>
      </c>
      <c r="L28" s="246">
        <v>500</v>
      </c>
      <c r="M28" s="246">
        <v>204.46</v>
      </c>
      <c r="N28" s="246">
        <v>200</v>
      </c>
      <c r="O28" s="230">
        <v>30</v>
      </c>
      <c r="P28" s="436"/>
      <c r="Q28" s="229"/>
      <c r="R28" s="569">
        <v>0</v>
      </c>
    </row>
    <row r="29" spans="1:18" ht="15.75">
      <c r="A29" s="228" t="s">
        <v>1100</v>
      </c>
      <c r="B29" s="228" t="s">
        <v>1101</v>
      </c>
      <c r="C29" s="20">
        <v>2569.44</v>
      </c>
      <c r="D29" s="20">
        <v>1500</v>
      </c>
      <c r="E29" s="20">
        <v>538.6</v>
      </c>
      <c r="F29" s="20">
        <v>900</v>
      </c>
      <c r="G29" s="247">
        <v>541.07000000000005</v>
      </c>
      <c r="H29" s="254">
        <v>700</v>
      </c>
      <c r="I29" s="247">
        <v>659.5</v>
      </c>
      <c r="J29" s="243">
        <v>700</v>
      </c>
      <c r="K29" s="243">
        <v>668.43</v>
      </c>
      <c r="L29" s="246">
        <v>600</v>
      </c>
      <c r="M29" s="246">
        <v>369.53</v>
      </c>
      <c r="N29" s="246">
        <v>1200</v>
      </c>
      <c r="O29" s="230"/>
      <c r="P29" s="436">
        <v>1200</v>
      </c>
      <c r="Q29" s="229">
        <v>38.83</v>
      </c>
      <c r="R29" s="569">
        <v>1100</v>
      </c>
    </row>
    <row r="30" spans="1:18" ht="15.75">
      <c r="A30" s="228" t="s">
        <v>1102</v>
      </c>
      <c r="B30" s="228" t="s">
        <v>1103</v>
      </c>
      <c r="C30" s="20">
        <v>1963.04</v>
      </c>
      <c r="D30" s="20">
        <v>900</v>
      </c>
      <c r="E30" s="20">
        <v>233.45</v>
      </c>
      <c r="F30" s="20">
        <v>900</v>
      </c>
      <c r="G30" s="247">
        <v>1530.53</v>
      </c>
      <c r="H30" s="254">
        <v>900</v>
      </c>
      <c r="I30" s="247">
        <v>1053.43</v>
      </c>
      <c r="J30" s="243">
        <v>500</v>
      </c>
      <c r="K30" s="243">
        <v>473.2</v>
      </c>
      <c r="L30" s="246">
        <v>500</v>
      </c>
      <c r="M30" s="246">
        <v>332.54</v>
      </c>
      <c r="N30" s="246">
        <v>500</v>
      </c>
      <c r="P30" s="436">
        <v>950</v>
      </c>
      <c r="Q30" s="229">
        <v>32.450000000000003</v>
      </c>
      <c r="R30" s="569">
        <v>1000</v>
      </c>
    </row>
    <row r="31" spans="1:18" ht="15.75">
      <c r="A31" s="228" t="s">
        <v>1104</v>
      </c>
      <c r="B31" s="228" t="s">
        <v>1105</v>
      </c>
      <c r="C31" s="20">
        <v>3725.95</v>
      </c>
      <c r="D31" s="20">
        <v>2500</v>
      </c>
      <c r="E31" s="20">
        <v>692.03</v>
      </c>
      <c r="F31" s="20">
        <v>900</v>
      </c>
      <c r="G31" s="247">
        <v>830.83</v>
      </c>
      <c r="H31" s="254">
        <v>900</v>
      </c>
      <c r="I31" s="247">
        <v>761.74</v>
      </c>
      <c r="J31" s="243">
        <v>900</v>
      </c>
      <c r="K31" s="243">
        <v>613.86</v>
      </c>
      <c r="L31" s="246">
        <v>800</v>
      </c>
      <c r="M31" s="246">
        <v>524.13</v>
      </c>
      <c r="N31" s="246">
        <v>600</v>
      </c>
      <c r="P31" s="436">
        <v>950</v>
      </c>
      <c r="Q31" s="229">
        <v>510.64</v>
      </c>
      <c r="R31" s="569">
        <v>800</v>
      </c>
    </row>
    <row r="32" spans="1:18" ht="15.75">
      <c r="A32" s="228" t="s">
        <v>1106</v>
      </c>
      <c r="B32" s="228" t="s">
        <v>1107</v>
      </c>
      <c r="C32" s="20">
        <v>723.54</v>
      </c>
      <c r="D32" s="20">
        <v>900</v>
      </c>
      <c r="E32" s="20">
        <v>882.3</v>
      </c>
      <c r="F32" s="20">
        <v>600</v>
      </c>
      <c r="G32" s="247">
        <v>560.51</v>
      </c>
      <c r="H32" s="254">
        <v>600</v>
      </c>
      <c r="I32" s="247">
        <v>336.25</v>
      </c>
      <c r="J32" s="243">
        <v>500</v>
      </c>
      <c r="K32" s="243">
        <v>423.35</v>
      </c>
      <c r="L32" s="246">
        <v>600</v>
      </c>
      <c r="M32" s="246">
        <v>145.30000000000001</v>
      </c>
      <c r="N32" s="255">
        <v>1225</v>
      </c>
      <c r="P32" s="436">
        <v>950</v>
      </c>
      <c r="Q32" s="229">
        <v>37.270000000000003</v>
      </c>
      <c r="R32" s="569">
        <v>600</v>
      </c>
    </row>
    <row r="33" spans="1:18" ht="15.75">
      <c r="A33" s="228" t="s">
        <v>1108</v>
      </c>
      <c r="B33" s="228" t="s">
        <v>1109</v>
      </c>
      <c r="C33" s="20">
        <v>0</v>
      </c>
      <c r="D33" s="20">
        <v>1000</v>
      </c>
      <c r="E33" s="20">
        <v>1553.19</v>
      </c>
      <c r="F33" s="20">
        <v>1300</v>
      </c>
      <c r="G33" s="247">
        <v>1292.05</v>
      </c>
      <c r="H33" s="254">
        <v>1000</v>
      </c>
      <c r="I33" s="247">
        <v>995.82</v>
      </c>
      <c r="J33" s="243">
        <v>600</v>
      </c>
      <c r="K33" s="243">
        <v>415.23</v>
      </c>
      <c r="L33" s="246">
        <v>200</v>
      </c>
      <c r="M33" s="246">
        <v>67.2</v>
      </c>
      <c r="N33" s="246"/>
      <c r="P33" s="436"/>
      <c r="Q33" s="229"/>
      <c r="R33" s="569">
        <v>0</v>
      </c>
    </row>
    <row r="34" spans="1:18" ht="15.75">
      <c r="A34" s="228" t="s">
        <v>1110</v>
      </c>
      <c r="B34" s="228" t="s">
        <v>1111</v>
      </c>
      <c r="C34" s="20">
        <v>0</v>
      </c>
      <c r="D34" s="20">
        <v>500</v>
      </c>
      <c r="E34" s="20">
        <v>967.45</v>
      </c>
      <c r="F34" s="20">
        <v>1000</v>
      </c>
      <c r="G34" s="247">
        <v>888.06</v>
      </c>
      <c r="H34" s="254">
        <v>1000</v>
      </c>
      <c r="I34" s="247">
        <v>938.06</v>
      </c>
      <c r="J34" s="243">
        <v>1000</v>
      </c>
      <c r="K34" s="243">
        <v>859.79</v>
      </c>
      <c r="L34" s="246">
        <v>600</v>
      </c>
      <c r="M34" s="246">
        <v>85.23</v>
      </c>
      <c r="N34" s="246">
        <v>800</v>
      </c>
      <c r="O34" s="228">
        <v>4.93</v>
      </c>
      <c r="P34" s="436">
        <v>950</v>
      </c>
      <c r="Q34" s="229"/>
      <c r="R34" s="569">
        <v>1500</v>
      </c>
    </row>
    <row r="35" spans="1:18" ht="15.75">
      <c r="A35" s="228" t="s">
        <v>1112</v>
      </c>
      <c r="B35" s="228" t="s">
        <v>1113</v>
      </c>
      <c r="C35" s="20">
        <v>0</v>
      </c>
      <c r="D35" s="20">
        <v>0</v>
      </c>
      <c r="E35" s="20">
        <v>0</v>
      </c>
      <c r="F35" s="20">
        <v>1500</v>
      </c>
      <c r="G35" s="247">
        <v>1132.04</v>
      </c>
      <c r="H35" s="254">
        <v>1500</v>
      </c>
      <c r="I35" s="247">
        <v>2224.87</v>
      </c>
      <c r="J35" s="243">
        <v>1500</v>
      </c>
      <c r="K35" s="243">
        <v>1222.58</v>
      </c>
      <c r="L35" s="246">
        <v>1200</v>
      </c>
      <c r="M35" s="246">
        <v>853.43</v>
      </c>
      <c r="N35" s="246">
        <v>1300</v>
      </c>
      <c r="P35" s="436">
        <v>1200</v>
      </c>
      <c r="Q35" s="229">
        <v>57.96</v>
      </c>
      <c r="R35" s="569">
        <v>1700</v>
      </c>
    </row>
    <row r="36" spans="1:18" ht="15.75">
      <c r="A36" s="228" t="s">
        <v>1114</v>
      </c>
      <c r="B36" s="228" t="s">
        <v>1115</v>
      </c>
      <c r="C36" s="20">
        <v>0</v>
      </c>
      <c r="D36" s="20">
        <v>0</v>
      </c>
      <c r="E36" s="20">
        <v>0</v>
      </c>
      <c r="F36" s="20">
        <v>2200</v>
      </c>
      <c r="G36" s="247">
        <v>1488.06</v>
      </c>
      <c r="H36" s="254">
        <v>2200</v>
      </c>
      <c r="I36" s="247">
        <v>2116.73</v>
      </c>
      <c r="J36" s="243">
        <v>2000</v>
      </c>
      <c r="K36" s="243">
        <v>688.02</v>
      </c>
      <c r="L36" s="246"/>
      <c r="M36" s="246">
        <v>0</v>
      </c>
      <c r="N36" s="246"/>
      <c r="P36" s="436"/>
      <c r="Q36" s="229"/>
      <c r="R36" s="569">
        <v>0</v>
      </c>
    </row>
    <row r="37" spans="1:18" ht="15">
      <c r="A37" s="228" t="s">
        <v>1085</v>
      </c>
      <c r="B37" s="717" t="s">
        <v>1086</v>
      </c>
      <c r="C37" s="234"/>
      <c r="D37" s="728"/>
      <c r="E37" s="728"/>
      <c r="F37" s="234"/>
      <c r="G37" s="210"/>
      <c r="H37" s="210"/>
      <c r="I37" s="210"/>
      <c r="J37" s="210"/>
      <c r="K37" s="243"/>
      <c r="L37" s="246"/>
      <c r="M37" s="246"/>
      <c r="N37" s="246"/>
      <c r="Q37" s="229">
        <v>3.39</v>
      </c>
      <c r="R37" s="569"/>
    </row>
    <row r="38" spans="1:18" ht="15.75">
      <c r="A38" s="228" t="s">
        <v>1116</v>
      </c>
      <c r="B38" s="228" t="s">
        <v>1117</v>
      </c>
      <c r="C38" s="20"/>
      <c r="D38" s="20"/>
      <c r="E38" s="20"/>
      <c r="F38" s="20"/>
      <c r="G38" s="247"/>
      <c r="H38" s="254"/>
      <c r="J38" s="243">
        <v>1500</v>
      </c>
      <c r="K38" s="243">
        <v>1543.4</v>
      </c>
      <c r="L38" s="246">
        <v>1000</v>
      </c>
      <c r="M38" s="246">
        <v>706.16</v>
      </c>
      <c r="N38" s="246">
        <v>800</v>
      </c>
      <c r="P38" s="436">
        <v>1200</v>
      </c>
      <c r="Q38" s="229">
        <v>508.62</v>
      </c>
      <c r="R38" s="569">
        <v>2000</v>
      </c>
    </row>
    <row r="39" spans="1:18" ht="15.75">
      <c r="B39" s="717" t="s">
        <v>1118</v>
      </c>
      <c r="C39" s="234"/>
      <c r="D39" s="728"/>
      <c r="E39" s="728"/>
      <c r="F39" s="234"/>
      <c r="G39" s="210"/>
      <c r="H39" s="210"/>
      <c r="I39" s="210"/>
      <c r="J39" s="210"/>
      <c r="K39" s="243"/>
      <c r="L39" s="246"/>
      <c r="M39" s="246"/>
      <c r="N39" s="246"/>
      <c r="P39" s="436">
        <v>1200</v>
      </c>
      <c r="Q39" s="229"/>
      <c r="R39" s="569">
        <v>2000</v>
      </c>
    </row>
    <row r="40" spans="1:18" ht="15.75">
      <c r="A40" s="228" t="s">
        <v>1119</v>
      </c>
      <c r="B40" s="228" t="s">
        <v>1120</v>
      </c>
      <c r="C40" s="20">
        <v>4605.79</v>
      </c>
      <c r="D40" s="20">
        <v>5000</v>
      </c>
      <c r="E40" s="20">
        <v>2217.15</v>
      </c>
      <c r="F40" s="20">
        <v>4000</v>
      </c>
      <c r="G40" s="247">
        <v>4158.5200000000004</v>
      </c>
      <c r="H40" s="247">
        <v>5000</v>
      </c>
      <c r="I40" s="228">
        <v>4967.8100000000004</v>
      </c>
      <c r="J40" s="243">
        <v>4500</v>
      </c>
      <c r="K40" s="243">
        <v>4241.3100000000004</v>
      </c>
      <c r="L40" s="246">
        <v>4000</v>
      </c>
      <c r="M40" s="246">
        <v>3566.21</v>
      </c>
      <c r="N40" s="246">
        <v>3500</v>
      </c>
      <c r="O40" s="228">
        <v>82.55</v>
      </c>
      <c r="P40" s="436">
        <v>3500</v>
      </c>
      <c r="Q40" s="229">
        <v>1757.47</v>
      </c>
      <c r="R40" s="569">
        <v>7500</v>
      </c>
    </row>
    <row r="41" spans="1:18" ht="15.75">
      <c r="A41" s="228" t="s">
        <v>1121</v>
      </c>
      <c r="B41" s="228" t="s">
        <v>1122</v>
      </c>
      <c r="C41" s="20">
        <v>984.97</v>
      </c>
      <c r="D41" s="20">
        <v>1500</v>
      </c>
      <c r="E41" s="20">
        <v>1097.9100000000001</v>
      </c>
      <c r="F41" s="20">
        <v>1500</v>
      </c>
      <c r="G41" s="247">
        <v>1009.64</v>
      </c>
      <c r="H41" s="247">
        <v>1800</v>
      </c>
      <c r="I41" s="247">
        <v>508.7</v>
      </c>
      <c r="J41" s="243">
        <v>2700</v>
      </c>
      <c r="K41" s="243"/>
      <c r="L41" s="246">
        <v>2200</v>
      </c>
      <c r="M41" s="246">
        <v>1981.76</v>
      </c>
      <c r="N41" s="246">
        <v>2000</v>
      </c>
      <c r="O41" s="228">
        <v>36.340000000000003</v>
      </c>
      <c r="P41" s="436">
        <v>200</v>
      </c>
      <c r="Q41" s="229"/>
      <c r="R41" s="569">
        <v>1000</v>
      </c>
    </row>
    <row r="42" spans="1:18" ht="15.75">
      <c r="A42" s="228" t="s">
        <v>1123</v>
      </c>
      <c r="B42" s="357" t="s">
        <v>1124</v>
      </c>
      <c r="C42" s="234"/>
      <c r="D42" s="728"/>
      <c r="E42" s="728"/>
      <c r="F42" s="234"/>
      <c r="G42" s="210"/>
      <c r="H42" s="210"/>
      <c r="I42" s="210"/>
      <c r="J42" s="210"/>
      <c r="K42" s="245"/>
      <c r="L42" s="246">
        <v>1000</v>
      </c>
      <c r="M42" s="246"/>
      <c r="N42" s="353">
        <v>2000</v>
      </c>
      <c r="P42" s="436">
        <v>950</v>
      </c>
      <c r="Q42" s="229">
        <v>505.92</v>
      </c>
      <c r="R42" s="569">
        <v>1000</v>
      </c>
    </row>
    <row r="43" spans="1:18" ht="15">
      <c r="B43" s="717"/>
      <c r="C43" s="234"/>
      <c r="D43" s="728"/>
      <c r="E43" s="728"/>
      <c r="F43" s="234"/>
      <c r="G43" s="210"/>
      <c r="H43" s="210"/>
      <c r="I43" s="210"/>
      <c r="J43" s="210"/>
      <c r="K43" s="243">
        <v>1525.15</v>
      </c>
      <c r="L43" s="246"/>
      <c r="M43" s="246"/>
      <c r="N43" s="246"/>
      <c r="Q43" s="229"/>
      <c r="R43" s="569"/>
    </row>
    <row r="44" spans="1:18">
      <c r="C44" s="20"/>
      <c r="D44" s="20"/>
      <c r="E44" s="20"/>
      <c r="F44" s="20"/>
      <c r="G44" s="247"/>
      <c r="H44" s="247"/>
      <c r="I44" s="247"/>
      <c r="K44" s="243"/>
      <c r="L44" s="246"/>
      <c r="M44" s="246"/>
      <c r="N44" s="246"/>
      <c r="Q44" s="229"/>
      <c r="R44" s="569"/>
    </row>
    <row r="45" spans="1:18">
      <c r="A45" s="228" t="s">
        <v>1125</v>
      </c>
      <c r="B45" s="228" t="s">
        <v>1126</v>
      </c>
      <c r="C45" s="20">
        <v>280.62</v>
      </c>
      <c r="D45" s="20">
        <v>500</v>
      </c>
      <c r="E45" s="20">
        <v>199.09</v>
      </c>
      <c r="F45" s="20">
        <v>500</v>
      </c>
      <c r="G45" s="247">
        <v>452.4</v>
      </c>
      <c r="H45" s="247">
        <v>500</v>
      </c>
      <c r="I45" s="247">
        <v>276.62</v>
      </c>
      <c r="J45" s="243">
        <v>350</v>
      </c>
      <c r="K45" s="243">
        <v>343.35</v>
      </c>
      <c r="L45" s="246">
        <v>350</v>
      </c>
      <c r="M45" s="246">
        <v>331.98</v>
      </c>
      <c r="N45" s="246">
        <v>0</v>
      </c>
      <c r="Q45" s="229"/>
      <c r="R45" s="569"/>
    </row>
    <row r="46" spans="1:18" ht="15.75">
      <c r="A46" s="228" t="s">
        <v>1127</v>
      </c>
      <c r="B46" s="228" t="s">
        <v>1128</v>
      </c>
      <c r="C46" s="20">
        <v>0</v>
      </c>
      <c r="D46" s="20">
        <v>2000</v>
      </c>
      <c r="E46" s="20"/>
      <c r="F46" s="20">
        <v>500</v>
      </c>
      <c r="G46" s="247"/>
      <c r="H46" s="247">
        <v>350</v>
      </c>
      <c r="I46" s="247">
        <v>221.71</v>
      </c>
      <c r="J46" s="243">
        <v>350</v>
      </c>
      <c r="K46" s="243">
        <v>206.84</v>
      </c>
      <c r="L46" s="246">
        <v>250</v>
      </c>
      <c r="M46" s="246">
        <v>0</v>
      </c>
      <c r="N46" s="246">
        <v>200</v>
      </c>
      <c r="P46" s="436">
        <v>200</v>
      </c>
      <c r="Q46" s="229">
        <v>73.45</v>
      </c>
      <c r="R46" s="569">
        <v>200</v>
      </c>
    </row>
    <row r="47" spans="1:18">
      <c r="B47" s="228" t="s">
        <v>265</v>
      </c>
      <c r="C47" s="20">
        <v>0</v>
      </c>
      <c r="D47" s="20">
        <v>0</v>
      </c>
      <c r="E47" s="20">
        <v>0</v>
      </c>
      <c r="F47" s="20">
        <v>0</v>
      </c>
      <c r="G47" s="247"/>
      <c r="H47" s="247"/>
      <c r="I47" s="247"/>
      <c r="K47" s="243"/>
      <c r="L47" s="246"/>
      <c r="M47" s="246"/>
      <c r="N47" s="246"/>
      <c r="Q47" s="229"/>
      <c r="R47" s="569"/>
    </row>
    <row r="48" spans="1:18">
      <c r="B48" s="228" t="s">
        <v>110</v>
      </c>
      <c r="C48" s="20">
        <v>0</v>
      </c>
      <c r="D48" s="20">
        <v>0</v>
      </c>
      <c r="E48" s="20">
        <v>0</v>
      </c>
      <c r="F48" s="20">
        <v>0</v>
      </c>
      <c r="G48" s="247"/>
      <c r="H48" s="247"/>
      <c r="K48" s="243"/>
      <c r="L48" s="246"/>
      <c r="M48" s="246"/>
      <c r="N48" s="246"/>
      <c r="Q48" s="229"/>
      <c r="R48" s="569"/>
    </row>
    <row r="49" spans="2:18" ht="15">
      <c r="B49" s="210"/>
      <c r="C49" s="234"/>
      <c r="D49" s="728"/>
      <c r="E49" s="728"/>
      <c r="F49" s="234"/>
      <c r="G49" s="210"/>
      <c r="H49" s="210"/>
      <c r="I49" s="210"/>
      <c r="J49" s="210"/>
      <c r="K49" s="243"/>
      <c r="L49" s="246"/>
      <c r="M49" s="246"/>
      <c r="N49" s="246"/>
      <c r="Q49" s="229"/>
      <c r="R49" s="569"/>
    </row>
    <row r="50" spans="2:18" ht="15">
      <c r="B50" s="210"/>
      <c r="C50" s="234"/>
      <c r="D50" s="728"/>
      <c r="E50" s="728"/>
      <c r="F50" s="234"/>
      <c r="G50" s="210"/>
      <c r="H50" s="210"/>
      <c r="I50" s="210"/>
      <c r="J50" s="210"/>
      <c r="K50" s="243"/>
      <c r="L50" s="575"/>
      <c r="M50" s="246"/>
      <c r="N50" s="246"/>
      <c r="Q50" s="229"/>
      <c r="R50" s="576"/>
    </row>
    <row r="51" spans="2:18" ht="13.5" thickBot="1">
      <c r="B51" s="19" t="s">
        <v>21</v>
      </c>
      <c r="C51" s="178">
        <f>SUBTOTAL(109,MarketingGeneralExpenses7581[Budget 14/15])</f>
        <v>28974.780000000002</v>
      </c>
      <c r="D51" s="178">
        <f>SUBTOTAL(109,MarketingGeneralExpenses7581[Budget 15/16])</f>
        <v>33057</v>
      </c>
      <c r="E51" s="178">
        <f>SUBTOTAL(109,MarketingGeneralExpenses7581[actual 15/16])</f>
        <v>19838.630000000005</v>
      </c>
      <c r="F51" s="178">
        <f>SUBTOTAL(109,MarketingGeneralExpenses7581[Budget 16/17])</f>
        <v>29757</v>
      </c>
      <c r="G51" s="178">
        <f>SUBTOTAL(109,MarketingGeneralExpenses7581[Actual 16/17])</f>
        <v>20952.599999999999</v>
      </c>
      <c r="H51" s="178">
        <f>SUBTOTAL(109,MarketingGeneralExpenses7581[Budget 17/18])</f>
        <v>24807</v>
      </c>
      <c r="I51" s="178">
        <f>SUBTOTAL(109,MarketingGeneralExpenses7581[Actual 17/18])</f>
        <v>21554.26</v>
      </c>
      <c r="J51" s="178">
        <f>SUBTOTAL(109,MarketingGeneralExpenses7581[Budget 18/19])</f>
        <v>23890</v>
      </c>
      <c r="K51" s="178">
        <f>SUBTOTAL(109,MarketingGeneralExpenses7581[Actual 18/19])</f>
        <v>19032.410000000003</v>
      </c>
      <c r="L51" s="178">
        <f>SUM(L8:L50)</f>
        <v>55046.720000000001</v>
      </c>
      <c r="M51" s="178">
        <f>SUM(MarketingGeneralExpenses7581[Actual 19/20])</f>
        <v>43081.790000000008</v>
      </c>
      <c r="N51" s="178">
        <f>SUM(N8:N50)</f>
        <v>56393.75</v>
      </c>
      <c r="O51" s="178">
        <f>SUM(O8:O50)</f>
        <v>18150.849999999999</v>
      </c>
      <c r="P51" s="178">
        <f>SUM(P8:P50)</f>
        <v>75935.600000000006</v>
      </c>
      <c r="Q51" s="21">
        <f>SUBTOTAL(109,MarketingGeneralExpenses7581[Actuals 21/22])</f>
        <v>21669.839999999997</v>
      </c>
      <c r="R51" s="531">
        <f>SUM(MarketingGeneralExpenses7581[Budget 22/23])</f>
        <v>31500</v>
      </c>
    </row>
    <row r="52" spans="2:18" ht="19.5" thickBot="1">
      <c r="B52" s="676" t="s">
        <v>127</v>
      </c>
      <c r="C52" s="233">
        <f>(MarketingGeneralRevenues7180[[#Totals],[Actual 14/15]]) -MarketingGeneralExpenses7581[[#Totals],[Budget 14/15]]</f>
        <v>-28974.780000000002</v>
      </c>
      <c r="D52" s="233">
        <f>(MarketingGeneralRevenues7180[[#Totals],[Budget 15/16]]) -MarketingGeneralExpenses7581[[#Totals],[Budget 15/16]]</f>
        <v>-33057</v>
      </c>
      <c r="E52" s="415">
        <f>(MarketingGeneralRevenues7180[[#Totals],[Actual 15/16]]) -MarketingGeneralExpenses7581[[#Totals],[actual 15/16]]</f>
        <v>-19838.630000000005</v>
      </c>
      <c r="F52" s="415">
        <f>(MarketingGeneralRevenues7180[[#Totals],[Budget 16/17]])-MarketingGeneralExpenses7581[[#Totals],[Budget 16/17]]</f>
        <v>-29757</v>
      </c>
      <c r="G52" s="415">
        <f>(MarketingGeneralRevenues7180[[#Totals],[Actual 16/17]])-MarketingGeneralExpenses7581[[#Totals],[Actual 16/17]]</f>
        <v>-20952.599999999999</v>
      </c>
      <c r="H52" s="415">
        <f>(MarketingGeneralRevenues7180[[#Totals],[Budget 17/18]])-MarketingGeneralExpenses7581[[#Totals],[Budget 17/18]]</f>
        <v>-24807</v>
      </c>
      <c r="I52" s="415">
        <f>(MarketingGeneralRevenues7180[[#Totals],[Actual 17/18]])-MarketingGeneralExpenses7581[[#Totals],[Actual 17/18]]</f>
        <v>-21554.26</v>
      </c>
      <c r="J52" s="244">
        <f>(MarketingGeneralRevenues7180[[#Totals],[Budget 18/19]])-MarketingGeneralExpenses7581[[#Totals],[Budget 18/19]]</f>
        <v>-23890</v>
      </c>
      <c r="K52" s="244">
        <f>(MarketingGeneralRevenues7180[[#Totals],[Actual 18/19]])-MarketingGeneralExpenses7581[[#Totals],[Actual 18/19]]</f>
        <v>-19032.410000000003</v>
      </c>
      <c r="L52" s="253">
        <f>MarketingGeneralRevenues7180[[#Totals],[Budget 19/20]]-MarketingGeneralExpenses7581[[#Totals],[Budget 19/20]]</f>
        <v>-55046.720000000001</v>
      </c>
      <c r="M52" s="253">
        <f>MarketingGeneralRevenues7180[[#Totals],[Actual 19/20]]-MarketingGeneralExpenses7581[[#Totals],[Actual 19/20]]</f>
        <v>-43081.790000000008</v>
      </c>
      <c r="N52" s="253">
        <f>MarketingGeneralRevenues7180[[#Totals],[Budget 19/21]]-MarketingGeneralExpenses7581[[#Totals],[Budget 19/21]]</f>
        <v>-56393.75</v>
      </c>
      <c r="O52" s="253">
        <f>MarketingGeneralRevenues7180[[#Totals],[Actuals 20/21]]-MarketingGeneralExpenses7581[[#Totals],[Actuals 20/21]]</f>
        <v>-18150.849999999999</v>
      </c>
      <c r="P52" s="253">
        <f>MarketingGeneralRevenues7180[[#Totals],[Actual 14/15]]-MarketingGeneralExpenses7581[[#Totals],[Budget 21/22]]</f>
        <v>-75935.600000000006</v>
      </c>
      <c r="Q52" s="253">
        <f>MarketingGeneralRevenues7180[[#Totals],[Budget 15/16]]-MarketingGeneralExpenses7581[[#Totals],[Actuals 21/22]]</f>
        <v>-21669.839999999997</v>
      </c>
      <c r="R52" s="253">
        <f>MarketingGeneralRevenues7180[[#Totals],[Actual 15/16]]-MarketingGeneralExpenses7581[[#Totals],[Budget 22/23]]</f>
        <v>-31500</v>
      </c>
    </row>
    <row r="53" spans="2:18">
      <c r="D53" s="230"/>
      <c r="E53" s="230"/>
      <c r="F53" s="230"/>
    </row>
  </sheetData>
  <phoneticPr fontId="90" type="noConversion"/>
  <pageMargins left="0.7" right="0.7" top="0.75" bottom="0.75" header="0.3" footer="0.3"/>
  <pageSetup scale="71" orientation="landscape" r:id="rId1"/>
  <legacyDrawing r:id="rId2"/>
  <tableParts count="2">
    <tablePart r:id="rId3"/>
    <tablePart r:id="rId4"/>
  </tablePar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1"/>
    <pageSetUpPr fitToPage="1"/>
  </sheetPr>
  <dimension ref="A1:S35"/>
  <sheetViews>
    <sheetView zoomScale="80" zoomScaleNormal="80" workbookViewId="0">
      <selection activeCell="Q34" sqref="Q34"/>
    </sheetView>
  </sheetViews>
  <sheetFormatPr defaultColWidth="10" defaultRowHeight="12.75"/>
  <cols>
    <col min="1" max="1" width="25.42578125" style="228" customWidth="1"/>
    <col min="2" max="2" width="51.140625" style="228" bestFit="1" customWidth="1"/>
    <col min="3" max="3" width="13.28515625" style="228" hidden="1" customWidth="1"/>
    <col min="4" max="5" width="14.140625" style="228" hidden="1" customWidth="1"/>
    <col min="6" max="7" width="18" style="228" hidden="1" customWidth="1"/>
    <col min="8" max="9" width="14.140625" style="228" hidden="1" customWidth="1"/>
    <col min="10" max="10" width="15.85546875" style="243" hidden="1" customWidth="1"/>
    <col min="11" max="12" width="15.85546875" style="228" hidden="1" customWidth="1"/>
    <col min="13" max="13" width="17.7109375" style="228" hidden="1" customWidth="1"/>
    <col min="14" max="14" width="18.7109375" style="228" hidden="1" customWidth="1"/>
    <col min="15" max="15" width="14.140625" style="228" hidden="1" customWidth="1"/>
    <col min="16" max="17" width="15.85546875" style="228" bestFit="1" customWidth="1"/>
    <col min="18" max="18" width="17.7109375" style="228" bestFit="1" customWidth="1"/>
    <col min="19" max="16384" width="10" style="228"/>
  </cols>
  <sheetData>
    <row r="1" spans="1:18" ht="21">
      <c r="B1" s="218" t="s">
        <v>956</v>
      </c>
    </row>
    <row r="2" spans="1:18" ht="15">
      <c r="B2" s="217" t="s">
        <v>962</v>
      </c>
    </row>
    <row r="3" spans="1:18" ht="15.75" thickBot="1">
      <c r="B3" s="228" t="s">
        <v>72</v>
      </c>
      <c r="C3" s="228" t="s">
        <v>7</v>
      </c>
      <c r="D3" s="675" t="s">
        <v>9</v>
      </c>
      <c r="E3" s="677" t="s">
        <v>10</v>
      </c>
      <c r="F3" s="380" t="s">
        <v>11</v>
      </c>
      <c r="G3" s="380" t="s">
        <v>802</v>
      </c>
      <c r="H3" s="380" t="s">
        <v>13</v>
      </c>
      <c r="I3" s="241" t="s">
        <v>14</v>
      </c>
      <c r="J3" s="248" t="s">
        <v>15</v>
      </c>
      <c r="K3" s="248" t="s">
        <v>39</v>
      </c>
      <c r="L3" s="380" t="s">
        <v>1129</v>
      </c>
      <c r="M3" s="380" t="s">
        <v>1005</v>
      </c>
      <c r="N3" s="380" t="s">
        <v>17</v>
      </c>
      <c r="O3" s="686" t="s">
        <v>1130</v>
      </c>
      <c r="P3" s="437" t="s">
        <v>41</v>
      </c>
      <c r="Q3" s="372" t="s">
        <v>947</v>
      </c>
      <c r="R3" s="372" t="s">
        <v>43</v>
      </c>
    </row>
    <row r="4" spans="1:18" ht="16.5" thickBot="1">
      <c r="A4" s="249">
        <v>50100</v>
      </c>
      <c r="B4" s="228" t="s">
        <v>1131</v>
      </c>
      <c r="C4" s="20">
        <v>46400</v>
      </c>
      <c r="D4" s="20">
        <v>69000</v>
      </c>
      <c r="E4" s="20">
        <v>60918.2</v>
      </c>
      <c r="F4" s="20">
        <v>52669.599999999999</v>
      </c>
      <c r="G4" s="20">
        <v>60918.2</v>
      </c>
      <c r="H4" s="243">
        <v>76447</v>
      </c>
      <c r="I4" s="256">
        <v>61700.03</v>
      </c>
      <c r="J4" s="243">
        <f>MarketingGeneralExpenses758197[[#Totals],[Budget 18/19]]</f>
        <v>70310</v>
      </c>
      <c r="K4" s="243">
        <f>40922.45+2928.8</f>
        <v>43851.25</v>
      </c>
      <c r="L4" s="301">
        <f>MarketingGeneralExpenses758197[[#Totals],[Budget 2019/20]]</f>
        <v>95305.040000000008</v>
      </c>
      <c r="M4" s="301">
        <v>24764.17</v>
      </c>
      <c r="N4" s="301" t="e">
        <f>#REF!+#REF!+#REF!+#REF!+#REF!</f>
        <v>#REF!</v>
      </c>
      <c r="O4" s="228">
        <v>1831.72</v>
      </c>
      <c r="P4" s="436">
        <v>53100</v>
      </c>
      <c r="Q4" s="229">
        <v>44301.37</v>
      </c>
      <c r="R4" s="691" t="e">
        <f>#REF!+#REF!+#REF!+#REF!+#REF!</f>
        <v>#REF!</v>
      </c>
    </row>
    <row r="5" spans="1:18">
      <c r="A5" s="249"/>
      <c r="B5" s="19" t="s">
        <v>21</v>
      </c>
      <c r="C5" s="178">
        <f>SUBTOTAL(109,MarketingGeneralRevenues718082[Budget 14/15])</f>
        <v>46400</v>
      </c>
      <c r="D5" s="178">
        <f>SUBTOTAL(109,MarketingGeneralRevenues718082[Budget 15/16])</f>
        <v>69000</v>
      </c>
      <c r="E5" s="178">
        <f>SUBTOTAL(109,MarketingGeneralRevenues718082[Actual 15/16])</f>
        <v>60918.2</v>
      </c>
      <c r="F5" s="21">
        <f>SUM(MarketingGeneralRevenues718082[Budget 16/17])</f>
        <v>52669.599999999999</v>
      </c>
      <c r="G5" s="21">
        <f>SUM(MarketingGeneralRevenues718082[Budget 16/18])</f>
        <v>60918.2</v>
      </c>
      <c r="H5" s="21">
        <f>SUM(MarketingGeneralRevenues718082[Budget 17/18])</f>
        <v>76447</v>
      </c>
      <c r="I5" s="21">
        <f>SUBTOTAL(109,MarketingGeneralRevenues718082[Actual 17/18])</f>
        <v>61700.03</v>
      </c>
      <c r="J5" s="178">
        <f>SUBTOTAL(109,MarketingGeneralRevenues718082[Budget 18/19])</f>
        <v>70310</v>
      </c>
      <c r="K5" s="178">
        <f>SUBTOTAL(109,MarketingGeneralRevenues718082[Actual 18/19])</f>
        <v>43851.25</v>
      </c>
      <c r="L5" s="178">
        <f>SUBTOTAL(109,MarketingGeneralRevenues718082[Budget 2019/20])</f>
        <v>95305.040000000008</v>
      </c>
      <c r="M5" s="178">
        <f>SUM(MarketingGeneralRevenues718082[Actual 19/20])</f>
        <v>24764.17</v>
      </c>
      <c r="N5" s="178" t="e">
        <f>SUBTOTAL(109,MarketingGeneralRevenues718082[Budget 20/21])</f>
        <v>#REF!</v>
      </c>
      <c r="O5" s="178">
        <f>SUBTOTAL(109,MarketingGeneralRevenues718082[Actual 20/212])</f>
        <v>1831.72</v>
      </c>
      <c r="P5" s="178">
        <f>SUBTOTAL(109,MarketingGeneralRevenues718082[Budget 21/22])</f>
        <v>53100</v>
      </c>
      <c r="Q5" s="21">
        <f>SUBTOTAL(109,MarketingGeneralRevenues718082[Actuals 21/22])</f>
        <v>44301.37</v>
      </c>
      <c r="R5" s="21" t="e" cm="1">
        <f t="array" ref="R5">MarketingGeneralRevenues718082[Budget 22/23]</f>
        <v>#REF!</v>
      </c>
    </row>
    <row r="6" spans="1:18">
      <c r="A6" s="249"/>
    </row>
    <row r="7" spans="1:18" ht="15">
      <c r="B7" s="228" t="s">
        <v>22</v>
      </c>
      <c r="C7" s="228" t="s">
        <v>7</v>
      </c>
      <c r="D7" s="675" t="s">
        <v>9</v>
      </c>
      <c r="E7" s="677" t="s">
        <v>10</v>
      </c>
      <c r="F7" s="380" t="s">
        <v>1132</v>
      </c>
      <c r="G7" s="380" t="s">
        <v>1133</v>
      </c>
      <c r="H7" s="380" t="s">
        <v>13</v>
      </c>
      <c r="I7" s="241" t="s">
        <v>14</v>
      </c>
      <c r="J7" s="248" t="s">
        <v>15</v>
      </c>
      <c r="K7" s="248" t="s">
        <v>39</v>
      </c>
      <c r="L7" s="380" t="s">
        <v>1129</v>
      </c>
      <c r="M7" s="380" t="s">
        <v>1005</v>
      </c>
      <c r="N7" s="380" t="s">
        <v>17</v>
      </c>
      <c r="O7" s="686" t="s">
        <v>1130</v>
      </c>
      <c r="P7" s="437" t="s">
        <v>41</v>
      </c>
      <c r="Q7" s="372" t="s">
        <v>947</v>
      </c>
      <c r="R7" s="372" t="s">
        <v>43</v>
      </c>
    </row>
    <row r="8" spans="1:18" ht="15.75">
      <c r="A8" s="249" t="s">
        <v>1134</v>
      </c>
      <c r="B8" s="228" t="s">
        <v>943</v>
      </c>
      <c r="C8" s="20">
        <v>0</v>
      </c>
      <c r="D8" s="20">
        <v>0</v>
      </c>
      <c r="E8" s="20">
        <v>0</v>
      </c>
      <c r="F8" s="20">
        <v>0</v>
      </c>
      <c r="G8" s="1"/>
      <c r="H8" s="247"/>
      <c r="I8" s="256"/>
      <c r="K8" s="243"/>
      <c r="L8" s="342">
        <v>44255.040000000001</v>
      </c>
      <c r="M8" s="342">
        <v>23316.12</v>
      </c>
      <c r="N8" s="246">
        <v>18081.41</v>
      </c>
      <c r="O8" s="228">
        <v>4545.8900000000003</v>
      </c>
      <c r="P8" s="436">
        <v>40978.5</v>
      </c>
      <c r="Q8" s="229">
        <v>11266.94</v>
      </c>
      <c r="R8" s="436"/>
    </row>
    <row r="9" spans="1:18" ht="15.75">
      <c r="A9" s="249" t="s">
        <v>1135</v>
      </c>
      <c r="B9" s="228" t="s">
        <v>93</v>
      </c>
      <c r="C9" s="20"/>
      <c r="D9" s="20">
        <v>300</v>
      </c>
      <c r="E9" s="20">
        <v>74.25</v>
      </c>
      <c r="F9" s="20">
        <v>300</v>
      </c>
      <c r="G9" s="1">
        <v>0</v>
      </c>
      <c r="H9" s="247">
        <v>300</v>
      </c>
      <c r="I9" s="256">
        <v>250</v>
      </c>
      <c r="J9" s="243">
        <v>300</v>
      </c>
      <c r="K9" s="243">
        <v>277.58</v>
      </c>
      <c r="L9" s="246">
        <v>300</v>
      </c>
      <c r="M9" s="246">
        <v>108.09</v>
      </c>
      <c r="N9" s="246">
        <v>0</v>
      </c>
      <c r="P9" s="436"/>
      <c r="Q9" s="229"/>
      <c r="R9" s="436"/>
    </row>
    <row r="10" spans="1:18" ht="15.75">
      <c r="A10" s="249" t="s">
        <v>1136</v>
      </c>
      <c r="B10" s="228" t="s">
        <v>95</v>
      </c>
      <c r="C10" s="20"/>
      <c r="D10" s="20">
        <v>240</v>
      </c>
      <c r="E10" s="20">
        <v>260</v>
      </c>
      <c r="F10" s="20">
        <v>240</v>
      </c>
      <c r="G10" s="1">
        <v>240</v>
      </c>
      <c r="H10" s="247">
        <v>240</v>
      </c>
      <c r="I10" s="256">
        <v>100</v>
      </c>
      <c r="J10" s="243">
        <v>240</v>
      </c>
      <c r="K10" s="243">
        <v>260</v>
      </c>
      <c r="L10" s="246">
        <v>240</v>
      </c>
      <c r="M10" s="246">
        <v>220</v>
      </c>
      <c r="N10" s="246">
        <v>0</v>
      </c>
      <c r="O10" s="228">
        <v>220</v>
      </c>
      <c r="P10" s="436"/>
      <c r="Q10" s="229">
        <v>220</v>
      </c>
      <c r="R10" s="436"/>
    </row>
    <row r="11" spans="1:18" ht="15.75">
      <c r="A11" s="249"/>
      <c r="B11" s="228" t="s">
        <v>97</v>
      </c>
      <c r="C11" s="20">
        <v>0</v>
      </c>
      <c r="D11" s="20">
        <v>0</v>
      </c>
      <c r="E11" s="20">
        <v>0</v>
      </c>
      <c r="F11" s="20">
        <v>0</v>
      </c>
      <c r="G11" s="1"/>
      <c r="H11" s="247"/>
      <c r="I11" s="256"/>
      <c r="K11" s="243"/>
      <c r="L11" s="246"/>
      <c r="M11" s="246"/>
      <c r="N11" s="246">
        <v>0</v>
      </c>
      <c r="P11" s="436"/>
      <c r="Q11" s="229"/>
      <c r="R11" s="436"/>
    </row>
    <row r="12" spans="1:18" ht="15.75">
      <c r="A12" s="249" t="s">
        <v>1137</v>
      </c>
      <c r="B12" s="228" t="s">
        <v>100</v>
      </c>
      <c r="C12" s="20">
        <v>100</v>
      </c>
      <c r="D12" s="20">
        <v>100</v>
      </c>
      <c r="E12" s="20">
        <v>20</v>
      </c>
      <c r="F12" s="20">
        <v>20</v>
      </c>
      <c r="G12" s="1"/>
      <c r="H12" s="247">
        <v>20</v>
      </c>
      <c r="I12" s="256">
        <v>2.1</v>
      </c>
      <c r="J12" s="243">
        <v>20</v>
      </c>
      <c r="K12" s="243"/>
      <c r="L12" s="246">
        <v>10</v>
      </c>
      <c r="M12" s="246">
        <v>0</v>
      </c>
      <c r="N12" s="246">
        <v>0</v>
      </c>
      <c r="P12" s="436"/>
      <c r="Q12" s="229"/>
      <c r="R12" s="436"/>
    </row>
    <row r="13" spans="1:18" ht="15.75">
      <c r="A13" s="249" t="s">
        <v>1138</v>
      </c>
      <c r="B13" s="228" t="s">
        <v>237</v>
      </c>
      <c r="C13" s="20">
        <v>0</v>
      </c>
      <c r="D13" s="20">
        <v>0</v>
      </c>
      <c r="E13" s="20">
        <v>632.72</v>
      </c>
      <c r="F13" s="20">
        <v>0</v>
      </c>
      <c r="G13" s="1">
        <v>413.24</v>
      </c>
      <c r="H13" s="247"/>
      <c r="I13" s="256">
        <v>270.69</v>
      </c>
      <c r="J13" s="243">
        <v>550</v>
      </c>
      <c r="K13" s="243">
        <v>421.72</v>
      </c>
      <c r="L13" s="246">
        <v>550</v>
      </c>
      <c r="M13" s="246">
        <v>178.54</v>
      </c>
      <c r="N13" s="246">
        <v>0</v>
      </c>
      <c r="P13" s="436"/>
      <c r="Q13" s="229"/>
      <c r="R13" s="436"/>
    </row>
    <row r="14" spans="1:18" ht="15.75">
      <c r="A14" s="249" t="s">
        <v>1139</v>
      </c>
      <c r="B14" s="228" t="s">
        <v>963</v>
      </c>
      <c r="C14" s="20">
        <v>1000</v>
      </c>
      <c r="D14" s="20">
        <v>1000</v>
      </c>
      <c r="E14" s="20">
        <v>513.92999999999995</v>
      </c>
      <c r="F14" s="20">
        <v>1000</v>
      </c>
      <c r="G14" s="1">
        <v>384.95</v>
      </c>
      <c r="H14" s="247">
        <v>1000</v>
      </c>
      <c r="I14" s="256">
        <v>606.91</v>
      </c>
      <c r="J14" s="243">
        <v>1000</v>
      </c>
      <c r="K14" s="243">
        <v>129.29</v>
      </c>
      <c r="L14" s="246">
        <v>250</v>
      </c>
      <c r="M14" s="246">
        <v>160.88999999999999</v>
      </c>
      <c r="N14" s="246">
        <v>0</v>
      </c>
      <c r="P14" s="436"/>
      <c r="Q14" s="229"/>
      <c r="R14" s="436"/>
    </row>
    <row r="15" spans="1:18" ht="15.75">
      <c r="A15" s="249" t="s">
        <v>1140</v>
      </c>
      <c r="B15" s="228" t="s">
        <v>904</v>
      </c>
      <c r="C15" s="20">
        <v>200</v>
      </c>
      <c r="D15" s="20">
        <v>200</v>
      </c>
      <c r="E15" s="20"/>
      <c r="F15" s="20">
        <v>200</v>
      </c>
      <c r="G15" s="1">
        <v>263.11</v>
      </c>
      <c r="H15" s="247">
        <v>200</v>
      </c>
      <c r="I15" s="256">
        <v>60.34</v>
      </c>
      <c r="J15" s="243">
        <v>200</v>
      </c>
      <c r="K15" s="243">
        <v>186.23</v>
      </c>
      <c r="L15" s="246">
        <v>200</v>
      </c>
      <c r="M15" s="246">
        <v>11.74</v>
      </c>
      <c r="N15" s="246">
        <v>0</v>
      </c>
      <c r="P15" s="436"/>
      <c r="Q15" s="229"/>
      <c r="R15" s="436"/>
    </row>
    <row r="16" spans="1:18" ht="15.75">
      <c r="A16" s="249"/>
      <c r="B16" s="228" t="s">
        <v>964</v>
      </c>
      <c r="C16" s="20">
        <v>0</v>
      </c>
      <c r="D16" s="20">
        <v>0</v>
      </c>
      <c r="E16" s="20">
        <v>0</v>
      </c>
      <c r="F16" s="20">
        <v>0</v>
      </c>
      <c r="G16" s="1"/>
      <c r="H16" s="247"/>
      <c r="I16" s="256"/>
      <c r="K16" s="243">
        <v>205.1</v>
      </c>
      <c r="L16" s="246"/>
      <c r="M16" s="246"/>
      <c r="N16" s="246"/>
      <c r="P16" s="436"/>
      <c r="Q16" s="229"/>
      <c r="R16" s="436"/>
    </row>
    <row r="17" spans="1:19" ht="15.75">
      <c r="A17" s="249"/>
      <c r="B17" s="228" t="s">
        <v>965</v>
      </c>
      <c r="C17" s="20">
        <v>0</v>
      </c>
      <c r="D17" s="20">
        <v>0</v>
      </c>
      <c r="E17" s="20">
        <v>0</v>
      </c>
      <c r="F17" s="20">
        <v>0</v>
      </c>
      <c r="G17" s="1"/>
      <c r="H17" s="247"/>
      <c r="I17" s="256">
        <v>50</v>
      </c>
      <c r="K17" s="243"/>
      <c r="L17" s="246"/>
      <c r="M17" s="246"/>
      <c r="N17" s="246"/>
      <c r="P17" s="436"/>
      <c r="Q17" s="229"/>
      <c r="R17" s="436"/>
    </row>
    <row r="18" spans="1:19" ht="15.75">
      <c r="A18" s="249"/>
      <c r="B18" s="228" t="s">
        <v>1141</v>
      </c>
      <c r="C18" s="20">
        <v>2000</v>
      </c>
      <c r="D18" s="20">
        <v>2320</v>
      </c>
      <c r="E18" s="20">
        <v>690</v>
      </c>
      <c r="F18" s="20">
        <v>0</v>
      </c>
      <c r="G18" s="1"/>
      <c r="H18" s="247">
        <v>1000</v>
      </c>
      <c r="I18" s="256"/>
      <c r="K18" s="243">
        <f>1.98+0.98</f>
        <v>2.96</v>
      </c>
      <c r="L18" s="246">
        <v>1500</v>
      </c>
      <c r="M18" s="246"/>
      <c r="N18" s="246">
        <v>500</v>
      </c>
      <c r="P18" s="436">
        <v>500</v>
      </c>
      <c r="Q18" s="229"/>
      <c r="R18" s="436">
        <v>1000</v>
      </c>
    </row>
    <row r="19" spans="1:19" ht="15.75">
      <c r="A19" s="249"/>
      <c r="B19" s="228" t="s">
        <v>1142</v>
      </c>
      <c r="C19" s="20">
        <v>2000</v>
      </c>
      <c r="D19" s="20">
        <v>2320</v>
      </c>
      <c r="E19" s="20">
        <v>0</v>
      </c>
      <c r="F19" s="20">
        <v>0</v>
      </c>
      <c r="G19" s="1"/>
      <c r="H19" s="247"/>
      <c r="I19" s="256"/>
      <c r="K19" s="243"/>
      <c r="L19" s="246"/>
      <c r="M19" s="246"/>
      <c r="N19" s="246"/>
      <c r="P19" s="436"/>
      <c r="Q19" s="229"/>
      <c r="R19" s="436"/>
    </row>
    <row r="20" spans="1:19" ht="15.75">
      <c r="A20" s="249"/>
      <c r="B20" s="228" t="s">
        <v>1143</v>
      </c>
      <c r="C20" s="20"/>
      <c r="D20" s="20">
        <v>0</v>
      </c>
      <c r="E20" s="20">
        <v>2266.8200000000002</v>
      </c>
      <c r="F20" s="20">
        <v>0</v>
      </c>
      <c r="G20" s="1">
        <v>2848.65</v>
      </c>
      <c r="H20" s="247">
        <v>1000</v>
      </c>
      <c r="I20" s="256">
        <f>1299.07-28.25</f>
        <v>1270.82</v>
      </c>
      <c r="K20" s="243"/>
      <c r="L20" s="246"/>
      <c r="M20" s="246"/>
      <c r="N20" s="246"/>
      <c r="P20" s="436"/>
      <c r="Q20" s="229"/>
      <c r="R20" s="436"/>
    </row>
    <row r="21" spans="1:19" ht="15.75">
      <c r="A21" s="249" t="s">
        <v>1144</v>
      </c>
      <c r="B21" s="717" t="s">
        <v>336</v>
      </c>
      <c r="C21" s="234"/>
      <c r="D21" s="728"/>
      <c r="E21" s="728"/>
      <c r="F21" s="234"/>
      <c r="G21" s="577"/>
      <c r="H21" s="210"/>
      <c r="I21" s="577"/>
      <c r="J21" s="210"/>
      <c r="K21" s="243"/>
      <c r="L21" s="246"/>
      <c r="M21" s="246"/>
      <c r="N21" s="246"/>
      <c r="Q21" s="229">
        <v>14.37</v>
      </c>
      <c r="R21" s="436"/>
    </row>
    <row r="22" spans="1:19" ht="15.75">
      <c r="A22" s="249" t="s">
        <v>1145</v>
      </c>
      <c r="B22" s="228" t="s">
        <v>1146</v>
      </c>
      <c r="C22" s="20">
        <v>3000</v>
      </c>
      <c r="D22" s="20">
        <v>4640</v>
      </c>
      <c r="E22" s="20">
        <v>1236.6500000000001</v>
      </c>
      <c r="F22" s="20">
        <v>2500</v>
      </c>
      <c r="G22" s="1">
        <v>2135.31</v>
      </c>
      <c r="H22" s="247">
        <v>5662</v>
      </c>
      <c r="I22" s="256">
        <v>6549.68</v>
      </c>
      <c r="J22" s="243">
        <v>5500</v>
      </c>
      <c r="K22" s="243">
        <v>5561.46</v>
      </c>
      <c r="L22" s="246">
        <v>7000</v>
      </c>
      <c r="M22" s="246">
        <v>1703.72</v>
      </c>
      <c r="N22" s="246">
        <v>5000</v>
      </c>
      <c r="O22" s="228">
        <v>121.75</v>
      </c>
      <c r="P22" s="436">
        <v>10000</v>
      </c>
      <c r="Q22" s="229">
        <v>3076.71</v>
      </c>
      <c r="R22" s="436">
        <v>7000</v>
      </c>
    </row>
    <row r="23" spans="1:19" ht="15.75">
      <c r="A23" s="249" t="s">
        <v>1147</v>
      </c>
      <c r="B23" s="228" t="s">
        <v>1148</v>
      </c>
      <c r="C23" s="20">
        <v>3000</v>
      </c>
      <c r="D23" s="20">
        <v>4640</v>
      </c>
      <c r="E23" s="20">
        <v>3115.79</v>
      </c>
      <c r="F23" s="20">
        <v>8000</v>
      </c>
      <c r="G23" s="1">
        <v>3704.22</v>
      </c>
      <c r="H23" s="247">
        <v>9650</v>
      </c>
      <c r="I23" s="256">
        <v>10725.24</v>
      </c>
      <c r="J23" s="243">
        <v>10000</v>
      </c>
      <c r="K23" s="243">
        <v>5124.43</v>
      </c>
      <c r="L23" s="246">
        <v>10000</v>
      </c>
      <c r="M23" s="246">
        <v>375.59</v>
      </c>
      <c r="N23" s="246">
        <v>4000</v>
      </c>
      <c r="O23" s="228">
        <v>596.12</v>
      </c>
      <c r="P23" s="228">
        <v>7271.29</v>
      </c>
      <c r="Q23" s="229">
        <v>5312.81</v>
      </c>
      <c r="R23" s="436">
        <v>4636</v>
      </c>
      <c r="S23" s="579">
        <v>7.4999999999999997E-3</v>
      </c>
    </row>
    <row r="24" spans="1:19" ht="15.75">
      <c r="A24" s="249" t="s">
        <v>1149</v>
      </c>
      <c r="B24" s="228" t="s">
        <v>1150</v>
      </c>
      <c r="C24" s="20">
        <v>4000</v>
      </c>
      <c r="D24" s="20">
        <v>6032</v>
      </c>
      <c r="E24" s="20">
        <v>8962.41</v>
      </c>
      <c r="F24" s="20">
        <v>10000</v>
      </c>
      <c r="G24" s="1">
        <v>14014.41</v>
      </c>
      <c r="H24" s="247">
        <v>15500</v>
      </c>
      <c r="I24" s="256">
        <v>8183.58</v>
      </c>
      <c r="J24" s="243">
        <v>16000</v>
      </c>
      <c r="K24" s="243">
        <v>6918.1</v>
      </c>
      <c r="L24" s="246">
        <v>16000</v>
      </c>
      <c r="M24" s="246">
        <v>3126.54</v>
      </c>
      <c r="N24" s="246">
        <v>7500</v>
      </c>
      <c r="O24" s="228">
        <v>484.33</v>
      </c>
      <c r="P24" s="228">
        <v>15534.3</v>
      </c>
      <c r="Q24" s="229">
        <v>3516.68</v>
      </c>
      <c r="R24" s="436">
        <v>15176</v>
      </c>
      <c r="S24" s="580">
        <v>0.01</v>
      </c>
    </row>
    <row r="25" spans="1:19" ht="15.75">
      <c r="A25" s="578" t="s">
        <v>1151</v>
      </c>
      <c r="B25" s="228" t="s">
        <v>1152</v>
      </c>
      <c r="C25" s="234"/>
      <c r="D25" s="728"/>
      <c r="E25" s="728"/>
      <c r="F25" s="234"/>
      <c r="G25" s="577"/>
      <c r="H25" s="210"/>
      <c r="I25" s="577"/>
      <c r="J25" s="210"/>
      <c r="K25" s="243"/>
      <c r="L25" s="246"/>
      <c r="M25" s="246"/>
      <c r="N25" s="246"/>
      <c r="Q25" s="229"/>
      <c r="R25" s="436">
        <v>6000</v>
      </c>
      <c r="S25" s="228" t="s">
        <v>1153</v>
      </c>
    </row>
    <row r="26" spans="1:19" ht="15.75">
      <c r="A26" s="249" t="s">
        <v>1154</v>
      </c>
      <c r="B26" s="228" t="s">
        <v>1155</v>
      </c>
      <c r="C26" s="20">
        <v>15000</v>
      </c>
      <c r="D26" s="20">
        <v>24560</v>
      </c>
      <c r="E26" s="20">
        <v>19887.66</v>
      </c>
      <c r="F26" s="20">
        <v>18000</v>
      </c>
      <c r="G26" s="1">
        <v>20422.16</v>
      </c>
      <c r="H26" s="247">
        <v>27000</v>
      </c>
      <c r="I26" s="256">
        <v>14877.49</v>
      </c>
      <c r="J26" s="243">
        <v>25000</v>
      </c>
      <c r="K26" s="243">
        <v>11737.35</v>
      </c>
      <c r="L26" s="246">
        <v>2000</v>
      </c>
      <c r="M26" s="246">
        <v>37.369999999999997</v>
      </c>
      <c r="N26" s="246">
        <v>1000</v>
      </c>
      <c r="O26" s="228">
        <v>141.81</v>
      </c>
      <c r="Q26" s="229"/>
      <c r="R26" s="436"/>
    </row>
    <row r="27" spans="1:19" ht="15.75">
      <c r="A27" s="249" t="s">
        <v>1156</v>
      </c>
      <c r="B27" s="228" t="s">
        <v>1157</v>
      </c>
      <c r="C27" s="20">
        <v>8600</v>
      </c>
      <c r="D27" s="20">
        <v>8960</v>
      </c>
      <c r="E27" s="20">
        <v>9324.2900000000009</v>
      </c>
      <c r="F27" s="20">
        <v>5000</v>
      </c>
      <c r="G27" s="1">
        <v>5110.9399999999996</v>
      </c>
      <c r="H27" s="247">
        <v>6500</v>
      </c>
      <c r="I27" s="256">
        <v>6849.13</v>
      </c>
      <c r="J27" s="243">
        <v>4000</v>
      </c>
      <c r="K27" s="243">
        <v>16.809999999999999</v>
      </c>
      <c r="L27" s="246">
        <v>4000</v>
      </c>
      <c r="M27" s="246">
        <v>75.989999999999995</v>
      </c>
      <c r="N27" s="246">
        <v>1500</v>
      </c>
      <c r="O27" s="228">
        <v>450.8</v>
      </c>
      <c r="Q27" s="229">
        <v>391.48</v>
      </c>
      <c r="R27" s="436">
        <v>6000</v>
      </c>
      <c r="S27" s="581" t="s">
        <v>1158</v>
      </c>
    </row>
    <row r="28" spans="1:19" ht="15.75">
      <c r="A28" s="249" t="s">
        <v>1159</v>
      </c>
      <c r="B28" s="228" t="s">
        <v>1160</v>
      </c>
      <c r="C28" s="20">
        <v>500</v>
      </c>
      <c r="D28" s="20">
        <v>928</v>
      </c>
      <c r="E28" s="20">
        <v>203.09</v>
      </c>
      <c r="F28" s="20">
        <v>1000</v>
      </c>
      <c r="G28" s="1">
        <v>994.69</v>
      </c>
      <c r="H28" s="247">
        <v>1875</v>
      </c>
      <c r="I28" s="256">
        <v>1600.67</v>
      </c>
      <c r="J28" s="243">
        <v>1000</v>
      </c>
      <c r="K28" s="243">
        <v>460.41</v>
      </c>
      <c r="L28" s="246">
        <v>2500</v>
      </c>
      <c r="M28" s="246">
        <v>51.34</v>
      </c>
      <c r="N28" s="246">
        <v>200</v>
      </c>
      <c r="O28" s="228">
        <v>0</v>
      </c>
      <c r="Q28" s="229"/>
      <c r="R28" s="436">
        <v>970</v>
      </c>
      <c r="S28" s="581">
        <v>0.02</v>
      </c>
    </row>
    <row r="29" spans="1:19" ht="15.75">
      <c r="A29" s="249" t="s">
        <v>1161</v>
      </c>
      <c r="B29" s="228" t="s">
        <v>1162</v>
      </c>
      <c r="C29" s="20"/>
      <c r="D29" s="20">
        <v>1000</v>
      </c>
      <c r="E29" s="20">
        <v>0</v>
      </c>
      <c r="F29" s="20">
        <v>1409.6</v>
      </c>
      <c r="G29" s="1">
        <v>32.880000000000003</v>
      </c>
      <c r="H29" s="247">
        <v>1500</v>
      </c>
      <c r="I29" s="256">
        <v>1760.11</v>
      </c>
      <c r="J29" s="243">
        <v>1500</v>
      </c>
      <c r="K29" s="243">
        <v>1236.5</v>
      </c>
      <c r="L29" s="246">
        <v>1500</v>
      </c>
      <c r="M29" s="246">
        <v>44.43</v>
      </c>
      <c r="N29" s="246">
        <v>1500</v>
      </c>
      <c r="O29" s="228">
        <v>164.31</v>
      </c>
      <c r="P29" s="228">
        <v>7268</v>
      </c>
      <c r="Q29" s="229">
        <v>213.53</v>
      </c>
      <c r="R29" s="436">
        <v>7466</v>
      </c>
      <c r="S29" s="582">
        <v>0.01</v>
      </c>
    </row>
    <row r="30" spans="1:19" ht="15.75">
      <c r="A30" s="228" t="s">
        <v>1163</v>
      </c>
      <c r="B30" s="228" t="s">
        <v>114</v>
      </c>
      <c r="C30" s="20"/>
      <c r="D30" s="20"/>
      <c r="E30" s="20"/>
      <c r="F30" s="20">
        <v>5000</v>
      </c>
      <c r="G30" s="1">
        <v>0</v>
      </c>
      <c r="H30" s="247">
        <v>5000</v>
      </c>
      <c r="I30" s="256"/>
      <c r="J30" s="243">
        <v>5000</v>
      </c>
      <c r="K30" s="243"/>
      <c r="L30" s="246">
        <v>5000</v>
      </c>
      <c r="M30" s="246">
        <v>0</v>
      </c>
      <c r="N30" s="246">
        <v>1306.25</v>
      </c>
      <c r="O30" s="228">
        <v>30</v>
      </c>
      <c r="P30" s="228">
        <v>1000</v>
      </c>
      <c r="Q30" s="229"/>
      <c r="R30" s="436"/>
    </row>
    <row r="31" spans="1:19" ht="15.75">
      <c r="B31" s="228" t="s">
        <v>265</v>
      </c>
      <c r="C31" s="20">
        <v>0</v>
      </c>
      <c r="D31" s="20">
        <v>0</v>
      </c>
      <c r="E31" s="20">
        <v>0</v>
      </c>
      <c r="F31" s="20">
        <v>0</v>
      </c>
      <c r="G31" s="1"/>
      <c r="H31" s="247"/>
      <c r="I31" s="256"/>
      <c r="K31" s="243"/>
      <c r="L31" s="413"/>
      <c r="M31" s="413"/>
      <c r="N31" s="413" t="s">
        <v>945</v>
      </c>
      <c r="Q31" s="229"/>
      <c r="R31" s="436"/>
    </row>
    <row r="32" spans="1:19" ht="15.75">
      <c r="A32" s="228" t="s">
        <v>1164</v>
      </c>
      <c r="B32" s="228" t="s">
        <v>110</v>
      </c>
      <c r="C32" s="20">
        <v>0</v>
      </c>
      <c r="D32" s="20">
        <v>0</v>
      </c>
      <c r="E32" s="20">
        <v>0</v>
      </c>
      <c r="F32" s="20">
        <v>0</v>
      </c>
      <c r="G32" s="1"/>
      <c r="H32" s="247"/>
      <c r="I32" s="256"/>
      <c r="K32" s="243">
        <v>521.29999999999995</v>
      </c>
      <c r="L32" s="413"/>
      <c r="M32" s="413"/>
      <c r="N32" s="381">
        <v>688.9</v>
      </c>
      <c r="O32" s="228">
        <v>688.91</v>
      </c>
      <c r="P32" s="436"/>
      <c r="Q32" s="229">
        <v>135.86000000000001</v>
      </c>
      <c r="R32" s="436"/>
    </row>
    <row r="33" spans="2:18" ht="13.5" thickBot="1">
      <c r="B33" s="19" t="s">
        <v>21</v>
      </c>
      <c r="C33" s="178">
        <f>SUBTOTAL(109,MarketingGeneralExpenses758197[Budget 14/15])</f>
        <v>39400</v>
      </c>
      <c r="D33" s="178">
        <f>SUBTOTAL(109,MarketingGeneralExpenses758197[Budget 15/16])</f>
        <v>57240</v>
      </c>
      <c r="E33" s="178">
        <f>SUBTOTAL(109,MarketingGeneralExpenses758197[Actual 15/16])</f>
        <v>47187.609999999993</v>
      </c>
      <c r="F33" s="178">
        <f>SUBTOTAL(109,MarketingGeneralExpenses758197[budget 16/17])</f>
        <v>52669.599999999999</v>
      </c>
      <c r="G33" s="178">
        <f>SUBTOTAL(109,MarketingGeneralExpenses758197[budget 16/18])</f>
        <v>50564.560000000005</v>
      </c>
      <c r="H33" s="178">
        <f>SUBTOTAL(109,MarketingGeneralExpenses758197[Budget 17/18])</f>
        <v>76447</v>
      </c>
      <c r="I33" s="178">
        <f>SUBTOTAL(109,MarketingGeneralExpenses758197[Actual 17/18])</f>
        <v>53156.759999999995</v>
      </c>
      <c r="J33" s="178">
        <f>SUBTOTAL(109,MarketingGeneralExpenses758197[Budget 18/19])</f>
        <v>70310</v>
      </c>
      <c r="K33" s="178">
        <f>SUBTOTAL(109,MarketingGeneralExpenses758197[Actual 18/19])</f>
        <v>33059.240000000005</v>
      </c>
      <c r="L33" s="178">
        <f>SUM(L8:L32)</f>
        <v>95305.040000000008</v>
      </c>
      <c r="M33" s="178">
        <f>SUM(MarketingGeneralExpenses758197[Actual 19/20])</f>
        <v>29410.360000000004</v>
      </c>
      <c r="N33" s="178">
        <f>SUM(N8:N32)</f>
        <v>41276.560000000005</v>
      </c>
      <c r="O33" s="178">
        <f>SUM(O8:O32)</f>
        <v>7443.920000000001</v>
      </c>
      <c r="P33" s="178">
        <f>SUM(P8:P32)</f>
        <v>82552.09</v>
      </c>
      <c r="Q33" s="21">
        <f>SUBTOTAL(109,MarketingGeneralExpenses758197[Actuals 21/22])</f>
        <v>24148.38</v>
      </c>
      <c r="R33" s="178">
        <f>SUM(MarketingGeneralExpenses758197[Budget 22/23])</f>
        <v>48248</v>
      </c>
    </row>
    <row r="34" spans="2:18" ht="19.5" thickBot="1">
      <c r="B34" s="676" t="s">
        <v>127</v>
      </c>
      <c r="C34" s="233">
        <f>(MarketingGeneralRevenues718082[[#Totals],[Budget 14/15]]) -MarketingGeneralExpenses758197[[#Totals],[Budget 14/15]]</f>
        <v>7000</v>
      </c>
      <c r="D34" s="233">
        <f>(MarketingGeneralRevenues718082[[#Totals],[Budget 15/16]]) -MarketingGeneralExpenses758197[[#Totals],[Budget 15/16]]</f>
        <v>11760</v>
      </c>
      <c r="E34" s="233">
        <f>(MarketingGeneralRevenues718082[[#Totals],[Actual 15/16]]) -MarketingGeneralExpenses758197[[#Totals],[Actual 15/16]]</f>
        <v>13730.590000000004</v>
      </c>
      <c r="F34" s="233">
        <f>(MarketingGeneralRevenues718082[[#Totals],[Budget 16/17]]) -MarketingGeneralExpenses758197[[#Totals],[budget 16/17]]</f>
        <v>0</v>
      </c>
      <c r="G34" s="233">
        <f>(MarketingGeneralRevenues718082[[#Totals],[Budget 16/18]]) -MarketingGeneralExpenses758197[[#Totals],[budget 16/18]]</f>
        <v>10353.639999999992</v>
      </c>
      <c r="H34" s="233">
        <f>(MarketingGeneralRevenues718082[[#Totals],[Budget 17/18]]) -MarketingGeneralExpenses758197[[#Totals],[Budget 17/18]]</f>
        <v>0</v>
      </c>
      <c r="I34" s="233">
        <f>(MarketingGeneralRevenues718082[[#Totals],[Actual 17/18]]) -MarketingGeneralExpenses758197[[#Totals],[Actual 17/18]]</f>
        <v>8543.2700000000041</v>
      </c>
      <c r="J34" s="244">
        <f>MarketingGeneralRevenues718082[[#Totals],[Budget 18/19]]-MarketingGeneralExpenses758197[[#Totals],[Budget 18/19]]</f>
        <v>0</v>
      </c>
      <c r="K34" s="244">
        <f>MarketingGeneralRevenues718082[[#Totals],[Actual 18/19]]-MarketingGeneralExpenses758197[[#Totals],[Actual 18/19]]</f>
        <v>10792.009999999995</v>
      </c>
      <c r="L34" s="231">
        <f>MarketingGeneralRevenues718082[[#Totals],[Budget 2019/20]]-MarketingGeneralExpenses758197[[#Totals],[Budget 2019/20]]</f>
        <v>0</v>
      </c>
      <c r="M34" s="231">
        <f>MarketingGeneralRevenues718082[[#Totals],[Actual 19/20]]-MarketingGeneralExpenses758197[[#Totals],[Actual 19/20]]</f>
        <v>-4646.190000000006</v>
      </c>
      <c r="N34" s="231" t="e">
        <f>MarketingGeneralRevenues718082[[#Totals],[Budget 20/21]]-MarketingGeneralExpenses758197[[#Totals],[Budget 20/21]]</f>
        <v>#REF!</v>
      </c>
      <c r="O34" s="231">
        <f>MarketingGeneralRevenues718082[[#Totals],[Actual 20/212]]-MarketingGeneralExpenses758197[[#Totals],[Actual 20/212]]</f>
        <v>-5612.2000000000007</v>
      </c>
      <c r="P34" s="231">
        <f>MarketingGeneralRevenues718082[[#Totals],[Budget 21/22]]-MarketingGeneralExpenses758197[[#Totals],[Budget 21/22]]</f>
        <v>-29452.089999999997</v>
      </c>
      <c r="Q34" s="231">
        <f>MarketingGeneralRevenues718082[[#Totals],[Actuals 21/22]]-MarketingGeneralExpenses758197[[#Totals],[Actuals 21/22]]</f>
        <v>20152.990000000002</v>
      </c>
      <c r="R34" s="231" t="e">
        <f>MarketingGeneralRevenues718082[[#Totals],[Budget 22/23]]-MarketingGeneralExpenses758197[[#Totals],[Budget 22/23]]</f>
        <v>#REF!</v>
      </c>
    </row>
    <row r="35" spans="2:18">
      <c r="D35" s="230"/>
      <c r="E35" s="230"/>
      <c r="F35" s="230"/>
      <c r="G35" s="230"/>
    </row>
  </sheetData>
  <phoneticPr fontId="117" type="noConversion"/>
  <pageMargins left="0.7" right="0.7" top="0.75" bottom="0.75" header="0.3" footer="0.3"/>
  <pageSetup scale="67" orientation="landscape" r:id="rId1"/>
  <legacyDrawing r:id="rId2"/>
  <tableParts count="2">
    <tablePart r:id="rId3"/>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5" tint="0.39997558519241921"/>
    <pageSetUpPr fitToPage="1"/>
  </sheetPr>
  <dimension ref="A1:AA51"/>
  <sheetViews>
    <sheetView showGridLines="0" zoomScale="90" zoomScaleNormal="90" workbookViewId="0">
      <selection activeCell="AB22" sqref="AB22"/>
    </sheetView>
  </sheetViews>
  <sheetFormatPr defaultColWidth="11.42578125" defaultRowHeight="12.75"/>
  <cols>
    <col min="1" max="1" width="13.42578125" style="11" customWidth="1"/>
    <col min="2" max="2" width="37.42578125" style="11" customWidth="1"/>
    <col min="3" max="8" width="17.140625" style="11" hidden="1" customWidth="1"/>
    <col min="9" max="10" width="18.42578125" style="11" hidden="1" customWidth="1"/>
    <col min="11" max="13" width="17.140625" style="11" hidden="1" customWidth="1"/>
    <col min="14" max="14" width="20" style="11" hidden="1" customWidth="1"/>
    <col min="15" max="15" width="16.85546875" style="132" hidden="1" customWidth="1"/>
    <col min="16" max="16" width="16.85546875" style="11" hidden="1" customWidth="1"/>
    <col min="17" max="18" width="17" style="11" hidden="1" customWidth="1"/>
    <col min="19" max="22" width="16" style="11" hidden="1" customWidth="1"/>
    <col min="23" max="23" width="17.85546875" style="11" hidden="1" customWidth="1"/>
    <col min="24" max="24" width="17.28515625" style="11" hidden="1" customWidth="1"/>
    <col min="25" max="25" width="17.42578125" style="11" bestFit="1" customWidth="1"/>
    <col min="26" max="26" width="16.42578125" style="11" customWidth="1"/>
    <col min="27" max="27" width="19.28515625" style="11" customWidth="1"/>
    <col min="28" max="16384" width="11.42578125" style="11"/>
  </cols>
  <sheetData>
    <row r="1" spans="1:27" ht="18">
      <c r="A1" s="758" t="s">
        <v>70</v>
      </c>
      <c r="B1" s="758"/>
    </row>
    <row r="2" spans="1:27">
      <c r="A2" s="28" t="s">
        <v>71</v>
      </c>
      <c r="B2" s="24"/>
    </row>
    <row r="4" spans="1:27">
      <c r="B4" s="11" t="s">
        <v>72</v>
      </c>
      <c r="C4" s="11" t="s">
        <v>73</v>
      </c>
      <c r="D4" s="11" t="s">
        <v>74</v>
      </c>
      <c r="E4" s="11" t="s">
        <v>75</v>
      </c>
      <c r="F4" s="11" t="s">
        <v>76</v>
      </c>
      <c r="G4" s="11" t="s">
        <v>77</v>
      </c>
      <c r="H4" s="11" t="s">
        <v>78</v>
      </c>
      <c r="I4" s="11" t="s">
        <v>5</v>
      </c>
      <c r="J4" s="11" t="s">
        <v>6</v>
      </c>
      <c r="K4" s="11" t="s">
        <v>7</v>
      </c>
      <c r="L4" s="11" t="s">
        <v>79</v>
      </c>
      <c r="M4" s="11" t="s">
        <v>9</v>
      </c>
      <c r="N4" s="119" t="s">
        <v>80</v>
      </c>
      <c r="O4" s="11" t="s">
        <v>11</v>
      </c>
      <c r="P4" s="11" t="s">
        <v>12</v>
      </c>
      <c r="Q4" s="11" t="s">
        <v>13</v>
      </c>
      <c r="R4" s="11" t="s">
        <v>14</v>
      </c>
      <c r="S4" s="11" t="s">
        <v>15</v>
      </c>
      <c r="T4" s="11" t="s">
        <v>39</v>
      </c>
      <c r="U4" s="11" t="s">
        <v>16</v>
      </c>
      <c r="V4" s="11" t="s">
        <v>81</v>
      </c>
      <c r="W4" s="11" t="s">
        <v>17</v>
      </c>
      <c r="X4" s="359" t="s">
        <v>40</v>
      </c>
      <c r="Y4" s="359" t="s">
        <v>41</v>
      </c>
      <c r="Z4" s="11" t="s">
        <v>42</v>
      </c>
      <c r="AA4" s="11" t="s">
        <v>43</v>
      </c>
    </row>
    <row r="5" spans="1:27">
      <c r="B5" s="26"/>
      <c r="C5" s="25">
        <v>0</v>
      </c>
      <c r="D5" s="25">
        <v>0</v>
      </c>
      <c r="E5" s="25">
        <v>0</v>
      </c>
      <c r="F5" s="25">
        <v>0</v>
      </c>
      <c r="G5" s="25">
        <v>0</v>
      </c>
      <c r="H5" s="25">
        <v>0</v>
      </c>
      <c r="I5" s="25">
        <v>0</v>
      </c>
      <c r="J5" s="25">
        <v>0</v>
      </c>
      <c r="K5" s="25">
        <v>0</v>
      </c>
      <c r="L5" s="25">
        <v>0</v>
      </c>
      <c r="M5" s="25">
        <v>0</v>
      </c>
      <c r="N5" s="133">
        <v>0</v>
      </c>
      <c r="O5" s="25">
        <v>0</v>
      </c>
      <c r="P5" s="25">
        <v>0</v>
      </c>
      <c r="Q5" s="25">
        <v>0</v>
      </c>
      <c r="R5" s="25"/>
      <c r="S5" s="25"/>
      <c r="T5" s="25"/>
      <c r="U5" s="25"/>
      <c r="V5" s="25"/>
      <c r="W5" s="25"/>
      <c r="X5" s="25"/>
      <c r="Y5" s="25"/>
      <c r="Z5" s="172"/>
      <c r="AA5" s="172"/>
    </row>
    <row r="6" spans="1:27">
      <c r="A6" s="287"/>
      <c r="B6" s="11" t="s">
        <v>82</v>
      </c>
      <c r="C6" s="178">
        <f>SUBTOTAL(109,PresidentRevenues[Budget 10/11])</f>
        <v>0</v>
      </c>
      <c r="D6" s="178">
        <f>SUBTOTAL(109,PresidentRevenues[Actual 10/11])</f>
        <v>0</v>
      </c>
      <c r="E6" s="178">
        <f>SUBTOTAL(109,PresidentRevenues[Budget 11/12])</f>
        <v>0</v>
      </c>
      <c r="F6" s="178">
        <f>SUBTOTAL(109,PresidentRevenues[Actual 11/12])</f>
        <v>0</v>
      </c>
      <c r="G6" s="178">
        <f>SUBTOTAL(109,PresidentRevenues[Budget 12/13])</f>
        <v>0</v>
      </c>
      <c r="H6" s="178">
        <f>SUBTOTAL(109,PresidentRevenues[Actual 12/13])</f>
        <v>0</v>
      </c>
      <c r="I6" s="178">
        <f>SUBTOTAL(109,PresidentRevenues[Budget 13/14])</f>
        <v>0</v>
      </c>
      <c r="J6" s="178">
        <f>SUBTOTAL(109,PresidentRevenues[Actual 13/14])</f>
        <v>0</v>
      </c>
      <c r="K6" s="178">
        <f>SUBTOTAL(109,PresidentRevenues[Budget 14/15])</f>
        <v>0</v>
      </c>
      <c r="L6" s="178">
        <f>SUBTOTAL(109,PresidentRevenues[Actuals 14/15])</f>
        <v>0</v>
      </c>
      <c r="M6" s="178">
        <f>SUBTOTAL(109,PresidentRevenues[Budget 15/16])</f>
        <v>0</v>
      </c>
      <c r="N6" s="145">
        <f>SUBTOTAL(109,PresidentRevenues[Actuals 15/16])</f>
        <v>0</v>
      </c>
      <c r="O6" s="178">
        <f>SUBTOTAL(109,PresidentRevenues[Budget 16/17])</f>
        <v>0</v>
      </c>
      <c r="P6" s="178">
        <f>SUBTOTAL(109,PresidentRevenues[Actual 16/17])</f>
        <v>0</v>
      </c>
      <c r="Q6" s="178">
        <f>SUBTOTAL(109,PresidentRevenues[Budget 17/18])</f>
        <v>0</v>
      </c>
    </row>
    <row r="8" spans="1:27">
      <c r="A8" s="49" t="s">
        <v>83</v>
      </c>
      <c r="B8" s="11" t="s">
        <v>22</v>
      </c>
      <c r="C8" s="11" t="s">
        <v>73</v>
      </c>
      <c r="D8" s="11" t="s">
        <v>74</v>
      </c>
      <c r="E8" s="11" t="s">
        <v>75</v>
      </c>
      <c r="F8" s="11" t="s">
        <v>76</v>
      </c>
      <c r="G8" s="11" t="s">
        <v>77</v>
      </c>
      <c r="H8" s="11" t="s">
        <v>78</v>
      </c>
      <c r="I8" s="11" t="s">
        <v>5</v>
      </c>
      <c r="J8" s="11" t="s">
        <v>6</v>
      </c>
      <c r="K8" s="11" t="s">
        <v>7</v>
      </c>
      <c r="L8" s="11" t="s">
        <v>79</v>
      </c>
      <c r="M8" s="11" t="s">
        <v>9</v>
      </c>
      <c r="N8" s="119" t="s">
        <v>10</v>
      </c>
      <c r="O8" s="11" t="s">
        <v>11</v>
      </c>
      <c r="P8" s="11" t="s">
        <v>12</v>
      </c>
      <c r="Q8" s="11" t="s">
        <v>13</v>
      </c>
      <c r="R8" s="359" t="s">
        <v>14</v>
      </c>
      <c r="S8" s="359" t="s">
        <v>15</v>
      </c>
      <c r="T8" s="359" t="s">
        <v>39</v>
      </c>
      <c r="U8" s="359" t="s">
        <v>16</v>
      </c>
      <c r="V8" s="359"/>
      <c r="W8" s="359" t="s">
        <v>17</v>
      </c>
      <c r="X8" s="359" t="s">
        <v>40</v>
      </c>
      <c r="Y8" s="359" t="s">
        <v>41</v>
      </c>
      <c r="Z8" s="608" t="s">
        <v>42</v>
      </c>
      <c r="AA8" s="608" t="s">
        <v>43</v>
      </c>
    </row>
    <row r="9" spans="1:27">
      <c r="A9" s="49" t="s">
        <v>84</v>
      </c>
      <c r="B9" s="11" t="s">
        <v>85</v>
      </c>
      <c r="C9" s="25">
        <v>45785.18</v>
      </c>
      <c r="D9" s="25">
        <v>45629.24</v>
      </c>
      <c r="E9" s="25">
        <v>46794.6</v>
      </c>
      <c r="F9" s="25">
        <v>45689.64</v>
      </c>
      <c r="G9" s="25">
        <v>47964.464999999997</v>
      </c>
      <c r="H9" s="25">
        <v>50574.66</v>
      </c>
      <c r="I9" s="25">
        <f>49596-1487.88</f>
        <v>48108.12</v>
      </c>
      <c r="J9" s="25">
        <v>51112.73</v>
      </c>
      <c r="K9" s="25">
        <v>47532.4</v>
      </c>
      <c r="L9" s="25">
        <v>47394.42</v>
      </c>
      <c r="M9" s="25">
        <v>46532.4</v>
      </c>
      <c r="N9" s="25">
        <v>45702.73</v>
      </c>
      <c r="O9" s="25">
        <f>VPEDExpenses[[#This Row],[Budget 15/16]]*1.011</f>
        <v>47044.256399999998</v>
      </c>
      <c r="P9" s="25">
        <v>47044.26</v>
      </c>
      <c r="Q9" s="25">
        <v>47702.87</v>
      </c>
      <c r="R9" s="609">
        <v>47746.19</v>
      </c>
      <c r="S9" s="609">
        <v>48227.6</v>
      </c>
      <c r="T9" s="609">
        <v>52477.42</v>
      </c>
      <c r="U9" s="609">
        <v>50060.76</v>
      </c>
      <c r="V9" s="609">
        <v>53636.87</v>
      </c>
      <c r="W9" s="609">
        <v>50060.76</v>
      </c>
      <c r="X9" s="609">
        <v>56397.279999999999</v>
      </c>
      <c r="Y9" s="609">
        <v>51520.231397039999</v>
      </c>
      <c r="Z9" s="609">
        <v>56800.18</v>
      </c>
      <c r="AA9" s="599">
        <f>53271.68*2/3+17500</f>
        <v>53014.453333333331</v>
      </c>
    </row>
    <row r="10" spans="1:27">
      <c r="A10" s="49"/>
      <c r="B10" s="11" t="s">
        <v>86</v>
      </c>
      <c r="C10" s="25"/>
      <c r="D10" s="25"/>
      <c r="E10" s="25"/>
      <c r="F10" s="25"/>
      <c r="G10" s="25"/>
      <c r="H10" s="25"/>
      <c r="I10" s="25"/>
      <c r="J10" s="25"/>
      <c r="K10" s="25"/>
      <c r="L10" s="25"/>
      <c r="M10" s="25">
        <v>4466.76</v>
      </c>
      <c r="N10" s="25"/>
      <c r="O10" s="25">
        <f>VPEDExpenses[[#This Row],[Budget 15/16]]*1.011</f>
        <v>4515.8943599999993</v>
      </c>
      <c r="P10" s="25">
        <v>4515.8900000000003</v>
      </c>
      <c r="Q10" s="25">
        <v>4579.1099999999997</v>
      </c>
      <c r="R10" s="609">
        <v>4535.79</v>
      </c>
      <c r="S10" s="609">
        <v>4629.4799999999996</v>
      </c>
      <c r="T10" s="609"/>
      <c r="U10" s="609">
        <f>0.13*U9</f>
        <v>6507.8988000000008</v>
      </c>
      <c r="V10" s="609"/>
      <c r="W10" s="609">
        <f>0.13*W9</f>
        <v>6507.8988000000008</v>
      </c>
      <c r="X10" s="609"/>
      <c r="Y10" s="609">
        <f>0.13*Y9</f>
        <v>6697.6300816151997</v>
      </c>
      <c r="Z10" s="609">
        <v>0</v>
      </c>
      <c r="AA10" s="599">
        <f>AA9*0.13</f>
        <v>6891.8789333333334</v>
      </c>
    </row>
    <row r="11" spans="1:27">
      <c r="A11" s="49" t="s">
        <v>87</v>
      </c>
      <c r="B11" s="11" t="s">
        <v>88</v>
      </c>
      <c r="C11" s="25">
        <v>0</v>
      </c>
      <c r="D11" s="25">
        <v>0</v>
      </c>
      <c r="E11" s="25">
        <v>0</v>
      </c>
      <c r="F11" s="25">
        <v>0</v>
      </c>
      <c r="G11" s="25">
        <v>1250</v>
      </c>
      <c r="H11" s="25">
        <v>92.56</v>
      </c>
      <c r="I11" s="25">
        <v>3500</v>
      </c>
      <c r="J11" s="25">
        <v>0</v>
      </c>
      <c r="K11" s="25">
        <v>1890</v>
      </c>
      <c r="L11" s="25">
        <v>941.49</v>
      </c>
      <c r="M11" s="25">
        <v>1500</v>
      </c>
      <c r="N11" s="25">
        <v>0</v>
      </c>
      <c r="O11" s="25">
        <v>1500</v>
      </c>
      <c r="P11" s="25">
        <v>2535.1</v>
      </c>
      <c r="Q11" s="25">
        <v>3500</v>
      </c>
      <c r="R11" s="609"/>
      <c r="S11" s="609">
        <v>3000</v>
      </c>
      <c r="T11" s="609">
        <v>505.29</v>
      </c>
      <c r="U11" s="609"/>
      <c r="V11" s="609">
        <v>0</v>
      </c>
      <c r="W11" s="609">
        <v>750</v>
      </c>
      <c r="X11" s="609">
        <v>776.93</v>
      </c>
      <c r="Y11" s="609">
        <v>750</v>
      </c>
      <c r="Z11" s="609">
        <v>924.37</v>
      </c>
      <c r="AA11" s="609"/>
    </row>
    <row r="12" spans="1:27">
      <c r="A12" s="49"/>
      <c r="B12" s="361" t="s">
        <v>89</v>
      </c>
      <c r="C12" s="360"/>
      <c r="D12" s="360"/>
      <c r="E12" s="360"/>
      <c r="F12" s="360"/>
      <c r="G12" s="360"/>
      <c r="H12" s="360"/>
      <c r="I12" s="360"/>
      <c r="J12" s="360"/>
      <c r="K12" s="360"/>
      <c r="L12" s="360"/>
      <c r="M12" s="360"/>
      <c r="N12" s="360"/>
      <c r="O12" s="360"/>
      <c r="P12" s="360"/>
      <c r="Q12" s="360"/>
      <c r="R12" s="609"/>
      <c r="S12" s="609"/>
      <c r="T12" s="609"/>
      <c r="U12" s="609"/>
      <c r="V12" s="609"/>
      <c r="W12" s="609">
        <f>13627.055*2/3</f>
        <v>9084.7033333333329</v>
      </c>
      <c r="X12" s="609"/>
      <c r="Y12" s="609"/>
      <c r="Z12" s="609"/>
      <c r="AA12" s="609"/>
    </row>
    <row r="13" spans="1:27">
      <c r="A13" s="49" t="s">
        <v>90</v>
      </c>
      <c r="B13" s="11" t="s">
        <v>91</v>
      </c>
      <c r="C13" s="25">
        <v>0</v>
      </c>
      <c r="D13" s="25">
        <v>0</v>
      </c>
      <c r="E13" s="25">
        <v>0</v>
      </c>
      <c r="F13" s="25">
        <v>193.16</v>
      </c>
      <c r="G13" s="25">
        <v>100</v>
      </c>
      <c r="H13" s="25">
        <v>100</v>
      </c>
      <c r="I13" s="25">
        <f>G13</f>
        <v>100</v>
      </c>
      <c r="J13" s="25">
        <v>89.42</v>
      </c>
      <c r="K13" s="25"/>
      <c r="L13" s="25">
        <v>65.84</v>
      </c>
      <c r="M13" s="25">
        <v>200</v>
      </c>
      <c r="N13" s="25">
        <v>0</v>
      </c>
      <c r="O13" s="25">
        <v>0</v>
      </c>
      <c r="P13" s="25"/>
      <c r="Q13" s="25"/>
      <c r="R13" s="609"/>
      <c r="S13" s="609"/>
      <c r="T13" s="609"/>
      <c r="U13" s="609"/>
      <c r="V13" s="609"/>
      <c r="W13" s="609"/>
      <c r="X13" s="609"/>
      <c r="Y13" s="609"/>
      <c r="Z13" s="609"/>
      <c r="AA13" s="609"/>
    </row>
    <row r="14" spans="1:27">
      <c r="A14" s="49" t="s">
        <v>92</v>
      </c>
      <c r="B14" s="11" t="s">
        <v>93</v>
      </c>
      <c r="C14" s="25">
        <v>750</v>
      </c>
      <c r="D14" s="25">
        <v>332.24</v>
      </c>
      <c r="E14" s="25">
        <v>600</v>
      </c>
      <c r="F14" s="25">
        <v>305.95999999999998</v>
      </c>
      <c r="G14" s="25">
        <v>310</v>
      </c>
      <c r="H14" s="25">
        <v>300</v>
      </c>
      <c r="I14" s="25">
        <v>310</v>
      </c>
      <c r="J14" s="25">
        <v>490.82</v>
      </c>
      <c r="K14" s="25">
        <v>300</v>
      </c>
      <c r="L14" s="25">
        <v>353.74</v>
      </c>
      <c r="M14" s="25">
        <v>300</v>
      </c>
      <c r="N14" s="25">
        <v>275.45</v>
      </c>
      <c r="O14" s="25">
        <v>300</v>
      </c>
      <c r="P14" s="25">
        <v>295</v>
      </c>
      <c r="Q14" s="25">
        <v>300</v>
      </c>
      <c r="R14" s="609">
        <v>272.25</v>
      </c>
      <c r="S14" s="609">
        <v>300</v>
      </c>
      <c r="T14" s="609">
        <v>333.12</v>
      </c>
      <c r="U14" s="609">
        <v>300</v>
      </c>
      <c r="V14" s="609">
        <v>225.86</v>
      </c>
      <c r="W14" s="609">
        <v>300</v>
      </c>
      <c r="X14" s="609">
        <v>143.69999999999999</v>
      </c>
      <c r="Y14" s="609"/>
      <c r="Z14" s="609"/>
      <c r="AA14" s="609"/>
    </row>
    <row r="15" spans="1:27">
      <c r="A15" s="49" t="s">
        <v>94</v>
      </c>
      <c r="B15" s="11" t="s">
        <v>95</v>
      </c>
      <c r="C15" s="25">
        <v>900</v>
      </c>
      <c r="D15" s="25">
        <v>1041.81</v>
      </c>
      <c r="E15" s="25">
        <v>1150</v>
      </c>
      <c r="F15" s="25">
        <v>719.07</v>
      </c>
      <c r="G15" s="25">
        <v>1200</v>
      </c>
      <c r="H15" s="25">
        <v>1358.99</v>
      </c>
      <c r="I15" s="25">
        <v>900</v>
      </c>
      <c r="J15" s="25">
        <v>942.48</v>
      </c>
      <c r="K15" s="25">
        <f>12*70</f>
        <v>840</v>
      </c>
      <c r="L15" s="25">
        <v>557.15</v>
      </c>
      <c r="M15" s="25">
        <f>67.8*12</f>
        <v>813.59999999999991</v>
      </c>
      <c r="N15" s="25">
        <v>813.6</v>
      </c>
      <c r="O15" s="25">
        <v>813.6</v>
      </c>
      <c r="P15" s="25">
        <v>813.6</v>
      </c>
      <c r="Q15" s="25">
        <v>813.6</v>
      </c>
      <c r="R15" s="609">
        <v>813.6</v>
      </c>
      <c r="S15" s="609">
        <v>876</v>
      </c>
      <c r="T15" s="609">
        <v>882.6</v>
      </c>
      <c r="U15" s="609">
        <v>0</v>
      </c>
      <c r="V15" s="609">
        <v>807.95</v>
      </c>
      <c r="W15" s="609">
        <f>12*50</f>
        <v>600</v>
      </c>
      <c r="X15" s="609">
        <v>600</v>
      </c>
      <c r="Y15" s="609">
        <v>600</v>
      </c>
      <c r="Z15" s="609">
        <v>600</v>
      </c>
      <c r="AA15" s="609">
        <v>600</v>
      </c>
    </row>
    <row r="16" spans="1:27">
      <c r="A16" s="49" t="s">
        <v>96</v>
      </c>
      <c r="B16" s="11" t="s">
        <v>97</v>
      </c>
      <c r="C16" s="25">
        <v>5</v>
      </c>
      <c r="D16" s="25">
        <v>0</v>
      </c>
      <c r="E16" s="25">
        <v>5</v>
      </c>
      <c r="F16" s="25">
        <v>0</v>
      </c>
      <c r="G16" s="25">
        <v>5</v>
      </c>
      <c r="H16" s="25">
        <v>0</v>
      </c>
      <c r="I16" s="25">
        <f>G16</f>
        <v>5</v>
      </c>
      <c r="J16" s="25">
        <v>0</v>
      </c>
      <c r="K16" s="25">
        <v>0</v>
      </c>
      <c r="L16" s="25">
        <v>0</v>
      </c>
      <c r="M16" s="25">
        <v>0</v>
      </c>
      <c r="N16" s="25">
        <v>0</v>
      </c>
      <c r="O16" s="25" t="s">
        <v>98</v>
      </c>
      <c r="P16" s="25"/>
      <c r="Q16" s="25"/>
      <c r="R16" s="609"/>
      <c r="S16" s="609"/>
      <c r="T16" s="609"/>
      <c r="U16" s="609"/>
      <c r="V16" s="609">
        <v>0</v>
      </c>
      <c r="W16" s="609"/>
      <c r="X16" s="609"/>
      <c r="Y16" s="609"/>
      <c r="Z16" s="609"/>
      <c r="AA16" s="609"/>
    </row>
    <row r="17" spans="1:27">
      <c r="A17" s="49" t="s">
        <v>99</v>
      </c>
      <c r="B17" s="11" t="s">
        <v>100</v>
      </c>
      <c r="C17" s="25">
        <v>75</v>
      </c>
      <c r="D17" s="25">
        <v>141.36000000000001</v>
      </c>
      <c r="E17" s="25">
        <v>125</v>
      </c>
      <c r="F17" s="25">
        <v>101.19</v>
      </c>
      <c r="G17" s="25">
        <v>150</v>
      </c>
      <c r="H17" s="25">
        <v>259.05</v>
      </c>
      <c r="I17" s="25">
        <f>G17</f>
        <v>150</v>
      </c>
      <c r="J17" s="25">
        <v>330.74</v>
      </c>
      <c r="K17" s="25">
        <v>100</v>
      </c>
      <c r="L17" s="25">
        <v>805.86</v>
      </c>
      <c r="M17" s="25">
        <v>300</v>
      </c>
      <c r="N17" s="25">
        <v>365.59</v>
      </c>
      <c r="O17" s="25">
        <v>300</v>
      </c>
      <c r="P17" s="25"/>
      <c r="Q17" s="25">
        <v>300</v>
      </c>
      <c r="R17" s="609">
        <v>40.18</v>
      </c>
      <c r="S17" s="609">
        <v>100</v>
      </c>
      <c r="T17" s="609">
        <v>58.92</v>
      </c>
      <c r="U17" s="609">
        <v>50</v>
      </c>
      <c r="V17" s="609">
        <v>208.3</v>
      </c>
      <c r="W17" s="609">
        <v>300</v>
      </c>
      <c r="X17" s="609">
        <v>73.45</v>
      </c>
      <c r="Y17" s="609">
        <v>100</v>
      </c>
      <c r="Z17" s="609">
        <v>0</v>
      </c>
      <c r="AA17" s="609"/>
    </row>
    <row r="18" spans="1:27">
      <c r="A18" s="49" t="s">
        <v>101</v>
      </c>
      <c r="B18" s="11" t="s">
        <v>102</v>
      </c>
      <c r="C18" s="25">
        <v>100</v>
      </c>
      <c r="D18" s="25">
        <v>82.1</v>
      </c>
      <c r="E18" s="25">
        <v>150</v>
      </c>
      <c r="F18" s="25">
        <v>538.33000000000004</v>
      </c>
      <c r="G18" s="25">
        <v>600</v>
      </c>
      <c r="H18" s="25">
        <v>555.23</v>
      </c>
      <c r="I18" s="25">
        <f>G18*0.5</f>
        <v>300</v>
      </c>
      <c r="J18" s="25">
        <v>0</v>
      </c>
      <c r="K18" s="25">
        <v>100</v>
      </c>
      <c r="L18" s="25">
        <v>124.84</v>
      </c>
      <c r="M18" s="25">
        <v>100</v>
      </c>
      <c r="N18" s="25">
        <v>66.83</v>
      </c>
      <c r="O18" s="25">
        <v>100</v>
      </c>
      <c r="P18" s="25">
        <v>30.87</v>
      </c>
      <c r="Q18" s="25">
        <v>100</v>
      </c>
      <c r="R18" s="609"/>
      <c r="S18" s="609">
        <v>100</v>
      </c>
      <c r="T18" s="609">
        <v>9.89</v>
      </c>
      <c r="U18" s="609">
        <v>100</v>
      </c>
      <c r="V18" s="609">
        <v>0</v>
      </c>
      <c r="W18" s="609">
        <v>50</v>
      </c>
      <c r="X18" s="609"/>
      <c r="Y18" s="609">
        <v>50</v>
      </c>
      <c r="Z18" s="609">
        <v>0</v>
      </c>
      <c r="AA18" s="609">
        <v>50</v>
      </c>
    </row>
    <row r="19" spans="1:27">
      <c r="A19" s="49" t="s">
        <v>103</v>
      </c>
      <c r="B19" s="11" t="s">
        <v>104</v>
      </c>
      <c r="C19" s="25">
        <v>1000</v>
      </c>
      <c r="D19" s="25">
        <v>567.61</v>
      </c>
      <c r="E19" s="25">
        <v>1200</v>
      </c>
      <c r="F19" s="25">
        <v>610.85</v>
      </c>
      <c r="G19" s="25">
        <v>1400</v>
      </c>
      <c r="H19" s="25">
        <v>1591.96</v>
      </c>
      <c r="I19" s="25">
        <f>G19*0.75</f>
        <v>1050</v>
      </c>
      <c r="J19" s="25">
        <v>851.53</v>
      </c>
      <c r="K19" s="25">
        <f>1400-110</f>
        <v>1290</v>
      </c>
      <c r="L19" s="25">
        <v>874.54</v>
      </c>
      <c r="M19" s="25">
        <v>1000</v>
      </c>
      <c r="N19" s="25">
        <v>900.91</v>
      </c>
      <c r="O19" s="25">
        <v>1000</v>
      </c>
      <c r="P19" s="25">
        <v>431.39</v>
      </c>
      <c r="Q19" s="25">
        <v>700</v>
      </c>
      <c r="R19" s="609">
        <v>227.4</v>
      </c>
      <c r="S19" s="609">
        <v>500</v>
      </c>
      <c r="T19" s="609">
        <v>72.010000000000005</v>
      </c>
      <c r="U19" s="609">
        <v>300</v>
      </c>
      <c r="V19" s="609">
        <v>2081.2600000000002</v>
      </c>
      <c r="W19" s="609">
        <v>2000</v>
      </c>
      <c r="X19" s="609">
        <v>44.3</v>
      </c>
      <c r="Y19" s="609">
        <v>1000</v>
      </c>
      <c r="Z19" s="609">
        <v>0</v>
      </c>
      <c r="AA19" s="609">
        <v>1000</v>
      </c>
    </row>
    <row r="20" spans="1:27">
      <c r="A20" s="49" t="s">
        <v>105</v>
      </c>
      <c r="B20" s="11" t="s">
        <v>106</v>
      </c>
      <c r="C20" s="25">
        <v>1250</v>
      </c>
      <c r="D20" s="25">
        <v>1503.85</v>
      </c>
      <c r="E20" s="25">
        <v>800</v>
      </c>
      <c r="F20" s="25">
        <v>160.03</v>
      </c>
      <c r="G20" s="25">
        <v>1500</v>
      </c>
      <c r="H20" s="25">
        <v>2042.07</v>
      </c>
      <c r="I20" s="25">
        <f>G20*1.2</f>
        <v>1800</v>
      </c>
      <c r="J20" s="25">
        <v>1722.41</v>
      </c>
      <c r="K20" s="25">
        <v>1800</v>
      </c>
      <c r="L20" s="25">
        <v>3044.1</v>
      </c>
      <c r="M20" s="25">
        <v>2500</v>
      </c>
      <c r="N20" s="25">
        <v>322.60000000000002</v>
      </c>
      <c r="O20" s="25">
        <v>1600</v>
      </c>
      <c r="P20" s="25">
        <v>1296.43</v>
      </c>
      <c r="Q20" s="25">
        <v>1200</v>
      </c>
      <c r="R20" s="609">
        <v>2008.14</v>
      </c>
      <c r="S20" s="609">
        <v>1100</v>
      </c>
      <c r="T20" s="609">
        <v>1245.43</v>
      </c>
      <c r="U20" s="609">
        <v>1000</v>
      </c>
      <c r="V20" s="609">
        <v>0</v>
      </c>
      <c r="W20" s="609">
        <v>1000</v>
      </c>
      <c r="X20" s="609">
        <v>600</v>
      </c>
      <c r="Y20" s="609">
        <v>2000</v>
      </c>
      <c r="Z20" s="609">
        <v>1339.79</v>
      </c>
      <c r="AA20" s="609">
        <v>2600</v>
      </c>
    </row>
    <row r="21" spans="1:27">
      <c r="A21" s="49" t="s">
        <v>107</v>
      </c>
      <c r="B21" s="11" t="s">
        <v>108</v>
      </c>
      <c r="C21" s="25">
        <v>7000</v>
      </c>
      <c r="D21" s="25">
        <v>5373.69</v>
      </c>
      <c r="E21" s="25">
        <v>0</v>
      </c>
      <c r="F21" s="25">
        <v>0</v>
      </c>
      <c r="G21" s="25">
        <v>0</v>
      </c>
      <c r="H21" s="25">
        <v>0</v>
      </c>
      <c r="I21" s="25">
        <f>15000</f>
        <v>15000</v>
      </c>
      <c r="J21" s="25">
        <v>0</v>
      </c>
      <c r="K21" s="25">
        <v>10000</v>
      </c>
      <c r="L21" s="25">
        <v>5099.6899999999996</v>
      </c>
      <c r="M21" s="25">
        <v>0</v>
      </c>
      <c r="N21" s="25">
        <v>0</v>
      </c>
      <c r="O21" s="25">
        <v>0</v>
      </c>
      <c r="P21" s="25"/>
      <c r="Q21" s="25"/>
      <c r="R21" s="609"/>
      <c r="S21" s="609"/>
      <c r="T21" s="609"/>
      <c r="U21" s="609">
        <v>16200</v>
      </c>
      <c r="V21" s="609">
        <v>7137.32</v>
      </c>
      <c r="W21" s="609">
        <v>3000</v>
      </c>
      <c r="X21" s="609">
        <v>-1000</v>
      </c>
      <c r="Y21" s="609"/>
      <c r="Z21" s="609"/>
      <c r="AA21" s="609"/>
    </row>
    <row r="22" spans="1:27">
      <c r="A22" s="49" t="s">
        <v>109</v>
      </c>
      <c r="B22" s="11" t="s">
        <v>110</v>
      </c>
      <c r="C22" s="25">
        <v>0</v>
      </c>
      <c r="D22" s="25">
        <v>0</v>
      </c>
      <c r="E22" s="25">
        <v>0</v>
      </c>
      <c r="F22" s="25">
        <v>0</v>
      </c>
      <c r="G22" s="25">
        <v>1000</v>
      </c>
      <c r="H22" s="25">
        <v>0</v>
      </c>
      <c r="I22" s="25">
        <v>0</v>
      </c>
      <c r="J22" s="25">
        <v>0</v>
      </c>
      <c r="K22" s="25">
        <v>0</v>
      </c>
      <c r="L22" s="25">
        <v>0</v>
      </c>
      <c r="M22" s="25">
        <v>0</v>
      </c>
      <c r="N22" s="25">
        <v>0</v>
      </c>
      <c r="O22" s="25">
        <v>0</v>
      </c>
      <c r="P22" s="25">
        <v>180.96</v>
      </c>
      <c r="Q22" s="25"/>
      <c r="R22" s="609"/>
      <c r="S22" s="609"/>
      <c r="T22" s="609"/>
      <c r="U22" s="609"/>
      <c r="V22" s="609">
        <v>0</v>
      </c>
      <c r="W22" s="609"/>
      <c r="X22" s="609"/>
      <c r="Y22" s="609"/>
      <c r="Z22" s="609"/>
      <c r="AA22" s="609"/>
    </row>
    <row r="23" spans="1:27">
      <c r="A23" s="362" t="s">
        <v>111</v>
      </c>
      <c r="B23" s="11" t="s">
        <v>112</v>
      </c>
      <c r="C23" s="25"/>
      <c r="D23" s="25"/>
      <c r="E23" s="25"/>
      <c r="F23" s="25"/>
      <c r="G23" s="25"/>
      <c r="H23" s="25"/>
      <c r="I23" s="25"/>
      <c r="J23" s="25"/>
      <c r="K23" s="25"/>
      <c r="L23" s="25"/>
      <c r="M23" s="25"/>
      <c r="N23" s="25"/>
      <c r="O23" s="25"/>
      <c r="P23" s="25"/>
      <c r="Q23" s="25"/>
      <c r="R23" s="609"/>
      <c r="S23" s="609"/>
      <c r="T23" s="609"/>
      <c r="U23" s="609"/>
      <c r="V23" s="609"/>
      <c r="W23" s="609">
        <v>2000</v>
      </c>
      <c r="X23" s="609"/>
      <c r="Y23" s="609">
        <v>2000</v>
      </c>
      <c r="Z23" s="609">
        <v>0</v>
      </c>
      <c r="AA23" s="609">
        <v>2000</v>
      </c>
    </row>
    <row r="24" spans="1:27">
      <c r="A24" s="49" t="s">
        <v>113</v>
      </c>
      <c r="B24" s="11" t="s">
        <v>114</v>
      </c>
      <c r="C24" s="25">
        <v>3000</v>
      </c>
      <c r="D24" s="25">
        <v>3027.31</v>
      </c>
      <c r="E24" s="25">
        <v>8600</v>
      </c>
      <c r="F24" s="25">
        <v>6827.88</v>
      </c>
      <c r="G24" s="111">
        <v>9900</v>
      </c>
      <c r="H24" s="85">
        <v>9361.06</v>
      </c>
      <c r="I24" s="25">
        <v>0</v>
      </c>
      <c r="J24" s="25">
        <v>39627.449999999997</v>
      </c>
      <c r="K24" s="111">
        <f>6000-790</f>
        <v>5210</v>
      </c>
      <c r="L24" s="85">
        <v>6303.07</v>
      </c>
      <c r="M24" s="29">
        <v>5000</v>
      </c>
      <c r="N24" s="85">
        <v>1364.01</v>
      </c>
      <c r="O24" s="29">
        <v>3000</v>
      </c>
      <c r="P24" s="25">
        <v>2021.67</v>
      </c>
      <c r="Q24" s="25">
        <v>3500</v>
      </c>
      <c r="R24" s="609">
        <v>3463.06</v>
      </c>
      <c r="S24" s="609">
        <v>3500</v>
      </c>
      <c r="T24" s="609">
        <v>6939.86</v>
      </c>
      <c r="U24" s="609">
        <v>1000</v>
      </c>
      <c r="V24" s="609">
        <v>1175.43</v>
      </c>
      <c r="W24" s="609">
        <v>4500</v>
      </c>
      <c r="X24" s="609">
        <v>2800</v>
      </c>
      <c r="Y24" s="609"/>
      <c r="Z24" s="609">
        <v>607</v>
      </c>
      <c r="AA24" s="609">
        <v>5000</v>
      </c>
    </row>
    <row r="25" spans="1:27" hidden="1">
      <c r="A25" s="49"/>
      <c r="B25" s="51" t="s">
        <v>115</v>
      </c>
      <c r="C25" s="110">
        <v>0</v>
      </c>
      <c r="D25" s="93">
        <v>0</v>
      </c>
      <c r="E25" s="112">
        <v>0</v>
      </c>
      <c r="F25" s="109">
        <v>0</v>
      </c>
      <c r="G25" s="25">
        <v>0</v>
      </c>
      <c r="H25" s="85">
        <v>0</v>
      </c>
      <c r="I25" s="112">
        <v>2500</v>
      </c>
      <c r="J25" s="93">
        <v>0</v>
      </c>
      <c r="K25" s="25">
        <v>0</v>
      </c>
      <c r="L25" s="85">
        <v>0</v>
      </c>
      <c r="M25" s="25">
        <v>4000</v>
      </c>
      <c r="N25" s="25">
        <v>0</v>
      </c>
      <c r="O25" s="25">
        <v>0</v>
      </c>
      <c r="P25" s="25"/>
      <c r="Q25" s="25"/>
      <c r="R25" s="610"/>
      <c r="S25" s="610"/>
      <c r="T25" s="610"/>
      <c r="U25" s="610"/>
      <c r="V25" s="610"/>
      <c r="W25" s="610"/>
      <c r="X25" s="610"/>
      <c r="Y25" s="610"/>
      <c r="Z25" s="610"/>
      <c r="AA25" s="610"/>
    </row>
    <row r="26" spans="1:27" hidden="1">
      <c r="A26" s="49"/>
      <c r="B26" s="51" t="s">
        <v>116</v>
      </c>
      <c r="C26" s="110">
        <v>0</v>
      </c>
      <c r="D26" s="93">
        <v>0</v>
      </c>
      <c r="E26" s="111">
        <v>0</v>
      </c>
      <c r="F26" s="109">
        <v>0</v>
      </c>
      <c r="G26" s="112">
        <v>0</v>
      </c>
      <c r="H26" s="85">
        <v>0</v>
      </c>
      <c r="I26" s="112">
        <v>0</v>
      </c>
      <c r="J26" s="109">
        <v>0</v>
      </c>
      <c r="K26" s="112">
        <v>5000</v>
      </c>
      <c r="L26" s="85">
        <v>0</v>
      </c>
      <c r="M26" s="110">
        <v>0</v>
      </c>
      <c r="N26" s="93">
        <v>0</v>
      </c>
      <c r="O26" s="92">
        <v>0</v>
      </c>
      <c r="P26" s="25"/>
      <c r="Q26" s="25"/>
      <c r="R26" s="610"/>
      <c r="S26" s="610"/>
      <c r="T26" s="610"/>
      <c r="U26" s="610"/>
      <c r="V26" s="610"/>
      <c r="W26" s="610"/>
      <c r="X26" s="610"/>
      <c r="Y26" s="610"/>
      <c r="Z26" s="610"/>
      <c r="AA26" s="610"/>
    </row>
    <row r="27" spans="1:27" hidden="1">
      <c r="A27" s="49"/>
      <c r="B27" s="11" t="s">
        <v>117</v>
      </c>
      <c r="C27" s="110">
        <v>0</v>
      </c>
      <c r="D27" s="93">
        <v>0</v>
      </c>
      <c r="E27" s="25">
        <v>0</v>
      </c>
      <c r="F27" s="109">
        <v>0</v>
      </c>
      <c r="G27" s="25">
        <v>0</v>
      </c>
      <c r="H27" s="25">
        <v>0</v>
      </c>
      <c r="I27" s="112">
        <v>2500</v>
      </c>
      <c r="J27" s="93">
        <v>0</v>
      </c>
      <c r="K27" s="25">
        <v>500</v>
      </c>
      <c r="L27" s="85">
        <v>0</v>
      </c>
      <c r="M27" s="92">
        <v>500</v>
      </c>
      <c r="N27" s="109">
        <v>0</v>
      </c>
      <c r="O27" s="92">
        <v>0</v>
      </c>
      <c r="P27" s="25"/>
      <c r="Q27" s="25"/>
      <c r="R27" s="610"/>
      <c r="S27" s="610"/>
      <c r="T27" s="610"/>
      <c r="U27" s="610"/>
      <c r="V27" s="610"/>
      <c r="W27" s="610"/>
      <c r="X27" s="610"/>
      <c r="Y27" s="610"/>
      <c r="Z27" s="610"/>
      <c r="AA27" s="610"/>
    </row>
    <row r="28" spans="1:27" hidden="1">
      <c r="A28" s="49"/>
      <c r="B28" s="51" t="s">
        <v>118</v>
      </c>
      <c r="C28" s="110">
        <v>0</v>
      </c>
      <c r="D28" s="25">
        <v>0</v>
      </c>
      <c r="E28" s="112">
        <v>0</v>
      </c>
      <c r="F28" s="109">
        <v>0</v>
      </c>
      <c r="G28" s="110">
        <v>0</v>
      </c>
      <c r="H28" s="93">
        <v>0</v>
      </c>
      <c r="I28" s="112">
        <v>15000</v>
      </c>
      <c r="J28" s="109">
        <v>0</v>
      </c>
      <c r="K28" s="110">
        <v>2000</v>
      </c>
      <c r="L28" s="25">
        <v>0</v>
      </c>
      <c r="M28" s="91">
        <v>0</v>
      </c>
      <c r="N28" s="109">
        <v>0</v>
      </c>
      <c r="O28" s="29">
        <v>0</v>
      </c>
      <c r="P28" s="25"/>
      <c r="Q28" s="25"/>
      <c r="R28" s="610"/>
      <c r="S28" s="610"/>
      <c r="T28" s="610"/>
      <c r="U28" s="610"/>
      <c r="V28" s="610"/>
      <c r="W28" s="610"/>
      <c r="X28" s="610"/>
      <c r="Y28" s="610"/>
      <c r="Z28" s="610"/>
      <c r="AA28" s="610"/>
    </row>
    <row r="29" spans="1:27">
      <c r="A29" s="49"/>
      <c r="B29" s="11" t="s">
        <v>119</v>
      </c>
      <c r="C29" s="110"/>
      <c r="D29" s="25"/>
      <c r="E29" s="25"/>
      <c r="F29" s="109"/>
      <c r="G29" s="110"/>
      <c r="H29" s="109"/>
      <c r="I29" s="110"/>
      <c r="J29" s="109"/>
      <c r="K29" s="110"/>
      <c r="L29" s="25"/>
      <c r="M29" s="91"/>
      <c r="N29" s="109"/>
      <c r="O29" s="25">
        <v>8000</v>
      </c>
      <c r="P29" s="25">
        <v>7100</v>
      </c>
      <c r="Q29" s="25"/>
      <c r="R29" s="610"/>
      <c r="S29" s="610"/>
      <c r="T29" s="610"/>
      <c r="U29" s="610"/>
      <c r="V29" s="610"/>
      <c r="W29" s="609">
        <v>20000</v>
      </c>
      <c r="X29" s="609"/>
      <c r="Y29" s="609">
        <v>70000</v>
      </c>
      <c r="Z29" s="716">
        <v>2500</v>
      </c>
      <c r="AA29" s="609">
        <v>70000</v>
      </c>
    </row>
    <row r="30" spans="1:27">
      <c r="A30" s="49" t="s">
        <v>113</v>
      </c>
      <c r="B30" s="11" t="s">
        <v>120</v>
      </c>
      <c r="C30" s="110">
        <v>4500</v>
      </c>
      <c r="D30" s="109">
        <v>6925.15</v>
      </c>
      <c r="E30" s="25">
        <v>0</v>
      </c>
      <c r="F30" s="109">
        <v>0</v>
      </c>
      <c r="G30" s="110">
        <v>0</v>
      </c>
      <c r="H30" s="109">
        <v>0</v>
      </c>
      <c r="I30" s="110">
        <v>0</v>
      </c>
      <c r="J30" s="109">
        <v>0</v>
      </c>
      <c r="K30" s="110">
        <v>0</v>
      </c>
      <c r="L30" s="109">
        <v>0</v>
      </c>
      <c r="M30" s="91">
        <v>3000</v>
      </c>
      <c r="N30" s="109">
        <v>0</v>
      </c>
      <c r="O30" s="25">
        <v>1000</v>
      </c>
      <c r="P30" s="25">
        <v>800</v>
      </c>
      <c r="Q30" s="25"/>
      <c r="R30" s="610"/>
      <c r="S30" s="610"/>
      <c r="T30" s="610"/>
      <c r="U30" s="610"/>
      <c r="V30" s="610"/>
      <c r="W30" s="610"/>
      <c r="X30" s="610"/>
      <c r="Y30" s="610"/>
      <c r="Z30" s="610"/>
      <c r="AA30" s="610"/>
    </row>
    <row r="31" spans="1:27">
      <c r="A31" s="49" t="s">
        <v>113</v>
      </c>
      <c r="B31" s="11" t="s">
        <v>121</v>
      </c>
      <c r="C31" s="25">
        <v>7000</v>
      </c>
      <c r="D31" s="25">
        <v>2508.5300000000002</v>
      </c>
      <c r="E31" s="25">
        <v>250</v>
      </c>
      <c r="F31" s="25">
        <v>180.9</v>
      </c>
      <c r="G31" s="25">
        <v>250</v>
      </c>
      <c r="H31" s="25">
        <v>115.38</v>
      </c>
      <c r="I31" s="25">
        <f>G31*0.75</f>
        <v>187.5</v>
      </c>
      <c r="J31" s="25">
        <v>180.99</v>
      </c>
      <c r="K31" s="25">
        <v>200</v>
      </c>
      <c r="L31" s="25">
        <v>141.53</v>
      </c>
      <c r="M31" s="25">
        <v>200</v>
      </c>
      <c r="N31" s="25">
        <v>112.76</v>
      </c>
      <c r="O31" s="25">
        <v>150</v>
      </c>
      <c r="P31" s="25"/>
      <c r="Q31" s="25">
        <v>200</v>
      </c>
      <c r="R31" s="610"/>
      <c r="S31" s="609">
        <v>50</v>
      </c>
      <c r="T31" s="609">
        <v>30.74</v>
      </c>
      <c r="U31" s="609">
        <v>50</v>
      </c>
      <c r="V31" s="609"/>
      <c r="W31" s="609">
        <v>50</v>
      </c>
      <c r="X31" s="609">
        <v>58.72</v>
      </c>
      <c r="Y31" s="609">
        <v>50</v>
      </c>
      <c r="Z31" s="609"/>
      <c r="AA31" s="609">
        <v>50</v>
      </c>
    </row>
    <row r="32" spans="1:27">
      <c r="A32" s="49" t="s">
        <v>113</v>
      </c>
      <c r="B32" s="11" t="s">
        <v>122</v>
      </c>
      <c r="C32" s="25">
        <v>600</v>
      </c>
      <c r="D32" s="25">
        <v>0</v>
      </c>
      <c r="E32" s="25">
        <v>5000</v>
      </c>
      <c r="F32" s="25">
        <v>6395.12</v>
      </c>
      <c r="G32" s="25">
        <v>6000</v>
      </c>
      <c r="H32" s="25">
        <v>7270.38</v>
      </c>
      <c r="I32" s="25">
        <v>5500</v>
      </c>
      <c r="J32" s="25">
        <v>6648.7</v>
      </c>
      <c r="K32" s="25">
        <v>5500</v>
      </c>
      <c r="L32" s="25">
        <v>7343.55</v>
      </c>
      <c r="M32" s="25">
        <v>5500</v>
      </c>
      <c r="N32" s="25">
        <v>3704.55</v>
      </c>
      <c r="O32" s="25">
        <v>5500</v>
      </c>
      <c r="P32" s="25">
        <v>3600</v>
      </c>
      <c r="Q32" s="25">
        <v>6000</v>
      </c>
      <c r="R32" s="609">
        <v>6364.18</v>
      </c>
      <c r="S32" s="609">
        <v>6000</v>
      </c>
      <c r="T32" s="609">
        <f>4532.56-T33</f>
        <v>3447.5600000000004</v>
      </c>
      <c r="U32" s="609">
        <v>6000</v>
      </c>
      <c r="V32" s="609"/>
      <c r="W32" s="609">
        <v>3500</v>
      </c>
      <c r="X32" s="609">
        <v>1037.6600000000001</v>
      </c>
      <c r="Y32" s="609">
        <v>3500</v>
      </c>
      <c r="Z32" s="609"/>
      <c r="AA32" s="609">
        <v>1000</v>
      </c>
    </row>
    <row r="33" spans="1:27">
      <c r="A33" s="49" t="s">
        <v>113</v>
      </c>
      <c r="B33" s="11" t="s">
        <v>123</v>
      </c>
      <c r="C33" s="25">
        <v>250</v>
      </c>
      <c r="D33" s="25">
        <v>204.63</v>
      </c>
      <c r="E33" s="25">
        <v>1000</v>
      </c>
      <c r="F33" s="25">
        <v>0</v>
      </c>
      <c r="G33" s="25">
        <v>1000</v>
      </c>
      <c r="H33" s="25">
        <v>0</v>
      </c>
      <c r="I33" s="25">
        <v>1000</v>
      </c>
      <c r="J33" s="25">
        <v>0</v>
      </c>
      <c r="K33" s="25">
        <v>1000</v>
      </c>
      <c r="L33" s="25">
        <v>0</v>
      </c>
      <c r="M33" s="25">
        <v>1000</v>
      </c>
      <c r="N33" s="25">
        <v>0</v>
      </c>
      <c r="O33" s="25">
        <v>1085.5999999999999</v>
      </c>
      <c r="P33" s="25">
        <v>1085.5999999999999</v>
      </c>
      <c r="Q33" s="25">
        <v>1085.5999999999999</v>
      </c>
      <c r="R33" s="609">
        <v>1085.5999999999999</v>
      </c>
      <c r="S33" s="609">
        <v>1085.5999999999999</v>
      </c>
      <c r="T33" s="609">
        <v>1085</v>
      </c>
      <c r="U33" s="609">
        <v>542.79999999999995</v>
      </c>
      <c r="V33" s="609"/>
      <c r="W33" s="609">
        <v>542.79999999999995</v>
      </c>
      <c r="X33" s="609"/>
      <c r="Y33" s="609">
        <v>500</v>
      </c>
      <c r="Z33" s="609"/>
      <c r="AA33" s="609">
        <v>542.79999999999995</v>
      </c>
    </row>
    <row r="34" spans="1:27">
      <c r="A34" s="49" t="s">
        <v>113</v>
      </c>
      <c r="B34" s="11" t="s">
        <v>124</v>
      </c>
      <c r="C34" s="25">
        <v>250</v>
      </c>
      <c r="D34" s="25">
        <v>250</v>
      </c>
      <c r="E34" s="25">
        <v>7500</v>
      </c>
      <c r="F34" s="25">
        <v>3040.62</v>
      </c>
      <c r="G34" s="25">
        <v>3500</v>
      </c>
      <c r="H34" s="25">
        <v>5061.6099999999997</v>
      </c>
      <c r="I34" s="25">
        <f>G34*0.75</f>
        <v>2625</v>
      </c>
      <c r="J34" s="25">
        <v>2448.96</v>
      </c>
      <c r="K34" s="25">
        <f>3500-500</f>
        <v>3000</v>
      </c>
      <c r="L34" s="25">
        <v>2120.6</v>
      </c>
      <c r="M34" s="25">
        <v>2800</v>
      </c>
      <c r="N34" s="25">
        <v>466.44</v>
      </c>
      <c r="O34" s="25">
        <v>1000</v>
      </c>
      <c r="P34" s="25"/>
      <c r="Q34" s="25">
        <v>1000</v>
      </c>
      <c r="R34" s="609">
        <v>1611</v>
      </c>
      <c r="S34" s="609">
        <v>1000</v>
      </c>
      <c r="T34" s="609">
        <v>34.24</v>
      </c>
      <c r="U34" s="609"/>
      <c r="V34" s="609"/>
      <c r="W34" s="609"/>
      <c r="X34" s="609"/>
      <c r="Y34" s="609"/>
      <c r="Z34" s="609"/>
      <c r="AA34" s="609"/>
    </row>
    <row r="35" spans="1:27" ht="13.5" thickBot="1">
      <c r="A35" s="49" t="s">
        <v>113</v>
      </c>
      <c r="B35" s="11" t="s">
        <v>125</v>
      </c>
      <c r="C35" s="25">
        <v>0</v>
      </c>
      <c r="D35" s="25">
        <v>0</v>
      </c>
      <c r="E35" s="25">
        <v>250</v>
      </c>
      <c r="F35" s="25">
        <v>250</v>
      </c>
      <c r="G35" s="25">
        <v>250</v>
      </c>
      <c r="H35" s="25">
        <v>0</v>
      </c>
      <c r="I35" s="25">
        <v>0</v>
      </c>
      <c r="J35" s="25">
        <v>0</v>
      </c>
      <c r="K35" s="25">
        <v>0</v>
      </c>
      <c r="L35" s="25">
        <v>0</v>
      </c>
      <c r="M35" s="25">
        <v>0</v>
      </c>
      <c r="N35" s="25">
        <v>0</v>
      </c>
      <c r="O35" s="25"/>
      <c r="P35" s="25"/>
      <c r="Q35" s="25"/>
      <c r="R35" s="493"/>
      <c r="S35" s="493"/>
      <c r="T35" s="493"/>
      <c r="U35" s="493"/>
      <c r="V35" s="493"/>
      <c r="W35" s="493"/>
      <c r="X35" s="493"/>
      <c r="Y35" s="493"/>
      <c r="Z35" s="493"/>
      <c r="AA35" s="493"/>
    </row>
    <row r="36" spans="1:27" ht="13.5" thickBot="1">
      <c r="B36" s="11" t="s">
        <v>126</v>
      </c>
      <c r="C36" s="178">
        <f>SUBTOTAL(109,PresidentExpenses[Budget 10/11])</f>
        <v>72465.179999999993</v>
      </c>
      <c r="D36" s="178">
        <f>SUBTOTAL(109,PresidentExpenses[Actual 10/11])</f>
        <v>67587.520000000004</v>
      </c>
      <c r="E36" s="178">
        <f>SUBTOTAL(109,PresidentExpenses[Budget 11/12])</f>
        <v>73424.600000000006</v>
      </c>
      <c r="F36" s="178">
        <f>SUBTOTAL(109,PresidentExpenses[Actual 11/12])</f>
        <v>65012.750000000007</v>
      </c>
      <c r="G36" s="178">
        <f>SUBTOTAL(109,PresidentExpenses[Budget 12/13])</f>
        <v>76379.464999999997</v>
      </c>
      <c r="H36" s="178">
        <f>SUBTOTAL(109,PresidentExpenses[Actual 12/13])</f>
        <v>78682.950000000012</v>
      </c>
      <c r="I36" s="178">
        <f>SUBTOTAL(109,PresidentExpenses[Budget 13/14])</f>
        <v>80535.62</v>
      </c>
      <c r="J36" s="178">
        <f>SUBTOTAL(109,PresidentExpenses[Actual 13/14])</f>
        <v>104446.23000000001</v>
      </c>
      <c r="K36" s="178">
        <f>SUBTOTAL(109,PresidentExpenses[Budget 14/15])</f>
        <v>78762.399999999994</v>
      </c>
      <c r="L36" s="178">
        <f>SUBTOTAL(109,PresidentExpenses[Actuals 14/15])</f>
        <v>75170.42</v>
      </c>
      <c r="M36" s="178">
        <f>SUBTOTAL(109,PresidentExpenses[Budget 15/16])</f>
        <v>75212.760000000009</v>
      </c>
      <c r="N36" s="145">
        <f>SUBTOTAL(109,PresidentExpenses[Actual 15/16])</f>
        <v>54095.470000000008</v>
      </c>
      <c r="O36" s="178">
        <f>SUBTOTAL(109,PresidentExpenses[Budget 16/17])</f>
        <v>76909.350760000001</v>
      </c>
      <c r="P36" s="178">
        <f>SUBTOTAL(109,PresidentExpenses[Actual 16/17])</f>
        <v>71750.77</v>
      </c>
      <c r="Q36" s="494">
        <f>SUBTOTAL(109,PresidentExpenses[Budget 17/18])</f>
        <v>70981.180000000008</v>
      </c>
      <c r="R36" s="495">
        <f t="shared" ref="R36:W36" si="0">SUM(R9:R35)</f>
        <v>68167.39</v>
      </c>
      <c r="S36" s="495">
        <f t="shared" si="0"/>
        <v>70468.680000000008</v>
      </c>
      <c r="T36" s="495">
        <f t="shared" si="0"/>
        <v>67122.080000000002</v>
      </c>
      <c r="U36" s="495">
        <f t="shared" si="0"/>
        <v>82111.458800000008</v>
      </c>
      <c r="V36" s="495">
        <f t="shared" si="0"/>
        <v>65272.990000000005</v>
      </c>
      <c r="W36" s="495">
        <f t="shared" si="0"/>
        <v>104246.16213333335</v>
      </c>
      <c r="X36" s="495">
        <f>SUM(X9:X35)</f>
        <v>61532.04</v>
      </c>
      <c r="Y36" s="495">
        <f>SUM(Y9:Y35)</f>
        <v>138767.86147865519</v>
      </c>
      <c r="Z36" s="495">
        <f t="shared" ref="Z36:AA36" si="1">SUM(Z9:Z35)</f>
        <v>62771.340000000004</v>
      </c>
      <c r="AA36" s="495">
        <f t="shared" si="1"/>
        <v>142749.13226666665</v>
      </c>
    </row>
    <row r="37" spans="1:27" ht="19.5" thickBot="1">
      <c r="B37" s="611" t="s">
        <v>127</v>
      </c>
      <c r="C37" s="27">
        <f>PresidentRevenues[[#Totals],[Budget 10/11]]-PresidentExpenses[[#Totals],[Budget 10/11]]</f>
        <v>-72465.179999999993</v>
      </c>
      <c r="D37" s="27">
        <f>PresidentRevenues[[#Totals],[Actual 10/11]]-PresidentExpenses[[#Totals],[Actual 10/11]]</f>
        <v>-67587.520000000004</v>
      </c>
      <c r="E37" s="27">
        <f>PresidentRevenues[[#Totals],[Budget 11/12]]-PresidentExpenses[[#Totals],[Budget 11/12]]</f>
        <v>-73424.600000000006</v>
      </c>
      <c r="F37" s="27">
        <f>PresidentRevenues[[#Totals],[Actual 11/12]]-PresidentExpenses[[#Totals],[Actual 11/12]]</f>
        <v>-65012.750000000007</v>
      </c>
      <c r="G37" s="27">
        <f>PresidentRevenues[[#Totals],[Budget 12/13]]-PresidentExpenses[[#Totals],[Budget 12/13]]</f>
        <v>-76379.464999999997</v>
      </c>
      <c r="H37" s="27">
        <f>PresidentRevenues[[#Totals],[Actual 12/13]]-PresidentExpenses[[#Totals],[Actual 12/13]]</f>
        <v>-78682.950000000012</v>
      </c>
      <c r="I37" s="27">
        <f>PresidentRevenues[[#Totals],[Budget 13/14]]-PresidentExpenses[[#Totals],[Budget 13/14]]</f>
        <v>-80535.62</v>
      </c>
      <c r="J37" s="27">
        <f>PresidentRevenues[[#Totals],[Actual 13/14]]-PresidentExpenses[[#Totals],[Actual 13/14]]</f>
        <v>-104446.23000000001</v>
      </c>
      <c r="K37" s="27">
        <f>PresidentRevenues[[#Totals],[Budget 14/15]]-PresidentExpenses[[#Totals],[Budget 14/15]]</f>
        <v>-78762.399999999994</v>
      </c>
      <c r="L37" s="27">
        <f>PresidentRevenues[[#Totals],[Actuals 14/15]]-PresidentExpenses[[#Totals],[Actuals 14/15]]</f>
        <v>-75170.42</v>
      </c>
      <c r="M37" s="27">
        <f>PresidentRevenues[[#Totals],[Budget 15/16]]-PresidentExpenses[[#Totals],[Budget 15/16]]</f>
        <v>-75212.760000000009</v>
      </c>
      <c r="N37" s="27">
        <f>PresidentRevenues[[#Totals],[Actuals 15/16]]-PresidentExpenses[[#Totals],[Actual 15/16]]</f>
        <v>-54095.470000000008</v>
      </c>
      <c r="O37" s="30">
        <f>PresidentRevenues[[#Totals],[Budget 16/17]]-PresidentExpenses[[#Totals],[Budget 16/17]]</f>
        <v>-76909.350760000001</v>
      </c>
      <c r="P37" s="30">
        <f>PresidentRevenues[[#Totals],[Actual 16/17]]-PresidentExpenses[[#Totals],[Actual 16/17]]</f>
        <v>-71750.77</v>
      </c>
      <c r="Q37" s="283">
        <f>PresidentRevenues[[#Totals],[Budget 17/18]]-PresidentExpenses[[#Totals],[Budget 17/18]]</f>
        <v>-70981.180000000008</v>
      </c>
      <c r="R37" s="283">
        <f>-SUM(R9:R35)</f>
        <v>-68167.39</v>
      </c>
      <c r="S37" s="283">
        <f>-SUM(S36)</f>
        <v>-70468.680000000008</v>
      </c>
      <c r="T37" s="283">
        <f>-SUM(T36)</f>
        <v>-67122.080000000002</v>
      </c>
      <c r="U37" s="283">
        <f>-SUM(U36)</f>
        <v>-82111.458800000008</v>
      </c>
      <c r="V37" s="283">
        <f>PresidentRevenues[[#Totals],[Actual P12 19/20]]-V36</f>
        <v>-65272.990000000005</v>
      </c>
      <c r="W37" s="283">
        <f>-SUM(W36)</f>
        <v>-104246.16213333335</v>
      </c>
      <c r="X37" s="283">
        <f>-SUM(X36)</f>
        <v>-61532.04</v>
      </c>
      <c r="Y37" s="283">
        <f>-SUM(Y36)</f>
        <v>-138767.86147865519</v>
      </c>
      <c r="Z37" s="283">
        <f t="shared" ref="Z37:AA37" si="2">-SUM(Z36)</f>
        <v>-62771.340000000004</v>
      </c>
      <c r="AA37" s="283">
        <f t="shared" si="2"/>
        <v>-142749.13226666665</v>
      </c>
    </row>
    <row r="42" spans="1:27">
      <c r="F42" s="100"/>
      <c r="G42" s="101"/>
    </row>
    <row r="43" spans="1:27">
      <c r="F43" s="100"/>
      <c r="G43" s="101"/>
    </row>
    <row r="44" spans="1:27">
      <c r="F44" s="100"/>
      <c r="G44" s="101"/>
    </row>
    <row r="45" spans="1:27">
      <c r="F45" s="100"/>
      <c r="G45" s="101"/>
    </row>
    <row r="46" spans="1:27">
      <c r="F46" s="100"/>
      <c r="G46" s="101"/>
    </row>
    <row r="47" spans="1:27">
      <c r="F47" s="100"/>
      <c r="G47" s="101"/>
    </row>
    <row r="48" spans="1:27">
      <c r="F48" s="100"/>
      <c r="G48" s="101"/>
    </row>
    <row r="49" spans="6:7">
      <c r="F49" s="100"/>
      <c r="G49" s="101"/>
    </row>
    <row r="50" spans="6:7">
      <c r="F50" s="100"/>
      <c r="G50" s="101"/>
    </row>
    <row r="51" spans="6:7">
      <c r="F51" s="100"/>
      <c r="G51" s="101"/>
    </row>
  </sheetData>
  <mergeCells count="1">
    <mergeCell ref="A1:B1"/>
  </mergeCells>
  <phoneticPr fontId="117" type="noConversion"/>
  <pageMargins left="0" right="0" top="0.98425196850393704" bottom="0.98425196850393704" header="0.51181102362204722" footer="0.51181102362204722"/>
  <pageSetup paperSize="5" orientation="landscape" r:id="rId1"/>
  <headerFooter alignWithMargins="0"/>
  <legacyDrawing r:id="rId2"/>
  <tableParts count="2">
    <tablePart r:id="rId3"/>
    <tablePart r:id="rId4"/>
  </tablePart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92D050"/>
    <pageSetUpPr fitToPage="1"/>
  </sheetPr>
  <dimension ref="A1:J35"/>
  <sheetViews>
    <sheetView zoomScaleNormal="100" workbookViewId="0">
      <selection activeCell="F16" sqref="F16"/>
    </sheetView>
  </sheetViews>
  <sheetFormatPr defaultColWidth="10" defaultRowHeight="12.75"/>
  <cols>
    <col min="1" max="1" width="14.140625" style="228" customWidth="1"/>
    <col min="2" max="2" width="49.42578125" style="228" customWidth="1"/>
    <col min="3" max="3" width="13.28515625" style="228" hidden="1" customWidth="1"/>
    <col min="4" max="4" width="14.140625" style="228" hidden="1" customWidth="1"/>
    <col min="5" max="6" width="14.28515625" style="228" customWidth="1"/>
    <col min="7" max="8" width="14.140625" style="228" bestFit="1" customWidth="1"/>
    <col min="9" max="11" width="15.85546875" style="228" bestFit="1" customWidth="1"/>
    <col min="12" max="14" width="14.140625" style="228" bestFit="1" customWidth="1"/>
    <col min="15" max="16" width="15.85546875" style="228" bestFit="1" customWidth="1"/>
    <col min="17" max="17" width="17.7109375" style="228" bestFit="1" customWidth="1"/>
    <col min="18" max="16384" width="10" style="228"/>
  </cols>
  <sheetData>
    <row r="1" spans="1:10" ht="21">
      <c r="B1" s="218" t="s">
        <v>1165</v>
      </c>
    </row>
    <row r="2" spans="1:10" ht="15">
      <c r="B2" s="217" t="s">
        <v>962</v>
      </c>
    </row>
    <row r="3" spans="1:10" ht="15.75">
      <c r="B3" s="228" t="s">
        <v>72</v>
      </c>
      <c r="C3" s="442" t="s">
        <v>17</v>
      </c>
      <c r="D3" s="439" t="s">
        <v>269</v>
      </c>
      <c r="E3" s="439" t="s">
        <v>41</v>
      </c>
      <c r="F3" s="372" t="s">
        <v>947</v>
      </c>
      <c r="G3" s="372" t="s">
        <v>43</v>
      </c>
    </row>
    <row r="4" spans="1:10" ht="15.75">
      <c r="C4" s="443">
        <v>0</v>
      </c>
      <c r="D4" s="436"/>
      <c r="E4" s="436">
        <v>0</v>
      </c>
    </row>
    <row r="5" spans="1:10" ht="15.75">
      <c r="B5" s="19" t="s">
        <v>21</v>
      </c>
      <c r="C5" s="444">
        <f>SUM(MarketingGeneralRevenues718014[[#Headers],[Budget 20/21]])</f>
        <v>0</v>
      </c>
      <c r="D5" s="444">
        <f>SUM(MarketingGeneralRevenues718014[[#Headers],[Actuals 20/21]])</f>
        <v>0</v>
      </c>
      <c r="E5" s="444">
        <f>SUM(MarketingGeneralRevenues718014[[#Headers],[Budget 21/22]])</f>
        <v>0</v>
      </c>
      <c r="F5" s="40"/>
      <c r="G5" s="40"/>
    </row>
    <row r="7" spans="1:10" ht="15.75">
      <c r="B7" s="228" t="s">
        <v>22</v>
      </c>
      <c r="C7" s="228" t="s">
        <v>17</v>
      </c>
      <c r="D7" s="439" t="s">
        <v>269</v>
      </c>
      <c r="E7" s="439" t="s">
        <v>41</v>
      </c>
      <c r="F7" s="372" t="s">
        <v>947</v>
      </c>
      <c r="G7" s="372" t="s">
        <v>43</v>
      </c>
    </row>
    <row r="8" spans="1:10" ht="15.75">
      <c r="A8" s="445">
        <v>65010</v>
      </c>
      <c r="B8" s="228" t="s">
        <v>93</v>
      </c>
      <c r="C8" s="20">
        <v>350</v>
      </c>
      <c r="D8" s="436"/>
      <c r="E8" s="436">
        <v>0</v>
      </c>
      <c r="F8" s="229"/>
    </row>
    <row r="9" spans="1:10" ht="15.75">
      <c r="B9" s="228" t="s">
        <v>97</v>
      </c>
      <c r="C9" s="20"/>
      <c r="D9" s="436"/>
      <c r="E9" s="436"/>
      <c r="F9" s="229"/>
    </row>
    <row r="10" spans="1:10" ht="15.75">
      <c r="A10" s="445">
        <v>65070</v>
      </c>
      <c r="B10" s="228" t="s">
        <v>1166</v>
      </c>
      <c r="C10" s="20">
        <v>800</v>
      </c>
      <c r="D10" s="436">
        <v>5.51</v>
      </c>
      <c r="E10" s="436">
        <v>400</v>
      </c>
      <c r="F10" s="229"/>
    </row>
    <row r="11" spans="1:10" ht="15.75">
      <c r="A11" s="445">
        <v>65090</v>
      </c>
      <c r="B11" s="228" t="s">
        <v>166</v>
      </c>
      <c r="C11" s="20">
        <v>200</v>
      </c>
      <c r="D11" s="436"/>
      <c r="E11" s="436">
        <v>200</v>
      </c>
      <c r="F11" s="229"/>
      <c r="G11" s="228">
        <v>200</v>
      </c>
    </row>
    <row r="12" spans="1:10" ht="77.25">
      <c r="A12" s="445" t="s">
        <v>1167</v>
      </c>
      <c r="B12" s="228" t="s">
        <v>1168</v>
      </c>
      <c r="C12" s="20">
        <v>1200</v>
      </c>
      <c r="D12" s="436"/>
      <c r="E12" s="436">
        <v>1200</v>
      </c>
      <c r="F12" s="229"/>
      <c r="G12" s="228">
        <v>1300</v>
      </c>
      <c r="H12" s="441" t="s">
        <v>1169</v>
      </c>
      <c r="I12" s="570" t="s">
        <v>1170</v>
      </c>
      <c r="J12" s="570" t="s">
        <v>1171</v>
      </c>
    </row>
    <row r="13" spans="1:10" ht="77.25">
      <c r="A13" s="445">
        <v>66010</v>
      </c>
      <c r="B13" s="228" t="s">
        <v>904</v>
      </c>
      <c r="C13" s="20">
        <v>500</v>
      </c>
      <c r="D13" s="436"/>
      <c r="E13" s="436">
        <v>250</v>
      </c>
      <c r="F13" s="229">
        <v>72.52</v>
      </c>
      <c r="G13" s="228">
        <v>1000</v>
      </c>
      <c r="H13" s="570" t="s">
        <v>1172</v>
      </c>
      <c r="I13" s="570" t="s">
        <v>1173</v>
      </c>
    </row>
    <row r="14" spans="1:10" ht="15.75">
      <c r="A14" s="445">
        <v>66030</v>
      </c>
      <c r="B14" s="228" t="s">
        <v>965</v>
      </c>
      <c r="C14" s="20">
        <v>580</v>
      </c>
      <c r="D14" s="436"/>
      <c r="E14" s="436">
        <v>580</v>
      </c>
      <c r="F14" s="229">
        <v>271.8</v>
      </c>
      <c r="G14" s="228">
        <v>1200</v>
      </c>
      <c r="H14" s="228" t="s">
        <v>1174</v>
      </c>
    </row>
    <row r="15" spans="1:10" ht="15.75">
      <c r="A15" s="445">
        <v>70020</v>
      </c>
      <c r="B15" s="717" t="s">
        <v>112</v>
      </c>
      <c r="C15" s="234">
        <v>1500</v>
      </c>
      <c r="D15" s="436"/>
      <c r="E15" s="436">
        <v>1500</v>
      </c>
      <c r="F15" s="229">
        <v>99</v>
      </c>
      <c r="G15" s="228">
        <v>2000</v>
      </c>
    </row>
    <row r="16" spans="1:10" ht="15.75">
      <c r="A16" s="445">
        <v>64080</v>
      </c>
      <c r="B16" s="717" t="s">
        <v>1175</v>
      </c>
      <c r="C16" s="20">
        <v>1000</v>
      </c>
      <c r="D16" s="436"/>
      <c r="E16" s="436">
        <v>1000</v>
      </c>
      <c r="F16" s="229"/>
      <c r="G16" s="228">
        <v>1000</v>
      </c>
      <c r="I16" s="583" t="s">
        <v>1176</v>
      </c>
    </row>
    <row r="17" spans="2:8" ht="15.75">
      <c r="B17" s="235"/>
      <c r="C17" s="257"/>
      <c r="D17" s="436"/>
      <c r="E17" s="436"/>
      <c r="F17" s="229"/>
    </row>
    <row r="18" spans="2:8" ht="13.5" thickBot="1">
      <c r="B18" s="19" t="s">
        <v>21</v>
      </c>
      <c r="C18" s="178">
        <f>SUBTOTAL(109,MarketingGeneralExpenses758115[Budget 20/21])</f>
        <v>6130</v>
      </c>
      <c r="D18" s="178">
        <f>SUBTOTAL(109,MarketingGeneralExpenses758115[Actuals 20/21])</f>
        <v>5.51</v>
      </c>
      <c r="E18" s="178">
        <f>SUBTOTAL(109,MarketingGeneralExpenses758115[Budget 21/22])</f>
        <v>5130</v>
      </c>
      <c r="F18" s="21">
        <f>SUBTOTAL(109,MarketingGeneralExpenses758115[Actuals 21/22])</f>
        <v>443.32</v>
      </c>
      <c r="G18" s="11">
        <f>SUM(MarketingGeneralExpenses758115[Budget 22/23])</f>
        <v>6700</v>
      </c>
    </row>
    <row r="19" spans="2:8" ht="19.5" thickBot="1">
      <c r="B19" s="676" t="s">
        <v>127</v>
      </c>
      <c r="C19" s="369">
        <f>(MarketingGeneralRevenues718014[[#Totals],[Budget 20/21]]) -MarketingGeneralExpenses758115[[#Totals],[Budget 20/21]]</f>
        <v>-6130</v>
      </c>
      <c r="D19" s="369">
        <f>(MarketingGeneralRevenues718014[[#Totals],[Actuals 20/21]]) -MarketingGeneralExpenses758115[[#Totals],[Actuals 20/21]]</f>
        <v>-5.51</v>
      </c>
      <c r="E19" s="369">
        <f>(MarketingGeneralRevenues718014[[#Totals],[Budget 21/22]]) -MarketingGeneralExpenses758115[[#Totals],[Budget 21/22]]</f>
        <v>-5130</v>
      </c>
      <c r="F19" s="369">
        <f>(MarketingGeneralRevenues718014[[#Totals],[Actuals 21/22]]) -MarketingGeneralExpenses758115[[#Totals],[Actuals 21/22]]</f>
        <v>-443.32</v>
      </c>
      <c r="G19" s="369">
        <f>(MarketingGeneralRevenues718014[[#Totals],[Budget 22/23]]) -MarketingGeneralExpenses758115[[#Totals],[Budget 22/23]]</f>
        <v>-6700</v>
      </c>
      <c r="H19" s="584" t="s">
        <v>1177</v>
      </c>
    </row>
    <row r="20" spans="2:8">
      <c r="H20" s="228" t="s">
        <v>1178</v>
      </c>
    </row>
    <row r="21" spans="2:8">
      <c r="H21" s="228" t="s">
        <v>1179</v>
      </c>
    </row>
    <row r="22" spans="2:8">
      <c r="H22" s="228" t="s">
        <v>1180</v>
      </c>
    </row>
    <row r="23" spans="2:8">
      <c r="F23" s="230"/>
    </row>
    <row r="24" spans="2:8">
      <c r="F24" s="230"/>
    </row>
    <row r="29" spans="2:8">
      <c r="E29" s="230"/>
    </row>
    <row r="34" spans="7:7">
      <c r="G34" s="230"/>
    </row>
    <row r="35" spans="7:7">
      <c r="G35" s="230"/>
    </row>
  </sheetData>
  <phoneticPr fontId="117" type="noConversion"/>
  <pageMargins left="0.7" right="0.7" top="0.75" bottom="0.75" header="0.3" footer="0.3"/>
  <pageSetup scale="46" orientation="landscape" r:id="rId1"/>
  <legacyDrawing r:id="rId2"/>
  <tableParts count="2">
    <tablePart r:id="rId3"/>
    <tablePart r:id="rId4"/>
  </tablePar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32551-6866-414F-B2C8-51D295CDDFF2}">
  <sheetPr>
    <tabColor rgb="FF92D050"/>
    <pageSetUpPr fitToPage="1"/>
  </sheetPr>
  <dimension ref="A1:I34"/>
  <sheetViews>
    <sheetView zoomScaleNormal="100" workbookViewId="0">
      <selection activeCell="C13" sqref="C13"/>
    </sheetView>
  </sheetViews>
  <sheetFormatPr defaultColWidth="10" defaultRowHeight="12.75"/>
  <cols>
    <col min="1" max="1" width="14.140625" style="693" customWidth="1"/>
    <col min="2" max="2" width="49.42578125" style="693" customWidth="1"/>
    <col min="3" max="3" width="13.28515625" style="693" customWidth="1"/>
    <col min="4" max="4" width="14.140625" style="693" hidden="1" customWidth="1"/>
    <col min="5" max="6" width="14.28515625" style="693" hidden="1" customWidth="1"/>
    <col min="7" max="7" width="14.140625" style="693" hidden="1" customWidth="1"/>
    <col min="8" max="8" width="14.140625" style="693" bestFit="1" customWidth="1"/>
    <col min="9" max="11" width="15.85546875" style="693" bestFit="1" customWidth="1"/>
    <col min="12" max="14" width="14.140625" style="693" bestFit="1" customWidth="1"/>
    <col min="15" max="16" width="15.85546875" style="693" bestFit="1" customWidth="1"/>
    <col min="17" max="17" width="17.7109375" style="693" bestFit="1" customWidth="1"/>
    <col min="18" max="16384" width="10" style="693"/>
  </cols>
  <sheetData>
    <row r="1" spans="1:9" ht="21">
      <c r="B1" s="218" t="s">
        <v>960</v>
      </c>
    </row>
    <row r="2" spans="1:9" ht="15">
      <c r="B2" s="217" t="s">
        <v>962</v>
      </c>
    </row>
    <row r="3" spans="1:9" ht="15.75">
      <c r="B3" s="693" t="s">
        <v>72</v>
      </c>
      <c r="C3" s="372" t="s">
        <v>43</v>
      </c>
      <c r="D3" s="694" t="s">
        <v>52</v>
      </c>
      <c r="E3" s="694" t="s">
        <v>53</v>
      </c>
      <c r="F3" s="372" t="s">
        <v>54</v>
      </c>
      <c r="G3" s="372" t="s">
        <v>55</v>
      </c>
    </row>
    <row r="4" spans="1:9" ht="15.75">
      <c r="C4" s="695"/>
      <c r="D4" s="436"/>
      <c r="E4" s="436"/>
    </row>
    <row r="5" spans="1:9" ht="15.75">
      <c r="B5" t="s">
        <v>21</v>
      </c>
      <c r="C5" s="444"/>
      <c r="D5" s="444"/>
      <c r="E5" s="444"/>
      <c r="F5" s="40"/>
      <c r="G5" s="40"/>
    </row>
    <row r="7" spans="1:9" ht="15.75">
      <c r="B7" s="693" t="s">
        <v>22</v>
      </c>
      <c r="C7" s="372" t="s">
        <v>43</v>
      </c>
      <c r="D7" s="694" t="s">
        <v>52</v>
      </c>
      <c r="E7" s="694" t="s">
        <v>53</v>
      </c>
      <c r="F7" s="372" t="s">
        <v>54</v>
      </c>
      <c r="G7" s="372" t="s">
        <v>55</v>
      </c>
    </row>
    <row r="8" spans="1:9" ht="15.75">
      <c r="A8" s="445">
        <v>65010</v>
      </c>
      <c r="B8" s="693" t="s">
        <v>93</v>
      </c>
      <c r="C8" s="696"/>
      <c r="D8" s="436"/>
      <c r="E8" s="436"/>
    </row>
    <row r="9" spans="1:9" ht="15.75">
      <c r="B9" s="693" t="s">
        <v>97</v>
      </c>
      <c r="C9" s="696"/>
      <c r="D9" s="436"/>
      <c r="E9" s="436"/>
    </row>
    <row r="10" spans="1:9" ht="15.75">
      <c r="A10" s="445">
        <v>65070</v>
      </c>
      <c r="B10" s="693" t="s">
        <v>1166</v>
      </c>
      <c r="D10" s="436"/>
      <c r="E10" s="436"/>
    </row>
    <row r="11" spans="1:9" ht="15.75">
      <c r="A11" s="445">
        <v>65090</v>
      </c>
      <c r="B11" s="693" t="s">
        <v>166</v>
      </c>
      <c r="C11" s="693">
        <v>200</v>
      </c>
      <c r="D11" s="436"/>
      <c r="E11" s="436"/>
    </row>
    <row r="12" spans="1:9" ht="15.75">
      <c r="A12" s="445">
        <v>66010</v>
      </c>
      <c r="B12" s="693" t="s">
        <v>904</v>
      </c>
      <c r="C12" s="693">
        <v>1000</v>
      </c>
      <c r="D12" s="436"/>
      <c r="E12" s="436"/>
      <c r="H12" s="697"/>
      <c r="I12" s="697"/>
    </row>
    <row r="13" spans="1:9" ht="15.75">
      <c r="A13" s="445">
        <v>66030</v>
      </c>
      <c r="B13" s="693" t="s">
        <v>965</v>
      </c>
      <c r="C13" s="700">
        <v>1200</v>
      </c>
      <c r="D13" s="436"/>
      <c r="E13" s="436"/>
    </row>
    <row r="14" spans="1:9" ht="15.75">
      <c r="A14" s="445">
        <v>70020</v>
      </c>
      <c r="B14" s="717" t="s">
        <v>112</v>
      </c>
      <c r="C14" s="693">
        <v>2000</v>
      </c>
      <c r="D14" s="436"/>
      <c r="E14" s="436"/>
    </row>
    <row r="15" spans="1:9" ht="15.75">
      <c r="A15" s="445">
        <v>64080</v>
      </c>
      <c r="B15" s="717" t="s">
        <v>876</v>
      </c>
      <c r="C15" s="693">
        <v>1000</v>
      </c>
      <c r="D15" s="436"/>
      <c r="E15" s="436"/>
      <c r="I15" s="583"/>
    </row>
    <row r="16" spans="1:9" ht="15.75">
      <c r="B16" s="698"/>
      <c r="C16" s="696"/>
      <c r="D16" s="436"/>
      <c r="E16" s="436"/>
    </row>
    <row r="17" spans="2:8" ht="13.5" thickBot="1">
      <c r="B17" t="s">
        <v>21</v>
      </c>
      <c r="C17" s="178">
        <f>SUM(MarketingGeneralExpenses75811598[Budget 22/23])</f>
        <v>5400</v>
      </c>
      <c r="D17" s="178"/>
      <c r="E17" s="178"/>
      <c r="F17" s="11"/>
      <c r="G17" s="11"/>
    </row>
    <row r="18" spans="2:8" ht="19.5" thickBot="1">
      <c r="B18" s="676" t="s">
        <v>127</v>
      </c>
      <c r="C18" s="369">
        <f>MarketingGeneralRevenues71801497[[#Totals],[Budget 22/23]]-MarketingGeneralExpenses75811598[[#Totals],[Budget 22/23]]</f>
        <v>-5400</v>
      </c>
      <c r="D18" s="369"/>
      <c r="E18" s="369"/>
      <c r="F18" s="369"/>
      <c r="G18" s="369"/>
      <c r="H18" s="584"/>
    </row>
    <row r="22" spans="2:8">
      <c r="F22" s="699"/>
    </row>
    <row r="23" spans="2:8">
      <c r="F23" s="699"/>
    </row>
    <row r="28" spans="2:8">
      <c r="E28" s="699"/>
    </row>
    <row r="33" spans="7:7">
      <c r="G33" s="699"/>
    </row>
    <row r="34" spans="7:7">
      <c r="G34" s="699"/>
    </row>
  </sheetData>
  <pageMargins left="0.7" right="0.7" top="0.75" bottom="0.75" header="0.3" footer="0.3"/>
  <pageSetup scale="46" orientation="landscape" r:id="rId1"/>
  <legacyDrawing r:id="rId2"/>
  <tableParts count="2">
    <tablePart r:id="rId3"/>
    <tablePart r:id="rId4"/>
  </tablePar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theme="1"/>
  </sheetPr>
  <dimension ref="A1:S20"/>
  <sheetViews>
    <sheetView zoomScale="90" zoomScaleNormal="90" workbookViewId="0">
      <selection activeCell="O15" sqref="O15"/>
    </sheetView>
  </sheetViews>
  <sheetFormatPr defaultColWidth="9.140625" defaultRowHeight="12.75"/>
  <cols>
    <col min="1" max="1" width="13.140625" style="11" customWidth="1"/>
    <col min="2" max="2" width="26.42578125" style="11" customWidth="1"/>
    <col min="3" max="3" width="14.42578125" style="11" hidden="1" customWidth="1"/>
    <col min="4" max="4" width="14.42578125" style="132" hidden="1" customWidth="1"/>
    <col min="5" max="5" width="14.42578125" style="11" hidden="1" customWidth="1"/>
    <col min="6" max="6" width="15.140625" style="11" hidden="1" customWidth="1"/>
    <col min="7" max="7" width="15.42578125" style="11" hidden="1" customWidth="1"/>
    <col min="8" max="8" width="17.140625" style="11" hidden="1" customWidth="1"/>
    <col min="9" max="9" width="15.140625" style="11" hidden="1" customWidth="1"/>
    <col min="10" max="10" width="15.42578125" style="11" hidden="1" customWidth="1"/>
    <col min="11" max="11" width="17.28515625" style="11" hidden="1" customWidth="1"/>
    <col min="12" max="12" width="18" style="11" hidden="1" customWidth="1"/>
    <col min="13" max="13" width="19.140625" style="11" hidden="1" customWidth="1"/>
    <col min="14" max="14" width="17.28515625" style="11" customWidth="1"/>
    <col min="15" max="15" width="16.42578125" style="11" customWidth="1"/>
    <col min="16" max="16" width="16.85546875" style="11" bestFit="1" customWidth="1"/>
    <col min="17" max="17" width="9.140625" style="11"/>
    <col min="18" max="18" width="12" style="11" bestFit="1" customWidth="1"/>
    <col min="19" max="16384" width="9.140625" style="11"/>
  </cols>
  <sheetData>
    <row r="1" spans="1:19" ht="18">
      <c r="A1" s="758" t="s">
        <v>946</v>
      </c>
      <c r="B1" s="758"/>
      <c r="C1" s="758"/>
    </row>
    <row r="2" spans="1:19">
      <c r="A2" s="28"/>
      <c r="C2" s="89"/>
    </row>
    <row r="3" spans="1:19">
      <c r="A3" s="89"/>
      <c r="B3" s="89"/>
      <c r="C3" s="89"/>
    </row>
    <row r="4" spans="1:19">
      <c r="A4" s="89"/>
      <c r="B4" s="89" t="s">
        <v>72</v>
      </c>
      <c r="C4" s="89" t="s">
        <v>9</v>
      </c>
      <c r="D4" s="167" t="s">
        <v>10</v>
      </c>
      <c r="E4" s="50" t="s">
        <v>11</v>
      </c>
      <c r="F4" s="89" t="s">
        <v>12</v>
      </c>
      <c r="G4" s="89" t="s">
        <v>13</v>
      </c>
      <c r="H4" s="89" t="s">
        <v>14</v>
      </c>
      <c r="I4" s="89" t="s">
        <v>15</v>
      </c>
      <c r="J4" s="89" t="s">
        <v>16</v>
      </c>
      <c r="K4" s="89" t="s">
        <v>81</v>
      </c>
      <c r="L4" s="89" t="s">
        <v>17</v>
      </c>
      <c r="M4" s="624" t="s">
        <v>40</v>
      </c>
      <c r="N4" s="624" t="s">
        <v>41</v>
      </c>
      <c r="O4" s="5" t="s">
        <v>42</v>
      </c>
      <c r="P4" s="5" t="s">
        <v>43</v>
      </c>
    </row>
    <row r="5" spans="1:19">
      <c r="A5" s="89"/>
      <c r="B5" s="89"/>
      <c r="C5" s="58">
        <v>0</v>
      </c>
      <c r="D5" s="158">
        <v>0</v>
      </c>
      <c r="E5" s="58">
        <v>0</v>
      </c>
      <c r="F5" s="58"/>
      <c r="G5" s="58"/>
      <c r="H5" s="58"/>
      <c r="I5" s="58"/>
      <c r="J5" s="58"/>
      <c r="K5" s="58"/>
      <c r="L5" s="58"/>
      <c r="M5" s="58"/>
      <c r="N5" s="58"/>
      <c r="O5" s="58"/>
      <c r="P5" s="58"/>
    </row>
    <row r="6" spans="1:19">
      <c r="A6" s="89"/>
      <c r="B6" s="11" t="s">
        <v>21</v>
      </c>
      <c r="C6" s="178">
        <f>SUBTOTAL(109,SocietyRelationsRevenues[Budget 15/16])</f>
        <v>0</v>
      </c>
      <c r="D6" s="145">
        <f>SUBTOTAL(109,SocietyRelationsRevenues[Actual 15/16])</f>
        <v>0</v>
      </c>
      <c r="E6" s="178">
        <f>SUBTOTAL(109,SocietyRelationsRevenues[Budget 16/17])</f>
        <v>0</v>
      </c>
      <c r="F6"/>
      <c r="G6"/>
      <c r="H6"/>
      <c r="I6"/>
      <c r="J6"/>
      <c r="K6"/>
      <c r="L6"/>
      <c r="M6"/>
      <c r="N6"/>
      <c r="O6"/>
      <c r="P6"/>
    </row>
    <row r="7" spans="1:19">
      <c r="B7" s="89"/>
      <c r="C7" s="89"/>
    </row>
    <row r="8" spans="1:19">
      <c r="A8" s="48" t="s">
        <v>130</v>
      </c>
      <c r="B8" s="89" t="s">
        <v>22</v>
      </c>
      <c r="C8" s="89" t="s">
        <v>9</v>
      </c>
      <c r="D8" s="167" t="s">
        <v>10</v>
      </c>
      <c r="E8" s="50" t="s">
        <v>11</v>
      </c>
      <c r="F8" s="50" t="s">
        <v>12</v>
      </c>
      <c r="G8" s="50" t="s">
        <v>13</v>
      </c>
      <c r="H8" s="50" t="s">
        <v>14</v>
      </c>
      <c r="I8" s="186" t="s">
        <v>15</v>
      </c>
      <c r="J8" s="186" t="s">
        <v>16</v>
      </c>
      <c r="K8" s="186" t="s">
        <v>81</v>
      </c>
      <c r="L8" s="186" t="s">
        <v>17</v>
      </c>
      <c r="M8" s="624" t="s">
        <v>40</v>
      </c>
      <c r="N8" s="624" t="s">
        <v>41</v>
      </c>
      <c r="O8" s="608" t="s">
        <v>42</v>
      </c>
      <c r="P8" s="608" t="s">
        <v>43</v>
      </c>
    </row>
    <row r="9" spans="1:19">
      <c r="A9" s="48" t="s">
        <v>1181</v>
      </c>
      <c r="B9" s="89" t="s">
        <v>100</v>
      </c>
      <c r="C9" s="20">
        <v>150</v>
      </c>
      <c r="D9" s="155">
        <v>0</v>
      </c>
      <c r="E9" s="20">
        <v>150</v>
      </c>
      <c r="F9" s="20"/>
      <c r="G9" s="20"/>
      <c r="H9" s="20"/>
      <c r="I9" s="625"/>
      <c r="J9" s="625"/>
      <c r="K9" s="625">
        <v>0</v>
      </c>
      <c r="L9" s="625"/>
      <c r="M9" s="625"/>
      <c r="N9" s="625"/>
      <c r="O9" s="625"/>
      <c r="P9" s="625"/>
    </row>
    <row r="10" spans="1:19">
      <c r="A10" s="48" t="s">
        <v>1182</v>
      </c>
      <c r="B10" s="89" t="s">
        <v>104</v>
      </c>
      <c r="C10" s="20">
        <v>500</v>
      </c>
      <c r="D10" s="155">
        <v>2326.38</v>
      </c>
      <c r="E10" s="20">
        <v>500</v>
      </c>
      <c r="F10" s="20">
        <v>197.9</v>
      </c>
      <c r="G10" s="20">
        <v>500</v>
      </c>
      <c r="H10" s="20">
        <v>201.07</v>
      </c>
      <c r="I10" s="625">
        <v>300</v>
      </c>
      <c r="J10" s="625">
        <v>300</v>
      </c>
      <c r="K10" s="625">
        <v>0</v>
      </c>
      <c r="L10" s="625">
        <v>300</v>
      </c>
      <c r="M10" s="625"/>
      <c r="N10" s="625">
        <v>300</v>
      </c>
      <c r="O10" s="625"/>
      <c r="P10" s="625">
        <v>100</v>
      </c>
    </row>
    <row r="11" spans="1:19">
      <c r="A11" s="48" t="s">
        <v>1183</v>
      </c>
      <c r="B11" s="89" t="s">
        <v>378</v>
      </c>
      <c r="C11" s="20">
        <v>100</v>
      </c>
      <c r="D11" s="155">
        <v>9.89</v>
      </c>
      <c r="E11" s="20">
        <v>100</v>
      </c>
      <c r="F11" s="20"/>
      <c r="G11" s="20"/>
      <c r="H11" s="20"/>
      <c r="I11" s="625"/>
      <c r="J11" s="625"/>
      <c r="K11" s="625">
        <v>0</v>
      </c>
      <c r="L11" s="625"/>
      <c r="M11" s="625"/>
      <c r="N11" s="625"/>
      <c r="O11" s="625"/>
      <c r="P11" s="625"/>
    </row>
    <row r="12" spans="1:19">
      <c r="A12" s="48" t="s">
        <v>1184</v>
      </c>
      <c r="B12" s="89" t="s">
        <v>561</v>
      </c>
      <c r="C12" s="20">
        <v>4250</v>
      </c>
      <c r="D12" s="155">
        <v>648.91999999999996</v>
      </c>
      <c r="E12" s="20">
        <v>3250</v>
      </c>
      <c r="F12" s="20">
        <v>3786.27</v>
      </c>
      <c r="G12" s="20">
        <v>3000</v>
      </c>
      <c r="H12" s="508"/>
      <c r="I12" s="613"/>
      <c r="J12" s="613"/>
      <c r="K12" s="626">
        <v>170</v>
      </c>
      <c r="L12" s="613"/>
      <c r="M12" s="613"/>
      <c r="N12" s="613"/>
      <c r="O12" s="613"/>
      <c r="P12" s="599">
        <v>10000</v>
      </c>
    </row>
    <row r="13" spans="1:19">
      <c r="A13" s="48" t="s">
        <v>1184</v>
      </c>
      <c r="B13" s="89" t="s">
        <v>114</v>
      </c>
      <c r="C13" s="20"/>
      <c r="D13" s="155"/>
      <c r="E13" s="20"/>
      <c r="F13" s="20"/>
      <c r="G13" s="20"/>
      <c r="H13" s="20">
        <v>596.32000000000005</v>
      </c>
      <c r="I13" s="625">
        <v>2000</v>
      </c>
      <c r="J13" s="625">
        <v>1800</v>
      </c>
      <c r="K13" s="625"/>
      <c r="L13" s="625">
        <v>1250</v>
      </c>
      <c r="M13" s="625">
        <v>1000</v>
      </c>
      <c r="N13" s="625">
        <v>200</v>
      </c>
      <c r="O13" s="625"/>
      <c r="P13" s="625">
        <v>5000</v>
      </c>
    </row>
    <row r="14" spans="1:19" ht="13.5" thickBot="1">
      <c r="A14" s="363" t="s">
        <v>1185</v>
      </c>
      <c r="B14" s="89" t="s">
        <v>88</v>
      </c>
      <c r="C14" s="20"/>
      <c r="D14" s="155"/>
      <c r="E14" s="20"/>
      <c r="F14" s="20"/>
      <c r="G14" s="20"/>
      <c r="H14" s="20">
        <v>1165.18</v>
      </c>
      <c r="I14" s="509"/>
      <c r="J14" s="627">
        <v>5500</v>
      </c>
      <c r="K14" s="411">
        <v>11000</v>
      </c>
      <c r="L14" s="509">
        <v>11000</v>
      </c>
      <c r="M14" s="509">
        <v>8399.85</v>
      </c>
      <c r="N14" s="509">
        <f>10640*1.13</f>
        <v>12023.199999999999</v>
      </c>
      <c r="O14" s="509">
        <v>8376.7999999999993</v>
      </c>
      <c r="P14" s="509">
        <f>15*14*19*1.13*2</f>
        <v>9017.4</v>
      </c>
      <c r="R14" s="688"/>
      <c r="S14" s="410"/>
    </row>
    <row r="15" spans="1:19" ht="14.25" thickTop="1" thickBot="1">
      <c r="B15" s="11" t="s">
        <v>21</v>
      </c>
      <c r="C15" s="178">
        <f>SUBTOTAL(109,SocietyRelationsExpenses[Budget 15/16])</f>
        <v>5000</v>
      </c>
      <c r="D15" s="145">
        <f>SUBTOTAL(109,SocietyRelationsExpenses[Actual 15/16])</f>
        <v>2985.19</v>
      </c>
      <c r="E15" s="178">
        <f>SUBTOTAL(109,SocietyRelationsExpenses[Budget 16/17])</f>
        <v>4000</v>
      </c>
      <c r="F15" s="178">
        <f>SUBTOTAL(109,SocietyRelationsExpenses[Actual 16/17])</f>
        <v>3984.17</v>
      </c>
      <c r="G15" s="178">
        <f>SUBTOTAL(109,SocietyRelationsExpenses[Budget 17/18])</f>
        <v>3500</v>
      </c>
      <c r="H15" s="11">
        <f>SUBTOTAL(109,SocietyRelationsExpenses[Actual 17/18])</f>
        <v>1962.5700000000002</v>
      </c>
      <c r="I15" s="510">
        <f>SUM(I13,I10)</f>
        <v>2300</v>
      </c>
      <c r="J15" s="510">
        <f>SUM(J9:J14)</f>
        <v>7600</v>
      </c>
      <c r="K15" s="510">
        <f>SUM(K9:K14)</f>
        <v>11170</v>
      </c>
      <c r="L15" s="510">
        <f>SUM(L9:L14)</f>
        <v>12550</v>
      </c>
      <c r="M15" s="510">
        <f>SUM(M9:M14)</f>
        <v>9399.85</v>
      </c>
      <c r="N15" s="510">
        <f>SUM(N9:N14)</f>
        <v>12523.199999999999</v>
      </c>
      <c r="O15" s="510">
        <f t="shared" ref="O15:P15" si="0">SUM(O9:O14)</f>
        <v>8376.7999999999993</v>
      </c>
      <c r="P15" s="510">
        <f t="shared" si="0"/>
        <v>24117.4</v>
      </c>
    </row>
    <row r="16" spans="1:19" ht="14.25" thickTop="1" thickBot="1"/>
    <row r="17" spans="2:16" ht="19.5" thickBot="1">
      <c r="B17" s="611" t="s">
        <v>127</v>
      </c>
      <c r="C17" s="27">
        <f>SocietyRelationsRevenues[[#Totals],[Budget 15/16]]-SocietyRelationsExpenses[[#Totals],[Budget 15/16]]</f>
        <v>-5000</v>
      </c>
      <c r="D17" s="27">
        <f>SocietyRelationsRevenues[[#Totals],[Actual 15/16]]-SocietyRelationsExpenses[[#Totals],[Actual 15/16]]</f>
        <v>-2985.19</v>
      </c>
      <c r="E17" s="79">
        <f>SocietyRelationsRevenues[[#Totals],[Budget 16/17]]-SocietyRelationsExpenses[[#Totals],[Budget 16/17]]</f>
        <v>-4000</v>
      </c>
      <c r="F17" s="79">
        <f>SocietyRelationsRevenues[[#Totals],[Actual 16/17]]-SocietyRelationsExpenses[[#Totals],[Actual 16/17]]</f>
        <v>-3984.17</v>
      </c>
      <c r="G17" s="192">
        <f>SocietyRelationsRevenues[[#Totals],[Budget 17/18]]-SocietyRelationsExpenses[[#Totals],[Budget 17/18]]</f>
        <v>-3500</v>
      </c>
      <c r="H17" s="192">
        <f>SocietyRelationsRevenues[[#Totals],[Actual 17/18]]-SocietyRelationsExpenses[[#Totals],[Actual 17/18]]</f>
        <v>-1962.5700000000002</v>
      </c>
      <c r="I17" s="192">
        <f>-SUM(I9:I14)</f>
        <v>-2300</v>
      </c>
      <c r="J17" s="192">
        <f>SocietyRelationsRevenues[[#Totals],[Budget 19/20]]-J15</f>
        <v>-7600</v>
      </c>
      <c r="K17" s="192">
        <f>SocietyRelationsRevenues[[#Totals],[Actual P12 19/20]]-K15</f>
        <v>-11170</v>
      </c>
      <c r="L17" s="192">
        <f>SocietyRelationsRevenues[[#Totals],[Budget 20/21]]-L15</f>
        <v>-12550</v>
      </c>
      <c r="M17" s="192">
        <f>SocietyRelationsRevenues[[#Totals],[Actual 20/21]]-M15</f>
        <v>-9399.85</v>
      </c>
      <c r="N17" s="192">
        <f>SocietyRelationsRevenues[[#Totals],[Budget 21/22]]-N15</f>
        <v>-12523.199999999999</v>
      </c>
      <c r="O17" s="192">
        <f>SocietyRelationsRevenues[[#Totals],[Actual 21/22]]-O15</f>
        <v>-8376.7999999999993</v>
      </c>
      <c r="P17" s="192">
        <f>SocietyRelationsRevenues[[#Totals],[Budget 22/23]]-P15</f>
        <v>-24117.4</v>
      </c>
    </row>
    <row r="19" spans="2:16">
      <c r="O19" s="11" t="s">
        <v>1186</v>
      </c>
    </row>
    <row r="20" spans="2:16">
      <c r="O20" s="11" t="s">
        <v>1187</v>
      </c>
    </row>
  </sheetData>
  <mergeCells count="1">
    <mergeCell ref="A1:C1"/>
  </mergeCells>
  <phoneticPr fontId="90" type="noConversion"/>
  <pageMargins left="0.7" right="0.7" top="0.75" bottom="0.75" header="0.3" footer="0.3"/>
  <pageSetup orientation="portrait" r:id="rId1"/>
  <legacyDrawing r:id="rId2"/>
  <tableParts count="2">
    <tablePart r:id="rId3"/>
    <tablePart r:id="rId4"/>
  </tablePar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92D050"/>
  </sheetPr>
  <dimension ref="A1:G38"/>
  <sheetViews>
    <sheetView workbookViewId="0">
      <selection activeCell="N21" sqref="N21"/>
    </sheetView>
  </sheetViews>
  <sheetFormatPr defaultColWidth="10" defaultRowHeight="12.75"/>
  <cols>
    <col min="1" max="1" width="14.140625" style="228" customWidth="1"/>
    <col min="2" max="2" width="49.42578125" style="228" customWidth="1"/>
    <col min="3" max="3" width="13.28515625" style="228" hidden="1" customWidth="1"/>
    <col min="4" max="4" width="14.140625" style="228" hidden="1" customWidth="1"/>
    <col min="5" max="6" width="14.28515625" style="228" customWidth="1"/>
    <col min="7" max="8" width="14.140625" style="228" bestFit="1" customWidth="1"/>
    <col min="9" max="11" width="15.85546875" style="228" bestFit="1" customWidth="1"/>
    <col min="12" max="14" width="14.140625" style="228" bestFit="1" customWidth="1"/>
    <col min="15" max="16" width="15.85546875" style="228" bestFit="1" customWidth="1"/>
    <col min="17" max="17" width="17.7109375" style="228" bestFit="1" customWidth="1"/>
    <col min="18" max="16384" width="10" style="228"/>
  </cols>
  <sheetData>
    <row r="1" spans="1:7" ht="21">
      <c r="B1" s="218" t="s">
        <v>1188</v>
      </c>
    </row>
    <row r="2" spans="1:7" ht="15">
      <c r="B2" s="217" t="s">
        <v>962</v>
      </c>
    </row>
    <row r="3" spans="1:7" ht="15.75">
      <c r="B3" s="228" t="s">
        <v>72</v>
      </c>
      <c r="C3" s="228" t="s">
        <v>17</v>
      </c>
      <c r="D3" s="439" t="s">
        <v>269</v>
      </c>
      <c r="E3" s="439" t="s">
        <v>41</v>
      </c>
      <c r="F3" s="372" t="s">
        <v>947</v>
      </c>
      <c r="G3" s="372" t="s">
        <v>43</v>
      </c>
    </row>
    <row r="4" spans="1:7">
      <c r="C4" s="20">
        <v>0</v>
      </c>
    </row>
    <row r="5" spans="1:7">
      <c r="B5" s="19" t="s">
        <v>21</v>
      </c>
      <c r="C5" s="178">
        <f>SUBTOTAL(109,MarketingGeneralRevenues71801466[Budget 20/21])</f>
        <v>0</v>
      </c>
      <c r="D5" s="178">
        <f>SUBTOTAL(109,MarketingGeneralRevenues71801466[Actuals 20/21])</f>
        <v>0</v>
      </c>
      <c r="E5" s="178">
        <f>SUBTOTAL(109,MarketingGeneralRevenues71801466[Budget 21/22])</f>
        <v>0</v>
      </c>
      <c r="F5" s="11"/>
      <c r="G5" s="11"/>
    </row>
    <row r="7" spans="1:7" ht="15.75">
      <c r="B7" s="228" t="s">
        <v>22</v>
      </c>
      <c r="C7" s="228" t="s">
        <v>17</v>
      </c>
      <c r="D7" s="439" t="s">
        <v>269</v>
      </c>
      <c r="E7" s="439" t="s">
        <v>41</v>
      </c>
      <c r="F7" s="372" t="s">
        <v>947</v>
      </c>
      <c r="G7" s="372" t="s">
        <v>43</v>
      </c>
    </row>
    <row r="8" spans="1:7" ht="15.75">
      <c r="A8" s="445">
        <v>64040</v>
      </c>
      <c r="B8" s="717" t="s">
        <v>1189</v>
      </c>
      <c r="C8" s="44">
        <v>41792.639999999999</v>
      </c>
      <c r="D8" s="228">
        <v>6049.24</v>
      </c>
      <c r="E8" s="687">
        <v>50400</v>
      </c>
      <c r="F8" s="229"/>
      <c r="G8" s="569">
        <v>50400</v>
      </c>
    </row>
    <row r="9" spans="1:7" ht="15.75">
      <c r="A9" s="445">
        <v>65010</v>
      </c>
      <c r="B9" s="228" t="s">
        <v>93</v>
      </c>
      <c r="C9" s="20">
        <v>350</v>
      </c>
      <c r="D9" s="228">
        <v>157.55000000000001</v>
      </c>
      <c r="E9" s="687">
        <v>0</v>
      </c>
      <c r="F9" s="229"/>
      <c r="G9" s="569"/>
    </row>
    <row r="10" spans="1:7" ht="15.75">
      <c r="A10" s="445"/>
      <c r="B10" s="228" t="s">
        <v>97</v>
      </c>
      <c r="C10" s="20"/>
      <c r="E10" s="687"/>
      <c r="F10" s="229"/>
      <c r="G10" s="569"/>
    </row>
    <row r="11" spans="1:7" ht="15.75">
      <c r="A11" s="445">
        <v>65070</v>
      </c>
      <c r="B11" s="228" t="s">
        <v>1166</v>
      </c>
      <c r="C11" s="20">
        <v>500</v>
      </c>
      <c r="E11" s="687">
        <v>500</v>
      </c>
      <c r="F11" s="229"/>
      <c r="G11" s="569"/>
    </row>
    <row r="12" spans="1:7" ht="15.75">
      <c r="A12" s="445">
        <v>65090</v>
      </c>
      <c r="B12" s="228" t="s">
        <v>166</v>
      </c>
      <c r="C12" s="20">
        <v>100</v>
      </c>
      <c r="E12" s="687">
        <v>100</v>
      </c>
      <c r="F12" s="229"/>
      <c r="G12" s="569">
        <v>100</v>
      </c>
    </row>
    <row r="13" spans="1:7" ht="15.75">
      <c r="A13" s="445">
        <v>66010</v>
      </c>
      <c r="B13" s="228" t="s">
        <v>904</v>
      </c>
      <c r="C13" s="20">
        <v>100</v>
      </c>
      <c r="E13" s="687">
        <v>100</v>
      </c>
      <c r="F13" s="229">
        <v>55.12</v>
      </c>
      <c r="G13" s="569">
        <v>100</v>
      </c>
    </row>
    <row r="14" spans="1:7" ht="15.75">
      <c r="A14" s="445">
        <v>66030</v>
      </c>
      <c r="B14" s="228" t="s">
        <v>965</v>
      </c>
      <c r="C14" s="20">
        <v>500</v>
      </c>
      <c r="E14" s="687">
        <v>500</v>
      </c>
      <c r="F14" s="229">
        <v>214.7</v>
      </c>
      <c r="G14" s="569">
        <v>500</v>
      </c>
    </row>
    <row r="15" spans="1:7" ht="15.75">
      <c r="A15" s="445">
        <v>70020</v>
      </c>
      <c r="B15" s="717" t="s">
        <v>112</v>
      </c>
      <c r="C15" s="234">
        <v>400</v>
      </c>
      <c r="E15" s="687">
        <v>400</v>
      </c>
      <c r="F15" s="229"/>
      <c r="G15" s="569">
        <v>400</v>
      </c>
    </row>
    <row r="16" spans="1:7" ht="15.75">
      <c r="A16" s="445">
        <v>66120</v>
      </c>
      <c r="B16" s="717" t="s">
        <v>1190</v>
      </c>
      <c r="C16" s="20">
        <v>48000</v>
      </c>
      <c r="D16" s="228">
        <v>1769.2</v>
      </c>
      <c r="E16" s="687">
        <v>48000</v>
      </c>
      <c r="F16" s="229">
        <v>1346.32</v>
      </c>
      <c r="G16" s="569">
        <v>55000</v>
      </c>
    </row>
    <row r="17" spans="1:7" ht="15.75">
      <c r="A17" s="445">
        <v>67200</v>
      </c>
      <c r="B17" s="717" t="s">
        <v>170</v>
      </c>
      <c r="C17" s="234">
        <v>300</v>
      </c>
      <c r="D17" s="228">
        <v>100</v>
      </c>
      <c r="E17" s="687">
        <v>300</v>
      </c>
      <c r="F17" s="229">
        <v>403.06</v>
      </c>
      <c r="G17" s="569">
        <v>300</v>
      </c>
    </row>
    <row r="18" spans="1:7" ht="15.75">
      <c r="A18" s="445">
        <v>66060</v>
      </c>
      <c r="B18" s="717" t="s">
        <v>359</v>
      </c>
      <c r="C18" s="234">
        <v>200</v>
      </c>
      <c r="E18" s="687">
        <v>200</v>
      </c>
      <c r="F18" s="229"/>
      <c r="G18" s="569">
        <v>200</v>
      </c>
    </row>
    <row r="19" spans="1:7" ht="15.75">
      <c r="B19" s="235"/>
      <c r="C19" s="257"/>
      <c r="E19" s="687"/>
      <c r="F19" s="229"/>
    </row>
    <row r="20" spans="1:7" ht="13.5" thickBot="1">
      <c r="B20" s="19" t="s">
        <v>21</v>
      </c>
      <c r="C20" s="178">
        <f>SUBTOTAL(109,MarketingGeneralExpenses75811568[Budget 20/21])</f>
        <v>92242.64</v>
      </c>
      <c r="D20" s="178">
        <f>SUBTOTAL(109,MarketingGeneralExpenses75811568[Actuals 20/21])</f>
        <v>8075.99</v>
      </c>
      <c r="E20" s="178">
        <f>SUBTOTAL(109,MarketingGeneralExpenses75811568[Budget 21/22])</f>
        <v>100500</v>
      </c>
      <c r="F20" s="21">
        <f>SUBTOTAL(109,MarketingGeneralExpenses75811568[Actuals 21/22])</f>
        <v>2019.1999999999998</v>
      </c>
      <c r="G20" s="531">
        <f>SUM(MarketingGeneralExpenses75811568[Budget 22/23])</f>
        <v>107000</v>
      </c>
    </row>
    <row r="21" spans="1:7" ht="19.5" thickBot="1">
      <c r="B21" s="676" t="s">
        <v>127</v>
      </c>
      <c r="C21" s="369">
        <f>(MarketingGeneralRevenues71801466[[#Totals],[Budget 20/21]]) -MarketingGeneralExpenses75811568[[#Totals],[Budget 20/21]]</f>
        <v>-92242.64</v>
      </c>
      <c r="D21" s="369">
        <f>(MarketingGeneralRevenues71801466[[#Totals],[Actuals 20/21]]) -MarketingGeneralExpenses75811568[[#Totals],[Actuals 20/21]]</f>
        <v>-8075.99</v>
      </c>
      <c r="E21" s="369">
        <f>(MarketingGeneralRevenues71801466[[#Totals],[Budget 21/22]]) -MarketingGeneralExpenses75811568[[#Totals],[Budget 21/22]]</f>
        <v>-100500</v>
      </c>
      <c r="F21" s="369">
        <f>(MarketingGeneralRevenues71801466[[#Totals],[Actuals 21/22]]) -MarketingGeneralExpenses75811568[[#Totals],[Actuals 21/22]]</f>
        <v>-2019.1999999999998</v>
      </c>
      <c r="G21" s="369">
        <f>(MarketingGeneralRevenues71801466[[#Totals],[Budget 22/23]]) -MarketingGeneralExpenses75811568[[#Totals],[Budget 22/23]]</f>
        <v>-107000</v>
      </c>
    </row>
    <row r="26" spans="1:7">
      <c r="F26" s="230"/>
    </row>
    <row r="27" spans="1:7">
      <c r="F27" s="230"/>
    </row>
    <row r="32" spans="1:7">
      <c r="E32" s="230"/>
    </row>
    <row r="37" spans="7:7">
      <c r="G37" s="230"/>
    </row>
    <row r="38" spans="7:7">
      <c r="G38" s="230"/>
    </row>
  </sheetData>
  <phoneticPr fontId="117" type="noConversion"/>
  <pageMargins left="0.7" right="0.7" top="0.75" bottom="0.75" header="0.3" footer="0.3"/>
  <legacyDrawing r:id="rId1"/>
  <tableParts count="2">
    <tablePart r:id="rId2"/>
    <tablePart r:id="rId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5" tint="0.39997558519241921"/>
    <pageSetUpPr fitToPage="1"/>
  </sheetPr>
  <dimension ref="A1:AA46"/>
  <sheetViews>
    <sheetView showGridLines="0" topLeftCell="A4" zoomScale="85" zoomScaleNormal="85" workbookViewId="0">
      <selection activeCell="AD36" sqref="AD36"/>
    </sheetView>
  </sheetViews>
  <sheetFormatPr defaultColWidth="11.42578125" defaultRowHeight="12.75"/>
  <cols>
    <col min="1" max="1" width="13.85546875" customWidth="1"/>
    <col min="2" max="2" width="41.42578125" customWidth="1"/>
    <col min="3" max="13" width="16.85546875" hidden="1" customWidth="1"/>
    <col min="14" max="14" width="16" style="138" hidden="1" customWidth="1"/>
    <col min="15" max="15" width="14.28515625" hidden="1" customWidth="1"/>
    <col min="16" max="16" width="15.28515625" hidden="1" customWidth="1"/>
    <col min="17" max="17" width="18" hidden="1" customWidth="1"/>
    <col min="18" max="18" width="17.42578125" hidden="1" customWidth="1"/>
    <col min="19" max="19" width="17.28515625" hidden="1" customWidth="1"/>
    <col min="20" max="20" width="16.28515625" hidden="1" customWidth="1"/>
    <col min="21" max="22" width="16.85546875" hidden="1" customWidth="1"/>
    <col min="23" max="23" width="17.7109375" hidden="1" customWidth="1"/>
    <col min="24" max="24" width="16.42578125" hidden="1" customWidth="1"/>
    <col min="25" max="25" width="16.85546875" bestFit="1" customWidth="1"/>
    <col min="26" max="26" width="16.140625" customWidth="1"/>
    <col min="27" max="27" width="18" customWidth="1"/>
  </cols>
  <sheetData>
    <row r="1" spans="1:27" ht="18">
      <c r="A1" s="758" t="s">
        <v>128</v>
      </c>
      <c r="B1" s="758"/>
      <c r="C1" s="10"/>
      <c r="D1" s="10"/>
      <c r="E1" s="10"/>
      <c r="F1" s="10"/>
      <c r="G1" s="10"/>
      <c r="H1" s="10"/>
      <c r="I1" s="10"/>
      <c r="J1" s="10"/>
      <c r="K1" s="10"/>
      <c r="L1" s="10"/>
      <c r="M1" s="10"/>
    </row>
    <row r="2" spans="1:27">
      <c r="A2" s="756" t="s">
        <v>71</v>
      </c>
      <c r="B2" s="756"/>
      <c r="C2" s="11"/>
      <c r="D2" s="11"/>
      <c r="E2" s="11"/>
      <c r="F2" s="11"/>
      <c r="G2" s="11"/>
      <c r="H2" s="11"/>
      <c r="I2" s="11"/>
      <c r="J2" s="11"/>
      <c r="K2" s="11"/>
      <c r="L2" s="11"/>
      <c r="M2" s="11"/>
    </row>
    <row r="3" spans="1:27">
      <c r="A3" s="11"/>
      <c r="B3" s="11"/>
      <c r="C3" s="11"/>
      <c r="D3" s="11"/>
      <c r="E3" s="11"/>
      <c r="F3" s="11"/>
      <c r="G3" s="11"/>
      <c r="H3" s="11"/>
      <c r="I3" s="11"/>
      <c r="J3" s="11"/>
      <c r="K3" s="11"/>
      <c r="L3" s="11"/>
      <c r="M3" s="11"/>
    </row>
    <row r="4" spans="1:27">
      <c r="A4" s="11"/>
      <c r="B4" s="11" t="s">
        <v>72</v>
      </c>
      <c r="C4" s="11" t="s">
        <v>73</v>
      </c>
      <c r="D4" s="11" t="s">
        <v>74</v>
      </c>
      <c r="E4" s="11" t="s">
        <v>75</v>
      </c>
      <c r="F4" s="11" t="s">
        <v>76</v>
      </c>
      <c r="G4" s="11" t="s">
        <v>77</v>
      </c>
      <c r="H4" s="11" t="s">
        <v>78</v>
      </c>
      <c r="I4" s="11" t="s">
        <v>5</v>
      </c>
      <c r="J4" s="11" t="s">
        <v>6</v>
      </c>
      <c r="K4" s="11" t="s">
        <v>7</v>
      </c>
      <c r="L4" s="11" t="s">
        <v>8</v>
      </c>
      <c r="M4" s="11" t="s">
        <v>9</v>
      </c>
      <c r="N4" s="119" t="s">
        <v>10</v>
      </c>
      <c r="O4" s="11" t="s">
        <v>11</v>
      </c>
      <c r="P4" s="11" t="s">
        <v>12</v>
      </c>
      <c r="Q4" s="11" t="s">
        <v>13</v>
      </c>
      <c r="R4" s="11" t="s">
        <v>14</v>
      </c>
      <c r="S4" s="11" t="s">
        <v>15</v>
      </c>
      <c r="T4" s="11" t="s">
        <v>39</v>
      </c>
      <c r="U4" s="11" t="s">
        <v>16</v>
      </c>
      <c r="V4" s="11" t="s">
        <v>81</v>
      </c>
      <c r="W4" s="11" t="s">
        <v>17</v>
      </c>
      <c r="X4" s="446" t="s">
        <v>40</v>
      </c>
      <c r="Y4" s="446" t="s">
        <v>41</v>
      </c>
      <c r="Z4" s="11" t="s">
        <v>42</v>
      </c>
      <c r="AA4" s="11" t="s">
        <v>43</v>
      </c>
    </row>
    <row r="5" spans="1:27" ht="13.5" thickBot="1">
      <c r="A5" s="11"/>
      <c r="B5" s="11" t="s">
        <v>129</v>
      </c>
      <c r="C5" s="25">
        <v>0</v>
      </c>
      <c r="D5" s="25">
        <v>0</v>
      </c>
      <c r="E5" s="25">
        <v>0</v>
      </c>
      <c r="F5" s="25">
        <v>0</v>
      </c>
      <c r="G5" s="25">
        <v>0</v>
      </c>
      <c r="H5" s="25">
        <v>0</v>
      </c>
      <c r="I5" s="25">
        <v>0</v>
      </c>
      <c r="J5" s="25">
        <v>0</v>
      </c>
      <c r="K5" s="25">
        <v>0</v>
      </c>
      <c r="L5" s="25">
        <v>0</v>
      </c>
      <c r="M5" s="25">
        <v>0</v>
      </c>
      <c r="N5" s="133">
        <v>0</v>
      </c>
      <c r="O5" s="25">
        <v>0</v>
      </c>
      <c r="P5" s="172"/>
      <c r="Q5" s="172"/>
      <c r="R5" s="172"/>
      <c r="S5" s="172"/>
      <c r="T5" s="172"/>
      <c r="U5" s="172">
        <v>2740</v>
      </c>
      <c r="V5" s="172"/>
      <c r="W5" s="172">
        <v>2740</v>
      </c>
      <c r="X5" s="4"/>
      <c r="Y5" s="172"/>
      <c r="Z5" s="4"/>
      <c r="AA5" s="4"/>
    </row>
    <row r="6" spans="1:27" ht="13.5" thickBot="1">
      <c r="A6" s="11"/>
      <c r="B6" s="11" t="s">
        <v>21</v>
      </c>
      <c r="C6" s="178">
        <f>SUBTOTAL(109,StudentGovernmentRevenues[Budget 10/11])</f>
        <v>0</v>
      </c>
      <c r="D6" s="178">
        <f>SUBTOTAL(109,StudentGovernmentRevenues[Actual 10/11])</f>
        <v>0</v>
      </c>
      <c r="E6" s="178">
        <f>SUBTOTAL(109,StudentGovernmentRevenues[Budget 11/12])</f>
        <v>0</v>
      </c>
      <c r="F6" s="178">
        <f>SUBTOTAL(109,StudentGovernmentRevenues[Actual 11/12])</f>
        <v>0</v>
      </c>
      <c r="G6" s="178">
        <f>SUBTOTAL(109,StudentGovernmentRevenues[Budget 12/13])</f>
        <v>0</v>
      </c>
      <c r="H6" s="178">
        <f>SUBTOTAL(109,StudentGovernmentRevenues[Actual 12/13])</f>
        <v>0</v>
      </c>
      <c r="I6" s="178">
        <f>SUBTOTAL(109,StudentGovernmentRevenues[Budget 13/14])</f>
        <v>0</v>
      </c>
      <c r="J6" s="178">
        <f>SUBTOTAL(109,StudentGovernmentRevenues[Actual 13/14])</f>
        <v>0</v>
      </c>
      <c r="K6" s="178">
        <f>SUBTOTAL(109,StudentGovernmentRevenues[Budget 14/15])</f>
        <v>0</v>
      </c>
      <c r="L6" s="178">
        <f>SUBTOTAL(109,StudentGovernmentRevenues[Actual 14/15])</f>
        <v>0</v>
      </c>
      <c r="M6" s="178">
        <f>SUBTOTAL(109,StudentGovernmentRevenues[Budget 15/16])</f>
        <v>0</v>
      </c>
      <c r="N6" s="145">
        <f>SUBTOTAL(109,StudentGovernmentRevenues[Actual 15/16])</f>
        <v>0</v>
      </c>
      <c r="O6" s="178">
        <f>SUBTOTAL(109,StudentGovernmentRevenues[Budget 16/17])</f>
        <v>0</v>
      </c>
      <c r="P6" s="11"/>
      <c r="Q6" s="447"/>
      <c r="R6" s="289"/>
      <c r="S6" s="289"/>
      <c r="T6" s="289"/>
      <c r="U6" s="464">
        <f>StudentGovernmentRevenues[Budget 19/20]</f>
        <v>2740</v>
      </c>
      <c r="V6" s="464"/>
      <c r="W6" s="464">
        <f>StudentGovernmentRevenues[Budget 20/21]</f>
        <v>2740</v>
      </c>
      <c r="X6" s="464">
        <f>StudentGovernmentRevenues[Actual 20/21]</f>
        <v>0</v>
      </c>
      <c r="Y6" s="464">
        <f>StudentGovernmentRevenues[Budget 21/22]</f>
        <v>0</v>
      </c>
      <c r="Z6" s="562"/>
      <c r="AA6" s="562"/>
    </row>
    <row r="7" spans="1:27">
      <c r="A7" s="11"/>
      <c r="B7" s="11"/>
      <c r="C7" s="39"/>
      <c r="D7" s="39"/>
      <c r="E7" s="39"/>
      <c r="F7" s="39"/>
      <c r="G7" s="39"/>
      <c r="H7" s="39"/>
      <c r="I7" s="39"/>
      <c r="J7" s="39"/>
      <c r="K7" s="39"/>
      <c r="L7" s="39"/>
      <c r="M7" s="39"/>
    </row>
    <row r="8" spans="1:27">
      <c r="A8" s="36"/>
      <c r="B8" s="11"/>
      <c r="C8" s="11"/>
      <c r="D8" s="11"/>
      <c r="E8" s="11"/>
      <c r="F8" s="11"/>
      <c r="G8" s="11"/>
      <c r="H8" s="11"/>
      <c r="I8" s="11"/>
      <c r="J8" s="11"/>
      <c r="K8" s="11"/>
      <c r="L8" s="11"/>
      <c r="M8" s="11"/>
    </row>
    <row r="9" spans="1:27">
      <c r="A9" s="48" t="s">
        <v>130</v>
      </c>
      <c r="B9" s="11" t="s">
        <v>22</v>
      </c>
      <c r="C9" s="11" t="s">
        <v>73</v>
      </c>
      <c r="D9" s="11" t="s">
        <v>74</v>
      </c>
      <c r="E9" s="11" t="s">
        <v>75</v>
      </c>
      <c r="F9" s="11" t="s">
        <v>76</v>
      </c>
      <c r="G9" s="11" t="s">
        <v>77</v>
      </c>
      <c r="H9" s="11" t="s">
        <v>78</v>
      </c>
      <c r="I9" s="11" t="s">
        <v>5</v>
      </c>
      <c r="J9" s="11" t="s">
        <v>6</v>
      </c>
      <c r="K9" s="11" t="s">
        <v>7</v>
      </c>
      <c r="L9" s="11" t="s">
        <v>8</v>
      </c>
      <c r="M9" s="11" t="s">
        <v>9</v>
      </c>
      <c r="N9" s="119" t="s">
        <v>10</v>
      </c>
      <c r="O9" s="11" t="s">
        <v>11</v>
      </c>
      <c r="P9" s="11" t="s">
        <v>12</v>
      </c>
      <c r="Q9" s="11" t="s">
        <v>13</v>
      </c>
      <c r="R9" s="608" t="s">
        <v>14</v>
      </c>
      <c r="S9" s="608" t="s">
        <v>15</v>
      </c>
      <c r="T9" s="608" t="s">
        <v>39</v>
      </c>
      <c r="U9" s="608" t="s">
        <v>16</v>
      </c>
      <c r="V9" s="608"/>
      <c r="W9" s="608" t="s">
        <v>17</v>
      </c>
      <c r="X9" s="446" t="s">
        <v>40</v>
      </c>
      <c r="Y9" s="446" t="s">
        <v>41</v>
      </c>
      <c r="Z9" s="446" t="s">
        <v>131</v>
      </c>
      <c r="AA9" s="446" t="s">
        <v>132</v>
      </c>
    </row>
    <row r="10" spans="1:27">
      <c r="A10" s="48" t="s">
        <v>133</v>
      </c>
      <c r="B10" s="11" t="s">
        <v>134</v>
      </c>
      <c r="C10" s="25">
        <v>0</v>
      </c>
      <c r="D10" s="25">
        <v>0</v>
      </c>
      <c r="E10" s="25">
        <v>0</v>
      </c>
      <c r="F10" s="25">
        <v>0</v>
      </c>
      <c r="G10" s="25">
        <v>0</v>
      </c>
      <c r="H10" s="25">
        <v>125</v>
      </c>
      <c r="I10" s="25">
        <v>0</v>
      </c>
      <c r="J10" s="25">
        <v>0</v>
      </c>
      <c r="K10" s="25">
        <v>0</v>
      </c>
      <c r="L10" s="25">
        <v>0</v>
      </c>
      <c r="M10" s="25">
        <v>0</v>
      </c>
      <c r="N10" s="133">
        <v>669.53</v>
      </c>
      <c r="O10" s="25">
        <v>0</v>
      </c>
      <c r="P10" s="284"/>
      <c r="Q10" s="172"/>
      <c r="R10" s="609"/>
      <c r="S10" s="609"/>
      <c r="T10" s="609"/>
      <c r="U10" s="609"/>
      <c r="V10" s="609">
        <v>340.46</v>
      </c>
      <c r="W10" s="612"/>
      <c r="X10" s="612"/>
      <c r="Y10" s="612"/>
      <c r="Z10" s="612">
        <v>15369.37</v>
      </c>
      <c r="AA10" s="612"/>
    </row>
    <row r="11" spans="1:27">
      <c r="A11" s="48" t="s">
        <v>135</v>
      </c>
      <c r="B11" s="287" t="s">
        <v>136</v>
      </c>
      <c r="C11" s="25"/>
      <c r="D11" s="25"/>
      <c r="E11" s="25"/>
      <c r="F11" s="25"/>
      <c r="G11" s="25"/>
      <c r="H11" s="25"/>
      <c r="I11" s="25"/>
      <c r="J11" s="25"/>
      <c r="K11" s="25"/>
      <c r="L11" s="25"/>
      <c r="M11" s="25"/>
      <c r="N11" s="133"/>
      <c r="O11" s="25"/>
      <c r="P11" s="284"/>
      <c r="Q11" s="172"/>
      <c r="R11" s="613"/>
      <c r="S11" s="613"/>
      <c r="T11" s="613"/>
      <c r="U11" s="599">
        <v>1000</v>
      </c>
      <c r="V11" s="599">
        <v>679.08</v>
      </c>
      <c r="W11" s="614">
        <v>0</v>
      </c>
      <c r="X11" s="614">
        <v>1755.96</v>
      </c>
      <c r="Y11" s="614"/>
      <c r="Z11" s="614"/>
      <c r="AA11" s="614"/>
    </row>
    <row r="12" spans="1:27">
      <c r="A12" s="48"/>
      <c r="B12" s="287" t="s">
        <v>137</v>
      </c>
      <c r="C12" s="25"/>
      <c r="D12" s="25"/>
      <c r="E12" s="25"/>
      <c r="F12" s="25"/>
      <c r="G12" s="25"/>
      <c r="H12" s="25"/>
      <c r="I12" s="25"/>
      <c r="J12" s="25"/>
      <c r="K12" s="25"/>
      <c r="L12" s="25"/>
      <c r="M12" s="25"/>
      <c r="N12" s="133"/>
      <c r="O12" s="25"/>
      <c r="P12" s="284"/>
      <c r="Q12" s="172"/>
      <c r="R12" s="613"/>
      <c r="S12" s="613"/>
      <c r="T12" s="613"/>
      <c r="U12" s="599">
        <v>2000</v>
      </c>
      <c r="V12" s="599"/>
      <c r="W12" s="615">
        <v>2000</v>
      </c>
      <c r="X12" s="614"/>
      <c r="Y12" s="614"/>
      <c r="Z12" s="614"/>
      <c r="AA12" s="614"/>
    </row>
    <row r="13" spans="1:27">
      <c r="A13" s="48" t="s">
        <v>135</v>
      </c>
      <c r="B13" s="11" t="s">
        <v>138</v>
      </c>
      <c r="C13" s="25">
        <v>1000</v>
      </c>
      <c r="D13" s="25">
        <v>457.98</v>
      </c>
      <c r="E13" s="25">
        <v>300</v>
      </c>
      <c r="F13" s="25">
        <v>0</v>
      </c>
      <c r="G13" s="25">
        <v>0</v>
      </c>
      <c r="H13" s="25">
        <v>0</v>
      </c>
      <c r="I13" s="25">
        <v>500</v>
      </c>
      <c r="J13" s="25">
        <v>500</v>
      </c>
      <c r="K13" s="25">
        <v>500</v>
      </c>
      <c r="L13" s="25">
        <v>500</v>
      </c>
      <c r="M13" s="25">
        <v>1250</v>
      </c>
      <c r="N13" s="133">
        <v>0</v>
      </c>
      <c r="O13" s="25">
        <v>1250</v>
      </c>
      <c r="P13" s="284">
        <v>500</v>
      </c>
      <c r="Q13" s="172">
        <v>1250</v>
      </c>
      <c r="R13" s="609">
        <v>1000</v>
      </c>
      <c r="S13" s="609"/>
      <c r="T13" s="609">
        <v>1500</v>
      </c>
      <c r="U13" s="609"/>
      <c r="V13" s="609"/>
      <c r="W13" s="612"/>
      <c r="X13" s="614">
        <v>14045.15</v>
      </c>
      <c r="Y13" s="614"/>
      <c r="Z13" s="614"/>
      <c r="AA13" s="614"/>
    </row>
    <row r="14" spans="1:27">
      <c r="B14" s="11" t="s">
        <v>139</v>
      </c>
      <c r="C14" s="25"/>
      <c r="D14" s="25"/>
      <c r="E14" s="25"/>
      <c r="F14" s="25"/>
      <c r="G14" s="25"/>
      <c r="H14" s="25"/>
      <c r="I14" s="25"/>
      <c r="J14" s="25"/>
      <c r="K14" s="25"/>
      <c r="L14" s="25"/>
      <c r="M14" s="25"/>
      <c r="N14" s="133"/>
      <c r="O14" s="25"/>
      <c r="P14" s="284"/>
      <c r="Q14" s="172"/>
      <c r="R14" s="609"/>
      <c r="S14" s="609">
        <v>750</v>
      </c>
      <c r="T14" s="609"/>
      <c r="U14" s="609">
        <f>500*3+250*3</f>
        <v>2250</v>
      </c>
      <c r="V14" s="609"/>
      <c r="W14" s="612">
        <f>500*3+250*3 + 6*500*3</f>
        <v>11250</v>
      </c>
      <c r="X14" s="614"/>
      <c r="Y14" s="616">
        <f>500*3+250*3 + 6*500*3</f>
        <v>11250</v>
      </c>
      <c r="Z14" s="616">
        <v>18022.04</v>
      </c>
      <c r="AA14" s="616">
        <f>12520*2/3*11+3500</f>
        <v>95313.333333333328</v>
      </c>
    </row>
    <row r="15" spans="1:27">
      <c r="B15" s="11" t="s">
        <v>140</v>
      </c>
      <c r="C15" s="25"/>
      <c r="D15" s="25"/>
      <c r="E15" s="25"/>
      <c r="F15" s="25"/>
      <c r="G15" s="25"/>
      <c r="H15" s="25"/>
      <c r="I15" s="25"/>
      <c r="J15" s="25"/>
      <c r="K15" s="25"/>
      <c r="L15" s="25"/>
      <c r="M15" s="25"/>
      <c r="N15" s="133"/>
      <c r="O15" s="25"/>
      <c r="P15" s="284"/>
      <c r="Q15" s="172"/>
      <c r="R15" s="609"/>
      <c r="S15" s="609">
        <v>750</v>
      </c>
      <c r="T15" s="609"/>
      <c r="U15" s="609">
        <f>500*3</f>
        <v>1500</v>
      </c>
      <c r="V15" s="609"/>
      <c r="W15" s="612">
        <f>500*3*2+250*3</f>
        <v>3750</v>
      </c>
      <c r="X15" s="612"/>
      <c r="Y15" s="616">
        <f>500*3*2+250*3</f>
        <v>3750</v>
      </c>
      <c r="Z15" s="616"/>
      <c r="AA15" s="616">
        <v>500</v>
      </c>
    </row>
    <row r="16" spans="1:27">
      <c r="B16" s="361" t="s">
        <v>141</v>
      </c>
      <c r="C16" s="25"/>
      <c r="D16" s="25"/>
      <c r="E16" s="25"/>
      <c r="F16" s="25"/>
      <c r="G16" s="25"/>
      <c r="H16" s="25"/>
      <c r="I16" s="25"/>
      <c r="J16" s="25"/>
      <c r="K16" s="25"/>
      <c r="L16" s="25"/>
      <c r="M16" s="25"/>
      <c r="N16" s="133"/>
      <c r="O16" s="25"/>
      <c r="P16" s="284"/>
      <c r="Q16" s="172"/>
      <c r="R16" s="609"/>
      <c r="S16" s="609"/>
      <c r="T16" s="609"/>
      <c r="U16" s="609"/>
      <c r="V16" s="609"/>
      <c r="W16" s="612">
        <f>250*5*3</f>
        <v>3750</v>
      </c>
      <c r="X16" s="612"/>
      <c r="Y16" s="616">
        <f>250*5*3</f>
        <v>3750</v>
      </c>
      <c r="Z16" s="616"/>
      <c r="AA16" s="616">
        <v>500</v>
      </c>
    </row>
    <row r="17" spans="1:27">
      <c r="B17" s="11" t="s">
        <v>142</v>
      </c>
      <c r="C17" s="25">
        <v>300</v>
      </c>
      <c r="D17" s="25">
        <v>0</v>
      </c>
      <c r="E17" s="25">
        <v>1300</v>
      </c>
      <c r="F17" s="25">
        <v>1623.4</v>
      </c>
      <c r="G17" s="25">
        <v>4600</v>
      </c>
      <c r="H17" s="25">
        <v>325</v>
      </c>
      <c r="I17" s="25">
        <v>0</v>
      </c>
      <c r="J17" s="25">
        <v>-225</v>
      </c>
      <c r="K17" s="25">
        <v>0</v>
      </c>
      <c r="L17" s="25">
        <v>0</v>
      </c>
      <c r="M17" s="25">
        <v>0</v>
      </c>
      <c r="N17" s="133">
        <v>0</v>
      </c>
      <c r="O17" s="25">
        <v>0</v>
      </c>
      <c r="P17" s="284"/>
      <c r="Q17" s="172"/>
      <c r="R17" s="609">
        <v>1561.87</v>
      </c>
      <c r="S17" s="609"/>
      <c r="T17" s="609"/>
      <c r="U17" s="609"/>
      <c r="V17" s="609"/>
      <c r="W17" s="612"/>
      <c r="X17" s="612"/>
      <c r="Y17" s="612"/>
      <c r="Z17" s="612"/>
      <c r="AA17" s="612"/>
    </row>
    <row r="18" spans="1:27">
      <c r="A18" s="48" t="s">
        <v>143</v>
      </c>
      <c r="B18" s="11" t="s">
        <v>100</v>
      </c>
      <c r="C18" s="25">
        <v>125</v>
      </c>
      <c r="D18" s="25">
        <v>0</v>
      </c>
      <c r="E18" s="25">
        <v>0</v>
      </c>
      <c r="F18" s="25">
        <v>0</v>
      </c>
      <c r="G18" s="25">
        <v>0</v>
      </c>
      <c r="H18" s="25">
        <v>0</v>
      </c>
      <c r="I18" s="25">
        <v>0</v>
      </c>
      <c r="J18" s="25">
        <v>0</v>
      </c>
      <c r="K18" s="25">
        <v>0</v>
      </c>
      <c r="L18" s="25">
        <v>0</v>
      </c>
      <c r="M18" s="25">
        <v>0</v>
      </c>
      <c r="N18" s="133">
        <v>0</v>
      </c>
      <c r="O18" s="25">
        <v>0</v>
      </c>
      <c r="P18" s="284"/>
      <c r="Q18" s="172"/>
      <c r="R18" s="609"/>
      <c r="S18" s="609"/>
      <c r="T18" s="609"/>
      <c r="U18" s="609"/>
      <c r="V18" s="609">
        <v>0</v>
      </c>
      <c r="W18" s="617">
        <v>300</v>
      </c>
      <c r="X18" s="612"/>
      <c r="Y18" s="612">
        <v>100</v>
      </c>
      <c r="Z18" s="612"/>
      <c r="AA18" s="612"/>
    </row>
    <row r="19" spans="1:27">
      <c r="A19" s="48" t="s">
        <v>144</v>
      </c>
      <c r="B19" s="11" t="s">
        <v>104</v>
      </c>
      <c r="C19" s="25">
        <v>500</v>
      </c>
      <c r="D19" s="25">
        <v>436.71</v>
      </c>
      <c r="E19" s="25">
        <v>500</v>
      </c>
      <c r="F19" s="25">
        <v>345.35</v>
      </c>
      <c r="G19" s="25">
        <v>500</v>
      </c>
      <c r="H19" s="25">
        <v>978.84</v>
      </c>
      <c r="I19" s="25">
        <v>500</v>
      </c>
      <c r="J19" s="25">
        <v>1093.6300000000001</v>
      </c>
      <c r="K19" s="25">
        <v>500</v>
      </c>
      <c r="L19" s="25">
        <v>198.3</v>
      </c>
      <c r="M19" s="25">
        <v>500</v>
      </c>
      <c r="N19" s="133">
        <v>228.92</v>
      </c>
      <c r="O19" s="25">
        <v>500</v>
      </c>
      <c r="P19" s="284">
        <v>105.62</v>
      </c>
      <c r="Q19" s="172">
        <v>500</v>
      </c>
      <c r="R19" s="609"/>
      <c r="S19" s="609"/>
      <c r="T19" s="609">
        <v>1098.3900000000001</v>
      </c>
      <c r="U19" s="609"/>
      <c r="V19" s="609">
        <v>2285.14</v>
      </c>
      <c r="W19" s="612"/>
      <c r="X19" s="612"/>
      <c r="Y19" s="612"/>
      <c r="Z19" s="612"/>
      <c r="AA19" s="612"/>
    </row>
    <row r="20" spans="1:27">
      <c r="A20" s="48" t="s">
        <v>145</v>
      </c>
      <c r="B20" s="11" t="s">
        <v>139</v>
      </c>
      <c r="C20" s="25"/>
      <c r="D20" s="25"/>
      <c r="E20" s="25"/>
      <c r="F20" s="25"/>
      <c r="G20" s="25"/>
      <c r="H20" s="25"/>
      <c r="I20" s="25"/>
      <c r="J20" s="25"/>
      <c r="K20" s="25"/>
      <c r="L20" s="25"/>
      <c r="M20" s="25"/>
      <c r="N20" s="133"/>
      <c r="O20" s="25"/>
      <c r="P20" s="284"/>
      <c r="Q20" s="172"/>
      <c r="R20" s="609"/>
      <c r="S20" s="609">
        <v>900</v>
      </c>
      <c r="T20" s="609"/>
      <c r="U20" s="609">
        <v>1000</v>
      </c>
      <c r="V20" s="609">
        <v>156.85</v>
      </c>
      <c r="W20" s="612">
        <v>600</v>
      </c>
      <c r="X20" s="612"/>
      <c r="Y20" s="612">
        <v>1000</v>
      </c>
      <c r="Z20" s="612"/>
      <c r="AA20" s="612">
        <v>5000</v>
      </c>
    </row>
    <row r="21" spans="1:27">
      <c r="A21" s="48" t="s">
        <v>146</v>
      </c>
      <c r="B21" s="11" t="s">
        <v>140</v>
      </c>
      <c r="C21" s="25"/>
      <c r="D21" s="25"/>
      <c r="E21" s="25"/>
      <c r="F21" s="25"/>
      <c r="G21" s="25"/>
      <c r="H21" s="25"/>
      <c r="I21" s="25"/>
      <c r="J21" s="25"/>
      <c r="K21" s="25"/>
      <c r="L21" s="25"/>
      <c r="M21" s="25"/>
      <c r="N21" s="133"/>
      <c r="O21" s="25"/>
      <c r="P21" s="284"/>
      <c r="Q21" s="172"/>
      <c r="R21" s="609"/>
      <c r="S21" s="609">
        <v>400</v>
      </c>
      <c r="T21" s="609"/>
      <c r="U21" s="609">
        <v>1500</v>
      </c>
      <c r="V21" s="609">
        <v>0</v>
      </c>
      <c r="W21" s="612">
        <v>400</v>
      </c>
      <c r="X21" s="612"/>
      <c r="Y21" s="612">
        <v>2750</v>
      </c>
      <c r="Z21" s="612"/>
      <c r="AA21" s="612"/>
    </row>
    <row r="22" spans="1:27">
      <c r="A22" s="48" t="s">
        <v>146</v>
      </c>
      <c r="B22" s="361" t="s">
        <v>147</v>
      </c>
      <c r="C22" s="25"/>
      <c r="D22" s="25"/>
      <c r="E22" s="25"/>
      <c r="F22" s="25"/>
      <c r="G22" s="25"/>
      <c r="H22" s="25"/>
      <c r="I22" s="25"/>
      <c r="J22" s="25"/>
      <c r="K22" s="25"/>
      <c r="L22" s="25"/>
      <c r="M22" s="25"/>
      <c r="N22" s="133"/>
      <c r="O22" s="25"/>
      <c r="P22" s="284"/>
      <c r="Q22" s="172"/>
      <c r="R22" s="609"/>
      <c r="S22" s="609"/>
      <c r="T22" s="609"/>
      <c r="U22" s="609"/>
      <c r="V22" s="609"/>
      <c r="W22" s="617">
        <v>0</v>
      </c>
      <c r="X22" s="612"/>
      <c r="Y22" s="612">
        <v>0</v>
      </c>
      <c r="Z22" s="612"/>
      <c r="AA22" s="612"/>
    </row>
    <row r="23" spans="1:27">
      <c r="A23" s="48" t="s">
        <v>146</v>
      </c>
      <c r="B23" s="361" t="s">
        <v>148</v>
      </c>
      <c r="C23" s="25"/>
      <c r="D23" s="25"/>
      <c r="E23" s="25"/>
      <c r="F23" s="25"/>
      <c r="G23" s="25"/>
      <c r="H23" s="25"/>
      <c r="I23" s="25"/>
      <c r="J23" s="25"/>
      <c r="K23" s="25"/>
      <c r="L23" s="25"/>
      <c r="M23" s="25"/>
      <c r="N23" s="133"/>
      <c r="O23" s="25"/>
      <c r="P23" s="284"/>
      <c r="Q23" s="172"/>
      <c r="R23" s="609"/>
      <c r="S23" s="609"/>
      <c r="T23" s="609"/>
      <c r="U23" s="609"/>
      <c r="V23" s="609"/>
      <c r="W23" s="612">
        <v>0</v>
      </c>
      <c r="X23" s="612"/>
      <c r="Y23" s="612">
        <v>750</v>
      </c>
      <c r="Z23" s="612"/>
      <c r="AA23" s="612">
        <v>1000</v>
      </c>
    </row>
    <row r="24" spans="1:27">
      <c r="A24" s="48" t="s">
        <v>149</v>
      </c>
      <c r="B24" s="11" t="s">
        <v>106</v>
      </c>
      <c r="C24" s="25">
        <v>2000</v>
      </c>
      <c r="D24" s="25">
        <v>141.27000000000001</v>
      </c>
      <c r="E24" s="25">
        <v>1000</v>
      </c>
      <c r="F24" s="25">
        <v>507.24</v>
      </c>
      <c r="G24" s="25">
        <v>1000</v>
      </c>
      <c r="H24" s="25">
        <v>1699.42</v>
      </c>
      <c r="I24" s="25">
        <v>1000</v>
      </c>
      <c r="J24" s="25">
        <v>673.02</v>
      </c>
      <c r="K24" s="25">
        <v>1000</v>
      </c>
      <c r="L24" s="25">
        <v>625.89</v>
      </c>
      <c r="M24" s="25">
        <v>1000</v>
      </c>
      <c r="N24" s="133">
        <v>697.59</v>
      </c>
      <c r="O24" s="25">
        <v>1000</v>
      </c>
      <c r="P24" s="284">
        <v>441.8</v>
      </c>
      <c r="Q24" s="172"/>
      <c r="R24" s="609">
        <v>30</v>
      </c>
      <c r="S24" s="609"/>
      <c r="T24" s="609">
        <v>25.44</v>
      </c>
      <c r="U24" s="609">
        <v>1500</v>
      </c>
      <c r="V24" s="609">
        <v>1039.5</v>
      </c>
      <c r="W24" s="612">
        <v>1500</v>
      </c>
      <c r="X24" s="612"/>
      <c r="Y24" s="612">
        <v>1500</v>
      </c>
      <c r="Z24" s="612">
        <v>4269.75</v>
      </c>
      <c r="AA24" s="612">
        <f>13*500</f>
        <v>6500</v>
      </c>
    </row>
    <row r="25" spans="1:27">
      <c r="A25" s="48" t="s">
        <v>149</v>
      </c>
      <c r="B25" s="11" t="s">
        <v>110</v>
      </c>
      <c r="C25" s="25">
        <v>214.32</v>
      </c>
      <c r="D25" s="25">
        <v>214.32</v>
      </c>
      <c r="E25" s="25">
        <v>0</v>
      </c>
      <c r="F25" s="25">
        <v>824.61</v>
      </c>
      <c r="G25" s="25">
        <f>59.95*12</f>
        <v>719.40000000000009</v>
      </c>
      <c r="H25" s="25">
        <v>865.6</v>
      </c>
      <c r="I25" s="25">
        <v>1304.6400000000001</v>
      </c>
      <c r="J25" s="25">
        <v>1304.6400000000001</v>
      </c>
      <c r="K25" s="25">
        <v>0</v>
      </c>
      <c r="L25" s="25">
        <v>694.44</v>
      </c>
      <c r="M25" s="25">
        <v>0</v>
      </c>
      <c r="N25" s="133">
        <v>492.72</v>
      </c>
      <c r="O25" s="25">
        <v>451.66</v>
      </c>
      <c r="P25" s="284">
        <v>451.66</v>
      </c>
      <c r="Q25" s="172">
        <v>451</v>
      </c>
      <c r="R25" s="609"/>
      <c r="S25" s="609"/>
      <c r="T25" s="609"/>
      <c r="U25" s="609"/>
      <c r="V25" s="609"/>
      <c r="W25" s="612"/>
      <c r="X25" s="612"/>
      <c r="Y25" s="612"/>
      <c r="Z25" s="612"/>
      <c r="AA25" s="612"/>
    </row>
    <row r="26" spans="1:27">
      <c r="A26" s="48" t="s">
        <v>149</v>
      </c>
      <c r="B26" s="11" t="s">
        <v>114</v>
      </c>
      <c r="C26" s="25">
        <v>4000</v>
      </c>
      <c r="D26" s="25">
        <v>706.01</v>
      </c>
      <c r="E26" s="25">
        <v>750</v>
      </c>
      <c r="F26" s="25">
        <v>153.22</v>
      </c>
      <c r="G26" s="25">
        <v>2500</v>
      </c>
      <c r="H26" s="25">
        <v>484.05</v>
      </c>
      <c r="I26" s="25">
        <v>1000</v>
      </c>
      <c r="J26" s="25">
        <v>298</v>
      </c>
      <c r="K26" s="25">
        <v>150</v>
      </c>
      <c r="L26" s="25">
        <v>0</v>
      </c>
      <c r="M26" s="25">
        <v>500</v>
      </c>
      <c r="N26" s="133">
        <v>450.41</v>
      </c>
      <c r="O26" s="25">
        <v>500</v>
      </c>
      <c r="P26" s="284"/>
      <c r="Q26" s="172">
        <v>500</v>
      </c>
      <c r="R26" s="609">
        <v>216.26</v>
      </c>
      <c r="S26" s="609">
        <v>300</v>
      </c>
      <c r="T26" s="25">
        <v>4715.78</v>
      </c>
      <c r="U26" s="11"/>
      <c r="V26" s="11"/>
      <c r="W26" s="612"/>
      <c r="X26" s="612"/>
      <c r="Y26" s="612"/>
      <c r="Z26" s="612"/>
      <c r="AA26" s="612"/>
    </row>
    <row r="27" spans="1:27">
      <c r="A27" s="48"/>
      <c r="B27" s="287" t="s">
        <v>150</v>
      </c>
      <c r="C27" s="25"/>
      <c r="D27" s="25"/>
      <c r="E27" s="25"/>
      <c r="F27" s="25"/>
      <c r="G27" s="25"/>
      <c r="H27" s="25"/>
      <c r="I27" s="25"/>
      <c r="J27" s="25"/>
      <c r="K27" s="25"/>
      <c r="L27" s="25"/>
      <c r="M27" s="25"/>
      <c r="N27" s="133"/>
      <c r="O27" s="25"/>
      <c r="P27" s="284"/>
      <c r="Q27" s="172"/>
      <c r="R27" s="609"/>
      <c r="S27" s="609"/>
      <c r="T27" s="609"/>
      <c r="U27" s="609">
        <v>1000</v>
      </c>
      <c r="V27" s="609"/>
      <c r="W27" s="612"/>
      <c r="X27" s="612"/>
      <c r="Y27" s="612"/>
      <c r="Z27" s="612"/>
      <c r="AA27" s="612"/>
    </row>
    <row r="28" spans="1:27">
      <c r="A28" s="48"/>
      <c r="B28" s="287" t="s">
        <v>151</v>
      </c>
      <c r="C28" s="25"/>
      <c r="D28" s="25"/>
      <c r="E28" s="25"/>
      <c r="F28" s="25"/>
      <c r="G28" s="25"/>
      <c r="H28" s="25"/>
      <c r="I28" s="25"/>
      <c r="J28" s="25"/>
      <c r="K28" s="25"/>
      <c r="L28" s="25"/>
      <c r="M28" s="25"/>
      <c r="N28" s="133"/>
      <c r="O28" s="25"/>
      <c r="P28" s="284"/>
      <c r="Q28" s="172"/>
      <c r="R28" s="618"/>
      <c r="S28" s="618"/>
      <c r="T28" s="618"/>
      <c r="U28" s="599">
        <v>2740</v>
      </c>
      <c r="V28" s="599"/>
      <c r="W28" s="619">
        <v>2740</v>
      </c>
      <c r="X28" s="612"/>
      <c r="Y28" s="612">
        <v>2740</v>
      </c>
      <c r="Z28" s="612"/>
      <c r="AA28" s="612">
        <v>2740</v>
      </c>
    </row>
    <row r="29" spans="1:27">
      <c r="A29" s="48" t="s">
        <v>149</v>
      </c>
      <c r="B29" s="11" t="s">
        <v>152</v>
      </c>
      <c r="C29" s="25">
        <v>500</v>
      </c>
      <c r="D29" s="25">
        <v>840.99</v>
      </c>
      <c r="E29" s="25">
        <v>600</v>
      </c>
      <c r="F29" s="25">
        <v>455.09</v>
      </c>
      <c r="G29" s="25">
        <v>750</v>
      </c>
      <c r="H29" s="25">
        <v>0</v>
      </c>
      <c r="I29" s="25">
        <v>500</v>
      </c>
      <c r="J29" s="25">
        <v>314.23</v>
      </c>
      <c r="K29" s="25">
        <v>500</v>
      </c>
      <c r="L29" s="25">
        <v>353.86</v>
      </c>
      <c r="M29" s="25">
        <v>500</v>
      </c>
      <c r="N29" s="133">
        <v>0</v>
      </c>
      <c r="O29" s="25">
        <v>250</v>
      </c>
      <c r="P29" s="284"/>
      <c r="Q29" s="172"/>
      <c r="R29" s="618"/>
      <c r="S29" s="618"/>
      <c r="T29" s="618"/>
      <c r="U29" s="613"/>
      <c r="V29" s="613"/>
      <c r="W29" s="620">
        <v>5400</v>
      </c>
      <c r="X29" s="620">
        <v>3748.21</v>
      </c>
      <c r="Y29" s="601">
        <v>5600</v>
      </c>
      <c r="Z29" s="620"/>
      <c r="AA29" s="601">
        <f>13*200</f>
        <v>2600</v>
      </c>
    </row>
    <row r="30" spans="1:27">
      <c r="A30" s="48" t="s">
        <v>149</v>
      </c>
      <c r="B30" s="11" t="s">
        <v>153</v>
      </c>
      <c r="C30" s="25">
        <v>2000</v>
      </c>
      <c r="D30" s="25">
        <v>1000</v>
      </c>
      <c r="E30" s="25">
        <v>1500</v>
      </c>
      <c r="F30" s="25">
        <v>2871.4</v>
      </c>
      <c r="G30" s="25">
        <v>6000</v>
      </c>
      <c r="H30" s="25">
        <v>11463.2</v>
      </c>
      <c r="I30" s="25">
        <v>6000</v>
      </c>
      <c r="J30" s="25">
        <v>0</v>
      </c>
      <c r="K30" s="25">
        <v>6000</v>
      </c>
      <c r="L30" s="25">
        <v>5673.59</v>
      </c>
      <c r="M30" s="25">
        <v>4500</v>
      </c>
      <c r="N30" s="133">
        <v>8242.9</v>
      </c>
      <c r="O30" s="25">
        <v>1000</v>
      </c>
      <c r="P30" s="284">
        <v>164.93</v>
      </c>
      <c r="Q30" s="172">
        <v>800</v>
      </c>
      <c r="R30" s="609">
        <v>485.89</v>
      </c>
      <c r="S30" s="609">
        <v>3000</v>
      </c>
      <c r="T30" s="609">
        <v>2109.86</v>
      </c>
      <c r="U30" s="609"/>
      <c r="V30" s="609"/>
      <c r="W30" s="612"/>
      <c r="X30" s="612">
        <v>1100</v>
      </c>
      <c r="Y30" s="612"/>
      <c r="Z30" s="612"/>
      <c r="AA30" s="612"/>
    </row>
    <row r="31" spans="1:27">
      <c r="A31" s="11"/>
      <c r="B31" s="11" t="s">
        <v>139</v>
      </c>
      <c r="C31" s="25"/>
      <c r="D31" s="25"/>
      <c r="E31" s="25"/>
      <c r="F31" s="25"/>
      <c r="G31" s="25"/>
      <c r="H31" s="25"/>
      <c r="I31" s="25"/>
      <c r="J31" s="25"/>
      <c r="K31" s="25"/>
      <c r="L31" s="25"/>
      <c r="M31" s="25"/>
      <c r="N31" s="133"/>
      <c r="O31" s="25"/>
      <c r="P31" s="284"/>
      <c r="Q31" s="172"/>
      <c r="R31" s="609"/>
      <c r="S31" s="609">
        <v>2000</v>
      </c>
      <c r="T31" s="609"/>
      <c r="U31" s="609">
        <v>1500</v>
      </c>
      <c r="V31" s="609"/>
      <c r="W31" s="621">
        <v>1250</v>
      </c>
      <c r="X31" s="621"/>
      <c r="Y31" s="621">
        <v>1750</v>
      </c>
      <c r="Z31" s="621"/>
      <c r="AA31" s="621">
        <v>10000</v>
      </c>
    </row>
    <row r="32" spans="1:27">
      <c r="A32" s="11"/>
      <c r="B32" s="11" t="s">
        <v>140</v>
      </c>
      <c r="C32" s="25"/>
      <c r="D32" s="25"/>
      <c r="E32" s="25"/>
      <c r="F32" s="25"/>
      <c r="G32" s="25"/>
      <c r="H32" s="25"/>
      <c r="I32" s="25"/>
      <c r="J32" s="25"/>
      <c r="K32" s="25"/>
      <c r="L32" s="25"/>
      <c r="M32" s="25"/>
      <c r="N32" s="133"/>
      <c r="O32" s="25"/>
      <c r="P32" s="284"/>
      <c r="Q32" s="172"/>
      <c r="R32" s="609"/>
      <c r="S32" s="609">
        <v>1000</v>
      </c>
      <c r="T32" s="609"/>
      <c r="U32" s="609">
        <v>1000</v>
      </c>
      <c r="V32" s="609"/>
      <c r="W32" s="621">
        <v>1250</v>
      </c>
      <c r="X32" s="621"/>
      <c r="Y32" s="621">
        <v>1750</v>
      </c>
      <c r="Z32" s="621"/>
      <c r="AA32" s="621"/>
    </row>
    <row r="33" spans="1:27" s="11" customFormat="1">
      <c r="B33" s="11" t="s">
        <v>154</v>
      </c>
      <c r="C33" s="25">
        <v>0</v>
      </c>
      <c r="D33" s="25">
        <v>0</v>
      </c>
      <c r="E33" s="25">
        <v>0</v>
      </c>
      <c r="F33" s="25">
        <v>0</v>
      </c>
      <c r="G33" s="25">
        <v>0</v>
      </c>
      <c r="H33" s="25">
        <v>0</v>
      </c>
      <c r="I33" s="25">
        <v>1000</v>
      </c>
      <c r="J33" s="25">
        <v>0</v>
      </c>
      <c r="K33" s="25">
        <v>250</v>
      </c>
      <c r="L33" s="25">
        <v>0</v>
      </c>
      <c r="M33" s="25">
        <v>250</v>
      </c>
      <c r="N33" s="133">
        <v>0</v>
      </c>
      <c r="O33" s="25">
        <v>0</v>
      </c>
      <c r="P33" s="284"/>
      <c r="Q33" s="172"/>
      <c r="R33" s="609"/>
      <c r="S33" s="609"/>
      <c r="T33" s="609"/>
      <c r="U33" s="609"/>
      <c r="V33" s="609"/>
      <c r="W33" s="612"/>
      <c r="X33" s="612"/>
      <c r="Y33" s="612"/>
      <c r="Z33" s="612"/>
      <c r="AA33" s="612"/>
    </row>
    <row r="34" spans="1:27">
      <c r="A34" s="11"/>
      <c r="B34" s="11" t="s">
        <v>155</v>
      </c>
      <c r="C34" s="25">
        <v>0</v>
      </c>
      <c r="D34" s="25">
        <v>0</v>
      </c>
      <c r="E34" s="25">
        <v>0</v>
      </c>
      <c r="F34" s="25">
        <v>0</v>
      </c>
      <c r="G34" s="25">
        <v>0</v>
      </c>
      <c r="H34" s="25">
        <v>0</v>
      </c>
      <c r="I34" s="25">
        <v>500</v>
      </c>
      <c r="J34" s="25">
        <v>0</v>
      </c>
      <c r="K34" s="25">
        <v>500</v>
      </c>
      <c r="L34" s="25">
        <v>0</v>
      </c>
      <c r="M34" s="25">
        <v>1500</v>
      </c>
      <c r="N34" s="133">
        <v>0</v>
      </c>
      <c r="O34" s="25">
        <v>0</v>
      </c>
      <c r="P34" s="284"/>
      <c r="Q34" s="172"/>
      <c r="R34" s="609"/>
      <c r="S34" s="609"/>
      <c r="T34" s="609"/>
      <c r="U34" s="609"/>
      <c r="V34" s="609"/>
      <c r="W34" s="612"/>
      <c r="X34" s="612"/>
      <c r="Y34" s="612"/>
      <c r="Z34" s="612"/>
      <c r="AA34" s="612"/>
    </row>
    <row r="35" spans="1:27">
      <c r="A35" s="11"/>
      <c r="B35" s="11" t="s">
        <v>156</v>
      </c>
      <c r="C35" s="25">
        <v>0</v>
      </c>
      <c r="D35" s="25">
        <v>0</v>
      </c>
      <c r="E35" s="25">
        <v>0</v>
      </c>
      <c r="F35" s="25">
        <v>0</v>
      </c>
      <c r="G35" s="25">
        <v>0</v>
      </c>
      <c r="H35" s="25">
        <v>0</v>
      </c>
      <c r="I35" s="25">
        <v>0</v>
      </c>
      <c r="J35" s="25">
        <v>0</v>
      </c>
      <c r="K35" s="25">
        <v>0</v>
      </c>
      <c r="L35" s="25">
        <v>0</v>
      </c>
      <c r="M35" s="25">
        <v>0</v>
      </c>
      <c r="N35" s="133">
        <v>0</v>
      </c>
      <c r="O35" s="25">
        <v>1000</v>
      </c>
      <c r="P35" s="496">
        <v>1992.68</v>
      </c>
      <c r="Q35" s="172">
        <v>1200</v>
      </c>
      <c r="R35" s="290">
        <v>2806.08</v>
      </c>
      <c r="S35" s="290">
        <v>2000</v>
      </c>
      <c r="T35" s="290">
        <v>0</v>
      </c>
      <c r="U35" s="290"/>
      <c r="V35" s="290"/>
      <c r="W35" s="497"/>
      <c r="X35" s="497"/>
      <c r="Y35" s="497"/>
      <c r="Z35" s="497"/>
      <c r="AA35" s="497"/>
    </row>
    <row r="36" spans="1:27" ht="13.5" thickBot="1">
      <c r="A36" s="11"/>
      <c r="B36" s="11"/>
      <c r="C36" s="25"/>
      <c r="D36" s="25"/>
      <c r="E36" s="25"/>
      <c r="F36" s="25"/>
      <c r="G36" s="25"/>
      <c r="H36" s="25"/>
      <c r="I36" s="25"/>
      <c r="J36" s="25"/>
      <c r="K36" s="25"/>
      <c r="L36" s="25"/>
      <c r="M36" s="25"/>
      <c r="N36" s="133"/>
      <c r="O36" s="25"/>
      <c r="P36" s="284"/>
      <c r="Q36" s="290"/>
      <c r="R36" s="290"/>
      <c r="S36" s="290"/>
      <c r="T36" s="290"/>
      <c r="U36" s="290">
        <v>2000</v>
      </c>
      <c r="V36" s="290"/>
      <c r="W36" s="497"/>
      <c r="X36" s="497"/>
      <c r="Y36" s="497"/>
      <c r="Z36" s="497"/>
      <c r="AA36" s="497"/>
    </row>
    <row r="37" spans="1:27" ht="13.5" thickBot="1">
      <c r="A37" s="19"/>
      <c r="B37" s="498" t="s">
        <v>21</v>
      </c>
      <c r="C37" s="499">
        <f>SUBTOTAL(109,StudentGovernmentExpenses[Budget 10/11])</f>
        <v>10639.32</v>
      </c>
      <c r="D37" s="499">
        <f>SUBTOTAL(109,StudentGovernmentExpenses[Actual 10/11])</f>
        <v>3797.2799999999997</v>
      </c>
      <c r="E37" s="499">
        <f>SUBTOTAL(109,StudentGovernmentExpenses[Budget 11/12])</f>
        <v>5950</v>
      </c>
      <c r="F37" s="499">
        <f>SUBTOTAL(109,StudentGovernmentExpenses[Actual 11/12])</f>
        <v>6780.3099999999995</v>
      </c>
      <c r="G37" s="499">
        <f>SUBTOTAL(109,StudentGovernmentExpenses[Budget 12/13])</f>
        <v>16069.4</v>
      </c>
      <c r="H37" s="499">
        <f>SUBTOTAL(109,StudentGovernmentExpenses[Actual 12/13])</f>
        <v>15941.11</v>
      </c>
      <c r="I37" s="499">
        <f>SUBTOTAL(109,StudentGovernmentExpenses[Budget 13/14])</f>
        <v>12304.64</v>
      </c>
      <c r="J37" s="499">
        <f>SUBTOTAL(109,StudentGovernmentExpenses[Actual 13/14])</f>
        <v>3958.52</v>
      </c>
      <c r="K37" s="499">
        <f>SUBTOTAL(109,StudentGovernmentExpenses[Budget 14/15])</f>
        <v>9400</v>
      </c>
      <c r="L37" s="499">
        <f>SUBTOTAL(109,StudentGovernmentExpenses[Actual 14/15])</f>
        <v>8046.08</v>
      </c>
      <c r="M37" s="499">
        <f>SUBTOTAL(109,StudentGovernmentExpenses[Budget 15/16])</f>
        <v>10000</v>
      </c>
      <c r="N37" s="500">
        <f>SUBTOTAL(109,StudentGovernmentExpenses[Actual 15/16])</f>
        <v>10782.07</v>
      </c>
      <c r="O37" s="499">
        <f>SUBTOTAL(109,StudentGovernmentExpenses[Budget 16/17])</f>
        <v>5951.66</v>
      </c>
      <c r="P37" s="499">
        <f>SUM(StudentGovernmentExpenses[Actual 16/17])</f>
        <v>3656.6900000000005</v>
      </c>
      <c r="Q37" s="499">
        <f>SUBTOTAL(109,StudentGovernmentExpenses[Budget 17/18])</f>
        <v>4701</v>
      </c>
      <c r="R37" s="173">
        <f>SUM(R10:R35)</f>
        <v>6100.1</v>
      </c>
      <c r="S37" s="195">
        <f>SUM(S10:S35)</f>
        <v>11100</v>
      </c>
      <c r="T37" s="195">
        <f>SUM(T10:T35)</f>
        <v>9449.4700000000012</v>
      </c>
      <c r="U37" s="195">
        <f>SUM(U10:U35)</f>
        <v>16990</v>
      </c>
      <c r="V37" s="195">
        <f>SUM(V10:V36)</f>
        <v>4501.03</v>
      </c>
      <c r="W37" s="195">
        <f>SUM(W10:W36)</f>
        <v>34190</v>
      </c>
      <c r="X37" s="195">
        <f>SUM(X10:X36)</f>
        <v>20649.32</v>
      </c>
      <c r="Y37" s="195">
        <f>SUM(Y10:Y36)</f>
        <v>36690</v>
      </c>
      <c r="Z37" s="195">
        <f t="shared" ref="Z37:AA37" si="0">SUM(Z10:Z36)</f>
        <v>37661.160000000003</v>
      </c>
      <c r="AA37" s="195">
        <f t="shared" si="0"/>
        <v>124153.33333333333</v>
      </c>
    </row>
    <row r="38" spans="1:27" ht="19.5" thickBot="1">
      <c r="A38" s="19"/>
      <c r="B38" s="311" t="s">
        <v>127</v>
      </c>
      <c r="C38" s="312">
        <f>StudentGovernmentRevenues[[#Totals],[Budget 10/11]]-StudentGovernmentExpenses[[#Totals],[Budget 10/11]]</f>
        <v>-10639.32</v>
      </c>
      <c r="D38" s="312">
        <f>StudentGovernmentRevenues[[#Totals],[Actual 10/11]]-StudentGovernmentExpenses[[#Totals],[Actual 10/11]]</f>
        <v>-3797.2799999999997</v>
      </c>
      <c r="E38" s="312">
        <f>StudentGovernmentRevenues[[#Totals],[Budget 11/12]]-StudentGovernmentExpenses[[#Totals],[Budget 11/12]]</f>
        <v>-5950</v>
      </c>
      <c r="F38" s="312">
        <f>StudentGovernmentRevenues[[#Totals],[Actual 11/12]]-StudentGovernmentExpenses[[#Totals],[Actual 11/12]]</f>
        <v>-6780.3099999999995</v>
      </c>
      <c r="G38" s="312">
        <f>StudentGovernmentRevenues[[#Totals],[Budget 12/13]]-StudentGovernmentExpenses[[#Totals],[Budget 12/13]]</f>
        <v>-16069.4</v>
      </c>
      <c r="H38" s="312">
        <f>StudentGovernmentRevenues[[#Totals],[Actual 12/13]]-StudentGovernmentExpenses[[#Totals],[Actual 12/13]]</f>
        <v>-15941.11</v>
      </c>
      <c r="I38" s="312">
        <f>StudentGovernmentRevenues[[#Totals],[Budget 13/14]]-StudentGovernmentExpenses[[#Totals],[Budget 13/14]]</f>
        <v>-12304.64</v>
      </c>
      <c r="J38" s="312">
        <f>StudentGovernmentRevenues[[#Totals],[Actual 13/14]]-StudentGovernmentExpenses[[#Totals],[Actual 13/14]]</f>
        <v>-3958.52</v>
      </c>
      <c r="K38" s="312">
        <f>StudentGovernmentRevenues[[#Totals],[Budget 14/15]]-StudentGovernmentExpenses[[#Totals],[Budget 14/15]]</f>
        <v>-9400</v>
      </c>
      <c r="L38" s="312">
        <f>StudentGovernmentRevenues[[#Totals],[Actual 14/15]]-StudentGovernmentExpenses[[#Totals],[Actual 14/15]]</f>
        <v>-8046.08</v>
      </c>
      <c r="M38" s="312">
        <f>StudentGovernmentRevenues[[#Totals],[Budget 15/16]]-StudentGovernmentExpenses[[#Totals],[Budget 15/16]]</f>
        <v>-10000</v>
      </c>
      <c r="N38" s="312">
        <f>StudentGovernmentRevenues[[#Totals],[Actual 15/16]]-StudentGovernmentExpenses[[#Totals],[Actual 15/16]]</f>
        <v>-10782.07</v>
      </c>
      <c r="O38" s="184">
        <f>StudentGovernmentRevenues[[#Totals],[Budget 16/17]]-StudentGovernmentExpenses[[#Totals],[Budget 16/17]]</f>
        <v>-5951.66</v>
      </c>
      <c r="P38" s="184">
        <f>StudentGovernmentRevenues[[#Totals],[Actual 16/17]]-StudentGovernmentExpenses[[#Totals],[Actual 16/17]]</f>
        <v>-3656.6900000000005</v>
      </c>
      <c r="Q38" s="354">
        <f>StudentGovernmentRevenues[[#Totals],[Budget 17/18]]-Q37</f>
        <v>-4701</v>
      </c>
      <c r="R38" s="354">
        <f>StudentGovernmentRevenues[[#Totals],[Actual 17/18]]-R37</f>
        <v>-6100.1</v>
      </c>
      <c r="S38" s="354">
        <f>StudentGovernmentRevenues[[#Totals],[Budget 18/19]]-S37</f>
        <v>-11100</v>
      </c>
      <c r="T38" s="354">
        <f>StudentGovernmentRevenues[[#Totals],[Actual 18/19]]-T37</f>
        <v>-9449.4700000000012</v>
      </c>
      <c r="U38" s="354">
        <f>StudentGovernmentRevenues[[#Totals],[Budget 19/20]]-U37</f>
        <v>-14250</v>
      </c>
      <c r="V38" s="354">
        <f>StudentGovernmentRevenues[[#Totals],[Actual P12 19/20]]-V37</f>
        <v>-4501.03</v>
      </c>
      <c r="W38" s="354">
        <f>StudentGovernmentRevenues[[#Totals],[Budget 20/21]]-W37</f>
        <v>-31450</v>
      </c>
      <c r="X38" s="354">
        <f>StudentGovernmentRevenues[[#Totals],[Actual 20/21]]-X37</f>
        <v>-20649.32</v>
      </c>
      <c r="Y38" s="354">
        <f>StudentGovernmentRevenues[[#Totals],[Budget 21/22]]-Y37</f>
        <v>-36690</v>
      </c>
      <c r="Z38" s="354">
        <f>StudentGovernmentRevenues[[#Totals],[Actual 21/22]]-Z37</f>
        <v>-37661.160000000003</v>
      </c>
      <c r="AA38" s="354">
        <f>StudentGovernmentRevenues[[#Totals],[Budget 22/23]]-AA37</f>
        <v>-124153.33333333333</v>
      </c>
    </row>
    <row r="39" spans="1:27">
      <c r="A39" s="19"/>
      <c r="B39" s="11"/>
      <c r="C39" s="11"/>
      <c r="D39" s="11"/>
      <c r="E39" s="11"/>
      <c r="F39" s="11"/>
      <c r="G39" s="11"/>
      <c r="H39" s="11"/>
      <c r="I39" s="11"/>
      <c r="J39" s="11"/>
      <c r="K39" s="11"/>
      <c r="L39" s="11"/>
      <c r="M39" s="11"/>
    </row>
    <row r="40" spans="1:27">
      <c r="A40" s="19"/>
      <c r="B40" s="11"/>
      <c r="C40" s="11"/>
      <c r="D40" s="11"/>
      <c r="E40" s="11"/>
      <c r="F40" s="11"/>
      <c r="G40" s="11"/>
      <c r="H40" s="11"/>
      <c r="I40" s="11"/>
      <c r="J40" s="11"/>
      <c r="K40" s="11"/>
      <c r="L40" s="11"/>
      <c r="M40" s="11"/>
    </row>
    <row r="41" spans="1:27">
      <c r="B41" s="11"/>
      <c r="C41" s="11"/>
      <c r="D41" s="11"/>
      <c r="E41" s="11"/>
      <c r="F41" s="11"/>
      <c r="G41" s="11"/>
      <c r="H41" s="11"/>
      <c r="I41" s="11"/>
      <c r="J41" s="11"/>
      <c r="K41" s="11"/>
      <c r="L41" s="11"/>
      <c r="M41" s="11"/>
    </row>
    <row r="42" spans="1:27">
      <c r="B42" s="11"/>
      <c r="C42" s="11"/>
      <c r="D42" s="11"/>
      <c r="E42" s="11"/>
      <c r="F42" s="11"/>
      <c r="G42" s="11"/>
      <c r="H42" s="11"/>
      <c r="I42" s="11"/>
      <c r="J42" s="11"/>
      <c r="K42" s="11"/>
      <c r="L42" s="11"/>
      <c r="M42" s="11"/>
    </row>
    <row r="43" spans="1:27">
      <c r="B43" s="19"/>
      <c r="C43" s="19"/>
      <c r="D43" s="19"/>
      <c r="E43" s="19"/>
      <c r="F43" s="19"/>
      <c r="G43" s="19"/>
      <c r="H43" s="19"/>
      <c r="I43" s="19"/>
      <c r="J43" s="19"/>
      <c r="K43" s="19"/>
      <c r="L43" s="19"/>
      <c r="M43" s="19"/>
    </row>
    <row r="44" spans="1:27">
      <c r="B44" s="19"/>
      <c r="C44" s="19"/>
      <c r="D44" s="19"/>
      <c r="E44" s="19"/>
      <c r="F44" s="19"/>
      <c r="G44" s="19"/>
      <c r="H44" s="19"/>
      <c r="I44" s="19"/>
      <c r="J44" s="19"/>
      <c r="K44" s="19"/>
      <c r="L44" s="19"/>
      <c r="M44" s="19"/>
    </row>
    <row r="45" spans="1:27">
      <c r="B45" s="19"/>
      <c r="C45" s="19"/>
      <c r="D45" s="19"/>
      <c r="E45" s="19"/>
      <c r="F45" s="19"/>
      <c r="G45" s="19"/>
      <c r="H45" s="19"/>
      <c r="I45" s="19"/>
    </row>
    <row r="46" spans="1:27">
      <c r="B46" s="19"/>
      <c r="C46" s="19"/>
      <c r="D46" s="19"/>
      <c r="E46" s="19"/>
      <c r="F46" s="19"/>
      <c r="G46" s="19"/>
      <c r="H46" s="19"/>
      <c r="I46" s="19"/>
    </row>
  </sheetData>
  <mergeCells count="2">
    <mergeCell ref="A1:B1"/>
    <mergeCell ref="A2:B2"/>
  </mergeCells>
  <phoneticPr fontId="117" type="noConversion"/>
  <pageMargins left="0" right="0" top="0.98425196850393704" bottom="0.98425196850393704" header="0.51181102362204722" footer="0.51181102362204722"/>
  <pageSetup paperSize="5" scale="96" orientation="landscape" r:id="rId1"/>
  <headerFooter alignWithMargins="0"/>
  <legacy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1"/>
    <pageSetUpPr fitToPage="1"/>
  </sheetPr>
  <dimension ref="A1:X25"/>
  <sheetViews>
    <sheetView showGridLines="0" zoomScale="90" zoomScaleNormal="90" workbookViewId="0">
      <selection activeCell="AB22" sqref="AB22"/>
    </sheetView>
  </sheetViews>
  <sheetFormatPr defaultColWidth="11.42578125" defaultRowHeight="12.75"/>
  <cols>
    <col min="1" max="1" width="13.85546875" style="19" customWidth="1"/>
    <col min="2" max="2" width="27.140625" style="19" customWidth="1"/>
    <col min="3" max="13" width="19" style="19" hidden="1" customWidth="1"/>
    <col min="14" max="14" width="14.85546875" style="134" hidden="1" customWidth="1"/>
    <col min="15" max="15" width="16.140625" style="19" hidden="1" customWidth="1"/>
    <col min="16" max="16" width="16.28515625" style="19" hidden="1" customWidth="1"/>
    <col min="17" max="17" width="15.28515625" style="19" customWidth="1"/>
    <col min="18" max="18" width="16.42578125" style="19" customWidth="1"/>
    <col min="19" max="19" width="15.140625" style="19" customWidth="1"/>
    <col min="20" max="20" width="14.42578125" style="19" customWidth="1"/>
    <col min="21" max="21" width="14.42578125" style="19" bestFit="1" customWidth="1"/>
    <col min="22" max="22" width="16.42578125" style="19" customWidth="1"/>
    <col min="23" max="23" width="15.140625" style="19" bestFit="1" customWidth="1"/>
    <col min="24" max="24" width="16.140625" style="19" customWidth="1"/>
    <col min="25" max="16384" width="11.42578125" style="19"/>
  </cols>
  <sheetData>
    <row r="1" spans="1:24" ht="18">
      <c r="A1" s="209" t="s">
        <v>157</v>
      </c>
      <c r="B1" s="209"/>
      <c r="C1" s="42"/>
      <c r="D1" s="42"/>
      <c r="E1" s="42"/>
      <c r="F1" s="42"/>
      <c r="G1" s="42"/>
      <c r="H1" s="42"/>
      <c r="I1" s="42"/>
      <c r="J1" s="42"/>
      <c r="K1" s="42"/>
      <c r="L1" s="42"/>
      <c r="M1" s="42"/>
    </row>
    <row r="2" spans="1:24">
      <c r="A2" s="28" t="s">
        <v>71</v>
      </c>
      <c r="B2" s="11"/>
      <c r="C2" s="11"/>
      <c r="D2" s="11"/>
      <c r="E2" s="11"/>
      <c r="F2" s="11"/>
      <c r="G2" s="11"/>
      <c r="H2" s="11"/>
      <c r="I2" s="11"/>
      <c r="J2" s="11"/>
      <c r="K2" s="11"/>
      <c r="L2" s="11"/>
      <c r="M2" s="11"/>
    </row>
    <row r="3" spans="1:24">
      <c r="A3" s="28"/>
      <c r="B3" s="11"/>
      <c r="C3" s="11"/>
      <c r="D3" s="11"/>
      <c r="E3" s="11"/>
      <c r="F3" s="11"/>
      <c r="G3" s="11"/>
      <c r="H3" s="11"/>
      <c r="I3" s="11"/>
      <c r="J3" s="11"/>
      <c r="K3" s="11"/>
      <c r="L3" s="11"/>
      <c r="M3" s="11"/>
    </row>
    <row r="4" spans="1:24" ht="15.75">
      <c r="A4" s="37"/>
      <c r="B4" s="501" t="s">
        <v>72</v>
      </c>
      <c r="C4" s="3" t="s">
        <v>73</v>
      </c>
      <c r="D4" s="3" t="s">
        <v>74</v>
      </c>
      <c r="E4" s="3" t="s">
        <v>75</v>
      </c>
      <c r="F4" s="3" t="s">
        <v>76</v>
      </c>
      <c r="G4" s="3" t="s">
        <v>77</v>
      </c>
      <c r="H4" s="3" t="s">
        <v>78</v>
      </c>
      <c r="I4" s="3" t="s">
        <v>5</v>
      </c>
      <c r="J4" s="3" t="s">
        <v>6</v>
      </c>
      <c r="K4" s="3" t="s">
        <v>7</v>
      </c>
      <c r="L4" s="3" t="s">
        <v>8</v>
      </c>
      <c r="M4" s="3" t="s">
        <v>9</v>
      </c>
      <c r="N4" s="502" t="s">
        <v>10</v>
      </c>
      <c r="O4" s="3" t="s">
        <v>11</v>
      </c>
      <c r="P4" s="3" t="s">
        <v>12</v>
      </c>
      <c r="Q4" s="3" t="s">
        <v>13</v>
      </c>
      <c r="R4" s="3" t="s">
        <v>14</v>
      </c>
      <c r="S4" s="3" t="s">
        <v>15</v>
      </c>
      <c r="T4" s="3" t="s">
        <v>39</v>
      </c>
      <c r="U4" s="3" t="s">
        <v>16</v>
      </c>
      <c r="V4" s="3" t="s">
        <v>81</v>
      </c>
      <c r="W4" s="3" t="s">
        <v>17</v>
      </c>
      <c r="X4" s="3" t="s">
        <v>158</v>
      </c>
    </row>
    <row r="5" spans="1:24">
      <c r="A5" s="13"/>
      <c r="B5" s="622"/>
      <c r="C5" s="38">
        <v>0</v>
      </c>
      <c r="D5" s="38">
        <v>0</v>
      </c>
      <c r="E5" s="38">
        <v>0</v>
      </c>
      <c r="F5" s="38">
        <v>0</v>
      </c>
      <c r="G5" s="38">
        <v>0</v>
      </c>
      <c r="H5" s="38">
        <v>0</v>
      </c>
      <c r="I5" s="38">
        <v>0</v>
      </c>
      <c r="J5" s="38">
        <v>0</v>
      </c>
      <c r="K5" s="38">
        <v>0</v>
      </c>
      <c r="L5" s="38">
        <v>0</v>
      </c>
      <c r="M5" s="38">
        <v>0</v>
      </c>
      <c r="N5" s="135">
        <v>0</v>
      </c>
      <c r="O5" s="41">
        <v>0</v>
      </c>
      <c r="P5" s="41">
        <v>0</v>
      </c>
      <c r="Q5" s="41">
        <v>0</v>
      </c>
      <c r="R5" s="41"/>
      <c r="S5" s="41"/>
      <c r="T5" s="41"/>
      <c r="U5" s="41"/>
      <c r="V5" s="41"/>
      <c r="W5" s="206"/>
      <c r="X5" s="41"/>
    </row>
    <row r="6" spans="1:24">
      <c r="B6" s="622" t="s">
        <v>21</v>
      </c>
      <c r="C6" s="503">
        <f>SUBTOTAL(109,RPORevenues[Budget 10/11])</f>
        <v>0</v>
      </c>
      <c r="D6" s="503">
        <f>SUBTOTAL(109,RPORevenues[Actual 10/11])</f>
        <v>0</v>
      </c>
      <c r="E6" s="503">
        <f>SUBTOTAL(109,RPORevenues[Budget 11/12])</f>
        <v>0</v>
      </c>
      <c r="F6" s="503">
        <f>SUBTOTAL(109,RPORevenues[Actual 11/12])</f>
        <v>0</v>
      </c>
      <c r="G6" s="503">
        <f>SUBTOTAL(109,RPORevenues[Budget 12/13])</f>
        <v>0</v>
      </c>
      <c r="H6" s="503">
        <f>SUBTOTAL(109,RPORevenues[Actual 12/13])</f>
        <v>0</v>
      </c>
      <c r="I6" s="503">
        <f>SUBTOTAL(109,RPORevenues[Budget 13/14])</f>
        <v>0</v>
      </c>
      <c r="J6" s="503">
        <f>SUBTOTAL(109,RPORevenues[Actual 13/14])</f>
        <v>0</v>
      </c>
      <c r="K6" s="503">
        <f>SUBTOTAL(109,RPORevenues[Budget 14/15])</f>
        <v>0</v>
      </c>
      <c r="L6" s="503">
        <f>SUBTOTAL(109,RPORevenues[Actual 14/15])</f>
        <v>0</v>
      </c>
      <c r="M6" s="503">
        <f>SUBTOTAL(109,RPORevenues[Budget 15/16])</f>
        <v>0</v>
      </c>
      <c r="N6" s="504">
        <f>SUBTOTAL(109,RPORevenues[Actual 15/16])</f>
        <v>0</v>
      </c>
      <c r="O6" s="503">
        <f>SUBTOTAL(109,RPORevenues[Budget 16/17])</f>
        <v>0</v>
      </c>
      <c r="P6" s="503">
        <f>SUBTOTAL(109,RPORevenues[Actual 16/17])</f>
        <v>0</v>
      </c>
      <c r="Q6" s="503">
        <f>SUBTOTAL(109,RPORevenues[Budget 17/18])</f>
        <v>0</v>
      </c>
      <c r="R6" s="181"/>
      <c r="S6" s="181"/>
      <c r="T6" s="181"/>
      <c r="U6" s="181"/>
      <c r="V6" s="181"/>
      <c r="W6" s="181"/>
      <c r="X6" s="181"/>
    </row>
    <row r="7" spans="1:24">
      <c r="B7" s="11"/>
      <c r="C7" s="39"/>
      <c r="D7" s="39"/>
      <c r="E7" s="39"/>
      <c r="F7" s="39"/>
      <c r="G7" s="39"/>
      <c r="H7" s="39"/>
      <c r="I7" s="39"/>
      <c r="J7" s="39"/>
      <c r="K7" s="39"/>
      <c r="L7" s="39"/>
      <c r="M7" s="39"/>
    </row>
    <row r="8" spans="1:24" ht="15.75">
      <c r="A8" s="49" t="s">
        <v>130</v>
      </c>
      <c r="B8" s="40" t="s">
        <v>22</v>
      </c>
      <c r="C8" s="11" t="s">
        <v>73</v>
      </c>
      <c r="D8" s="11" t="s">
        <v>74</v>
      </c>
      <c r="E8" s="11" t="s">
        <v>75</v>
      </c>
      <c r="F8" s="11" t="s">
        <v>76</v>
      </c>
      <c r="G8" s="11" t="s">
        <v>77</v>
      </c>
      <c r="H8" s="11" t="s">
        <v>78</v>
      </c>
      <c r="I8" s="11" t="s">
        <v>5</v>
      </c>
      <c r="J8" s="11" t="s">
        <v>6</v>
      </c>
      <c r="K8" s="11" t="s">
        <v>7</v>
      </c>
      <c r="L8" s="11" t="s">
        <v>8</v>
      </c>
      <c r="M8" s="11" t="s">
        <v>9</v>
      </c>
      <c r="N8" s="119" t="s">
        <v>10</v>
      </c>
      <c r="O8" s="11" t="s">
        <v>11</v>
      </c>
      <c r="P8" s="11" t="s">
        <v>12</v>
      </c>
      <c r="Q8" s="11" t="s">
        <v>13</v>
      </c>
      <c r="R8" s="11" t="s">
        <v>14</v>
      </c>
      <c r="S8" s="11" t="s">
        <v>15</v>
      </c>
      <c r="T8" s="11" t="s">
        <v>39</v>
      </c>
      <c r="U8" s="11" t="s">
        <v>16</v>
      </c>
      <c r="V8" s="11" t="s">
        <v>81</v>
      </c>
      <c r="W8" s="11" t="s">
        <v>61</v>
      </c>
      <c r="X8" s="608" t="s">
        <v>42</v>
      </c>
    </row>
    <row r="9" spans="1:24">
      <c r="A9" s="49" t="s">
        <v>159</v>
      </c>
      <c r="B9" s="11" t="s">
        <v>160</v>
      </c>
      <c r="C9" s="25">
        <v>0</v>
      </c>
      <c r="D9" s="25">
        <v>0</v>
      </c>
      <c r="E9" s="25">
        <v>0</v>
      </c>
      <c r="F9" s="25">
        <v>0</v>
      </c>
      <c r="G9" s="25">
        <v>0</v>
      </c>
      <c r="H9" s="25">
        <v>0</v>
      </c>
      <c r="I9" s="25">
        <v>0</v>
      </c>
      <c r="J9" s="25">
        <v>1338.75</v>
      </c>
      <c r="K9" s="25">
        <v>2100</v>
      </c>
      <c r="L9" s="25">
        <v>2488.83</v>
      </c>
      <c r="M9" s="25">
        <v>0</v>
      </c>
      <c r="N9" s="136">
        <v>0</v>
      </c>
      <c r="O9" s="25">
        <v>0</v>
      </c>
      <c r="P9" s="25"/>
      <c r="Q9" s="25">
        <v>0</v>
      </c>
      <c r="R9" s="25">
        <v>99.03</v>
      </c>
      <c r="S9" s="25"/>
      <c r="T9" s="25">
        <v>510.33</v>
      </c>
      <c r="U9" s="25"/>
      <c r="V9" s="25">
        <v>0</v>
      </c>
      <c r="W9" s="25">
        <v>0</v>
      </c>
      <c r="X9" s="701">
        <v>0</v>
      </c>
    </row>
    <row r="10" spans="1:24">
      <c r="A10" s="49"/>
      <c r="B10" s="287" t="s">
        <v>161</v>
      </c>
      <c r="C10" s="25"/>
      <c r="D10" s="25"/>
      <c r="E10" s="25"/>
      <c r="F10" s="25"/>
      <c r="G10" s="25"/>
      <c r="H10" s="25"/>
      <c r="I10" s="25"/>
      <c r="J10" s="25"/>
      <c r="K10" s="25"/>
      <c r="L10" s="25"/>
      <c r="M10" s="25"/>
      <c r="N10" s="136"/>
      <c r="O10" s="25"/>
      <c r="P10" s="25"/>
      <c r="Q10" s="25"/>
      <c r="R10" s="44"/>
      <c r="S10" s="44"/>
      <c r="T10" s="44"/>
      <c r="U10" s="44">
        <v>1000</v>
      </c>
      <c r="V10" s="44"/>
      <c r="W10" s="44">
        <v>0</v>
      </c>
      <c r="X10" s="702"/>
    </row>
    <row r="11" spans="1:24">
      <c r="A11" s="49" t="s">
        <v>162</v>
      </c>
      <c r="B11" s="11" t="s">
        <v>93</v>
      </c>
      <c r="C11" s="25">
        <v>400</v>
      </c>
      <c r="D11" s="25">
        <v>285.58999999999997</v>
      </c>
      <c r="E11" s="25">
        <v>400</v>
      </c>
      <c r="F11" s="25">
        <v>365.9</v>
      </c>
      <c r="G11" s="25">
        <v>400</v>
      </c>
      <c r="H11" s="25">
        <v>364.62</v>
      </c>
      <c r="I11" s="25">
        <f>G11</f>
        <v>400</v>
      </c>
      <c r="J11" s="25">
        <v>274.24</v>
      </c>
      <c r="K11" s="25">
        <v>400</v>
      </c>
      <c r="L11" s="25">
        <v>138.97999999999999</v>
      </c>
      <c r="M11" s="25">
        <v>400</v>
      </c>
      <c r="N11" s="136">
        <v>0</v>
      </c>
      <c r="O11" s="25">
        <v>400</v>
      </c>
      <c r="P11" s="25">
        <v>69.150000000000006</v>
      </c>
      <c r="Q11" s="25">
        <v>400</v>
      </c>
      <c r="R11" s="25"/>
      <c r="S11" s="25">
        <v>350</v>
      </c>
      <c r="T11" s="25">
        <v>39.9</v>
      </c>
      <c r="U11" s="25">
        <v>350</v>
      </c>
      <c r="V11" s="25">
        <v>63.79</v>
      </c>
      <c r="W11" s="25">
        <v>0</v>
      </c>
      <c r="X11" s="701">
        <v>0</v>
      </c>
    </row>
    <row r="12" spans="1:24">
      <c r="A12" s="49" t="s">
        <v>163</v>
      </c>
      <c r="B12" s="11" t="s">
        <v>97</v>
      </c>
      <c r="C12" s="25">
        <v>5</v>
      </c>
      <c r="D12" s="25">
        <v>0</v>
      </c>
      <c r="E12" s="25">
        <v>10</v>
      </c>
      <c r="F12" s="25">
        <v>0</v>
      </c>
      <c r="G12" s="25">
        <v>5</v>
      </c>
      <c r="H12" s="25">
        <v>0</v>
      </c>
      <c r="I12" s="25">
        <f>G12</f>
        <v>5</v>
      </c>
      <c r="J12" s="25">
        <v>0</v>
      </c>
      <c r="K12" s="25">
        <v>5</v>
      </c>
      <c r="L12" s="25">
        <v>0</v>
      </c>
      <c r="M12" s="25">
        <v>5</v>
      </c>
      <c r="N12" s="136">
        <v>0</v>
      </c>
      <c r="O12" s="25">
        <v>0</v>
      </c>
      <c r="P12" s="25"/>
      <c r="Q12" s="25">
        <v>0</v>
      </c>
      <c r="R12" s="25">
        <v>0</v>
      </c>
      <c r="S12" s="25"/>
      <c r="T12" s="25"/>
      <c r="U12" s="25"/>
      <c r="V12" s="25">
        <v>0</v>
      </c>
      <c r="W12" s="25">
        <v>0</v>
      </c>
      <c r="X12" s="701">
        <v>0</v>
      </c>
    </row>
    <row r="13" spans="1:24">
      <c r="A13" s="49" t="s">
        <v>164</v>
      </c>
      <c r="B13" s="11" t="s">
        <v>100</v>
      </c>
      <c r="C13" s="25">
        <v>150</v>
      </c>
      <c r="D13" s="25">
        <v>102.78</v>
      </c>
      <c r="E13" s="25">
        <v>150</v>
      </c>
      <c r="F13" s="25">
        <v>87.73</v>
      </c>
      <c r="G13" s="25">
        <v>150</v>
      </c>
      <c r="H13" s="25">
        <v>161.69999999999999</v>
      </c>
      <c r="I13" s="25">
        <f>G13</f>
        <v>150</v>
      </c>
      <c r="J13" s="25">
        <v>171.19</v>
      </c>
      <c r="K13" s="25">
        <v>150</v>
      </c>
      <c r="L13" s="25">
        <v>111.73</v>
      </c>
      <c r="M13" s="25">
        <v>150</v>
      </c>
      <c r="N13" s="136">
        <v>111.32</v>
      </c>
      <c r="O13" s="25">
        <v>160</v>
      </c>
      <c r="P13" s="25"/>
      <c r="Q13" s="25">
        <v>160</v>
      </c>
      <c r="R13" s="25">
        <v>30.85</v>
      </c>
      <c r="S13" s="25">
        <v>70</v>
      </c>
      <c r="T13" s="25">
        <v>74.11</v>
      </c>
      <c r="U13" s="25">
        <v>70</v>
      </c>
      <c r="V13" s="25">
        <v>0</v>
      </c>
      <c r="W13" s="25">
        <v>0</v>
      </c>
      <c r="X13" s="701"/>
    </row>
    <row r="14" spans="1:24">
      <c r="A14" s="49" t="s">
        <v>165</v>
      </c>
      <c r="B14" s="11" t="s">
        <v>166</v>
      </c>
      <c r="C14" s="25">
        <v>500</v>
      </c>
      <c r="D14" s="25">
        <v>523.26</v>
      </c>
      <c r="E14" s="25">
        <v>150</v>
      </c>
      <c r="F14" s="25">
        <v>95.52</v>
      </c>
      <c r="G14" s="25">
        <v>300</v>
      </c>
      <c r="H14" s="25">
        <v>0</v>
      </c>
      <c r="I14" s="25">
        <f>G14*0.75</f>
        <v>225</v>
      </c>
      <c r="J14" s="25">
        <v>32.79</v>
      </c>
      <c r="K14" s="25">
        <v>200</v>
      </c>
      <c r="L14" s="25">
        <v>123.08</v>
      </c>
      <c r="M14" s="25">
        <v>300</v>
      </c>
      <c r="N14" s="136">
        <v>26</v>
      </c>
      <c r="O14" s="25">
        <v>200</v>
      </c>
      <c r="P14" s="25">
        <v>7.86</v>
      </c>
      <c r="Q14" s="25">
        <v>200</v>
      </c>
      <c r="R14" s="25">
        <v>31.9</v>
      </c>
      <c r="S14" s="25">
        <v>100</v>
      </c>
      <c r="T14" s="25">
        <v>49.09</v>
      </c>
      <c r="U14" s="25">
        <v>100</v>
      </c>
      <c r="V14" s="25">
        <v>237.22</v>
      </c>
      <c r="W14" s="25">
        <v>0</v>
      </c>
      <c r="X14" s="701"/>
    </row>
    <row r="15" spans="1:24">
      <c r="A15" s="49" t="s">
        <v>167</v>
      </c>
      <c r="B15" s="11" t="s">
        <v>168</v>
      </c>
      <c r="C15" s="25"/>
      <c r="D15" s="25"/>
      <c r="E15" s="25"/>
      <c r="F15" s="25"/>
      <c r="G15" s="25"/>
      <c r="H15" s="25"/>
      <c r="I15" s="25"/>
      <c r="J15" s="25"/>
      <c r="K15" s="25"/>
      <c r="L15" s="25"/>
      <c r="M15" s="25"/>
      <c r="N15" s="136"/>
      <c r="O15" s="25"/>
      <c r="P15" s="25"/>
      <c r="Q15" s="25"/>
      <c r="R15" s="44"/>
      <c r="S15" s="44"/>
      <c r="T15" s="44"/>
      <c r="U15" s="44"/>
      <c r="V15" s="25"/>
      <c r="W15" s="44"/>
      <c r="X15" s="701"/>
    </row>
    <row r="16" spans="1:24">
      <c r="A16" s="49" t="s">
        <v>169</v>
      </c>
      <c r="B16" s="11" t="s">
        <v>170</v>
      </c>
      <c r="C16" s="25"/>
      <c r="D16" s="25"/>
      <c r="E16" s="25"/>
      <c r="F16" s="25"/>
      <c r="G16" s="25"/>
      <c r="H16" s="25"/>
      <c r="I16" s="25"/>
      <c r="J16" s="25"/>
      <c r="K16" s="25"/>
      <c r="L16" s="25"/>
      <c r="M16" s="25"/>
      <c r="N16" s="136"/>
      <c r="O16" s="25"/>
      <c r="P16" s="25"/>
      <c r="Q16" s="25"/>
      <c r="R16" s="44"/>
      <c r="S16" s="44"/>
      <c r="T16" s="44"/>
      <c r="U16" s="44"/>
      <c r="V16" s="25"/>
      <c r="W16" s="44"/>
      <c r="X16" s="701"/>
    </row>
    <row r="17" spans="1:24">
      <c r="A17" s="49" t="s">
        <v>171</v>
      </c>
      <c r="B17" s="11" t="s">
        <v>104</v>
      </c>
      <c r="C17" s="25">
        <v>100</v>
      </c>
      <c r="D17" s="25">
        <v>0</v>
      </c>
      <c r="E17" s="25">
        <v>100</v>
      </c>
      <c r="F17" s="25">
        <v>112.33</v>
      </c>
      <c r="G17" s="25">
        <v>300</v>
      </c>
      <c r="H17" s="25">
        <v>114.85</v>
      </c>
      <c r="I17" s="25">
        <v>150</v>
      </c>
      <c r="J17" s="25">
        <v>126.47</v>
      </c>
      <c r="K17" s="25">
        <v>150</v>
      </c>
      <c r="L17" s="25">
        <v>73.599999999999994</v>
      </c>
      <c r="M17" s="25">
        <v>150</v>
      </c>
      <c r="N17" s="136">
        <v>34.56</v>
      </c>
      <c r="O17" s="25">
        <v>150</v>
      </c>
      <c r="P17" s="25">
        <v>131.58000000000001</v>
      </c>
      <c r="Q17" s="25">
        <v>150</v>
      </c>
      <c r="R17" s="25"/>
      <c r="S17" s="25">
        <v>100</v>
      </c>
      <c r="T17" s="25">
        <v>0</v>
      </c>
      <c r="U17" s="25">
        <v>100</v>
      </c>
      <c r="V17" s="25">
        <v>0</v>
      </c>
      <c r="W17" s="25">
        <v>0</v>
      </c>
      <c r="X17" s="701"/>
    </row>
    <row r="18" spans="1:24">
      <c r="A18" s="49" t="s">
        <v>172</v>
      </c>
      <c r="B18" s="11" t="s">
        <v>106</v>
      </c>
      <c r="C18" s="25">
        <v>500</v>
      </c>
      <c r="D18" s="25">
        <v>118</v>
      </c>
      <c r="E18" s="25">
        <v>1500</v>
      </c>
      <c r="F18" s="25">
        <v>542.52</v>
      </c>
      <c r="G18" s="25">
        <v>1000</v>
      </c>
      <c r="H18" s="25">
        <v>114.01</v>
      </c>
      <c r="I18" s="25">
        <v>200</v>
      </c>
      <c r="J18" s="25">
        <v>0</v>
      </c>
      <c r="K18" s="25">
        <v>250</v>
      </c>
      <c r="L18" s="25">
        <v>0</v>
      </c>
      <c r="M18" s="25">
        <v>250</v>
      </c>
      <c r="N18" s="136">
        <v>0</v>
      </c>
      <c r="O18" s="25">
        <v>500</v>
      </c>
      <c r="P18" s="25">
        <v>249</v>
      </c>
      <c r="Q18" s="25">
        <v>500</v>
      </c>
      <c r="R18" s="25"/>
      <c r="S18" s="25">
        <v>250</v>
      </c>
      <c r="T18" s="25">
        <v>0</v>
      </c>
      <c r="U18" s="25">
        <v>500</v>
      </c>
      <c r="V18" s="25">
        <v>0</v>
      </c>
      <c r="W18" s="25">
        <v>0</v>
      </c>
      <c r="X18" s="701">
        <v>0</v>
      </c>
    </row>
    <row r="19" spans="1:24">
      <c r="A19" s="49"/>
      <c r="B19" s="11" t="s">
        <v>110</v>
      </c>
      <c r="C19" s="25">
        <v>0</v>
      </c>
      <c r="D19" s="25">
        <v>0</v>
      </c>
      <c r="E19" s="25">
        <v>0</v>
      </c>
      <c r="F19" s="25">
        <v>0</v>
      </c>
      <c r="G19" s="25">
        <f>29.5*12</f>
        <v>354</v>
      </c>
      <c r="H19" s="25">
        <v>354</v>
      </c>
      <c r="I19" s="25">
        <v>236.01</v>
      </c>
      <c r="J19" s="25">
        <v>236.01</v>
      </c>
      <c r="K19" s="25">
        <v>236.01</v>
      </c>
      <c r="L19" s="25">
        <v>0</v>
      </c>
      <c r="M19" s="25">
        <v>236.01</v>
      </c>
      <c r="N19" s="136">
        <v>0</v>
      </c>
      <c r="O19" s="25">
        <v>0</v>
      </c>
      <c r="P19" s="25">
        <v>21.97</v>
      </c>
      <c r="Q19" s="25">
        <v>0</v>
      </c>
      <c r="R19" s="25">
        <v>0</v>
      </c>
      <c r="S19" s="25"/>
      <c r="T19" s="25"/>
      <c r="U19" s="25"/>
      <c r="V19" s="25"/>
      <c r="W19" s="25">
        <v>0</v>
      </c>
      <c r="X19" s="701"/>
    </row>
    <row r="20" spans="1:24">
      <c r="A20" s="11"/>
      <c r="B20" s="11" t="s">
        <v>114</v>
      </c>
      <c r="C20" s="25">
        <v>500</v>
      </c>
      <c r="D20" s="25">
        <v>0</v>
      </c>
      <c r="E20" s="25">
        <v>750</v>
      </c>
      <c r="F20" s="25">
        <v>354</v>
      </c>
      <c r="G20" s="25">
        <v>100</v>
      </c>
      <c r="H20" s="25">
        <v>554.87</v>
      </c>
      <c r="I20" s="25">
        <v>300</v>
      </c>
      <c r="J20" s="25">
        <v>0</v>
      </c>
      <c r="K20" s="25">
        <v>0</v>
      </c>
      <c r="L20" s="25">
        <v>0</v>
      </c>
      <c r="M20" s="25">
        <v>0</v>
      </c>
      <c r="N20" s="136">
        <v>19.2</v>
      </c>
      <c r="O20" s="25">
        <v>0</v>
      </c>
      <c r="P20" s="25"/>
      <c r="Q20" s="25">
        <v>0</v>
      </c>
      <c r="R20" s="25">
        <v>0</v>
      </c>
      <c r="S20" s="25"/>
      <c r="T20" s="25">
        <v>86.24</v>
      </c>
      <c r="U20" s="25">
        <v>100</v>
      </c>
      <c r="V20" s="25"/>
      <c r="W20" s="25">
        <v>0</v>
      </c>
      <c r="X20" s="701"/>
    </row>
    <row r="21" spans="1:24" ht="13.5" thickBot="1">
      <c r="B21" s="11" t="s">
        <v>91</v>
      </c>
      <c r="C21" s="25"/>
      <c r="D21" s="25"/>
      <c r="E21" s="25"/>
      <c r="F21" s="25"/>
      <c r="G21" s="25"/>
      <c r="H21" s="25"/>
      <c r="I21" s="25"/>
      <c r="J21" s="25"/>
      <c r="K21" s="25"/>
      <c r="L21" s="25"/>
      <c r="M21" s="25"/>
      <c r="N21" s="136"/>
      <c r="O21" s="25"/>
      <c r="P21" s="25"/>
      <c r="Q21" s="25"/>
      <c r="R21" s="25">
        <v>109.55</v>
      </c>
      <c r="S21" s="25"/>
      <c r="T21" s="25"/>
      <c r="U21" s="25"/>
      <c r="V21" s="25"/>
      <c r="W21" s="25">
        <v>0</v>
      </c>
      <c r="X21" s="701"/>
    </row>
    <row r="22" spans="1:24" s="11" customFormat="1" ht="13.5" thickBot="1">
      <c r="B22" s="11" t="s">
        <v>21</v>
      </c>
      <c r="C22" s="178">
        <f>SUBTOTAL(109,RPOExpenses[Budget 10/11])</f>
        <v>2155</v>
      </c>
      <c r="D22" s="178">
        <f>SUBTOTAL(109,RPOExpenses[Actual 10/11])</f>
        <v>1029.6300000000001</v>
      </c>
      <c r="E22" s="178">
        <f>SUBTOTAL(109,RPOExpenses[Budget 11/12])</f>
        <v>3060</v>
      </c>
      <c r="F22" s="178">
        <f>SUBTOTAL(109,RPOExpenses[Actual 11/12])</f>
        <v>1558</v>
      </c>
      <c r="G22" s="178">
        <f>SUBTOTAL(109,RPOExpenses[Budget 12/13])</f>
        <v>2609</v>
      </c>
      <c r="H22" s="178">
        <f>SUBTOTAL(109,RPOExpenses[Actual 12/13])</f>
        <v>1664.0499999999997</v>
      </c>
      <c r="I22" s="178">
        <f>SUBTOTAL(109,RPOExpenses[Budget 13/14])</f>
        <v>1666.01</v>
      </c>
      <c r="J22" s="178">
        <f>SUBTOTAL(109,RPOExpenses[Actual 13/14])</f>
        <v>2179.4499999999998</v>
      </c>
      <c r="K22" s="178">
        <f>SUBTOTAL(109,RPOExpenses[Budget 14/15])</f>
        <v>3491.01</v>
      </c>
      <c r="L22" s="178">
        <f>SUBTOTAL(109,RPOExpenses[Actual 14/15])</f>
        <v>2936.22</v>
      </c>
      <c r="M22" s="178">
        <f>SUBTOTAL(109,RPOExpenses[Budget 15/16])</f>
        <v>1491.01</v>
      </c>
      <c r="N22" s="145">
        <f>SUBTOTAL(109,RPOExpenses[Actual 15/16])</f>
        <v>191.07999999999998</v>
      </c>
      <c r="O22" s="178">
        <f>SUBTOTAL(109,RPOExpenses[Budget 16/17])</f>
        <v>1410</v>
      </c>
      <c r="P22" s="178">
        <f>SUBTOTAL(109,RPOExpenses[Actual 16/17])</f>
        <v>479.56000000000006</v>
      </c>
      <c r="Q22" s="178">
        <f>SUBTOTAL(109,RPOExpenses[Budget 17/18])</f>
        <v>1410</v>
      </c>
      <c r="R22" s="21">
        <f>SUBTOTAL(109,RPOExpenses[Actual 17/18])</f>
        <v>271.33</v>
      </c>
      <c r="S22" s="21">
        <f>SUM(RPOExpenses[Budget 18/19])</f>
        <v>870</v>
      </c>
      <c r="T22" s="21">
        <f>SUM(RPOExpenses[Actual 18/19])</f>
        <v>759.67000000000007</v>
      </c>
      <c r="U22" s="21">
        <f>SUM(RPOExpenses[Budget 19/20])</f>
        <v>2220</v>
      </c>
      <c r="V22" s="21">
        <f>SUM(RPOExpenses[Actual P12 19/20])</f>
        <v>301.01</v>
      </c>
      <c r="W22" s="21">
        <f>SUM(RPOExpenses[Budget 19/21])</f>
        <v>0</v>
      </c>
      <c r="X22" s="703">
        <f>SUM(X9:X21)</f>
        <v>0</v>
      </c>
    </row>
    <row r="23" spans="1:24" ht="13.5" thickBot="1">
      <c r="B23" s="11"/>
      <c r="C23" s="39"/>
      <c r="D23" s="39"/>
      <c r="E23" s="39"/>
      <c r="F23" s="39"/>
      <c r="G23" s="39"/>
      <c r="H23" s="39"/>
      <c r="I23" s="39"/>
      <c r="J23" s="39"/>
      <c r="K23" s="39"/>
      <c r="L23" s="39"/>
      <c r="M23" s="39"/>
      <c r="R23" s="505"/>
    </row>
    <row r="24" spans="1:24" ht="19.5" thickBot="1">
      <c r="B24" s="611" t="s">
        <v>127</v>
      </c>
      <c r="C24" s="27">
        <f>RPORevenues[[#Totals],[Budget 10/11]]-RPOExpenses[[#Totals],[Budget 10/11]]</f>
        <v>-2155</v>
      </c>
      <c r="D24" s="27">
        <f>RPORevenues[[#Totals],[Actual 10/11]]-RPOExpenses[[#Totals],[Actual 10/11]]</f>
        <v>-1029.6300000000001</v>
      </c>
      <c r="E24" s="27">
        <f>RPORevenues[[#Totals],[Budget 11/12]]-RPOExpenses[[#Totals],[Budget 11/12]]</f>
        <v>-3060</v>
      </c>
      <c r="F24" s="27">
        <f>RPORevenues[[#Totals],[Actual 11/12]]-RPOExpenses[[#Totals],[Actual 11/12]]</f>
        <v>-1558</v>
      </c>
      <c r="G24" s="27">
        <f>RPORevenues[[#Totals],[Budget 12/13]]-RPOExpenses[[#Totals],[Budget 12/13]]</f>
        <v>-2609</v>
      </c>
      <c r="H24" s="27">
        <f>RPORevenues[[#Totals],[Actual 12/13]]-RPOExpenses[[#Totals],[Actual 12/13]]</f>
        <v>-1664.0499999999997</v>
      </c>
      <c r="I24" s="27">
        <f>RPORevenues[[#Totals],[Budget 13/14]]-RPOExpenses[[#Totals],[Budget 13/14]]</f>
        <v>-1666.01</v>
      </c>
      <c r="J24" s="27">
        <f>RPORevenues[[#Totals],[Actual 13/14]]-RPOExpenses[[#Totals],[Actual 13/14]]</f>
        <v>-2179.4499999999998</v>
      </c>
      <c r="K24" s="27">
        <f>RPORevenues[[#Totals],[Budget 14/15]]-RPOExpenses[[#Totals],[Budget 14/15]]</f>
        <v>-3491.01</v>
      </c>
      <c r="L24" s="27">
        <f>RPORevenues[[#Totals],[Actual 14/15]]-RPOExpenses[[#Totals],[Actual 14/15]]</f>
        <v>-2936.22</v>
      </c>
      <c r="M24" s="27">
        <f>RPORevenues[[#Totals],[Budget 15/16]]-RPOExpenses[[#Totals],[Budget 15/16]]</f>
        <v>-1491.01</v>
      </c>
      <c r="N24" s="27">
        <f>RPORevenues[[#Totals],[Actual 15/16]]-RPOExpenses[[#Totals],[Actual 15/16]]</f>
        <v>-191.07999999999998</v>
      </c>
      <c r="O24" s="27">
        <f>RPORevenues[[#Totals],[Budget 16/17]]-RPOExpenses[[#Totals],[Budget 16/17]]</f>
        <v>-1410</v>
      </c>
      <c r="P24" s="27">
        <f>RPORevenues[[#Totals],[Actual 16/17]]-RPOExpenses[[#Totals],[Actual 16/17]]</f>
        <v>-479.56000000000006</v>
      </c>
      <c r="Q24" s="27">
        <f>RPORevenues[[#Totals],[Budget 17/18]]-RPOExpenses[[#Totals],[Budget 17/18]]</f>
        <v>-1410</v>
      </c>
      <c r="R24" s="27">
        <f>RPORevenues[[#Totals],[Actual 17/18]]-RPOExpenses[[#Totals],[Actual 17/18]]</f>
        <v>-271.33</v>
      </c>
      <c r="S24" s="27">
        <f>RPORevenues[[#Totals],[Budget 18/19]]-RPOExpenses[[#Totals],[Budget 18/19]]</f>
        <v>-870</v>
      </c>
      <c r="T24" s="27">
        <f>RPORevenues[[#Totals],[Actual 18/19]]-RPOExpenses[[#Totals],[Actual 18/19]]</f>
        <v>-759.67000000000007</v>
      </c>
      <c r="U24" s="30">
        <f>RPORevenues[[#Totals],[Actual P12 19/20]]-RPOExpenses[[#Totals],[Budget 19/20]]</f>
        <v>-2220</v>
      </c>
      <c r="V24" s="30">
        <f>RPORevenues[Actual P12 19/20]-RPOExpenses[[#Totals],[Actual P12 19/20]]</f>
        <v>-301.01</v>
      </c>
      <c r="W24" s="704">
        <f>SUM(W9:W23)</f>
        <v>0</v>
      </c>
      <c r="X24" s="705">
        <f>SUM(X9:X21)</f>
        <v>0</v>
      </c>
    </row>
    <row r="25" spans="1:24">
      <c r="V25" s="19" t="s">
        <v>173</v>
      </c>
    </row>
  </sheetData>
  <pageMargins left="0" right="0" top="0.98425196850393704" bottom="0.98425196850393704" header="0.51181102362204722" footer="0.51181102362204722"/>
  <pageSetup paperSize="5" scale="97" orientation="landscape" r:id="rId1"/>
  <headerFooter alignWithMargins="0"/>
  <legacyDrawing r:id="rId2"/>
  <tableParts count="2">
    <tablePart r:id="rId3"/>
    <tablePart r:id="rId4"/>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1"/>
    <pageSetUpPr fitToPage="1"/>
  </sheetPr>
  <dimension ref="A1:AA68"/>
  <sheetViews>
    <sheetView showGridLines="0" zoomScaleNormal="100" workbookViewId="0">
      <selection activeCell="Z13" sqref="Z13"/>
    </sheetView>
  </sheetViews>
  <sheetFormatPr defaultColWidth="11.42578125" defaultRowHeight="12.75"/>
  <cols>
    <col min="1" max="1" width="13.85546875" customWidth="1"/>
    <col min="2" max="2" width="30" customWidth="1"/>
    <col min="3" max="13" width="15.42578125" hidden="1" customWidth="1"/>
    <col min="14" max="14" width="14.28515625" style="138" hidden="1" customWidth="1"/>
    <col min="15" max="15" width="14.28515625" hidden="1" customWidth="1"/>
    <col min="16" max="16" width="14.42578125" hidden="1" customWidth="1"/>
    <col min="17" max="17" width="17.7109375" hidden="1" customWidth="1"/>
    <col min="18" max="18" width="17" hidden="1" customWidth="1"/>
    <col min="19" max="19" width="16.28515625" hidden="1" customWidth="1"/>
    <col min="20" max="20" width="14.42578125" hidden="1" customWidth="1"/>
    <col min="21" max="22" width="15.42578125" hidden="1" customWidth="1"/>
    <col min="23" max="23" width="13.85546875" hidden="1" customWidth="1"/>
    <col min="24" max="24" width="14.28515625" hidden="1" customWidth="1"/>
    <col min="25" max="25" width="14.7109375" customWidth="1"/>
    <col min="26" max="26" width="15.42578125" customWidth="1"/>
    <col min="27" max="27" width="16.85546875" customWidth="1"/>
  </cols>
  <sheetData>
    <row r="1" spans="1:27" ht="18">
      <c r="A1" s="758" t="s">
        <v>174</v>
      </c>
      <c r="B1" s="758"/>
      <c r="C1" s="10"/>
      <c r="D1" s="10"/>
      <c r="E1" s="10"/>
      <c r="F1" s="10"/>
      <c r="G1" s="10"/>
      <c r="H1" s="10"/>
      <c r="I1" s="10"/>
      <c r="J1" s="10"/>
      <c r="K1" s="10"/>
      <c r="L1" s="10"/>
      <c r="M1" s="10"/>
    </row>
    <row r="2" spans="1:27">
      <c r="A2" s="756" t="s">
        <v>71</v>
      </c>
      <c r="B2" s="756"/>
      <c r="C2" s="11"/>
      <c r="D2" s="11"/>
      <c r="E2" s="11"/>
      <c r="F2" s="11"/>
      <c r="G2" s="11"/>
      <c r="H2" s="11"/>
      <c r="I2" s="11"/>
      <c r="J2" s="11"/>
      <c r="K2" s="11"/>
      <c r="L2" s="11"/>
      <c r="M2" s="11"/>
    </row>
    <row r="3" spans="1:27">
      <c r="A3" s="13"/>
      <c r="B3" s="11"/>
      <c r="C3" s="11"/>
      <c r="D3" s="11"/>
      <c r="E3" s="11"/>
      <c r="F3" s="11"/>
      <c r="G3" s="11"/>
      <c r="H3" s="11"/>
      <c r="I3" s="11"/>
      <c r="J3" s="11"/>
      <c r="K3" s="11"/>
      <c r="L3" s="11"/>
      <c r="M3" s="11"/>
    </row>
    <row r="4" spans="1:27" ht="15.75">
      <c r="A4" s="11"/>
      <c r="B4" s="9" t="s">
        <v>72</v>
      </c>
      <c r="C4" s="15" t="s">
        <v>73</v>
      </c>
      <c r="D4" s="15" t="s">
        <v>74</v>
      </c>
      <c r="E4" s="15" t="s">
        <v>75</v>
      </c>
      <c r="F4" s="15" t="s">
        <v>76</v>
      </c>
      <c r="G4" s="15" t="s">
        <v>77</v>
      </c>
      <c r="H4" s="15" t="s">
        <v>78</v>
      </c>
      <c r="I4" s="15" t="s">
        <v>5</v>
      </c>
      <c r="J4" s="15" t="s">
        <v>6</v>
      </c>
      <c r="K4" s="15" t="s">
        <v>7</v>
      </c>
      <c r="L4" s="15" t="s">
        <v>79</v>
      </c>
      <c r="M4" s="15" t="s">
        <v>9</v>
      </c>
      <c r="N4" s="137" t="s">
        <v>10</v>
      </c>
      <c r="O4" s="15" t="s">
        <v>11</v>
      </c>
      <c r="P4" s="15" t="s">
        <v>12</v>
      </c>
      <c r="Q4" s="15" t="s">
        <v>13</v>
      </c>
      <c r="R4" s="15" t="s">
        <v>14</v>
      </c>
      <c r="S4" s="15" t="s">
        <v>15</v>
      </c>
      <c r="T4" s="15" t="s">
        <v>39</v>
      </c>
      <c r="U4" s="15" t="s">
        <v>16</v>
      </c>
      <c r="V4" s="15" t="s">
        <v>81</v>
      </c>
      <c r="W4" s="15" t="s">
        <v>61</v>
      </c>
      <c r="X4" s="359" t="s">
        <v>40</v>
      </c>
      <c r="Y4" s="359" t="s">
        <v>41</v>
      </c>
      <c r="Z4" s="15" t="s">
        <v>42</v>
      </c>
      <c r="AA4" s="15" t="s">
        <v>43</v>
      </c>
    </row>
    <row r="5" spans="1:27">
      <c r="A5" s="11"/>
      <c r="B5" s="11"/>
      <c r="C5" s="43">
        <v>0</v>
      </c>
      <c r="D5" s="43">
        <v>0</v>
      </c>
      <c r="E5" s="43">
        <v>0</v>
      </c>
      <c r="F5" s="43">
        <v>0</v>
      </c>
      <c r="G5" s="43">
        <v>0</v>
      </c>
      <c r="H5" s="43">
        <v>0</v>
      </c>
      <c r="I5" s="43">
        <v>0</v>
      </c>
      <c r="J5" s="43">
        <v>0</v>
      </c>
      <c r="K5" s="43">
        <v>0</v>
      </c>
      <c r="L5" s="43">
        <v>0</v>
      </c>
      <c r="M5" s="43">
        <v>0</v>
      </c>
      <c r="N5" s="136">
        <v>0</v>
      </c>
      <c r="O5" s="43">
        <v>0</v>
      </c>
      <c r="P5" s="43"/>
      <c r="Q5" s="43"/>
      <c r="R5" s="43"/>
      <c r="S5" s="43"/>
      <c r="T5" s="43"/>
      <c r="U5" s="43"/>
      <c r="V5" s="207"/>
      <c r="W5" s="207"/>
      <c r="X5" s="207"/>
      <c r="Y5" s="207"/>
      <c r="Z5" s="207"/>
      <c r="AA5" s="207"/>
    </row>
    <row r="6" spans="1:27">
      <c r="A6" s="11"/>
      <c r="B6" s="11" t="s">
        <v>21</v>
      </c>
      <c r="C6" s="178">
        <f>SUBTOTAL(109,ElectionsRevenues[Budget 10/11])</f>
        <v>0</v>
      </c>
      <c r="D6" s="178">
        <f>SUBTOTAL(109,ElectionsRevenues[Actual 10/11])</f>
        <v>0</v>
      </c>
      <c r="E6" s="178">
        <f>SUBTOTAL(109,ElectionsRevenues[Budget 11/12])</f>
        <v>0</v>
      </c>
      <c r="F6" s="178">
        <f>SUBTOTAL(109,ElectionsRevenues[Actual 11/12])</f>
        <v>0</v>
      </c>
      <c r="G6" s="178">
        <f>SUBTOTAL(109,ElectionsRevenues[Budget 12/13])</f>
        <v>0</v>
      </c>
      <c r="H6" s="178">
        <f>SUBTOTAL(109,ElectionsRevenues[Actual 12/13])</f>
        <v>0</v>
      </c>
      <c r="I6" s="178">
        <f>SUBTOTAL(109,ElectionsRevenues[Budget 13/14])</f>
        <v>0</v>
      </c>
      <c r="J6" s="178">
        <f>SUBTOTAL(109,ElectionsRevenues[Actual 13/14])</f>
        <v>0</v>
      </c>
      <c r="K6" s="178">
        <f>SUBTOTAL(109,ElectionsRevenues[Budget 14/15])</f>
        <v>0</v>
      </c>
      <c r="L6" s="178">
        <f>SUBTOTAL(109,ElectionsRevenues[Actuals 14/15])</f>
        <v>0</v>
      </c>
      <c r="M6" s="178">
        <f>SUBTOTAL(109,ElectionsRevenues[Budget 15/16])</f>
        <v>0</v>
      </c>
      <c r="N6" s="145">
        <f>SUBTOTAL(109,ElectionsRevenues[Actual 15/16])</f>
        <v>0</v>
      </c>
      <c r="O6" s="178">
        <f>SUBTOTAL(109,ElectionsRevenues[Budget 16/17])</f>
        <v>0</v>
      </c>
      <c r="P6" s="178">
        <f>SUBTOTAL(109,ElectionsRevenues[Actual 16/17])</f>
        <v>0</v>
      </c>
      <c r="Q6" s="178">
        <f>SUBTOTAL(109,ElectionsRevenues[Budget 17/18])</f>
        <v>0</v>
      </c>
      <c r="R6" s="11">
        <f>SUBTOTAL(109,ElectionsRevenues[Revenues])</f>
        <v>0</v>
      </c>
      <c r="S6" s="11">
        <f>SUBTOTAL(109,ElectionsRevenues[Budget 10/11])</f>
        <v>0</v>
      </c>
      <c r="T6" s="11"/>
      <c r="U6" s="11">
        <f>SUBTOTAL(109,ElectionsRevenues[Actual 10/11])</f>
        <v>0</v>
      </c>
      <c r="V6" s="11"/>
      <c r="W6" s="11"/>
      <c r="X6" s="11"/>
      <c r="Y6" s="11"/>
      <c r="Z6" s="11"/>
      <c r="AA6" s="11"/>
    </row>
    <row r="7" spans="1:27">
      <c r="B7" s="11"/>
      <c r="C7" s="11"/>
      <c r="D7" s="11"/>
      <c r="E7" s="11"/>
      <c r="F7" s="11"/>
      <c r="G7" s="11"/>
      <c r="H7" s="11"/>
      <c r="I7" s="11"/>
      <c r="J7" s="11"/>
      <c r="K7" s="11"/>
      <c r="L7" s="11"/>
      <c r="M7" s="11"/>
    </row>
    <row r="8" spans="1:27" ht="15.75">
      <c r="A8" s="48" t="s">
        <v>130</v>
      </c>
      <c r="B8" s="9" t="s">
        <v>22</v>
      </c>
      <c r="C8" s="15" t="s">
        <v>73</v>
      </c>
      <c r="D8" s="15" t="s">
        <v>74</v>
      </c>
      <c r="E8" s="15" t="s">
        <v>75</v>
      </c>
      <c r="F8" s="15" t="s">
        <v>76</v>
      </c>
      <c r="G8" s="15" t="s">
        <v>77</v>
      </c>
      <c r="H8" s="15" t="s">
        <v>78</v>
      </c>
      <c r="I8" s="15" t="s">
        <v>5</v>
      </c>
      <c r="J8" s="15" t="s">
        <v>6</v>
      </c>
      <c r="K8" s="15" t="s">
        <v>7</v>
      </c>
      <c r="L8" s="15" t="s">
        <v>79</v>
      </c>
      <c r="M8" s="15" t="s">
        <v>9</v>
      </c>
      <c r="N8" s="137" t="s">
        <v>10</v>
      </c>
      <c r="O8" s="15" t="s">
        <v>11</v>
      </c>
      <c r="P8" s="15" t="s">
        <v>12</v>
      </c>
      <c r="Q8" s="15" t="s">
        <v>13</v>
      </c>
      <c r="R8" s="15" t="s">
        <v>14</v>
      </c>
      <c r="S8" s="15" t="s">
        <v>15</v>
      </c>
      <c r="T8" s="15" t="s">
        <v>39</v>
      </c>
      <c r="U8" s="15" t="s">
        <v>16</v>
      </c>
      <c r="V8" s="15" t="s">
        <v>81</v>
      </c>
      <c r="W8" s="15" t="s">
        <v>17</v>
      </c>
      <c r="X8" s="359" t="s">
        <v>40</v>
      </c>
      <c r="Y8" s="359" t="s">
        <v>41</v>
      </c>
      <c r="Z8" s="15" t="s">
        <v>42</v>
      </c>
      <c r="AA8" s="15" t="s">
        <v>43</v>
      </c>
    </row>
    <row r="9" spans="1:27">
      <c r="A9" s="48" t="s">
        <v>175</v>
      </c>
      <c r="B9" s="11" t="s">
        <v>176</v>
      </c>
      <c r="C9" s="43">
        <v>0</v>
      </c>
      <c r="D9" s="43">
        <v>0</v>
      </c>
      <c r="E9" s="43">
        <v>0</v>
      </c>
      <c r="F9" s="43">
        <v>0</v>
      </c>
      <c r="G9" s="43">
        <v>0</v>
      </c>
      <c r="H9" s="43">
        <v>307.5</v>
      </c>
      <c r="I9" s="43">
        <v>350</v>
      </c>
      <c r="J9" s="43">
        <v>102.5</v>
      </c>
      <c r="K9" s="43">
        <v>900</v>
      </c>
      <c r="L9" s="43">
        <v>1303.31</v>
      </c>
      <c r="M9" s="43">
        <v>900</v>
      </c>
      <c r="N9" s="136">
        <v>5089.04</v>
      </c>
      <c r="O9" s="43">
        <v>4500</v>
      </c>
      <c r="P9" s="207">
        <v>3569.79</v>
      </c>
      <c r="Q9" s="43">
        <v>4500</v>
      </c>
      <c r="R9" s="43">
        <v>1329.1</v>
      </c>
      <c r="S9" s="43">
        <v>4000</v>
      </c>
      <c r="T9" s="43">
        <v>5894.92</v>
      </c>
      <c r="U9" s="39"/>
      <c r="V9" s="4">
        <v>1986.54</v>
      </c>
      <c r="W9" s="39"/>
      <c r="X9" s="506">
        <v>2867.21</v>
      </c>
      <c r="Y9" s="506"/>
      <c r="Z9" s="506">
        <v>1449.62</v>
      </c>
      <c r="AA9" s="506"/>
    </row>
    <row r="10" spans="1:27">
      <c r="A10" s="48" t="s">
        <v>177</v>
      </c>
      <c r="B10" s="287" t="s">
        <v>178</v>
      </c>
      <c r="C10" s="43"/>
      <c r="D10" s="43"/>
      <c r="E10" s="43"/>
      <c r="F10" s="43"/>
      <c r="G10" s="43"/>
      <c r="H10" s="43"/>
      <c r="I10" s="43"/>
      <c r="J10" s="43"/>
      <c r="K10" s="43"/>
      <c r="L10" s="43"/>
      <c r="M10" s="43"/>
      <c r="N10" s="136"/>
      <c r="O10" s="285"/>
      <c r="P10" s="207"/>
      <c r="Q10" s="43"/>
      <c r="R10" s="177"/>
      <c r="S10" s="177"/>
      <c r="T10" s="177"/>
      <c r="U10" s="18">
        <v>1000</v>
      </c>
      <c r="V10" s="506">
        <v>102.3</v>
      </c>
      <c r="W10" s="18">
        <v>0</v>
      </c>
      <c r="X10" s="506"/>
      <c r="Y10" s="506"/>
      <c r="Z10" s="506"/>
      <c r="AA10" s="506"/>
    </row>
    <row r="11" spans="1:27">
      <c r="A11" s="48" t="s">
        <v>179</v>
      </c>
      <c r="B11" s="287" t="s">
        <v>180</v>
      </c>
      <c r="C11" s="43"/>
      <c r="D11" s="43"/>
      <c r="E11" s="43"/>
      <c r="F11" s="43"/>
      <c r="G11" s="43"/>
      <c r="H11" s="43"/>
      <c r="I11" s="43"/>
      <c r="J11" s="43"/>
      <c r="K11" s="43"/>
      <c r="L11" s="43"/>
      <c r="M11" s="43"/>
      <c r="N11" s="136"/>
      <c r="O11" s="285"/>
      <c r="P11" s="207"/>
      <c r="Q11" s="43"/>
      <c r="R11" s="177"/>
      <c r="S11" s="177"/>
      <c r="T11" s="177"/>
      <c r="U11" s="18">
        <v>2000</v>
      </c>
      <c r="V11" s="506">
        <v>0</v>
      </c>
      <c r="W11" s="18">
        <v>2000</v>
      </c>
      <c r="X11" s="506"/>
      <c r="Y11" s="506">
        <v>2500</v>
      </c>
      <c r="Z11" s="506">
        <v>0</v>
      </c>
      <c r="AA11" s="506">
        <v>5000</v>
      </c>
    </row>
    <row r="12" spans="1:27">
      <c r="A12" s="48" t="s">
        <v>181</v>
      </c>
      <c r="B12" s="287" t="s">
        <v>182</v>
      </c>
      <c r="C12" s="43"/>
      <c r="D12" s="43"/>
      <c r="E12" s="43"/>
      <c r="F12" s="43"/>
      <c r="G12" s="43"/>
      <c r="H12" s="43"/>
      <c r="I12" s="43"/>
      <c r="J12" s="43"/>
      <c r="K12" s="43"/>
      <c r="L12" s="43"/>
      <c r="M12" s="43"/>
      <c r="N12" s="136"/>
      <c r="O12" s="285"/>
      <c r="P12" s="207"/>
      <c r="Q12" s="43"/>
      <c r="R12" s="177"/>
      <c r="S12" s="177"/>
      <c r="T12" s="177"/>
      <c r="U12" s="18">
        <v>1500</v>
      </c>
      <c r="V12" s="506">
        <v>0</v>
      </c>
      <c r="W12" s="18">
        <v>1500</v>
      </c>
      <c r="X12" s="506"/>
      <c r="Y12" s="506">
        <v>2000</v>
      </c>
      <c r="Z12" s="506">
        <v>158.63999999999999</v>
      </c>
      <c r="AA12" s="506">
        <v>4000</v>
      </c>
    </row>
    <row r="13" spans="1:27">
      <c r="A13" s="48" t="s">
        <v>183</v>
      </c>
      <c r="B13" s="287" t="s">
        <v>184</v>
      </c>
      <c r="C13" s="43"/>
      <c r="D13" s="43"/>
      <c r="E13" s="43"/>
      <c r="F13" s="43"/>
      <c r="G13" s="43"/>
      <c r="H13" s="43"/>
      <c r="I13" s="43"/>
      <c r="J13" s="43"/>
      <c r="K13" s="43"/>
      <c r="L13" s="43"/>
      <c r="M13" s="43"/>
      <c r="N13" s="136"/>
      <c r="O13" s="285"/>
      <c r="P13" s="207"/>
      <c r="Q13" s="43"/>
      <c r="R13" s="177"/>
      <c r="S13" s="177"/>
      <c r="T13" s="177"/>
      <c r="U13" s="18">
        <v>0</v>
      </c>
      <c r="V13" s="506">
        <v>0</v>
      </c>
      <c r="W13" s="18">
        <v>0</v>
      </c>
      <c r="X13" s="506"/>
      <c r="Y13" s="506"/>
      <c r="Z13" s="506"/>
      <c r="AA13" s="506"/>
    </row>
    <row r="14" spans="1:27">
      <c r="A14" s="48" t="s">
        <v>185</v>
      </c>
      <c r="B14" s="11" t="s">
        <v>186</v>
      </c>
      <c r="C14" s="43">
        <v>600</v>
      </c>
      <c r="D14" s="43">
        <v>500</v>
      </c>
      <c r="E14" s="43">
        <v>400</v>
      </c>
      <c r="F14" s="43">
        <v>-500</v>
      </c>
      <c r="G14" s="43">
        <v>500</v>
      </c>
      <c r="H14" s="43">
        <v>0</v>
      </c>
      <c r="I14" s="43">
        <v>500</v>
      </c>
      <c r="J14" s="43">
        <v>0</v>
      </c>
      <c r="K14" s="43">
        <v>500</v>
      </c>
      <c r="L14" s="43">
        <v>500</v>
      </c>
      <c r="M14" s="43">
        <v>500</v>
      </c>
      <c r="N14" s="136">
        <v>0</v>
      </c>
      <c r="O14" s="43">
        <v>0</v>
      </c>
      <c r="P14" s="207"/>
      <c r="Q14" s="43"/>
      <c r="R14" s="43"/>
      <c r="S14" s="43"/>
      <c r="T14" s="43"/>
      <c r="U14" s="208"/>
      <c r="V14" s="506">
        <v>0</v>
      </c>
      <c r="W14" s="208"/>
      <c r="X14" s="506"/>
      <c r="Y14" s="506"/>
      <c r="Z14" s="506"/>
      <c r="AA14" s="506"/>
    </row>
    <row r="15" spans="1:27">
      <c r="A15" s="48" t="s">
        <v>187</v>
      </c>
      <c r="B15" s="11" t="s">
        <v>100</v>
      </c>
      <c r="C15" s="43">
        <v>15</v>
      </c>
      <c r="D15" s="43">
        <v>0</v>
      </c>
      <c r="E15" s="43">
        <v>15</v>
      </c>
      <c r="F15" s="43">
        <v>0</v>
      </c>
      <c r="G15" s="43">
        <v>0</v>
      </c>
      <c r="H15" s="43">
        <v>56.65</v>
      </c>
      <c r="I15" s="43">
        <v>0</v>
      </c>
      <c r="J15" s="43">
        <v>0</v>
      </c>
      <c r="K15" s="43">
        <v>0</v>
      </c>
      <c r="L15" s="43">
        <v>0</v>
      </c>
      <c r="M15" s="43">
        <v>0</v>
      </c>
      <c r="N15" s="136">
        <v>0</v>
      </c>
      <c r="O15" s="43">
        <v>50</v>
      </c>
      <c r="P15" s="207"/>
      <c r="Q15" s="43">
        <v>75</v>
      </c>
      <c r="R15" s="43"/>
      <c r="S15" s="43">
        <v>50</v>
      </c>
      <c r="T15" s="43"/>
      <c r="U15" s="208">
        <v>50</v>
      </c>
      <c r="V15" s="506">
        <v>65.52</v>
      </c>
      <c r="W15" s="208">
        <v>50</v>
      </c>
      <c r="X15" s="506">
        <v>0</v>
      </c>
      <c r="Y15" s="506">
        <v>50</v>
      </c>
      <c r="Z15" s="506"/>
      <c r="AA15" s="506"/>
    </row>
    <row r="16" spans="1:27">
      <c r="A16" s="48" t="s">
        <v>188</v>
      </c>
      <c r="B16" s="11" t="s">
        <v>189</v>
      </c>
      <c r="C16" s="43">
        <v>0</v>
      </c>
      <c r="D16" s="43">
        <v>0</v>
      </c>
      <c r="E16" s="43">
        <v>0</v>
      </c>
      <c r="F16" s="43">
        <v>15.22</v>
      </c>
      <c r="G16" s="43">
        <v>0</v>
      </c>
      <c r="H16" s="43">
        <v>0</v>
      </c>
      <c r="I16" s="43">
        <v>0</v>
      </c>
      <c r="J16" s="43">
        <v>2.7</v>
      </c>
      <c r="K16" s="43">
        <v>0</v>
      </c>
      <c r="L16" s="43"/>
      <c r="M16" s="43">
        <v>0</v>
      </c>
      <c r="N16" s="136">
        <v>0</v>
      </c>
      <c r="O16" s="43">
        <v>0</v>
      </c>
      <c r="P16" s="207"/>
      <c r="Q16" s="43"/>
      <c r="R16" s="43"/>
      <c r="S16" s="43"/>
      <c r="T16" s="43"/>
      <c r="U16" s="208"/>
      <c r="V16" s="506">
        <v>906.07</v>
      </c>
      <c r="W16" s="208"/>
      <c r="X16" s="506"/>
      <c r="Y16" s="506"/>
      <c r="Z16" s="506"/>
      <c r="AA16" s="506"/>
    </row>
    <row r="17" spans="1:27">
      <c r="A17" s="363" t="s">
        <v>190</v>
      </c>
      <c r="B17" s="11" t="s">
        <v>191</v>
      </c>
      <c r="C17" s="43"/>
      <c r="D17" s="43"/>
      <c r="E17" s="43"/>
      <c r="F17" s="43"/>
      <c r="G17" s="43"/>
      <c r="H17" s="43"/>
      <c r="I17" s="43"/>
      <c r="J17" s="43"/>
      <c r="K17" s="43"/>
      <c r="L17" s="43"/>
      <c r="M17" s="43"/>
      <c r="N17" s="136"/>
      <c r="O17" s="285"/>
      <c r="P17" s="207"/>
      <c r="Q17" s="43"/>
      <c r="R17" s="177"/>
      <c r="S17" s="177"/>
      <c r="T17" s="43"/>
      <c r="U17" s="286"/>
      <c r="V17" s="286"/>
      <c r="W17" s="18">
        <v>750</v>
      </c>
      <c r="X17" s="506"/>
      <c r="Y17" s="506">
        <v>1000</v>
      </c>
      <c r="Z17" s="506"/>
      <c r="AA17" s="506">
        <v>2000</v>
      </c>
    </row>
    <row r="18" spans="1:27">
      <c r="A18" s="48"/>
      <c r="B18" s="11" t="s">
        <v>192</v>
      </c>
      <c r="C18" s="43">
        <v>0</v>
      </c>
      <c r="D18" s="43">
        <v>0</v>
      </c>
      <c r="E18" s="43">
        <v>0</v>
      </c>
      <c r="F18" s="43">
        <v>0</v>
      </c>
      <c r="G18" s="43">
        <v>0</v>
      </c>
      <c r="H18" s="43">
        <v>0</v>
      </c>
      <c r="I18" s="43">
        <v>0</v>
      </c>
      <c r="J18" s="43">
        <v>0</v>
      </c>
      <c r="K18" s="43">
        <v>0</v>
      </c>
      <c r="L18" s="43">
        <v>0</v>
      </c>
      <c r="M18" s="43">
        <v>0</v>
      </c>
      <c r="N18" s="136">
        <v>0</v>
      </c>
      <c r="O18" s="43">
        <v>0</v>
      </c>
      <c r="P18" s="207"/>
      <c r="Q18" s="43"/>
      <c r="R18" s="43"/>
      <c r="S18" s="43"/>
      <c r="T18" s="43"/>
      <c r="U18" s="208"/>
      <c r="V18" s="208"/>
      <c r="W18" s="208"/>
      <c r="X18" s="506"/>
      <c r="Y18" s="506"/>
      <c r="Z18" s="506"/>
      <c r="AA18" s="506"/>
    </row>
    <row r="19" spans="1:27">
      <c r="A19" s="48"/>
      <c r="B19" s="11" t="s">
        <v>104</v>
      </c>
      <c r="C19" s="43">
        <v>150</v>
      </c>
      <c r="D19" s="43">
        <v>16.82</v>
      </c>
      <c r="E19" s="43">
        <v>100</v>
      </c>
      <c r="F19" s="43">
        <v>133.05000000000001</v>
      </c>
      <c r="G19" s="43">
        <v>100</v>
      </c>
      <c r="H19" s="43">
        <v>0</v>
      </c>
      <c r="I19" s="43">
        <v>100</v>
      </c>
      <c r="J19" s="43">
        <v>0</v>
      </c>
      <c r="K19" s="43">
        <v>100</v>
      </c>
      <c r="L19" s="43">
        <v>0</v>
      </c>
      <c r="M19" s="43">
        <v>100</v>
      </c>
      <c r="N19" s="136">
        <v>410.46</v>
      </c>
      <c r="O19" s="43">
        <v>300</v>
      </c>
      <c r="P19" s="207">
        <v>209.06</v>
      </c>
      <c r="Q19" s="43">
        <v>400</v>
      </c>
      <c r="R19" s="43"/>
      <c r="S19" s="43"/>
      <c r="T19" s="43"/>
      <c r="U19" s="208"/>
      <c r="V19" s="208"/>
      <c r="W19" s="208"/>
      <c r="X19" s="506"/>
      <c r="Y19" s="506"/>
      <c r="Z19" s="506"/>
      <c r="AA19" s="506"/>
    </row>
    <row r="20" spans="1:27">
      <c r="B20" s="11" t="s">
        <v>193</v>
      </c>
      <c r="C20" s="43">
        <v>700</v>
      </c>
      <c r="D20" s="43">
        <v>288.89</v>
      </c>
      <c r="E20" s="43">
        <v>500</v>
      </c>
      <c r="F20" s="43">
        <v>928.57</v>
      </c>
      <c r="G20" s="43">
        <v>0</v>
      </c>
      <c r="H20" s="43">
        <v>1679.29</v>
      </c>
      <c r="I20" s="43">
        <v>0</v>
      </c>
      <c r="J20" s="43">
        <v>0</v>
      </c>
      <c r="K20" s="43">
        <v>0</v>
      </c>
      <c r="L20" s="43">
        <v>0</v>
      </c>
      <c r="M20" s="43">
        <v>0</v>
      </c>
      <c r="N20" s="136">
        <v>0</v>
      </c>
      <c r="O20" s="43">
        <v>0</v>
      </c>
      <c r="P20" s="207"/>
      <c r="Q20" s="43">
        <v>3000</v>
      </c>
      <c r="R20" s="43">
        <v>1372.89</v>
      </c>
      <c r="S20" s="43"/>
      <c r="T20" s="43"/>
      <c r="U20" s="208"/>
      <c r="V20" s="208"/>
      <c r="W20" s="208"/>
      <c r="X20" s="506"/>
      <c r="Y20" s="506"/>
      <c r="Z20" s="506"/>
      <c r="AA20" s="506"/>
    </row>
    <row r="21" spans="1:27">
      <c r="A21" s="363" t="s">
        <v>194</v>
      </c>
      <c r="B21" s="11" t="s">
        <v>195</v>
      </c>
      <c r="C21" s="43">
        <v>2000</v>
      </c>
      <c r="D21" s="43">
        <v>1203.94</v>
      </c>
      <c r="E21" s="43">
        <v>2000</v>
      </c>
      <c r="F21" s="43">
        <v>978.68</v>
      </c>
      <c r="G21" s="43">
        <v>2000</v>
      </c>
      <c r="H21" s="43">
        <v>695.18</v>
      </c>
      <c r="I21" s="43">
        <v>1500</v>
      </c>
      <c r="J21" s="43">
        <v>1096.67</v>
      </c>
      <c r="K21" s="43">
        <v>1500</v>
      </c>
      <c r="L21" s="43">
        <v>47.05</v>
      </c>
      <c r="M21" s="43">
        <v>2000</v>
      </c>
      <c r="N21" s="136">
        <v>1137.1600000000001</v>
      </c>
      <c r="O21" s="43">
        <v>1000</v>
      </c>
      <c r="P21" s="207">
        <v>1444.89</v>
      </c>
      <c r="Q21" s="43">
        <v>1300</v>
      </c>
      <c r="R21" s="43"/>
      <c r="S21" s="43">
        <v>1500</v>
      </c>
      <c r="T21" s="43">
        <v>1576.56</v>
      </c>
      <c r="U21" s="208">
        <v>1500</v>
      </c>
      <c r="V21" s="208"/>
      <c r="W21" s="208">
        <v>2000</v>
      </c>
      <c r="X21" s="506">
        <v>258.82</v>
      </c>
      <c r="Y21" s="506">
        <v>2000</v>
      </c>
      <c r="Z21" s="506"/>
      <c r="AA21" s="506">
        <v>12600</v>
      </c>
    </row>
    <row r="22" spans="1:27" s="11" customFormat="1">
      <c r="B22" s="11" t="s">
        <v>91</v>
      </c>
      <c r="C22" s="43"/>
      <c r="D22" s="43"/>
      <c r="E22" s="43"/>
      <c r="F22" s="43"/>
      <c r="G22" s="43"/>
      <c r="H22" s="43"/>
      <c r="I22" s="43"/>
      <c r="J22" s="43"/>
      <c r="K22" s="43"/>
      <c r="L22" s="43"/>
      <c r="M22" s="43"/>
      <c r="N22" s="136"/>
      <c r="O22" s="133"/>
      <c r="P22" s="207"/>
      <c r="Q22" s="43"/>
      <c r="R22" s="43">
        <v>517.77</v>
      </c>
      <c r="S22" s="43">
        <v>750</v>
      </c>
      <c r="T22" s="43">
        <v>57.39</v>
      </c>
      <c r="U22" s="208">
        <v>750</v>
      </c>
      <c r="V22" s="208"/>
      <c r="W22" s="208">
        <v>0</v>
      </c>
      <c r="X22" s="39"/>
      <c r="Y22" s="39">
        <v>750</v>
      </c>
      <c r="Z22" s="506"/>
      <c r="AA22" s="506">
        <v>750</v>
      </c>
    </row>
    <row r="23" spans="1:27">
      <c r="B23" s="11" t="s">
        <v>196</v>
      </c>
      <c r="C23" s="43"/>
      <c r="D23" s="43"/>
      <c r="E23" s="43"/>
      <c r="F23" s="43"/>
      <c r="G23" s="43"/>
      <c r="H23" s="43"/>
      <c r="I23" s="43"/>
      <c r="J23" s="43"/>
      <c r="K23" s="43"/>
      <c r="L23" s="43"/>
      <c r="M23" s="43"/>
      <c r="N23" s="136"/>
      <c r="O23" s="285"/>
      <c r="P23" s="207"/>
      <c r="Q23" s="43"/>
      <c r="R23" s="43">
        <v>-139.54</v>
      </c>
      <c r="S23" s="43"/>
      <c r="T23" s="43">
        <v>1318.31</v>
      </c>
      <c r="U23" s="208"/>
      <c r="V23" s="208"/>
      <c r="W23" s="208"/>
      <c r="X23" s="506"/>
      <c r="Y23" s="506"/>
      <c r="Z23" s="506"/>
      <c r="AA23" s="506"/>
    </row>
    <row r="24" spans="1:27">
      <c r="B24" s="11" t="s">
        <v>21</v>
      </c>
      <c r="C24" s="178">
        <f>SUBTOTAL(109,ElectionsExpenses[Budget 10/11])</f>
        <v>3465</v>
      </c>
      <c r="D24" s="178">
        <f>SUBTOTAL(109,ElectionsExpenses[Actual 10/11])</f>
        <v>2009.65</v>
      </c>
      <c r="E24" s="178">
        <f>SUBTOTAL(109,ElectionsExpenses[Budget 11/12])</f>
        <v>3015</v>
      </c>
      <c r="F24" s="178">
        <f>SUBTOTAL(109,ElectionsExpenses[Actual 11/12])</f>
        <v>1555.52</v>
      </c>
      <c r="G24" s="178">
        <f>SUBTOTAL(109,ElectionsExpenses[Budget 12/13])</f>
        <v>2600</v>
      </c>
      <c r="H24" s="178">
        <f>SUBTOTAL(109,ElectionsExpenses[Actual 12/13])</f>
        <v>2738.62</v>
      </c>
      <c r="I24" s="178">
        <f>SUBTOTAL(109,ElectionsExpenses[Budget 13/14])</f>
        <v>2450</v>
      </c>
      <c r="J24" s="178">
        <f>SUBTOTAL(109,ElectionsExpenses[Actual 13/14])</f>
        <v>1201.8700000000001</v>
      </c>
      <c r="K24" s="178">
        <f>SUBTOTAL(109,ElectionsExpenses[Budget 14/15])</f>
        <v>3000</v>
      </c>
      <c r="L24" s="178">
        <f>SUBTOTAL(109,ElectionsExpenses[Actuals 14/15])</f>
        <v>1850.36</v>
      </c>
      <c r="M24" s="178">
        <f>SUBTOTAL(109,ElectionsExpenses[Budget 15/16])</f>
        <v>3500</v>
      </c>
      <c r="N24" s="145">
        <f>SUBTOTAL(109,ElectionsExpenses[Actual 15/16])</f>
        <v>6636.66</v>
      </c>
      <c r="O24" s="178">
        <f>SUBTOTAL(109,ElectionsExpenses[Budget 16/17])</f>
        <v>5850</v>
      </c>
      <c r="P24" s="178">
        <f>SUBTOTAL(109,ElectionsExpenses[Actual 16/17])</f>
        <v>5223.74</v>
      </c>
      <c r="Q24" s="178">
        <f>SUBTOTAL(109,ElectionsExpenses[Budget 17/18])</f>
        <v>9275</v>
      </c>
      <c r="R24" s="21">
        <f>SUBTOTAL(109,ElectionsExpenses[Actual 17/18])</f>
        <v>3080.22</v>
      </c>
      <c r="S24" s="21">
        <f>SUM(ElectionsExpenses[Budget 18/19])</f>
        <v>6300</v>
      </c>
      <c r="T24" s="21">
        <f>SUM(ElectionsExpenses[Actual 18/19])</f>
        <v>8847.18</v>
      </c>
      <c r="U24" s="21">
        <f>SUM(ElectionsExpenses[Budget 19/20])</f>
        <v>6800</v>
      </c>
      <c r="V24" s="21">
        <f>SUM(ElectionsExpenses[Actual P12 19/20])</f>
        <v>3060.4300000000003</v>
      </c>
      <c r="W24" s="21">
        <f>SUM(ElectionsExpenses[Budget 20/21])</f>
        <v>6300</v>
      </c>
      <c r="X24" s="21">
        <f>SUM(ElectionsExpenses[Actual 20/21])</f>
        <v>3126.03</v>
      </c>
      <c r="Y24" s="21">
        <f>SUM(ElectionsExpenses[Budget 21/22])</f>
        <v>8300</v>
      </c>
      <c r="Z24" s="21">
        <f>SUBTOTAL(109,ElectionsExpenses[Actual 21/22])</f>
        <v>1608.2599999999998</v>
      </c>
      <c r="AA24" s="21">
        <f>SUM(ElectionsExpenses[Budget 22/23])</f>
        <v>24350</v>
      </c>
    </row>
    <row r="25" spans="1:27" ht="13.5" thickBot="1">
      <c r="B25" s="11"/>
      <c r="C25" s="11"/>
      <c r="D25" s="11"/>
      <c r="E25" s="11"/>
      <c r="F25" s="11"/>
      <c r="G25" s="11"/>
      <c r="H25" s="11"/>
      <c r="I25" s="11"/>
      <c r="J25" s="11"/>
      <c r="K25" s="11"/>
      <c r="L25" s="11"/>
      <c r="M25" s="11"/>
      <c r="S25" s="19"/>
    </row>
    <row r="26" spans="1:27" ht="19.5" thickBot="1">
      <c r="B26" s="611" t="s">
        <v>127</v>
      </c>
      <c r="C26" s="27" t="b">
        <f>'Governance Portfolio'!B15=ElectionsRevenues[[#Totals],[Budget 10/11]]-ElectionsExpenses[[#Totals],[Budget 10/11]]</f>
        <v>0</v>
      </c>
      <c r="D26" s="27">
        <f>ElectionsRevenues[[#Totals],[Actual 10/11]]-ElectionsExpenses[[#Totals],[Actual 10/11]]</f>
        <v>-2009.65</v>
      </c>
      <c r="E26" s="27">
        <f>ElectionsRevenues[[#Totals],[Budget 11/12]]-ElectionsExpenses[[#Totals],[Budget 11/12]]</f>
        <v>-3015</v>
      </c>
      <c r="F26" s="27">
        <f>ElectionsRevenues[[#Totals],[Actual 11/12]]-ElectionsExpenses[[#Totals],[Actual 11/12]]</f>
        <v>-1555.52</v>
      </c>
      <c r="G26" s="27">
        <f>ElectionsRevenues[[#Totals],[Budget 12/13]]-ElectionsExpenses[[#Totals],[Budget 12/13]]</f>
        <v>-2600</v>
      </c>
      <c r="H26" s="27">
        <f>ElectionsRevenues[[#Totals],[Actual 12/13]]-ElectionsExpenses[[#Totals],[Actual 12/13]]</f>
        <v>-2738.62</v>
      </c>
      <c r="I26" s="27">
        <f>ElectionsRevenues[[#Totals],[Budget 13/14]]-ElectionsExpenses[[#Totals],[Budget 13/14]]</f>
        <v>-2450</v>
      </c>
      <c r="J26" s="27">
        <f>ElectionsRevenues[[#Totals],[Actual 13/14]]-ElectionsExpenses[[#Totals],[Actual 13/14]]</f>
        <v>-1201.8700000000001</v>
      </c>
      <c r="K26" s="27">
        <f>ElectionsRevenues[[#Totals],[Budget 14/15]]-ElectionsExpenses[[#Totals],[Budget 14/15]]</f>
        <v>-3000</v>
      </c>
      <c r="L26" s="27">
        <f>ElectionsRevenues[[#Totals],[Actuals 14/15]]-ElectionsExpenses[[#Totals],[Actuals 14/15]]</f>
        <v>-1850.36</v>
      </c>
      <c r="M26" s="27">
        <f>ElectionsRevenues[[#Totals],[Budget 15/16]]-ElectionsExpenses[[#Totals],[Budget 15/16]]</f>
        <v>-3500</v>
      </c>
      <c r="N26" s="27">
        <f>ElectionsRevenues[[#Totals],[Actual 15/16]]-ElectionsExpenses[[#Totals],[Actual 15/16]]</f>
        <v>-6636.66</v>
      </c>
      <c r="O26" s="27">
        <f>ElectionsRevenues[[#Totals],[Budget 16/17]]-ElectionsExpenses[[#Totals],[Budget 16/17]]</f>
        <v>-5850</v>
      </c>
      <c r="P26" s="27">
        <f>ElectionsRevenues[[#Totals],[Actual 16/17]]-ElectionsExpenses[[#Totals],[Actual 16/17]]</f>
        <v>-5223.74</v>
      </c>
      <c r="Q26" s="27">
        <f>ElectionsRevenues[[#Totals],[Budget 17/18]]-ElectionsExpenses[[#Totals],[Budget 17/18]]</f>
        <v>-9275</v>
      </c>
      <c r="R26" s="27">
        <f>ElectionsRevenues[[#Totals],[Actual 17/18]]-ElectionsExpenses[[#Totals],[Actual 17/18]]</f>
        <v>-3080.22</v>
      </c>
      <c r="S26" s="27">
        <f>ElectionsRevenues[[#Totals],[Budget 18/19]]-ElectionsExpenses[[#Totals],[Budget 18/19]]</f>
        <v>-6300</v>
      </c>
      <c r="T26" s="27">
        <f>ElectionsRevenues[[#Totals],[Actual 18/19]]-ElectionsExpenses[[#Totals],[Actual 18/19]]</f>
        <v>-8847.18</v>
      </c>
      <c r="U26" s="27">
        <f>ElectionsRevenues[[#Totals],[Budget 19/20]]-ElectionsExpenses[[#Totals],[Budget 19/20]]</f>
        <v>-6800</v>
      </c>
      <c r="V26" s="27">
        <f>ElectionsRevenues[[#Totals],[Actual P12 19/20]]-ElectionsExpenses[[#Totals],[Actual P12 19/20]]</f>
        <v>-3060.4300000000003</v>
      </c>
      <c r="W26" s="27">
        <f>ElectionsRevenues[[#Totals],[Actual P12 19/20]]-ElectionsExpenses[[#Totals],[Budget 20/21]]</f>
        <v>-6300</v>
      </c>
      <c r="X26" s="27">
        <f>ElectionsRevenues[[#Totals],[Budget 19/21]]-ElectionsExpenses[[#Totals],[Actual 20/21]]</f>
        <v>-3126.03</v>
      </c>
      <c r="Y26" s="27">
        <f>ElectionsRevenues[[#Totals],[Actual 20/21]]-ElectionsExpenses[[#Totals],[Budget 21/22]]</f>
        <v>-8300</v>
      </c>
      <c r="Z26" s="27">
        <f>ElectionsRevenues[[#Totals],[Budget 21/22]]-ElectionsExpenses[[#Totals],[Actual 21/22]]</f>
        <v>-1608.2599999999998</v>
      </c>
      <c r="AA26" s="27">
        <f>ElectionsRevenues[[#Totals],[Actual 21/22]]-ElectionsExpenses[[#Totals],[Budget 22/23]]</f>
        <v>-24350</v>
      </c>
    </row>
    <row r="33" spans="9:14">
      <c r="I33" s="100"/>
      <c r="J33" s="101"/>
      <c r="K33" s="101"/>
      <c r="L33" s="101"/>
      <c r="M33" s="101"/>
      <c r="N33" s="139"/>
    </row>
    <row r="34" spans="9:14">
      <c r="I34" s="100"/>
      <c r="J34" s="101"/>
      <c r="K34" s="101"/>
      <c r="L34" s="101"/>
      <c r="M34" s="101"/>
      <c r="N34" s="139"/>
    </row>
    <row r="61" spans="12:13">
      <c r="L61" s="36"/>
    </row>
    <row r="62" spans="12:13">
      <c r="L62" s="36"/>
      <c r="M62" t="s">
        <v>197</v>
      </c>
    </row>
    <row r="63" spans="12:13">
      <c r="L63" s="36"/>
    </row>
    <row r="64" spans="12:13">
      <c r="L64" s="36"/>
    </row>
    <row r="65" spans="12:12">
      <c r="L65" s="36"/>
    </row>
    <row r="66" spans="12:12">
      <c r="L66" s="36"/>
    </row>
    <row r="67" spans="12:12">
      <c r="L67" s="36"/>
    </row>
    <row r="68" spans="12:12">
      <c r="L68" s="36"/>
    </row>
  </sheetData>
  <mergeCells count="2">
    <mergeCell ref="A1:B1"/>
    <mergeCell ref="A2:B2"/>
  </mergeCells>
  <phoneticPr fontId="117" type="noConversion"/>
  <pageMargins left="0" right="0" top="0.98425196850393704" bottom="0.98425196850393704" header="0.51181102362204722" footer="0.51181102362204722"/>
  <pageSetup orientation="landscape" r:id="rId1"/>
  <headerFooter alignWithMargins="0"/>
  <legacyDrawing r:id="rId2"/>
  <tableParts count="2">
    <tablePart r:id="rId3"/>
    <tablePart r:id="rId4"/>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rgb="FFFFFF00"/>
    <pageSetUpPr fitToPage="1"/>
  </sheetPr>
  <dimension ref="A1:AA76"/>
  <sheetViews>
    <sheetView showGridLines="0" topLeftCell="A6" zoomScale="85" zoomScaleNormal="85" workbookViewId="0">
      <selection activeCell="W5" sqref="W5"/>
    </sheetView>
  </sheetViews>
  <sheetFormatPr defaultColWidth="11.42578125" defaultRowHeight="12.75"/>
  <cols>
    <col min="1" max="1" width="57.42578125" style="19" customWidth="1"/>
    <col min="2" max="12" width="15.85546875" style="19" hidden="1" customWidth="1"/>
    <col min="13" max="14" width="14.28515625" style="19" hidden="1" customWidth="1"/>
    <col min="15" max="15" width="12.42578125" style="19" hidden="1" customWidth="1"/>
    <col min="16" max="16" width="14.85546875" style="19" hidden="1" customWidth="1"/>
    <col min="17" max="17" width="13.42578125" style="183" hidden="1" customWidth="1"/>
    <col min="18" max="18" width="13.85546875" style="183" hidden="1" customWidth="1"/>
    <col min="19" max="19" width="14.42578125" style="19" hidden="1" customWidth="1"/>
    <col min="20" max="20" width="13.28515625" style="19" hidden="1" customWidth="1"/>
    <col min="21" max="21" width="14" style="19" hidden="1" customWidth="1"/>
    <col min="22" max="22" width="13.85546875" style="19" hidden="1" customWidth="1"/>
    <col min="23" max="23" width="15.42578125" style="19" customWidth="1"/>
    <col min="24" max="24" width="13.140625" style="19" customWidth="1"/>
    <col min="25" max="25" width="13.42578125" style="19" bestFit="1" customWidth="1"/>
    <col min="26" max="16384" width="11.42578125" style="19"/>
  </cols>
  <sheetData>
    <row r="1" spans="1:25" ht="18">
      <c r="A1" s="552" t="s">
        <v>198</v>
      </c>
      <c r="B1" s="11"/>
      <c r="C1" s="11"/>
      <c r="D1" s="11"/>
      <c r="E1" s="11"/>
      <c r="F1" s="11"/>
      <c r="G1" s="11"/>
      <c r="H1" s="11"/>
      <c r="I1" s="11"/>
      <c r="J1" s="11"/>
      <c r="K1" s="11"/>
      <c r="L1" s="11"/>
    </row>
    <row r="2" spans="1:25">
      <c r="A2" s="28" t="s">
        <v>199</v>
      </c>
      <c r="B2" s="11"/>
      <c r="C2" s="11"/>
      <c r="D2" s="11"/>
      <c r="E2" s="11"/>
      <c r="F2" s="11"/>
      <c r="G2" s="11"/>
      <c r="H2" s="11"/>
      <c r="I2" s="11"/>
      <c r="J2" s="11"/>
      <c r="K2" s="11"/>
      <c r="L2" s="11"/>
    </row>
    <row r="3" spans="1:25">
      <c r="A3" s="11"/>
      <c r="B3" s="11"/>
      <c r="C3" s="11"/>
      <c r="D3" s="11"/>
      <c r="E3" s="11"/>
      <c r="F3" s="11"/>
      <c r="G3" s="11"/>
      <c r="H3" s="11"/>
      <c r="I3" s="11"/>
      <c r="J3" s="11"/>
      <c r="K3" s="11"/>
      <c r="L3" s="11"/>
    </row>
    <row r="4" spans="1:25">
      <c r="A4" s="11" t="s">
        <v>200</v>
      </c>
      <c r="B4" s="11" t="s">
        <v>73</v>
      </c>
      <c r="C4" s="11" t="s">
        <v>74</v>
      </c>
      <c r="D4" s="11" t="s">
        <v>75</v>
      </c>
      <c r="E4" s="11" t="s">
        <v>76</v>
      </c>
      <c r="F4" s="11" t="s">
        <v>77</v>
      </c>
      <c r="G4" s="11" t="s">
        <v>78</v>
      </c>
      <c r="H4" s="11" t="s">
        <v>5</v>
      </c>
      <c r="I4" s="11" t="s">
        <v>6</v>
      </c>
      <c r="J4" s="11" t="s">
        <v>7</v>
      </c>
      <c r="K4" s="11" t="s">
        <v>8</v>
      </c>
      <c r="L4" s="11" t="s">
        <v>9</v>
      </c>
      <c r="M4" s="5" t="s">
        <v>10</v>
      </c>
      <c r="N4" s="5" t="s">
        <v>11</v>
      </c>
      <c r="O4" s="5" t="s">
        <v>12</v>
      </c>
      <c r="P4" s="5" t="s">
        <v>13</v>
      </c>
      <c r="Q4" s="5" t="s">
        <v>14</v>
      </c>
      <c r="R4" s="5" t="s">
        <v>15</v>
      </c>
      <c r="S4" s="5" t="s">
        <v>39</v>
      </c>
      <c r="T4" s="5" t="s">
        <v>16</v>
      </c>
      <c r="U4" s="5" t="s">
        <v>17</v>
      </c>
      <c r="V4" s="5" t="s">
        <v>40</v>
      </c>
      <c r="W4" s="5" t="s">
        <v>41</v>
      </c>
      <c r="X4" s="5" t="s">
        <v>42</v>
      </c>
      <c r="Y4" s="5" t="s">
        <v>1191</v>
      </c>
    </row>
    <row r="5" spans="1:25">
      <c r="A5" s="11" t="s">
        <v>201</v>
      </c>
      <c r="B5" s="90"/>
      <c r="C5" s="90"/>
      <c r="D5" s="90"/>
      <c r="E5" s="90"/>
      <c r="F5" s="90"/>
      <c r="G5" s="90"/>
      <c r="H5" s="90"/>
      <c r="I5" s="90"/>
      <c r="J5" s="90"/>
      <c r="K5" s="90"/>
      <c r="L5" s="90"/>
      <c r="M5" s="90"/>
      <c r="N5" s="90"/>
      <c r="O5" s="90"/>
      <c r="P5" s="90"/>
      <c r="Q5" s="90"/>
      <c r="R5" s="90">
        <f>VPINRevenues[[#Totals],[Budget 18/19]]</f>
        <v>0</v>
      </c>
      <c r="S5" s="90">
        <f>VPINRevenues[[#Totals],[Actual 18/19]]</f>
        <v>0</v>
      </c>
      <c r="T5" s="90">
        <f>VPINRevenues[[#Totals],[Budget 19/20]]</f>
        <v>0</v>
      </c>
      <c r="U5" s="90">
        <f>VPINRevenues[[#Totals],[Actual P12 19/20]]</f>
        <v>0</v>
      </c>
      <c r="V5" s="90">
        <f>'VP Student Life (20100)'!X6</f>
        <v>0</v>
      </c>
      <c r="W5" s="90">
        <f>VPINRevenues[[#Totals],[Budget 21/22]]</f>
        <v>0</v>
      </c>
      <c r="X5" s="90">
        <f>VPINRevenues[[#Totals],[Actual 21/22]]</f>
        <v>0</v>
      </c>
      <c r="Y5" s="90"/>
    </row>
    <row r="6" spans="1:25">
      <c r="A6" s="11" t="s">
        <v>202</v>
      </c>
      <c r="B6" s="90"/>
      <c r="C6" s="90"/>
      <c r="D6" s="90"/>
      <c r="E6" s="90"/>
      <c r="F6" s="90"/>
      <c r="G6" s="90"/>
      <c r="H6" s="90"/>
      <c r="I6" s="90"/>
      <c r="J6" s="90"/>
      <c r="K6" s="90"/>
      <c r="L6" s="90"/>
      <c r="M6" s="90"/>
      <c r="N6" s="90"/>
      <c r="O6" s="90"/>
      <c r="P6" s="90"/>
      <c r="Q6" s="90"/>
      <c r="R6" s="90">
        <f>OrientationRevenues64[[#Totals],[Budget 18/19]]</f>
        <v>0</v>
      </c>
      <c r="S6" s="90">
        <f>OrientationRevenues64[[#Totals],[Actual 18/19]]</f>
        <v>0</v>
      </c>
      <c r="T6" s="90">
        <f>OrientationRevenues64[[#Totals],[Budget 19/20]]</f>
        <v>0</v>
      </c>
      <c r="U6" s="90">
        <f>OrientationRevenues64[[#Totals],[Actual P12 19/20]]</f>
        <v>0</v>
      </c>
      <c r="V6" s="90">
        <f>'Orientation (32100)'!X6</f>
        <v>0</v>
      </c>
      <c r="W6" s="90"/>
      <c r="X6" s="90"/>
      <c r="Y6" s="90"/>
    </row>
    <row r="7" spans="1:25">
      <c r="A7" s="11" t="s">
        <v>203</v>
      </c>
      <c r="B7" s="90"/>
      <c r="C7" s="90"/>
      <c r="D7" s="90"/>
      <c r="E7" s="90"/>
      <c r="F7" s="90"/>
      <c r="G7" s="90"/>
      <c r="H7" s="90"/>
      <c r="I7" s="90"/>
      <c r="J7" s="90"/>
      <c r="K7" s="90"/>
      <c r="L7" s="90"/>
      <c r="M7" s="90"/>
      <c r="N7" s="90"/>
      <c r="O7" s="90"/>
      <c r="P7" s="90"/>
      <c r="Q7" s="90"/>
      <c r="R7" s="90">
        <f>SocietyRelationsRevenues[[#Totals],[Budget 18/19]]</f>
        <v>0</v>
      </c>
      <c r="S7" s="90">
        <f>SocietyRelationsRevenues[[#Totals],[Budget 19/20]]</f>
        <v>0</v>
      </c>
      <c r="T7" s="90"/>
      <c r="U7" s="90"/>
      <c r="V7" s="90"/>
      <c r="W7" s="90"/>
      <c r="X7" s="90"/>
      <c r="Y7" s="90"/>
    </row>
    <row r="8" spans="1:25">
      <c r="A8" s="11" t="s">
        <v>204</v>
      </c>
      <c r="B8" s="90"/>
      <c r="C8" s="90"/>
      <c r="D8" s="90"/>
      <c r="E8" s="90"/>
      <c r="F8" s="90"/>
      <c r="G8" s="90"/>
      <c r="H8" s="90"/>
      <c r="I8" s="90"/>
      <c r="J8" s="90"/>
      <c r="K8" s="90"/>
      <c r="L8" s="90"/>
      <c r="M8" s="90"/>
      <c r="N8" s="90"/>
      <c r="O8" s="90"/>
      <c r="P8" s="90"/>
      <c r="Q8" s="90"/>
      <c r="R8" s="90"/>
      <c r="S8" s="90"/>
      <c r="T8" s="90">
        <f>SocietyRelationsRevenues[[#Totals],[Budget 19/20]]</f>
        <v>0</v>
      </c>
      <c r="U8" s="90">
        <f>SocietyRelationsRevenues[[#Totals],[Budget 20/21]]</f>
        <v>0</v>
      </c>
      <c r="V8" s="90">
        <f>'Equity Specialist'!M6</f>
        <v>0</v>
      </c>
      <c r="W8" s="90"/>
      <c r="X8" s="90"/>
      <c r="Y8" s="90"/>
    </row>
    <row r="9" spans="1:25">
      <c r="A9" s="11" t="s">
        <v>205</v>
      </c>
      <c r="B9" s="90"/>
      <c r="C9" s="90"/>
      <c r="D9" s="90"/>
      <c r="E9" s="90"/>
      <c r="F9" s="90"/>
      <c r="G9" s="90"/>
      <c r="H9" s="90"/>
      <c r="I9" s="90"/>
      <c r="J9" s="90"/>
      <c r="K9" s="90"/>
      <c r="L9" s="90"/>
      <c r="M9" s="90"/>
      <c r="N9" s="90"/>
      <c r="O9" s="90"/>
      <c r="P9" s="90"/>
      <c r="Q9" s="90"/>
      <c r="R9" s="90">
        <f>DirectorofCampusLifeRevenues[[#Totals],[Budget 18/19]]</f>
        <v>0</v>
      </c>
      <c r="S9" s="90">
        <f>DirectorofCampusLifeRevenues[[#Totals],[Actual 18/19]]</f>
        <v>0</v>
      </c>
      <c r="T9" s="90">
        <f>DirectorofCampusLifeRevenues[[#Totals],[Budget 18/20]]</f>
        <v>0</v>
      </c>
      <c r="U9" s="90">
        <f>DirectorofCampusLifeRevenues[[#Totals],[Actual P12 19/20]]</f>
        <v>0</v>
      </c>
      <c r="V9" s="90">
        <f>'Director of Campus Life (21100)'!R7</f>
        <v>0</v>
      </c>
      <c r="W9" s="90"/>
      <c r="X9" s="90"/>
      <c r="Y9" s="90"/>
    </row>
    <row r="10" spans="1:25">
      <c r="A10" s="11" t="s">
        <v>206</v>
      </c>
      <c r="B10" s="90"/>
      <c r="C10" s="90"/>
      <c r="D10" s="90"/>
      <c r="E10" s="90"/>
      <c r="F10" s="90"/>
      <c r="G10" s="90"/>
      <c r="H10" s="90"/>
      <c r="I10" s="90"/>
      <c r="J10" s="90"/>
      <c r="K10" s="90"/>
      <c r="L10" s="90"/>
      <c r="M10" s="90"/>
      <c r="N10" s="90"/>
      <c r="O10" s="90"/>
      <c r="P10" s="90"/>
      <c r="Q10" s="90"/>
      <c r="R10" s="90">
        <f>ServicesManagerRevenues[[#Totals],[Budget 18/19]]</f>
        <v>0</v>
      </c>
      <c r="S10" s="90">
        <f>ServicesManagerRevenues[[#Totals],[Actual 18/19]]</f>
        <v>0</v>
      </c>
      <c r="T10" s="90">
        <f>ServicesManagerRevenues[[#Totals],[Budget 19/20]]</f>
        <v>0</v>
      </c>
      <c r="U10" s="90">
        <f>ServicesManagerRevenues[[#Totals],[Actual P12 19/20]]</f>
        <v>0</v>
      </c>
      <c r="V10" s="90">
        <f>'Services Manager (24100)'!R8</f>
        <v>1500</v>
      </c>
      <c r="W10" s="90"/>
      <c r="X10" s="90"/>
      <c r="Y10" s="90"/>
    </row>
    <row r="11" spans="1:25">
      <c r="A11" s="11" t="s">
        <v>207</v>
      </c>
      <c r="B11" s="90"/>
      <c r="C11" s="90"/>
      <c r="D11" s="90"/>
      <c r="E11" s="90"/>
      <c r="F11" s="90"/>
      <c r="G11" s="90"/>
      <c r="H11" s="90"/>
      <c r="I11" s="90"/>
      <c r="J11" s="90"/>
      <c r="K11" s="90"/>
      <c r="L11" s="90"/>
      <c r="M11" s="90"/>
      <c r="N11" s="90"/>
      <c r="O11" s="90"/>
      <c r="P11" s="90"/>
      <c r="Q11" s="90"/>
      <c r="R11" s="90">
        <f>ClubsRevenues[[#Totals],[Budget 18/19]]</f>
        <v>1400</v>
      </c>
      <c r="S11" s="90">
        <f>ClubsRevenues[[#Totals],[Actual 18/19]]</f>
        <v>820</v>
      </c>
      <c r="T11" s="90">
        <f>ClubsRevenues[[#Totals],[Budget 19/20]]</f>
        <v>24206.575000000001</v>
      </c>
      <c r="U11" s="90">
        <f>ClubsRevenues[[#Totals],[Budget 20/21]]</f>
        <v>400</v>
      </c>
      <c r="V11" s="90">
        <f>'Clubs (23100)'!X10</f>
        <v>3692.79</v>
      </c>
      <c r="W11" s="90">
        <f>ClubsRevenues[[#Totals],[Budget 21/22]]</f>
        <v>0</v>
      </c>
      <c r="X11" s="90">
        <f>ClubsRevenues[[#Totals],[Actual 21/22]]</f>
        <v>0</v>
      </c>
      <c r="Y11" s="90"/>
    </row>
    <row r="12" spans="1:25">
      <c r="A12" s="11" t="s">
        <v>208</v>
      </c>
      <c r="B12" s="90"/>
      <c r="C12" s="90"/>
      <c r="D12" s="90"/>
      <c r="E12" s="90"/>
      <c r="F12" s="90"/>
      <c r="G12" s="90"/>
      <c r="H12" s="90"/>
      <c r="I12" s="90"/>
      <c r="J12" s="90"/>
      <c r="K12" s="90"/>
      <c r="L12" s="90"/>
      <c r="M12" s="90"/>
      <c r="N12" s="90"/>
      <c r="O12" s="90"/>
      <c r="P12" s="90"/>
      <c r="Q12" s="90"/>
      <c r="R12" s="90">
        <f>CRTRevenues[[#Totals],[Budget 18/19]]</f>
        <v>1250</v>
      </c>
      <c r="S12" s="90">
        <v>4233.75</v>
      </c>
      <c r="T12" s="90">
        <f>CRTRevenues[[#Totals],[Budget 19/20]]</f>
        <v>800</v>
      </c>
      <c r="U12" s="90">
        <f>CRTRevenues[[#Totals],[Budget 19/21]]</f>
        <v>800</v>
      </c>
      <c r="V12" s="90">
        <f>'CRT (24300)'!X8</f>
        <v>0</v>
      </c>
      <c r="W12" s="90">
        <f>CRTRevenues[[#Totals],[Budget 21/22]]</f>
        <v>400</v>
      </c>
      <c r="X12" s="90">
        <f>CRTRevenues[[#Totals],[Actual 21/22]]</f>
        <v>0</v>
      </c>
      <c r="Y12" s="90"/>
    </row>
    <row r="13" spans="1:25">
      <c r="A13" s="11" t="s">
        <v>209</v>
      </c>
      <c r="B13" s="90"/>
      <c r="C13" s="90"/>
      <c r="D13" s="90"/>
      <c r="E13" s="90"/>
      <c r="F13" s="90"/>
      <c r="G13" s="90"/>
      <c r="H13" s="90"/>
      <c r="I13" s="90"/>
      <c r="J13" s="90"/>
      <c r="K13" s="90"/>
      <c r="L13" s="90"/>
      <c r="M13" s="90"/>
      <c r="N13" s="90"/>
      <c r="O13" s="90"/>
      <c r="P13" s="90"/>
      <c r="Q13" s="90"/>
      <c r="R13" s="90">
        <f>FoodbankRevenues[[#Totals],[Budget 18/19]]</f>
        <v>500</v>
      </c>
      <c r="S13" s="90">
        <v>1067.8</v>
      </c>
      <c r="T13" s="90">
        <f>FoodbankRevenues[[#Totals],[Budget 19/20]]</f>
        <v>500</v>
      </c>
      <c r="U13" s="90">
        <f>FoodbankRevenues[[#Totals],[Budget 20/21]]</f>
        <v>500</v>
      </c>
      <c r="V13" s="90">
        <f>FoodbankRevenues[[#Totals],[Actual 20/21]]</f>
        <v>500</v>
      </c>
      <c r="W13" s="90">
        <f>FoodbankRevenues[[#Totals],[Budget 21/22]]</f>
        <v>500</v>
      </c>
      <c r="X13" s="90">
        <f>FoodbankRevenues[[#Totals],[Actual 21/22]]</f>
        <v>5974.97</v>
      </c>
      <c r="Y13" s="90">
        <f>FoodbankRevenues[[#Totals],[Budget 22/23]]</f>
        <v>1000</v>
      </c>
    </row>
    <row r="14" spans="1:25">
      <c r="A14" s="11" t="s">
        <v>210</v>
      </c>
      <c r="B14" s="90"/>
      <c r="C14" s="90"/>
      <c r="D14" s="90"/>
      <c r="E14" s="90"/>
      <c r="F14" s="90"/>
      <c r="G14" s="90"/>
      <c r="H14" s="90"/>
      <c r="I14" s="90"/>
      <c r="J14" s="90"/>
      <c r="K14" s="90"/>
      <c r="L14" s="90"/>
      <c r="M14" s="90"/>
      <c r="N14" s="90"/>
      <c r="O14" s="90"/>
      <c r="P14" s="90"/>
      <c r="Q14" s="90"/>
      <c r="R14" s="90">
        <f>GlowRevenues[[#Totals],[Budget 18/19]]</f>
        <v>400</v>
      </c>
      <c r="S14" s="90">
        <v>1200</v>
      </c>
      <c r="T14" s="90">
        <f>GlowRevenues[[#Totals],[Budget 19/20]]</f>
        <v>400</v>
      </c>
      <c r="U14" s="90">
        <f>GlowRevenues[[#Totals],[Budget 19/21]]</f>
        <v>600</v>
      </c>
      <c r="V14" s="90">
        <f>'Glow (24600)'!W9</f>
        <v>160</v>
      </c>
      <c r="W14" s="90"/>
      <c r="X14" s="90"/>
      <c r="Y14" s="90"/>
    </row>
    <row r="15" spans="1:25">
      <c r="A15" s="11" t="s">
        <v>211</v>
      </c>
      <c r="B15" s="90"/>
      <c r="C15" s="90"/>
      <c r="D15" s="90"/>
      <c r="E15" s="90"/>
      <c r="F15" s="90"/>
      <c r="G15" s="90"/>
      <c r="H15" s="90"/>
      <c r="I15" s="90"/>
      <c r="J15" s="90"/>
      <c r="K15" s="90"/>
      <c r="L15" s="90"/>
      <c r="M15" s="90"/>
      <c r="N15" s="90"/>
      <c r="O15" s="90"/>
      <c r="P15" s="90"/>
      <c r="Q15" s="90"/>
      <c r="R15" s="90">
        <f>SCIRevenues[[#Totals],[Budget 18/19]]</f>
        <v>3000</v>
      </c>
      <c r="S15" s="90">
        <v>5116.09</v>
      </c>
      <c r="T15" s="90">
        <f>SCIRevenues[[#Totals],[Budget 19/20]]</f>
        <v>1000</v>
      </c>
      <c r="U15" s="90">
        <f>SCIRevenues[[#Totals],[Budget 20/21]]</f>
        <v>3000</v>
      </c>
      <c r="V15" s="90">
        <f>'WSP (24900)'!W9</f>
        <v>0</v>
      </c>
      <c r="W15" s="90">
        <f>SCIRevenues[[#Totals],[Budget 21/22]]</f>
        <v>1500</v>
      </c>
      <c r="X15" s="90">
        <f>SCIRevenues[[#Totals],[Actual 21/22]]</f>
        <v>0</v>
      </c>
      <c r="Y15" s="90"/>
    </row>
    <row r="16" spans="1:25">
      <c r="A16" s="11" t="s">
        <v>212</v>
      </c>
      <c r="B16" s="90"/>
      <c r="C16" s="90"/>
      <c r="D16" s="90"/>
      <c r="E16" s="90"/>
      <c r="F16" s="90"/>
      <c r="G16" s="90"/>
      <c r="H16" s="90"/>
      <c r="I16" s="90"/>
      <c r="J16" s="90"/>
      <c r="K16" s="90"/>
      <c r="L16" s="90"/>
      <c r="M16" s="90"/>
      <c r="N16" s="90"/>
      <c r="O16" s="90"/>
      <c r="P16" s="90"/>
      <c r="Q16" s="90"/>
      <c r="R16" s="90">
        <f>OCCRevenues[[#Totals],[Budget 18/19]]</f>
        <v>600</v>
      </c>
      <c r="S16" s="90">
        <v>13.88</v>
      </c>
      <c r="T16" s="90">
        <f>OCCRevenues[[#Totals],[Budget 19/20]]</f>
        <v>1000</v>
      </c>
      <c r="U16" s="90">
        <f>OCCRevenues[[#Totals],[Budget 20/21]]</f>
        <v>500</v>
      </c>
      <c r="V16" s="90">
        <f>'OCC (24800)'!W10</f>
        <v>0</v>
      </c>
      <c r="W16" s="90">
        <f>OCCRevenues[[#Totals],[Budget 21/22]]</f>
        <v>500</v>
      </c>
      <c r="X16" s="90">
        <f>OCCRevenues[[#Totals],[Actual 21/22]]</f>
        <v>-75</v>
      </c>
      <c r="Y16" s="90"/>
    </row>
    <row r="17" spans="1:27">
      <c r="A17" s="11" t="s">
        <v>213</v>
      </c>
      <c r="B17" s="90"/>
      <c r="C17" s="90"/>
      <c r="D17" s="90"/>
      <c r="E17" s="90"/>
      <c r="F17" s="90"/>
      <c r="G17" s="90"/>
      <c r="H17" s="90"/>
      <c r="I17" s="90"/>
      <c r="J17" s="90"/>
      <c r="K17" s="90"/>
      <c r="L17" s="90"/>
      <c r="M17" s="90"/>
      <c r="N17" s="90"/>
      <c r="O17" s="90"/>
      <c r="P17" s="90"/>
      <c r="Q17" s="90"/>
      <c r="R17" s="90">
        <f>WomensCentreRevenues[[#Totals],[Budget 18/19]]</f>
        <v>0</v>
      </c>
      <c r="S17" s="90">
        <v>0</v>
      </c>
      <c r="T17" s="90">
        <f>WomensCentreRevenues[[#Totals],[Budget 19/20]]</f>
        <v>0</v>
      </c>
      <c r="U17" s="90">
        <f>WomensCentreRevenues[[#Totals],[Budget 20/21]]</f>
        <v>0</v>
      </c>
      <c r="V17" s="90">
        <f>'Womens Centre (25100)'!W8</f>
        <v>0</v>
      </c>
      <c r="W17" s="90"/>
      <c r="X17" s="90"/>
      <c r="Y17" s="90"/>
    </row>
    <row r="18" spans="1:27">
      <c r="A18" s="11" t="s">
        <v>214</v>
      </c>
      <c r="B18" s="90"/>
      <c r="C18" s="90"/>
      <c r="D18" s="90"/>
      <c r="E18" s="90"/>
      <c r="F18" s="90"/>
      <c r="G18" s="90"/>
      <c r="H18" s="90"/>
      <c r="I18" s="90"/>
      <c r="J18" s="90"/>
      <c r="K18" s="90"/>
      <c r="L18" s="90"/>
      <c r="M18" s="90"/>
      <c r="N18" s="90"/>
      <c r="O18" s="90"/>
      <c r="P18" s="90"/>
      <c r="Q18" s="90"/>
      <c r="R18" s="90">
        <f>BikeCentreRevenues[[#Totals],[Budget 18/19]]</f>
        <v>11000</v>
      </c>
      <c r="S18" s="90">
        <v>15953.13</v>
      </c>
      <c r="T18" s="90">
        <f>BikeCentreRevenues[[#Totals],[Budget 19/20]]</f>
        <v>12500</v>
      </c>
      <c r="U18" s="90">
        <f>BikeCentreRevenues[[#Totals],[Budget 20/21]]</f>
        <v>2500</v>
      </c>
      <c r="V18" s="90">
        <f>'Bike Centre (24200)'!M10</f>
        <v>4894.5099999999993</v>
      </c>
      <c r="W18" s="90">
        <f>BikeCentreRevenues[[#Totals],[Budget 21/22]]</f>
        <v>3000</v>
      </c>
      <c r="X18" s="90">
        <f>BikeCentreRevenues[[#Totals],[Actual 21/22]]</f>
        <v>8119.1900000000005</v>
      </c>
      <c r="Y18" s="90">
        <f>BikeCentreRevenues[[#Totals],[Budget 22/23]]</f>
        <v>8000</v>
      </c>
    </row>
    <row r="19" spans="1:27">
      <c r="A19" s="11" t="s">
        <v>215</v>
      </c>
      <c r="B19" s="90"/>
      <c r="C19" s="90"/>
      <c r="D19" s="90"/>
      <c r="E19" s="90"/>
      <c r="F19" s="90"/>
      <c r="G19" s="90"/>
      <c r="H19" s="90"/>
      <c r="I19" s="90"/>
      <c r="J19" s="90"/>
      <c r="K19" s="90"/>
      <c r="L19" s="90"/>
      <c r="M19" s="90"/>
      <c r="N19" s="90"/>
      <c r="O19" s="90"/>
      <c r="P19" s="90"/>
      <c r="Q19" s="90"/>
      <c r="R19" s="90">
        <f>'ICSN (24700)'!K20</f>
        <v>2000</v>
      </c>
      <c r="S19" s="90">
        <v>22819.919999999998</v>
      </c>
      <c r="T19" s="90">
        <f>'ICSN (24700)'!L20</f>
        <v>2000</v>
      </c>
      <c r="U19" s="90">
        <f>'ICSN (24700)'!N20</f>
        <v>4000</v>
      </c>
      <c r="V19" s="90">
        <f>'ICSN (24700)'!O12</f>
        <v>0</v>
      </c>
      <c r="W19" s="90">
        <f>'ICSN (24700)'!P20</f>
        <v>2000</v>
      </c>
      <c r="X19" s="90">
        <f>'ICSN (24700)'!Q20</f>
        <v>0</v>
      </c>
      <c r="Y19" s="90">
        <f>'ICSN (24700)'!R20</f>
        <v>0</v>
      </c>
    </row>
    <row r="20" spans="1:27">
      <c r="A20" s="11" t="s">
        <v>216</v>
      </c>
      <c r="B20" s="90"/>
      <c r="C20" s="90"/>
      <c r="D20" s="90"/>
      <c r="E20" s="90"/>
      <c r="F20" s="90"/>
      <c r="G20" s="90"/>
      <c r="H20" s="90"/>
      <c r="I20" s="90"/>
      <c r="J20" s="90"/>
      <c r="K20" s="90"/>
      <c r="L20" s="90"/>
      <c r="M20" s="90"/>
      <c r="N20" s="90"/>
      <c r="O20" s="90"/>
      <c r="P20" s="90"/>
      <c r="Q20" s="90"/>
      <c r="R20" s="90">
        <f>CoopConnectionRevenues[[#Totals],[Budget 18/19]]</f>
        <v>7500</v>
      </c>
      <c r="S20" s="90">
        <v>10513.41</v>
      </c>
      <c r="T20" s="90">
        <f>CoopConnectionRevenues[[#Totals],[Budget 19/20]]</f>
        <v>9000</v>
      </c>
      <c r="U20" s="90">
        <f>CoopConnectionRevenues[[#Totals],[Budget 20/21]]</f>
        <v>17000</v>
      </c>
      <c r="V20" s="90">
        <f>CoopConnectionRevenues[[#Totals],[Actual 20/21]]</f>
        <v>15000</v>
      </c>
      <c r="W20" s="90">
        <f>CoopConnectionRevenues[[#Totals],[Budget 21/22]]</f>
        <v>13000</v>
      </c>
      <c r="X20" s="90">
        <f>CoopConnectionRevenues[[#Totals],[Actual 21/22]]</f>
        <v>7500</v>
      </c>
      <c r="Y20" s="90">
        <f>CoopConnectionRevenues[[#Totals],[Budget 22/23]]</f>
        <v>16000</v>
      </c>
    </row>
    <row r="21" spans="1:27">
      <c r="A21" s="11" t="s">
        <v>217</v>
      </c>
      <c r="B21" s="90"/>
      <c r="C21" s="90"/>
      <c r="D21" s="90"/>
      <c r="E21" s="90"/>
      <c r="F21" s="90"/>
      <c r="G21" s="90"/>
      <c r="H21" s="90"/>
      <c r="I21" s="90"/>
      <c r="J21" s="90"/>
      <c r="K21" s="90"/>
      <c r="L21" s="90"/>
      <c r="M21" s="90"/>
      <c r="N21" s="90"/>
      <c r="O21" s="90"/>
      <c r="P21" s="90"/>
      <c r="Q21" s="90"/>
      <c r="R21" s="90">
        <f>VolunteerCentreRevenues[[#Totals],[Budge 18/19]]</f>
        <v>0</v>
      </c>
      <c r="S21" s="90">
        <v>0</v>
      </c>
      <c r="T21" s="90">
        <f>VolunteerCentreRevenues[[#Totals],[Budge 19/20]]</f>
        <v>0</v>
      </c>
      <c r="U21" s="90"/>
      <c r="V21" s="90"/>
      <c r="W21" s="90"/>
      <c r="X21" s="90"/>
      <c r="Y21" s="90"/>
    </row>
    <row r="22" spans="1:27">
      <c r="A22" s="11" t="s">
        <v>218</v>
      </c>
      <c r="B22" s="90"/>
      <c r="C22" s="90"/>
      <c r="D22" s="90"/>
      <c r="E22" s="90"/>
      <c r="F22" s="90"/>
      <c r="G22" s="90"/>
      <c r="H22" s="90"/>
      <c r="I22" s="90"/>
      <c r="J22" s="90"/>
      <c r="K22" s="90"/>
      <c r="L22" s="90"/>
      <c r="M22" s="90"/>
      <c r="N22" s="90"/>
      <c r="O22" s="90"/>
      <c r="P22" s="90"/>
      <c r="Q22" s="90"/>
      <c r="R22" s="90">
        <f>MatesRevenues[[#Totals],[Budget 18/19]]</f>
        <v>0</v>
      </c>
      <c r="S22" s="90">
        <v>0</v>
      </c>
      <c r="T22" s="90">
        <f>MatesRevenues[[#Totals],[Budget 19/20]]</f>
        <v>0</v>
      </c>
      <c r="U22" s="90">
        <f>MatesRevenues[[#Totals],[Budget 20/21]]</f>
        <v>0</v>
      </c>
      <c r="V22" s="90">
        <f>'Mates (25300)'!K7</f>
        <v>900</v>
      </c>
      <c r="W22" s="90">
        <f>MatesRevenues[[#Totals],[Budget 21/22]]</f>
        <v>900</v>
      </c>
      <c r="X22" s="90">
        <f>MatesRevenues[[#Totals],[Actual 21/22]]</f>
        <v>1000</v>
      </c>
      <c r="Y22" s="90">
        <f>MatesRevenues[[#Totals],[Budget 22/23]]</f>
        <v>900</v>
      </c>
    </row>
    <row r="23" spans="1:27">
      <c r="A23" s="11" t="s">
        <v>219</v>
      </c>
      <c r="B23" s="90"/>
      <c r="C23" s="90"/>
      <c r="D23" s="90"/>
      <c r="E23" s="90"/>
      <c r="F23" s="90"/>
      <c r="G23" s="90"/>
      <c r="H23" s="90"/>
      <c r="I23" s="90"/>
      <c r="J23" s="90"/>
      <c r="K23" s="90"/>
      <c r="L23" s="90"/>
      <c r="M23" s="90"/>
      <c r="N23" s="90"/>
      <c r="O23" s="90"/>
      <c r="P23" s="90"/>
      <c r="Q23" s="90"/>
      <c r="R23" s="90">
        <f>MatesRevenues3[[#Totals],[Budget 18/19]]</f>
        <v>0</v>
      </c>
      <c r="S23" s="90">
        <f>MatesRevenues3[[#Totals],[Actual 18/19]]</f>
        <v>0</v>
      </c>
      <c r="T23" s="90">
        <f>MatesRevenues3[[#Totals],[Budget 19/20]]</f>
        <v>3000</v>
      </c>
      <c r="U23" s="90">
        <f>MatesRevenues3[[#Totals],[Budget 20/21]]</f>
        <v>0</v>
      </c>
      <c r="V23" s="90">
        <f>'RAISE (25400)'!H7</f>
        <v>30261.9</v>
      </c>
      <c r="W23" s="90">
        <f>MatesRevenues3[[#Totals],[Budget 21/22]]</f>
        <v>0</v>
      </c>
      <c r="X23" s="90">
        <f>MatesRevenues3[[#Totals],[Actual 21/22]]</f>
        <v>200</v>
      </c>
      <c r="Y23" s="90"/>
    </row>
    <row r="24" spans="1:27" hidden="1">
      <c r="A24" s="11"/>
      <c r="B24" s="90"/>
      <c r="C24" s="90"/>
      <c r="D24" s="90"/>
      <c r="E24" s="90"/>
      <c r="F24" s="90"/>
      <c r="G24" s="90"/>
      <c r="H24" s="90"/>
      <c r="I24" s="90"/>
      <c r="J24" s="90"/>
      <c r="K24" s="90"/>
      <c r="L24" s="90"/>
      <c r="M24" s="90"/>
      <c r="N24" s="90"/>
      <c r="O24" s="90"/>
      <c r="P24" s="90"/>
      <c r="Q24" s="90"/>
      <c r="R24" s="90"/>
      <c r="S24" s="90"/>
      <c r="T24" s="90"/>
      <c r="U24" s="90"/>
      <c r="V24" s="90">
        <f>VPINRevenues[[#Totals],[Budget 21/22]]</f>
        <v>0</v>
      </c>
      <c r="W24" s="90"/>
      <c r="X24" s="90">
        <f>CRTRevenues[[#Totals],[Actual 21/22]]</f>
        <v>0</v>
      </c>
      <c r="Y24" s="90"/>
    </row>
    <row r="25" spans="1:27">
      <c r="A25" s="11" t="s">
        <v>220</v>
      </c>
      <c r="B25" s="90"/>
      <c r="C25" s="90"/>
      <c r="D25" s="90"/>
      <c r="E25" s="90"/>
      <c r="F25" s="90"/>
      <c r="G25" s="90"/>
      <c r="H25" s="90"/>
      <c r="I25" s="90"/>
      <c r="J25" s="90"/>
      <c r="K25" s="90"/>
      <c r="L25" s="90"/>
      <c r="M25" s="90"/>
      <c r="N25" s="90"/>
      <c r="O25" s="90"/>
      <c r="P25" s="90"/>
      <c r="Q25" s="90"/>
      <c r="R25" s="90"/>
      <c r="S25" s="90"/>
      <c r="T25" s="90"/>
      <c r="U25" s="90"/>
      <c r="V25" s="90">
        <f>VPINRevenues[[#Totals],[Budget 21/22]]</f>
        <v>0</v>
      </c>
      <c r="W25" s="90">
        <f>MatesRevenues99[[#Totals],[Budget 21/22]]</f>
        <v>0</v>
      </c>
      <c r="X25" s="90">
        <f>MatesRevenues99[[#Totals],[Actual 21/22]]</f>
        <v>0</v>
      </c>
      <c r="Y25" s="90"/>
      <c r="AA25" s="19" t="s">
        <v>221</v>
      </c>
    </row>
    <row r="26" spans="1:27">
      <c r="A26" s="11" t="s">
        <v>222</v>
      </c>
      <c r="B26" s="90"/>
      <c r="C26" s="90"/>
      <c r="D26" s="90"/>
      <c r="E26" s="90"/>
      <c r="F26" s="90"/>
      <c r="G26" s="90"/>
      <c r="H26" s="90"/>
      <c r="I26" s="90"/>
      <c r="J26" s="90"/>
      <c r="K26" s="90"/>
      <c r="L26" s="90"/>
      <c r="M26" s="90"/>
      <c r="N26" s="90"/>
      <c r="O26" s="90"/>
      <c r="P26" s="90"/>
      <c r="Q26" s="90"/>
      <c r="R26" s="90">
        <f>SpecialEventsRevenues[[#Totals],[Budget 18/19]]</f>
        <v>25000</v>
      </c>
      <c r="S26" s="90">
        <f>SpecialEventsRevenues[[#Totals],[Actual 18/19]]</f>
        <v>20247.93</v>
      </c>
      <c r="T26" s="90">
        <f>SpecialEventsRevenues[[#Totals],[Budget 19/20]]</f>
        <v>23000</v>
      </c>
      <c r="U26" s="90">
        <f>SpecialEventsRevenues[[#Totals],[Budget 19/21]]</f>
        <v>11000</v>
      </c>
      <c r="V26" s="90">
        <f>'Special Events (22000)'!X18</f>
        <v>0</v>
      </c>
      <c r="W26" s="90">
        <f>SpecialEventsRevenues[[#Totals],[Budget 21/22]]</f>
        <v>10000</v>
      </c>
      <c r="X26" s="90">
        <f>SpecialEventsRevenues[[#Totals],[Actual 21/22]]</f>
        <v>1962.08</v>
      </c>
      <c r="Y26" s="90">
        <f>SpecialEventsRevenues[[#Totals],[Budget 22/23]]</f>
        <v>13000</v>
      </c>
      <c r="AA26" s="408">
        <f>(VPINSummary71[[#Totals],[Budget 21/22]]-VPINSummary71[[#Totals],[Budget 20/21]])/VPINSummary71[[#Totals],[Budget 20/21]]</f>
        <v>-0.21091811414392059</v>
      </c>
    </row>
    <row r="27" spans="1:27" ht="13.5" thickBot="1">
      <c r="A27" s="11" t="s">
        <v>223</v>
      </c>
      <c r="B27" s="90"/>
      <c r="C27" s="90"/>
      <c r="D27" s="90"/>
      <c r="E27" s="90"/>
      <c r="F27" s="90"/>
      <c r="G27" s="90"/>
      <c r="H27" s="90"/>
      <c r="I27" s="90"/>
      <c r="J27" s="90"/>
      <c r="K27" s="90"/>
      <c r="L27" s="90"/>
      <c r="M27" s="90"/>
      <c r="N27" s="90"/>
      <c r="O27" s="90"/>
      <c r="P27" s="90"/>
      <c r="Q27" s="90"/>
      <c r="R27" s="90"/>
      <c r="S27" s="90"/>
      <c r="T27" s="90"/>
      <c r="U27" s="90"/>
      <c r="V27" s="90">
        <f>VPINRevenues[[#Totals],[Budget 21/22]]</f>
        <v>0</v>
      </c>
      <c r="W27" s="90"/>
      <c r="X27" s="90"/>
      <c r="Y27" s="90">
        <f>'Thrift (25500)'!C9</f>
        <v>20000</v>
      </c>
      <c r="AA27" s="408"/>
    </row>
    <row r="28" spans="1:27" ht="13.5" thickBot="1">
      <c r="A28" s="467" t="s">
        <v>21</v>
      </c>
      <c r="B28" s="468"/>
      <c r="C28" s="468"/>
      <c r="D28" s="468"/>
      <c r="E28" s="468"/>
      <c r="F28" s="468"/>
      <c r="G28" s="468"/>
      <c r="H28" s="468"/>
      <c r="I28" s="468"/>
      <c r="J28" s="468"/>
      <c r="K28" s="468"/>
      <c r="L28" s="468"/>
      <c r="M28" s="468"/>
      <c r="N28" s="468"/>
      <c r="O28" s="468"/>
      <c r="P28" s="468"/>
      <c r="Q28" s="468"/>
      <c r="R28" s="468">
        <f>SUBTOTAL(109,VPINSummary71[Budget 18/19])</f>
        <v>52650</v>
      </c>
      <c r="S28" s="468">
        <f>SUBTOTAL(109,VPINSummary71[Actual 18/19])</f>
        <v>81985.91</v>
      </c>
      <c r="T28" s="469">
        <f>SUBTOTAL(109,VPINSummary71[Budget 19/20])</f>
        <v>77406.574999999997</v>
      </c>
      <c r="U28" s="469">
        <f>SUBTOTAL(109,VPINSummary71[Budget 20/21])</f>
        <v>40300</v>
      </c>
      <c r="V28" s="469">
        <f>SUBTOTAL(109,VPINSummary71[Actual 20/21])</f>
        <v>56909.2</v>
      </c>
      <c r="W28" s="469">
        <f>SUBTOTAL(109,VPINSummary71[Budget 21/22])</f>
        <v>31800</v>
      </c>
      <c r="X28" s="623">
        <f>SUBTOTAL(109,VPINSummary71[Actual 21/22])</f>
        <v>24681.239999999998</v>
      </c>
      <c r="Y28" s="623">
        <f>SUM(VPINSummary71[j])</f>
        <v>58900</v>
      </c>
    </row>
    <row r="29" spans="1:27">
      <c r="L29" s="19" t="e">
        <f>#REF!+VPINSummary[[#Totals],[Budget 14/15]]</f>
        <v>#REF!</v>
      </c>
      <c r="V29" s="291"/>
    </row>
    <row r="30" spans="1:27">
      <c r="A30" s="11" t="s">
        <v>68</v>
      </c>
      <c r="B30" s="11" t="s">
        <v>73</v>
      </c>
      <c r="C30" s="11" t="s">
        <v>74</v>
      </c>
      <c r="D30" s="11" t="s">
        <v>75</v>
      </c>
      <c r="E30" s="11" t="s">
        <v>76</v>
      </c>
      <c r="F30" s="11" t="s">
        <v>77</v>
      </c>
      <c r="G30" s="11" t="s">
        <v>78</v>
      </c>
      <c r="H30" s="11" t="s">
        <v>5</v>
      </c>
      <c r="I30" s="11" t="s">
        <v>6</v>
      </c>
      <c r="J30" s="11" t="s">
        <v>7</v>
      </c>
      <c r="K30" s="11" t="s">
        <v>8</v>
      </c>
      <c r="L30" s="11" t="s">
        <v>9</v>
      </c>
      <c r="M30" s="5" t="s">
        <v>10</v>
      </c>
      <c r="N30" s="5" t="s">
        <v>11</v>
      </c>
      <c r="O30" s="5" t="s">
        <v>12</v>
      </c>
      <c r="P30" s="5" t="s">
        <v>13</v>
      </c>
      <c r="Q30" s="5" t="s">
        <v>14</v>
      </c>
      <c r="R30" s="5" t="s">
        <v>15</v>
      </c>
      <c r="S30" s="5" t="s">
        <v>39</v>
      </c>
      <c r="T30" s="5" t="s">
        <v>16</v>
      </c>
      <c r="U30" s="5" t="s">
        <v>17</v>
      </c>
      <c r="V30" s="5" t="s">
        <v>40</v>
      </c>
      <c r="W30" s="5" t="s">
        <v>41</v>
      </c>
      <c r="X30" s="5" t="s">
        <v>42</v>
      </c>
      <c r="Y30" s="5" t="s">
        <v>43</v>
      </c>
    </row>
    <row r="31" spans="1:27">
      <c r="A31" s="11" t="s">
        <v>201</v>
      </c>
      <c r="B31" s="90">
        <f>VPINRevenues[[#Totals],[Budget 10/11]]-VPINExpenses[[#Totals],[Budget 10/11]]</f>
        <v>-62940.18</v>
      </c>
      <c r="C31" s="90">
        <f>VPINRevenues[[#Totals],[Actual 10/11]]-VPINExpenses[[#Totals],[Actual 10/11]]</f>
        <v>-64461.700000000012</v>
      </c>
      <c r="D31" s="90">
        <f>VPINRevenues[[#Totals],[Budget 11/12]]-VPINExpenses[[#Totals],[Budget 11/12]]</f>
        <v>-101874.6</v>
      </c>
      <c r="E31" s="90">
        <f>VPINRevenues[[#Totals],[Actual 11/12]]-VPINExpenses[[#Totals],[Actual 11/12]]</f>
        <v>-76824.290000000008</v>
      </c>
      <c r="F31" s="90">
        <f>VPINRevenues[[#Totals],[Budget 12/13]]-VPINExpenses[[#Totals],[Budget 12/13]]</f>
        <v>-106844.47</v>
      </c>
      <c r="G31" s="90">
        <f>VPINRevenues[[#Totals],[Actual 12/13]]-VPINExpenses[[#Totals],[Actual 12/13]]</f>
        <v>-76171.900000000009</v>
      </c>
      <c r="H31" s="90">
        <f>VPINRevenues[[#Totals],[Budget 13/14]]-VPINExpenses[[#Totals],[Budget 13/14]]</f>
        <v>-77566</v>
      </c>
      <c r="I31" s="90">
        <f>VPINRevenues[[#Totals],[Actual 13/14]]-VPINExpenses[[#Totals],[Actual 13/14]]</f>
        <v>-77179.749999999985</v>
      </c>
      <c r="J31" s="90">
        <f>VPINRevenues[[#Totals],[Budget 14/15]]-VPINExpenses[[#Totals],[Budget 14/15]]</f>
        <v>-89293.64</v>
      </c>
      <c r="K31" s="90">
        <f>VPINRevenues[[#Totals],[Actual 14/15]]-VPINExpenses[[#Totals],[Actual 14/15]]</f>
        <v>-81803.26999999999</v>
      </c>
      <c r="L31" s="90">
        <f>VPINRevenues[[#Totals],[Budget 15/16]]-VPINExpenses[[#Totals],[Budget 15/16]]</f>
        <v>-85162.760000000009</v>
      </c>
      <c r="M31" s="90">
        <f>VPINRevenues[[#Totals],[Actual 15/16]]-VPINExpenses[[#Totals],[Actual 15/16]]</f>
        <v>-83046.16</v>
      </c>
      <c r="N31" s="90">
        <f>VPINRevenues[[#Totals],[Budget 16/17]]-VPINExpenses[[#Totals],[Budget 16/17]]</f>
        <v>-84358.75</v>
      </c>
      <c r="O31" s="90">
        <f>VPINRevenues[[#Totals],[Actual 16/17]]-VPINExpenses[[#Totals],[Actual 16/17]]</f>
        <v>-85222.389999999985</v>
      </c>
      <c r="P31" s="90">
        <f>VPINRevenues[[#Totals],[Budget 17/18]]-VPINExpenses[[#Totals],[Budget 17/18]]</f>
        <v>-87681.180000000022</v>
      </c>
      <c r="Q31" s="90">
        <f>VPINRevenues[[#Totals],[Actual 17/18]]-VPINExpenses[[#Totals],[Actual 17/18]]</f>
        <v>-76990.060000000012</v>
      </c>
      <c r="R31" s="90">
        <f>VPINExpenses[[#Totals],[Budget 18/19]]</f>
        <v>86293.680000000008</v>
      </c>
      <c r="S31" s="90">
        <f>VPINExpenses[[#Totals],[Actual 18/19]]</f>
        <v>75980.340000000026</v>
      </c>
      <c r="T31" s="90">
        <f>VPINExpenses[[#Totals],[Budget 19/20]]</f>
        <v>82136.458800000008</v>
      </c>
      <c r="U31" s="90">
        <f>VPINExpenses[[#Totals],[Budget 20/21]]</f>
        <v>81186.458800000008</v>
      </c>
      <c r="V31" s="90">
        <f>VPINExpenses[[#Totals],[Actual 20/21]]</f>
        <v>69409.289999999994</v>
      </c>
      <c r="W31" s="90">
        <f>VPINExpenses[[#Totals],[Budget 21/22]]</f>
        <v>83810.661478655195</v>
      </c>
      <c r="X31" s="90">
        <f>VPINExpenses[[#Totals],[Actual 21/22]]</f>
        <v>75626.58</v>
      </c>
      <c r="Y31" s="90">
        <f>VPINExpenses[[#Totals],[Budget 22/23]]</f>
        <v>24762.809999999998</v>
      </c>
    </row>
    <row r="32" spans="1:27">
      <c r="A32" s="11" t="s">
        <v>202</v>
      </c>
      <c r="B32" s="90"/>
      <c r="C32" s="90"/>
      <c r="D32" s="90"/>
      <c r="E32" s="90"/>
      <c r="F32" s="90"/>
      <c r="G32" s="90"/>
      <c r="H32" s="90"/>
      <c r="I32" s="90"/>
      <c r="J32" s="90"/>
      <c r="K32" s="90"/>
      <c r="L32" s="90"/>
      <c r="M32" s="90"/>
      <c r="N32" s="90"/>
      <c r="O32" s="90"/>
      <c r="P32" s="90">
        <f>'Orientation (32100)'!Q25</f>
        <v>-11743.8</v>
      </c>
      <c r="Q32" s="90">
        <f>'Orientation (32100)'!R25</f>
        <v>-6918.8600000000006</v>
      </c>
      <c r="R32" s="90">
        <f>OrientationExpenses65[[#Totals],[Budget 18/19]]</f>
        <v>1490</v>
      </c>
      <c r="S32" s="90">
        <f>OrientationExpenses65[[#Totals],[Actual 18/19]]</f>
        <v>1847.1699999999998</v>
      </c>
      <c r="T32" s="90">
        <f>OrientationExpenses65[[#Totals],[Budget 19/20]]</f>
        <v>1490</v>
      </c>
      <c r="U32" s="90">
        <f>OrientationExpenses65[[#Totals],[Budget 20/21]]</f>
        <v>1490</v>
      </c>
      <c r="V32" s="90">
        <f>'Orientation (32100)'!X23</f>
        <v>788.95999999999992</v>
      </c>
      <c r="W32" s="90">
        <f>OrientationExpenses65[[#Totals],[Budget 21/22]]</f>
        <v>3320</v>
      </c>
      <c r="X32" s="90">
        <f>OrientationExpenses65[[#Totals],[Actual 21/22]]</f>
        <v>670.28</v>
      </c>
      <c r="Y32" s="90">
        <f>OrientationExpenses65[[#Totals],[Budget 22/23]]</f>
        <v>1340</v>
      </c>
    </row>
    <row r="33" spans="1:25">
      <c r="A33" s="11" t="s">
        <v>203</v>
      </c>
      <c r="B33" s="90"/>
      <c r="C33" s="90"/>
      <c r="D33" s="90"/>
      <c r="E33" s="90"/>
      <c r="F33" s="90"/>
      <c r="G33" s="90"/>
      <c r="H33" s="90"/>
      <c r="I33" s="90"/>
      <c r="J33" s="90"/>
      <c r="K33" s="90"/>
      <c r="L33" s="90"/>
      <c r="M33" s="90"/>
      <c r="N33" s="90"/>
      <c r="O33" s="90"/>
      <c r="P33" s="90">
        <f>'Equity Specialist'!G17</f>
        <v>-3500</v>
      </c>
      <c r="Q33" s="90">
        <f>'Equity Specialist'!H17</f>
        <v>-1962.5700000000002</v>
      </c>
      <c r="R33" s="90">
        <f>'Equity Specialist'!I15</f>
        <v>2300</v>
      </c>
      <c r="S33" s="90"/>
      <c r="T33" s="90"/>
      <c r="U33" s="90"/>
      <c r="V33" s="90"/>
      <c r="W33" s="90"/>
      <c r="X33" s="90" t="s">
        <v>45</v>
      </c>
      <c r="Y33" s="90"/>
    </row>
    <row r="34" spans="1:25">
      <c r="A34" s="11" t="s">
        <v>204</v>
      </c>
      <c r="B34" s="90"/>
      <c r="C34" s="90"/>
      <c r="D34" s="90"/>
      <c r="E34" s="90"/>
      <c r="F34" s="90"/>
      <c r="G34" s="90"/>
      <c r="H34" s="90"/>
      <c r="I34" s="90"/>
      <c r="J34" s="90"/>
      <c r="K34" s="90"/>
      <c r="L34" s="90"/>
      <c r="M34" s="90"/>
      <c r="N34" s="90"/>
      <c r="O34" s="90"/>
      <c r="P34" s="90"/>
      <c r="Q34" s="90"/>
      <c r="R34" s="90"/>
      <c r="S34" s="90"/>
      <c r="T34" s="90">
        <f>'Equity Specialist'!J15</f>
        <v>7600</v>
      </c>
      <c r="U34" s="90">
        <f>'Equity Specialist'!L15</f>
        <v>12550</v>
      </c>
      <c r="V34" s="90">
        <f>'Equity Specialist'!M15</f>
        <v>9399.85</v>
      </c>
      <c r="W34" s="90">
        <f>'Equity Specialist'!N15</f>
        <v>12523.199999999999</v>
      </c>
      <c r="X34" s="90">
        <f>'Equity Specialist'!O15</f>
        <v>8376.7999999999993</v>
      </c>
      <c r="Y34" s="90">
        <f>'Equity Specialist'!P15</f>
        <v>24117.4</v>
      </c>
    </row>
    <row r="35" spans="1:25">
      <c r="A35" s="11" t="s">
        <v>205</v>
      </c>
      <c r="B35" s="90">
        <v>0</v>
      </c>
      <c r="C35" s="90">
        <v>0</v>
      </c>
      <c r="D35" s="90">
        <v>0</v>
      </c>
      <c r="E35" s="90">
        <v>0</v>
      </c>
      <c r="F35" s="90">
        <v>0</v>
      </c>
      <c r="G35" s="90">
        <v>0</v>
      </c>
      <c r="H35" s="90">
        <f>DirectorofCampusLifeRevenues[[#Totals],[Budget 13/14]]-DirectorofCampusLifeExpenses[[#Totals],[Budget 13/14]]</f>
        <v>-10980</v>
      </c>
      <c r="I35" s="90">
        <f>DirectorofCampusLifeRevenues[[#Totals],[Actual 13/14]]-DirectorofCampusLifeExpenses[[#Totals],[Actual 13/14]]</f>
        <v>-4608.07</v>
      </c>
      <c r="J35" s="90">
        <f>DirectorofCampusLifeRevenues[[#Totals],[Budget 14/15]]-DirectorofCampusLifeExpenses[[#Totals],[Budget 14/15]]</f>
        <v>-6205</v>
      </c>
      <c r="K35" s="90">
        <f>DirectorofCampusLifeRevenues[[#Totals],[Actual 14/15]]-DirectorofCampusLifeExpenses[[#Totals],[Actual 14/15]]</f>
        <v>-5617.79</v>
      </c>
      <c r="L35" s="90">
        <f>DirectorofCampusLifeRevenues[[#Totals],[Budget 15/16]]-DirectorofCampusLifeExpenses[[#Totals],[Budget 15/16]]</f>
        <v>-4705</v>
      </c>
      <c r="M35" s="90">
        <f>DirectorofCampusLifeRevenues[[#Totals],[Actual 15/16]]-DirectorofCampusLifeExpenses[[#Totals],[Actual 15/16]]</f>
        <v>-1231.8300000000002</v>
      </c>
      <c r="N35" s="90">
        <f>DirectorofCampusLifeRevenues[[#Totals],[Budget 16/17]]-DirectorofCampusLifeExpenses[[#Totals],[Budget 16/17]]</f>
        <v>-4600</v>
      </c>
      <c r="O35" s="90">
        <f>DirectorofCampusLifeRevenues[[#Totals],[Actual 16/17]]-DirectorofCampusLifeExpenses[[#Totals],[Actual 16/17]]</f>
        <v>-5217.7800000000007</v>
      </c>
      <c r="P35" s="90">
        <f>DirectorofCampusLifeRevenues[[#Totals],[Budget 17/18]]-DirectorofCampusLifeExpenses[[#Totals],[Budget 17/18]]</f>
        <v>-12850</v>
      </c>
      <c r="Q35" s="90">
        <f>DirectorofCampusLifeRevenues[[#Totals],[Actual 17/18]]-DirectorofCampusLifeExpenses[[#Totals],[Actual 17/18]]</f>
        <v>-9256.4900000000016</v>
      </c>
      <c r="R35" s="90">
        <f>DirectorofCampusLifeExpenses[[#Totals],[Budget 18/19]]</f>
        <v>6300</v>
      </c>
      <c r="S35" s="90">
        <f>DirectorofCampusLifeExpenses[[#Totals],[Actual 18/19]]</f>
        <v>5034.3799999999992</v>
      </c>
      <c r="T35" s="90">
        <f>DirectorofCampusLifeExpenses[[#Totals],[Budget 19/20]]</f>
        <v>8600</v>
      </c>
      <c r="U35" s="90">
        <f>DirectorofCampusLifeExpenses[[#Totals],[Budget 20/21]]</f>
        <v>10950</v>
      </c>
      <c r="V35" s="90">
        <f>'Director of Campus Life (21100)'!R25</f>
        <v>2729.8999999999996</v>
      </c>
      <c r="W35" s="90">
        <f>DirectorofCampusLifeExpenses[[#Totals],[Budget 21/22]]</f>
        <v>5050</v>
      </c>
      <c r="X35" s="90">
        <f>DirectorofCampusLifeExpenses[[#Totals],[Actual 21/22]]</f>
        <v>2538.5099999999998</v>
      </c>
      <c r="Y35" s="90">
        <f>DirectorofCampusLifeExpenses[[#Totals],[Budget 22/23]]</f>
        <v>16089.699999999999</v>
      </c>
    </row>
    <row r="36" spans="1:25">
      <c r="A36" s="11" t="s">
        <v>206</v>
      </c>
      <c r="B36" s="90">
        <v>0</v>
      </c>
      <c r="C36" s="90">
        <v>0</v>
      </c>
      <c r="D36" s="90">
        <v>0</v>
      </c>
      <c r="E36" s="90">
        <v>0</v>
      </c>
      <c r="F36" s="90">
        <v>0</v>
      </c>
      <c r="G36" s="90">
        <v>0</v>
      </c>
      <c r="H36" s="90">
        <f>ServicesManagerRevenues[[#Totals],[Budget 13/14]]-ServicesManagerExpenses[[#Totals],[Budget 13/14]]</f>
        <v>-13795</v>
      </c>
      <c r="I36" s="90">
        <f>ServicesManagerRevenues[[#Totals],[Actual 13/14]]-ServicesManagerExpenses[[#Totals],[Actual 13/14]]</f>
        <v>-8373.9000000000015</v>
      </c>
      <c r="J36" s="90">
        <f>ServicesManagerRevenues[[#Totals],[Budget 14/15]]-ServicesManagerExpenses[[#Totals],[Budget 14/15]]</f>
        <v>-13035</v>
      </c>
      <c r="K36" s="90">
        <f>ServicesManagerRevenues[[#Totals],[Actual 14/15]]-ServicesManagerExpenses[[#Totals],[Actual 14/15]]</f>
        <v>-15300.630000000001</v>
      </c>
      <c r="L36" s="90">
        <f>ServicesManagerRevenues[[#Totals],[Budget 15/16]]-ServicesManagerExpenses[[#Totals],[Budget 15/16]]</f>
        <v>-20230</v>
      </c>
      <c r="M36" s="90">
        <f>ServicesManagerRevenues[[#Totals],[Actual 15/16]]-ServicesManagerExpenses[[#Totals],[Actual 15/16]]</f>
        <v>-13623.35</v>
      </c>
      <c r="N36" s="90">
        <f>ServicesManagerRevenues[[#Totals],[Budget 16/17]]-ServicesManagerExpenses[[#Totals],[Budget 16/17]]</f>
        <v>-32150</v>
      </c>
      <c r="O36" s="90">
        <f>ServicesManagerRevenues[[#Totals],[Actual 16/17]]-ServicesManagerExpenses[[#Totals],[Actual 16/17]]</f>
        <v>-27392.62</v>
      </c>
      <c r="P36" s="90">
        <f>ServicesManagerRevenues[[#Totals],[Budget 17/18]]-ServicesManagerExpenses[[#Totals],[Budget 17/18]]</f>
        <v>-36410</v>
      </c>
      <c r="Q36" s="90">
        <f>ServicesManagerRevenues[[#Totals],[Actual 17/18]]-ServicesManagerExpenses[[#Totals],[Actual 17/18]]</f>
        <v>-35437.359999999993</v>
      </c>
      <c r="R36" s="90">
        <f>ServicesManagerExpenses[[#Totals],[Budget 18/19]]</f>
        <v>45075</v>
      </c>
      <c r="S36" s="90">
        <f>ServicesManagerExpenses[[#Totals],[Actual 18/19]]</f>
        <v>40583.540000000008</v>
      </c>
      <c r="T36" s="90">
        <f>ServicesManagerExpenses[[#Totals],[Budget 19/20]]</f>
        <v>47271.4</v>
      </c>
      <c r="U36" s="90">
        <f>ServicesManagerExpenses[[#Totals],[Budget 20/21]]</f>
        <v>7780</v>
      </c>
      <c r="V36" s="90">
        <f>'Services Manager (24100)'!R26</f>
        <v>9409.68</v>
      </c>
      <c r="W36" s="90">
        <f>ServicesManagerExpenses[[#Totals],[Budget 21/22]]</f>
        <v>15764.400000000001</v>
      </c>
      <c r="X36" s="90">
        <f>ServicesManagerExpenses[[#Totals],[Actual 21/22]]</f>
        <v>15202.46</v>
      </c>
      <c r="Y36" s="90">
        <f>ServicesManagerExpenses[[#Totals],[Budget 22/23]]</f>
        <v>30741</v>
      </c>
    </row>
    <row r="37" spans="1:25">
      <c r="A37" s="11" t="s">
        <v>207</v>
      </c>
      <c r="B37" s="90">
        <f>ClubsRevenues[[#Totals],[Budget 10/11]]-ClubsExpenses[[#Totals],[Budget 10/11]]</f>
        <v>-51950.96</v>
      </c>
      <c r="C37" s="90">
        <f>ClubsRevenues[[#Totals],[Actual 10/11]]-ClubsExpenses[[#Totals],[Actual 10/11]]</f>
        <v>-37208.370000000003</v>
      </c>
      <c r="D37" s="90">
        <f>ClubsRevenues[[#Totals],[Budget 11/12]]-ClubsExpenses[[#Totals],[Budget 11/12]]</f>
        <v>-55910</v>
      </c>
      <c r="E37" s="90">
        <f>ClubsRevenues[[#Totals],[Actual 11/12]]-ClubsExpenses[[#Totals],[Actual 11/12]]</f>
        <v>-33773.5</v>
      </c>
      <c r="F37" s="90">
        <f>ClubsRevenues[[#Totals],[Budget 12/13]]-ClubsExpenses[[#Totals],[Budget 12/13]]</f>
        <v>-38426.660000000003</v>
      </c>
      <c r="G37" s="90">
        <f>ClubsRevenues[[#Totals],[Actual 12/13]]-ClubsExpenses[[#Totals],[Actual 12/13]]</f>
        <v>-50358.87</v>
      </c>
      <c r="H37" s="90">
        <f>ClubsRevenues[[#Totals],[Budget 13/14]]-ClubsExpenses[[#Totals],[Budget 13/14]]</f>
        <v>-30234.48</v>
      </c>
      <c r="I37" s="90">
        <f>ClubsRevenues[[#Totals],[Actual 13/14]]-ClubsExpenses[[#Totals],[Actual 13/14]]</f>
        <v>-38007.37000000001</v>
      </c>
      <c r="J37" s="90">
        <f>ClubsRevenues[[#Totals],[Budget 14/15]]-ClubsExpenses[[#Totals],[Budget 14/15]]</f>
        <v>-37811.83</v>
      </c>
      <c r="K37" s="90">
        <f>ClubsRevenues[[#Totals],[Actual 14/15]]-ClubsExpenses[[#Totals],[Actual 14/15]]</f>
        <v>-37731.039999999994</v>
      </c>
      <c r="L37" s="90">
        <f>ClubsRevenues[[#Totals],[Budget 15/16]]-ClubsExpenses[[#Totals],[Budget 15/16]]</f>
        <v>-39946.83</v>
      </c>
      <c r="M37" s="90">
        <f>ClubsRevenues[[#Totals],[Actual 15/16]]-ClubsExpenses[[#Totals],[Actual 15/16]]</f>
        <v>-27817.21</v>
      </c>
      <c r="N37" s="90">
        <f>ClubsRevenues[[#Totals],[Budget 16/17]]-ClubsExpenses[[#Totals],[Budget 16/17]]</f>
        <v>-40371</v>
      </c>
      <c r="O37" s="90">
        <f>ClubsRevenues[[#Totals],[Actual 16/17]]-ClubsExpenses[[#Totals],[Actual 16/17]]</f>
        <v>-40045.950000000004</v>
      </c>
      <c r="P37" s="90">
        <f>ClubsRevenues[[#Totals],[Budget 17/18]]-ClubsExpenses[[#Totals],[Budget 17/18]]</f>
        <v>-44421</v>
      </c>
      <c r="Q37" s="90">
        <f>ClubsRevenues[[#Totals],[Actual 17/18]]-ClubsExpenses[[#Totals],[Actual 17/18]]</f>
        <v>-33869.340000000004</v>
      </c>
      <c r="R37" s="90">
        <f>ClubsExpenses[[#Totals],[Budget 18/19]]</f>
        <v>35191.699999999997</v>
      </c>
      <c r="S37" s="90">
        <f>ClubsExpenses[[#Totals],[Actual 18/19]]</f>
        <v>29312.369999999995</v>
      </c>
      <c r="T37" s="90">
        <f>ClubsExpenses[[#Totals],[Budget 19/20]]</f>
        <v>30235.38</v>
      </c>
      <c r="U37" s="90">
        <f>ClubsExpenses[[#Totals],[Budget 20/21]]</f>
        <v>21352.65</v>
      </c>
      <c r="V37" s="90">
        <f>'Clubs (23100)'!X33</f>
        <v>30133.52</v>
      </c>
      <c r="W37" s="90">
        <f>ClubsExpenses[[#Totals],[Budget 21/22]]</f>
        <v>20080</v>
      </c>
      <c r="X37" s="90">
        <f>ClubsExpenses[[#Totals],[Actual 21/22]]</f>
        <v>10605.46</v>
      </c>
      <c r="Y37" s="90">
        <f>ClubsExpenses[[#Totals],[Budget 22/23]]</f>
        <v>54392.5</v>
      </c>
    </row>
    <row r="38" spans="1:25">
      <c r="A38" s="11" t="s">
        <v>208</v>
      </c>
      <c r="B38" s="90">
        <f>CRTRevenues[[#Totals],[Budget10/11]]-CRTExpenses[[#Totals],[Budget 10/11]]</f>
        <v>-8412.5</v>
      </c>
      <c r="C38" s="90">
        <f>CRTRevenues[[#Totals],[Actual 10/11]]-CRTExpenses[[#Totals],[Actual 10/11]]</f>
        <v>-7852.58</v>
      </c>
      <c r="D38" s="90">
        <f>CRTRevenues[[#Totals],[Budget 11/12]]-CRTExpenses[[#Totals],[Budget 11/12]]</f>
        <v>-14750</v>
      </c>
      <c r="E38" s="90">
        <f>CRTRevenues[[#Totals],[Actual 11/12]]-CRTExpenses[[#Totals],[Actual 11/12]]</f>
        <v>-15618.38</v>
      </c>
      <c r="F38" s="90">
        <f>CRTRevenues[[#Totals],[Budget 12/13]]-CRTExpenses[[#Totals],[Budget 12/13]]</f>
        <v>-13900</v>
      </c>
      <c r="G38" s="90">
        <f>CRTRevenues[[#Totals],[Actual 12/13]]-CRTExpenses[[#Totals],[Actual 12/13]]</f>
        <v>-13846.54</v>
      </c>
      <c r="H38" s="90">
        <f>CRTRevenues[[#Totals],[Budget 13/14]]-CRTExpenses[[#Totals],[Budget 13/14]]</f>
        <v>-18027.34</v>
      </c>
      <c r="I38" s="90">
        <f>CRTRevenues[[#Totals],[Actual 13/14]]-CRTExpenses[[#Totals],[Actual 13/14]]</f>
        <v>-18632.920000000006</v>
      </c>
      <c r="J38" s="90">
        <f>CRTRevenues[[#Totals],[Budget 14/15]]-CRTExpenses[[#Totals],[Budget 14/15]]</f>
        <v>-22027.360000000001</v>
      </c>
      <c r="K38" s="90">
        <f>CRTRevenues[[#Totals],[Actual 14/15]]-CRTExpenses[[#Totals],[Actual 14/15]]</f>
        <v>-21222.929999999997</v>
      </c>
      <c r="L38" s="90">
        <f>CRTRevenues[[#Totals],[Budget 15/16]]-CRTExpenses[[#Totals],[Budget 15/16]]</f>
        <v>-22817.360000000001</v>
      </c>
      <c r="M38" s="90">
        <f>CRTRevenues[[#Totals],[Actual 15/16]]-CRTExpenses[[#Totals],[Actual 15/16]]</f>
        <v>-18818.68</v>
      </c>
      <c r="N38" s="90">
        <f>CRTRevenues[[#Totals],[Budget 16/17]]-CRTExpenses[[#Totals],[Budget 16/17]]</f>
        <v>-16570</v>
      </c>
      <c r="O38" s="90">
        <f>CRTRevenues[[#Totals],[Actual 16/17]]-CRTExpenses[[#Totals],[Actual 16/17]]</f>
        <v>-14101.190000000002</v>
      </c>
      <c r="P38" s="90">
        <f>CRTRevenues[[#Totals],[Budget 17/18]]-CRTExpenses[[#Totals],[Budget 17/18]]</f>
        <v>-15980</v>
      </c>
      <c r="Q38" s="90">
        <f>CRTRevenues[[#Totals],[Acutal 17/18]]-CRTExpenses[[#Totals],[Actual 17/18]]</f>
        <v>-15662.2</v>
      </c>
      <c r="R38" s="90">
        <f>CRTExpenses[[#Totals],[Budget 18/19]]</f>
        <v>16040</v>
      </c>
      <c r="S38" s="90">
        <v>18758.849999999999</v>
      </c>
      <c r="T38" s="90">
        <f>CRTExpenses[[#Totals],[Budget 19/20]]</f>
        <v>14417</v>
      </c>
      <c r="U38" s="90">
        <f>CRTExpenses[[#Totals],[Budget 19/21]]</f>
        <v>25550</v>
      </c>
      <c r="V38" s="90">
        <f>'CRT (24300)'!X31</f>
        <v>20835.390000000003</v>
      </c>
      <c r="W38" s="90">
        <f>CRTExpenses[[#Totals],[Budget 21/22]]</f>
        <v>7940</v>
      </c>
      <c r="X38" s="90">
        <f>CRTExpenses[[#Totals],[Actual 21/22]]</f>
        <v>11168.81</v>
      </c>
      <c r="Y38" s="90"/>
    </row>
    <row r="39" spans="1:25">
      <c r="A39" s="11" t="s">
        <v>209</v>
      </c>
      <c r="B39" s="90">
        <f>FoodbankRevenues[[#Totals],[Budget 10/11]]-FoodbankExpenses[[#Totals],[Budget 10/11]]</f>
        <v>-2907.0299999999997</v>
      </c>
      <c r="C39" s="90">
        <f>FoodbankRevenues[[#Totals],[Actual 10/11]]-FoodbankExpenses[[#Totals],[Actual 10/11]]</f>
        <v>-2466.7799999999997</v>
      </c>
      <c r="D39" s="90">
        <f>FoodbankRevenues[[#Totals],[Budget 11/12]]-FoodbankExpenses[[#Totals],[Budget 11/12]]</f>
        <v>-3857.08</v>
      </c>
      <c r="E39" s="90">
        <f>FoodbankRevenues[[#Totals],[Actual 11/12]]-FoodbankExpenses[[#Totals],[Actual 11/12]]</f>
        <v>-388.54999999999995</v>
      </c>
      <c r="F39" s="90">
        <f>FoodbankRevenues[[#Totals],[Budget 12/13]]-FoodbankExpenses[[#Totals],[Budget 12/13]]</f>
        <v>-2659.2</v>
      </c>
      <c r="G39" s="90">
        <f>FoodbankRevenues[[#Totals],[Actual 12/13]]-FoodbankExpenses[[#Totals],[Actual 12/13]]</f>
        <v>-2357.9700000000003</v>
      </c>
      <c r="H39" s="90">
        <f>FoodbankRevenues[[#Totals],[Budget 13/14]]-FoodbankExpenses[[#Totals],[Budget 13/14]]</f>
        <v>-2925</v>
      </c>
      <c r="I39" s="90">
        <f>FoodbankRevenues[[#Totals],[Actual 13/14]]-FoodbankExpenses[[#Totals],[Actual 13/14]]</f>
        <v>-2532.5500000000002</v>
      </c>
      <c r="J39" s="90">
        <f>FoodbankRevenues[[#Totals],[Budget 14/15]]-FoodbankExpenses[[#Totals],[Budget 14/15]]</f>
        <v>-3100</v>
      </c>
      <c r="K39" s="90">
        <f>FoodbankRevenues[[#Totals],[Actual 14/15]]-FoodbankExpenses[[#Totals],[Actual 14/15]]</f>
        <v>-793.1299999999992</v>
      </c>
      <c r="L39" s="90">
        <f>FoodbankRevenues[[#Totals],[Budget 15/16]]-FoodbankExpenses[[#Totals],[Budget 15/16]]</f>
        <v>-3100</v>
      </c>
      <c r="M39" s="90">
        <f>FoodbankRevenues[[#Totals],[Actual 15/16]]-FoodbankExpenses[[#Totals],[Actual 15/16]]</f>
        <v>-2694.9700000000007</v>
      </c>
      <c r="N39" s="90">
        <f>FoodbankRevenues[[#Totals],[Budget 16/17]]-FoodbankExpenses[[#Totals],[Budget 16/17]]</f>
        <v>-3275</v>
      </c>
      <c r="O39" s="90">
        <f>FoodbankRevenues[[#Totals],[Actual 16/17]]-FoodbankExpenses[[#Totals],[Actual 16/17]]</f>
        <v>-3495.5499999999997</v>
      </c>
      <c r="P39" s="90">
        <f>FoodbankRevenues[[#Totals],[Budget 17/18]]-FoodbankExpenses[[#Totals],[Budget 17/18]]</f>
        <v>-4490</v>
      </c>
      <c r="Q39" s="90">
        <f>FoodbankRevenues[[#Totals],[Actual 17/18]]-FoodbankExpenses[[#Totals],[Actual 17/18]]</f>
        <v>-3301.38</v>
      </c>
      <c r="R39" s="90">
        <f>FoodbankExpenses[[#Totals],[Budget 18/19]]</f>
        <v>4490</v>
      </c>
      <c r="S39" s="90">
        <v>4481.88</v>
      </c>
      <c r="T39" s="90">
        <f>FoodbankExpenses[[#Totals],[Budget 19/20]]</f>
        <v>3320</v>
      </c>
      <c r="U39" s="90">
        <f>FoodbankExpenses[[#Totals],[Budget 20/21]]</f>
        <v>13775</v>
      </c>
      <c r="V39" s="90">
        <f>'FoodBank (24500)'!W27</f>
        <v>12498.31</v>
      </c>
      <c r="W39" s="90">
        <f>FoodbankExpenses[[#Totals],[Budget 21/22]]</f>
        <v>31682.999999999996</v>
      </c>
      <c r="X39" s="90">
        <f>FoodbankExpenses[[#Totals],[Actual 21/22]]</f>
        <v>28764.39</v>
      </c>
      <c r="Y39" s="90">
        <f>FoodbankExpenses[[#Totals],[Budget 22/23]]</f>
        <v>32514.400000000001</v>
      </c>
    </row>
    <row r="40" spans="1:25">
      <c r="A40" s="11" t="s">
        <v>210</v>
      </c>
      <c r="B40" s="90">
        <f>GlowRevenues[[#Totals],[Budget 10/11]]-GlowExpenses[[#Totals],[Budget 10/11]]</f>
        <v>-9551.51</v>
      </c>
      <c r="C40" s="90">
        <f>GlowRevenues[[#Totals],[Actual 10/11]]-GlowExpenses[[#Totals],[Actual 10/11]]</f>
        <v>-9436.6200000000008</v>
      </c>
      <c r="D40" s="90">
        <f>GlowRevenues[[#Totals],[Budget 11/12]]-GlowExpenses[[#Totals],[Budget 11/12]]</f>
        <v>-12640.01</v>
      </c>
      <c r="E40" s="90">
        <f>GlowRevenues[[#Totals],[Actual 11/12]]-GlowExpenses[[#Totals],[Actual 11/12]]</f>
        <v>-8024.6500000000005</v>
      </c>
      <c r="F40" s="90">
        <f>GlowRevenues[[#Totals],[Budget 12/13]]-GlowExpenses[[#Totals],[Budget 12/13]]</f>
        <v>-10835</v>
      </c>
      <c r="G40" s="90">
        <f>GlowRevenues[[#Totals],[Actual 12/13]]-GlowExpenses[[#Totals],[Actual 12/13]]</f>
        <v>-4113.09</v>
      </c>
      <c r="H40" s="90">
        <f>GlowRevenues[[#Totals],[Budget 13/14]]-GlowExpenses[[#Totals],[Budget 13/14]]</f>
        <v>-10750</v>
      </c>
      <c r="I40" s="90">
        <f>GlowRevenues[[#Totals],[Actual 13/14]]-GlowExpenses[[#Totals],[Actual 13/14]]</f>
        <v>-9375.9199999999983</v>
      </c>
      <c r="J40" s="90">
        <f>GlowRevenues[[#Totals],[Budget 14/15]]-GlowExpenses[[#Totals],[Budget 14/15]]</f>
        <v>-11065</v>
      </c>
      <c r="K40" s="90">
        <f>GlowRevenues[[#Totals],[Actual 14/15]]-GlowExpenses[[#Totals],[Actual 14/15]]</f>
        <v>-8467.2199999999993</v>
      </c>
      <c r="L40" s="90">
        <f>GlowRevenues[[#Totals],[Budget 15/16]]-GlowExpenses[[#Totals],[Budget 15/16]]</f>
        <v>-12405</v>
      </c>
      <c r="M40" s="90">
        <f>GlowRevenues[[#Totals],[Actual 15/16]]-GlowExpenses[[#Totals],[Actual 15/16]]</f>
        <v>-11884.83</v>
      </c>
      <c r="N40" s="90">
        <f>GlowRevenues[[#Totals],[Budget 16/17]]-GlowExpenses[[#Totals],[Budget 16/17]]</f>
        <v>-12035</v>
      </c>
      <c r="O40" s="90">
        <f>GlowRevenues[[#Totals],[Actual 16/17]]-GlowExpenses[[#Totals],[Actual 16/17]]</f>
        <v>-11361.8</v>
      </c>
      <c r="P40" s="90">
        <f>GlowRevenues[[#Totals],[Budget 17/18]]-GlowExpenses[[#Totals],[Budget 17/18]]</f>
        <v>-11365</v>
      </c>
      <c r="Q40" s="90">
        <f>GlowRevenues[[#Totals],[Actual 17/18]]-GlowExpenses[[#Totals],[Actual 17/18]]</f>
        <v>-11022.16</v>
      </c>
      <c r="R40" s="90">
        <f>GlowExpenses[[#Totals],[Budget 18/19]]</f>
        <v>12745</v>
      </c>
      <c r="S40" s="90">
        <v>10191.459999999999</v>
      </c>
      <c r="T40" s="90">
        <f>GlowExpenses[[#Totals],[Budget 19/20]]</f>
        <v>9940</v>
      </c>
      <c r="U40" s="90">
        <f>GlowExpenses[[#Totals],[Budget 19/21]]</f>
        <v>19400</v>
      </c>
      <c r="V40" s="90">
        <f>'Glow (24600)'!W31</f>
        <v>15698.289999999999</v>
      </c>
      <c r="W40" s="90">
        <f>GlowExpenses[[#Totals],[Budget 21/22]]</f>
        <v>48109.999999999993</v>
      </c>
      <c r="X40" s="90">
        <f>GlowExpenses[[#Totals],[Actual 21/22]]</f>
        <v>31086.110000000004</v>
      </c>
      <c r="Y40" s="90">
        <f>GlowExpenses[[#Totals],[Budget 22/23]]</f>
        <v>49434</v>
      </c>
    </row>
    <row r="41" spans="1:25">
      <c r="A41" s="11" t="s">
        <v>224</v>
      </c>
      <c r="B41" s="90">
        <f>SCIRevenues[[#Totals],[Budget 10/11]]-SCIExpenses[[#Totals],[Budget 10/11]]</f>
        <v>-2400</v>
      </c>
      <c r="C41" s="90">
        <f>SCIRevenues[[#Totals],[Actual 10/11]]-SCIExpenses[[#Totals],[Actual 10/11]]</f>
        <v>-2850.12</v>
      </c>
      <c r="D41" s="90">
        <f>SCIRevenues[[#Totals],[Budget 11/12]]-SCIExpenses[[#Totals],[Budget 11/12]]</f>
        <v>-8786</v>
      </c>
      <c r="E41" s="90">
        <f>SCIRevenues[[#Totals],[Actual 11/12]]-SCIExpenses[[#Totals],[Actual 11/12]]</f>
        <v>-8240.32</v>
      </c>
      <c r="F41" s="90">
        <f>SCIRevenues[[#Totals],[Budget 12/13]]-SCIExpenses[[#Totals],[Budget 12/13]]</f>
        <v>-4660</v>
      </c>
      <c r="G41" s="90">
        <f>SCIRevenues[[#Totals],[Actual 12/13]]-SCIExpenses[[#Totals],[Actual 12/13]]</f>
        <v>-2665.05</v>
      </c>
      <c r="H41" s="90">
        <f>SCIRevenues[[#Totals],[Budget 13/14]]-SCIExpenses[[#Totals],[Budget 13/14]]</f>
        <v>-4753</v>
      </c>
      <c r="I41" s="90">
        <f>SCIRevenues[[#Totals],[Actual 13/14]]-SCIExpenses[[#Totals],[Actual 13/14]]</f>
        <v>24.299999999999727</v>
      </c>
      <c r="J41" s="90">
        <f>SCIRevenues[[#Totals],[Budget 14/15]]-SCIExpenses[[#Totals],[Budget 14/15]]</f>
        <v>-4245</v>
      </c>
      <c r="K41" s="90">
        <f>SCIRevenues[[#Totals],[Actual 14/15]]-SCIExpenses[[#Totals],[Actual 14/15]]</f>
        <v>-2797.12</v>
      </c>
      <c r="L41" s="90">
        <f>SCIRevenues[[#Totals],[Budget 15/16]]-SCIExpenses[[#Totals],[Budget 15/16]]</f>
        <v>-3500</v>
      </c>
      <c r="M41" s="90">
        <f>SCIRevenues[[#Totals],[Actual 15/16]]-SCIExpenses[[#Totals],[Actual 15/16]]</f>
        <v>-3450.35</v>
      </c>
      <c r="N41" s="90">
        <f>SCIRevenues[[#Totals],[Budget 16/17]]-SCIExpenses[[#Totals],[Budget 16/17]]</f>
        <v>-3500</v>
      </c>
      <c r="O41" s="90">
        <f>SCIRevenues[[#Totals],[Actual 16/17]]-SCIExpenses[[#Totals],[Actual 16/17]]</f>
        <v>-920.60999999999967</v>
      </c>
      <c r="P41" s="90">
        <f>SCIRevenues[[#Totals],[Budget 17/18]]-SCIExpenses[[#Totals],[Budget 17/18]]</f>
        <v>-2550</v>
      </c>
      <c r="Q41" s="90">
        <f>SCIRevenues[[#Totals],[Actual 17/18]]-SCIExpenses[[#Totals],[Actual 17/18]]</f>
        <v>-777.04000000000042</v>
      </c>
      <c r="R41" s="90">
        <f>SCIExpenses[[#Totals],[Budget 18/19]]</f>
        <v>3830</v>
      </c>
      <c r="S41" s="90">
        <v>8159.71</v>
      </c>
      <c r="T41" s="90">
        <f>SCIExpenses[[#Totals],[Budget 19/20]]</f>
        <v>2100</v>
      </c>
      <c r="U41" s="90">
        <f>SCIExpenses[[#Totals],[Budget 20/21]]</f>
        <v>6256.66</v>
      </c>
      <c r="V41" s="90">
        <f>'WSP (24900)'!W54</f>
        <v>5631.25</v>
      </c>
      <c r="W41" s="90">
        <f>SCIExpenses[[#Totals],[Budget 21/22]]</f>
        <v>25978.036</v>
      </c>
      <c r="X41" s="90">
        <f>SCIExpenses[[#Totals],[Actual 21/22]]</f>
        <v>20461.53</v>
      </c>
      <c r="Y41" s="90">
        <f>SCIExpenses[[#Totals],[Budget 22/23]]</f>
        <v>15150</v>
      </c>
    </row>
    <row r="42" spans="1:25">
      <c r="A42" s="11" t="s">
        <v>212</v>
      </c>
      <c r="B42" s="90">
        <f>OCCRevenues[[#Totals],[Budget 10/11]]-OCCExpenses[[#Totals],[Budget 10/11]]</f>
        <v>-14416.27</v>
      </c>
      <c r="C42" s="90">
        <f>OCCRevenues[[#Totals],[Actual 10/11]]-OCCExpenses[[#Totals],[Actual 10/11]]</f>
        <v>-14344.85</v>
      </c>
      <c r="D42" s="90">
        <f>OCCRevenues[[#Totals],[Budget 11/12]]-OCCExpenses[[#Totals],[Budget 11/12]]</f>
        <v>-17523</v>
      </c>
      <c r="E42" s="90">
        <f>OCCRevenues[[#Totals],[Actual 11/12]]-OCCExpenses[[#Totals],[Actual 11/12]]</f>
        <v>-7747.2199999999993</v>
      </c>
      <c r="F42" s="90">
        <f>OCCRevenues[[#Totals],[Budget 12/13]]-OCCExpenses[[#Totals],[Budget 12/13]]</f>
        <v>-7230.6</v>
      </c>
      <c r="G42" s="90">
        <f>OCCRevenues[[#Totals],[Actual 12/13]]-OCCExpenses[[#Totals],[Actual 12/13]]</f>
        <v>-5113.74</v>
      </c>
      <c r="H42" s="90">
        <f>OCCRevenues[[#Totals],[Budget 13/14]]-OCCExpenses[[#Totals],[Budget 13/14]]</f>
        <v>-7855</v>
      </c>
      <c r="I42" s="90">
        <f>OCCRevenues[[#Totals],[Actual 13/14]]-OCCExpenses[[#Totals],[Actual 13/14]]</f>
        <v>-8501.19</v>
      </c>
      <c r="J42" s="90">
        <f>OCCRevenues[[#Totals],[Budget 14/15]]-OCCExpenses[[#Totals],[Budget 14/15]]</f>
        <v>-10165</v>
      </c>
      <c r="K42" s="90">
        <f>OCCRevenues[[#Totals],[Actual 14/15]]-OCCExpenses[[#Totals],[Actual 14/15]]</f>
        <v>-12333.859999999997</v>
      </c>
      <c r="L42" s="90">
        <f>OCCRevenues[[#Totals],[Budget 15/16]]-OCCExpenses[[#Totals],[Budget 15/16]]</f>
        <v>-10455</v>
      </c>
      <c r="M42" s="90">
        <f>OCCRevenues[[#Totals],[Actual 15/16]]-OCCExpenses[[#Totals],[Actual 15/16]]</f>
        <v>-11086.369999999999</v>
      </c>
      <c r="N42" s="90">
        <f>OCCRevenues[[#Totals],[Budget 16/17]]-OCCExpenses[[#Totals],[Budget 16/17]]</f>
        <v>-9745</v>
      </c>
      <c r="O42" s="90">
        <f>OCCRevenues[[#Totals],[Actual 16/17]]-OCCExpenses[[#Totals],[Actual 16/17]]</f>
        <v>-8353</v>
      </c>
      <c r="P42" s="90">
        <f>OCCRevenues[[#Totals],[Budget 17/18]]-OCCExpenses[[#Totals],[Budget 17/18]]</f>
        <v>-8745</v>
      </c>
      <c r="Q42" s="90">
        <f>OCCRevenues[[#Totals],[Actual 17/18]]-OCCExpenses[[#Totals],[Actual 17/18]]</f>
        <v>-6306.76</v>
      </c>
      <c r="R42" s="90">
        <f>OCCExpenses[[#Totals],[Budget 18/19]]</f>
        <v>9170</v>
      </c>
      <c r="S42" s="90">
        <v>8396.1</v>
      </c>
      <c r="T42" s="90">
        <f>OCCExpenses[[#Totals],[Budget 19/20]]</f>
        <v>9155</v>
      </c>
      <c r="U42" s="90">
        <f>OCCExpenses[[#Totals],[Budget 20/21]]</f>
        <v>14095</v>
      </c>
      <c r="V42" s="90">
        <f>'OCC (24800)'!W33</f>
        <v>10392.34</v>
      </c>
      <c r="W42" s="90">
        <f>OCCExpenses[[#Totals],[Budget 21/22]]</f>
        <v>29602.999999999996</v>
      </c>
      <c r="X42" s="90">
        <f>OCCExpenses[[#Totals],[Actual 21/22]]</f>
        <v>21412.729999999996</v>
      </c>
      <c r="Y42" s="90">
        <f>OCCExpenses[[#Totals],[Budget 22/23]]</f>
        <v>27742</v>
      </c>
    </row>
    <row r="43" spans="1:25">
      <c r="A43" s="11" t="s">
        <v>213</v>
      </c>
      <c r="B43" s="90">
        <f>WomensCentreRevenues[[#Totals],[Budget 10/11]]-WomensCentreExpenses[[#Totals],[Budget 10/11]]</f>
        <v>-6562.22</v>
      </c>
      <c r="C43" s="90">
        <f>WomensCentreRevenues[[#Totals],[Actual 10/11]]-WomensCentreExpenses[[#Totals],[Actual 10/11]]</f>
        <v>-5608.36</v>
      </c>
      <c r="D43" s="90">
        <f>WomensCentreRevenues[[#Totals],[Budget 11/12]]-WomensCentreExpenses[[#Totals],[Budget 11/12]]</f>
        <v>-11322.2</v>
      </c>
      <c r="E43" s="90">
        <f>WomensCentreRevenues[[#Totals],[Actual 11/12]]-WomensCentreExpenses[[#Totals],[Actual 11/12]]</f>
        <v>-7430.66</v>
      </c>
      <c r="F43" s="90">
        <f>WomensCentreRevenues[[#Totals],[Budget 12/13]]-WomensCentreExpenses[[#Totals],[Budget 12/13]]</f>
        <v>-6025</v>
      </c>
      <c r="G43" s="90">
        <f>WomensCentreRevenues[[#Totals],[Actual 12/13]]-WomensCentreExpenses[[#Totals],[Actual 12/13]]</f>
        <v>-4635.8500000000004</v>
      </c>
      <c r="H43" s="90">
        <f>WomensCentreRevenues[[#Totals],[Budget 13/14]]-WomensCentreExpenses[[#Totals],[Budget 13/14]]</f>
        <v>-5215</v>
      </c>
      <c r="I43" s="90">
        <f>WomensCentreRevenues[[#Totals],[Actual 13/14]]-WomensCentreExpenses[[#Totals],[Actual 13/14]]</f>
        <v>-3784.5399999999995</v>
      </c>
      <c r="J43" s="90">
        <f>WomensCentreRevenues[[#Totals],[Budget 14/15]]-WomensCentreExpenses[[#Totals],[Budget 14/15]]</f>
        <v>-5075</v>
      </c>
      <c r="K43" s="90">
        <f>WomensCentreRevenues[[#Totals],[Actual 14/15]]-WomensCentreExpenses[[#Totals],[Actual 14/15]]</f>
        <v>-5421.6299999999992</v>
      </c>
      <c r="L43" s="90">
        <f>WomensCentreRevenues[[#Totals],[Budget 15/16]]-WomensCentreExpenses[[#Totals],[Budget 15/16]]</f>
        <v>-5700</v>
      </c>
      <c r="M43" s="90">
        <f>WomensCentreRevenues[[#Totals],[Actual 15/16]]-WomensCentreExpenses[[#Totals],[Actual 15/16]]</f>
        <v>-5087.5300000000007</v>
      </c>
      <c r="N43" s="90">
        <f>WomensCentreRevenues[[#Totals],[Budget 16/17]]-WomensCentreExpenses[[#Totals],[Budget 16/17]]</f>
        <v>-5950</v>
      </c>
      <c r="O43" s="90">
        <f>WomensCentreRevenues[[#Totals],[Actual 16/17]]-WomensCentreExpenses[[#Totals],[Actual 16/17]]</f>
        <v>-5282.6900000000005</v>
      </c>
      <c r="P43" s="90">
        <f>WomensCentreRevenues[[#Totals],[Budget 17/18]]-WomensCentreExpenses[[#Totals],[Budget 17/18]]</f>
        <v>-7150</v>
      </c>
      <c r="Q43" s="90">
        <f>WomensCentreRevenues[[#Totals],[Actual 17/18]]-WomensCentreExpenses[[#Totals],[Actual 17/18]]</f>
        <v>-4323.51</v>
      </c>
      <c r="R43" s="90">
        <f>WomensCentreExpenses[[#Totals],[Budget 18/19]]</f>
        <v>6510</v>
      </c>
      <c r="S43" s="90">
        <v>5238.96</v>
      </c>
      <c r="T43" s="90">
        <f>WomensCentreExpenses[[#Totals],[Budget 19/20]]</f>
        <v>6315</v>
      </c>
      <c r="U43" s="90">
        <f>WomensCentreExpenses[[#Totals],[Budget 20/21]]</f>
        <v>18765</v>
      </c>
      <c r="V43" s="90">
        <f>'Womens Centre (25100)'!W39</f>
        <v>14258.729999999998</v>
      </c>
      <c r="W43" s="90">
        <f>WomensCentreExpenses[[#Totals],[Budget 21/22]]</f>
        <v>46344.999999999993</v>
      </c>
      <c r="X43" s="90">
        <f>WomensCentreExpenses[[#Totals],[Actual 21/22]]</f>
        <v>34246.199999999997</v>
      </c>
      <c r="Y43" s="90">
        <f>WomensCentreExpenses[[#Totals],[Budget 22/23]]</f>
        <v>46474</v>
      </c>
    </row>
    <row r="44" spans="1:25">
      <c r="A44" s="11" t="s">
        <v>214</v>
      </c>
      <c r="B44" s="90">
        <v>0</v>
      </c>
      <c r="C44" s="90">
        <v>0</v>
      </c>
      <c r="D44" s="90">
        <v>0</v>
      </c>
      <c r="E44" s="90">
        <v>0</v>
      </c>
      <c r="F44" s="90">
        <v>0</v>
      </c>
      <c r="G44" s="90">
        <v>0</v>
      </c>
      <c r="H44" s="90">
        <v>0</v>
      </c>
      <c r="I44" s="90">
        <v>0</v>
      </c>
      <c r="J44" s="90">
        <v>0</v>
      </c>
      <c r="K44" s="90">
        <v>0</v>
      </c>
      <c r="L44" s="90">
        <f>BikeCentreRevenues[[#Totals],[Budget 15/16]]-BikeCentreExpenses[[#Totals],[Budget 15/16]]</f>
        <v>-3295</v>
      </c>
      <c r="M44" s="90">
        <f>BikeCentreRevenues[[#Totals],[Actual 15/16]]-BikeCentreExpenses[[#Totals],[Actual 15/16]]</f>
        <v>12.980000000000018</v>
      </c>
      <c r="N44" s="90">
        <f>BikeCentreRevenues[[#Totals],[Budget 16/17]]-BikeCentreExpenses[[#Totals],[Budget 16/17]]</f>
        <v>-4655</v>
      </c>
      <c r="O44" s="90">
        <f>BikeCentreRevenues[[#Totals],[Actual 16/17]]-BikeCentreExpenses[[#Totals],[Actual 16/17]]</f>
        <v>3662.7300000000005</v>
      </c>
      <c r="P44" s="90">
        <f>BikeCentreRevenues[[#Totals],[Budget 17/18]]-BikeCentreExpenses[[#Totals],[Budget 17/18]]</f>
        <v>-605</v>
      </c>
      <c r="Q44" s="90">
        <f>BikeCentreRevenues[[#Totals],[Actual 17/18]]-BikeCentreExpenses[[#Totals],[Actual 17/18]]</f>
        <v>4338.7000000000007</v>
      </c>
      <c r="R44" s="90">
        <f>BikeCentreExpenses[[#Totals],[Budget 18/19]]</f>
        <v>8200</v>
      </c>
      <c r="S44" s="90">
        <v>12937.11</v>
      </c>
      <c r="T44" s="90">
        <f>BikeCentreExpenses[[#Totals],[Budget 19/20]]</f>
        <v>11670</v>
      </c>
      <c r="U44" s="90">
        <f>BikeCentreExpenses[[#Totals],[Budget 20/21]]</f>
        <v>12308.94</v>
      </c>
      <c r="V44" s="90">
        <f>'Bike Centre (24200)'!M40</f>
        <v>8984.489999999998</v>
      </c>
      <c r="W44" s="90">
        <f>BikeCentreExpenses[[#Totals],[Actual 20/21]]</f>
        <v>8984.489999999998</v>
      </c>
      <c r="X44" s="90">
        <f>BikeCentreExpenses[[#Totals],[Actual 21/22]]</f>
        <v>16051.31</v>
      </c>
      <c r="Y44" s="90">
        <f>BikeCentreExpenses[[#Totals],[Budget 22/23]]</f>
        <v>45091.6</v>
      </c>
    </row>
    <row r="45" spans="1:25">
      <c r="A45" s="11" t="s">
        <v>215</v>
      </c>
      <c r="B45" s="90">
        <v>0</v>
      </c>
      <c r="C45" s="90">
        <v>0</v>
      </c>
      <c r="D45" s="90">
        <v>0</v>
      </c>
      <c r="E45" s="90">
        <v>0</v>
      </c>
      <c r="F45" s="90">
        <v>0</v>
      </c>
      <c r="G45" s="90">
        <v>0</v>
      </c>
      <c r="H45" s="90">
        <v>0</v>
      </c>
      <c r="I45" s="90">
        <v>0</v>
      </c>
      <c r="J45" s="90">
        <v>0</v>
      </c>
      <c r="K45" s="90">
        <f>(ICSNRevenues[[#Totals],[Actual 14/15]]- ICSNCostofSales[[#Totals],[Actual 14/15]])-ICSNExpenses[[#Totals],[Actual 14/15]]</f>
        <v>-4288.1099999999997</v>
      </c>
      <c r="L45" s="90">
        <f>(ICSNRevenues[[#Totals],[Budget 15/16]]- ICSNCostofSales[[#Totals],[Budget 15/16]])-ICSNExpenses[[#Totals],[Budget 15/16]]</f>
        <v>1902.6</v>
      </c>
      <c r="M45" s="90">
        <f>(ICSNRevenues[[#Totals],[Actual 15/16]]- ICSNCostofSales[[#Totals],[Actual 15/16]])-ICSNExpenses[[#Totals],[Actual 15/16]]</f>
        <v>-2316.3400000000011</v>
      </c>
      <c r="N45" s="90">
        <f>(ICSNRevenues[[#Totals],[Budget 16/17]]- ICSNCostofSales[[#Totals],[Budget 16/17]])-ICSNExpenses[[#Totals],[Budget 16/17]]</f>
        <v>-5330</v>
      </c>
      <c r="O45" s="90">
        <f>(ICSNRevenues[[#Totals],[Actuan 16/17]]- ICSNCostofSales[[#Totals],[Actual 16/17]])-ICSNExpenses[[#Totals],[Actual 16/17]]</f>
        <v>-9201.5499999999993</v>
      </c>
      <c r="P45" s="90">
        <f>(ICSNRevenues[[#Totals],[Budget 17/18]]- ICSNCostofSales[[#Totals],[Budget 17/18]])-ICSNExpenses[[#Totals],[Budget 17/18]]</f>
        <v>-6018</v>
      </c>
      <c r="Q45" s="90">
        <f>(ICSNRevenues[[#Totals],[Actual 17/18]]- ICSNCostofSales[[#Totals],[Actual 17/18]])-ICSNExpenses[[#Totals],[Actual 17/18]]</f>
        <v>-5313.0399999999936</v>
      </c>
      <c r="R45" s="90">
        <f>ICSNExpenses[[#Totals],[Budget 18/19]]</f>
        <v>5658</v>
      </c>
      <c r="S45" s="90">
        <v>25878.05</v>
      </c>
      <c r="T45" s="90">
        <f>ICSNExpenses[[#Totals],[Budget 19/20]]</f>
        <v>4154</v>
      </c>
      <c r="U45" s="90">
        <f>ICSNExpenses[[#Totals],[Budget 20/21]]</f>
        <v>11780</v>
      </c>
      <c r="V45" s="90">
        <f>'ICSN (24700)'!O34</f>
        <v>5353.2899999999991</v>
      </c>
      <c r="W45" s="90">
        <f>ICSNExpenses[[#Totals],[Budget 21/22]]</f>
        <v>24959.999999999996</v>
      </c>
      <c r="X45" s="90">
        <f>ICSNExpenses[[#Totals],[Actual 21/22]]</f>
        <v>19327.370000000003</v>
      </c>
      <c r="Y45" s="90">
        <f>ICSNExpenses[[#Totals],[Budget 22/23]]</f>
        <v>26694.400000000001</v>
      </c>
    </row>
    <row r="46" spans="1:25">
      <c r="A46" s="11" t="s">
        <v>216</v>
      </c>
      <c r="B46" s="90">
        <v>0</v>
      </c>
      <c r="C46" s="90">
        <v>0</v>
      </c>
      <c r="D46" s="90">
        <v>0</v>
      </c>
      <c r="E46" s="90">
        <v>0</v>
      </c>
      <c r="F46" s="90">
        <v>0</v>
      </c>
      <c r="G46" s="90">
        <v>0</v>
      </c>
      <c r="H46" s="90">
        <v>0</v>
      </c>
      <c r="I46" s="90">
        <v>0</v>
      </c>
      <c r="J46" s="90">
        <v>0</v>
      </c>
      <c r="K46" s="90">
        <v>0</v>
      </c>
      <c r="L46" s="90">
        <f>CoopConnectionRevenues[[#Totals],[Budget 15/16]]-CoopConnectionExpenses[[#Totals],[Budget 15/16]]</f>
        <v>-3600</v>
      </c>
      <c r="M46" s="90">
        <f>CoopConnectionRevenues[[#Totals],[Actual 15/16]]-CoopConnectionExpenses[[#Totals],[Actual 15/16]]</f>
        <v>170.48999999999978</v>
      </c>
      <c r="N46" s="90">
        <f>CoopConnectionRevenues[[#Totals],[Budget 16/17]]-CoopConnectionExpenses[[#Totals],[Budget 16/17]]</f>
        <v>-6010</v>
      </c>
      <c r="O46" s="90">
        <f>CoopConnectionRevenues[[#Totals],[Actual 16/17]]-CoopConnectionExpenses[[#Totals],[Actual 16/17]]</f>
        <v>-403.15999999999985</v>
      </c>
      <c r="P46" s="90">
        <f>CoopConnectionRevenues[[#Totals],[Budget 17/18]]-CoopConnectionExpenses[[#Totals],[Budget 17/18]]</f>
        <v>-3310</v>
      </c>
      <c r="Q46" s="90">
        <f>CoopConnectionRevenues[[#Totals],[Actual 17/18]]-CoopConnectionExpenses[[#Totals],[Actual 17/18]]</f>
        <v>-5022.3899999999994</v>
      </c>
      <c r="R46" s="90">
        <f>CoopConnectionExpenses[[#Totals],[Budget 18/19]]</f>
        <v>9935</v>
      </c>
      <c r="S46" s="90">
        <v>8714.6299999999992</v>
      </c>
      <c r="T46" s="90">
        <f>CoopConnectionExpenses[[#Totals],[Budget 19/20]]</f>
        <v>10610</v>
      </c>
      <c r="U46" s="90">
        <f>CoopConnectionExpenses[[#Totals],[Budget 20/21]]</f>
        <v>24870</v>
      </c>
      <c r="V46" s="90">
        <f>'Co-op Connection (24400)'!M24</f>
        <v>16489.32</v>
      </c>
      <c r="W46" s="90">
        <f>CoopConnectionExpenses[[#Totals],[Budget 21/22]]</f>
        <v>21606</v>
      </c>
      <c r="X46" s="90">
        <f>CoopConnectionExpenses[[#Totals],[Actual 21/22]]</f>
        <v>15526.689999999999</v>
      </c>
      <c r="Y46" s="90">
        <f>CoopConnectionExpenses[[#Totals],[Budget 22/23]]</f>
        <v>25124.799999999999</v>
      </c>
    </row>
    <row r="47" spans="1:25" hidden="1">
      <c r="A47" s="11" t="s">
        <v>217</v>
      </c>
      <c r="B47" s="90">
        <v>0</v>
      </c>
      <c r="C47" s="90">
        <v>0</v>
      </c>
      <c r="D47" s="90">
        <v>0</v>
      </c>
      <c r="E47" s="90">
        <v>0</v>
      </c>
      <c r="F47" s="90">
        <v>0</v>
      </c>
      <c r="G47" s="90">
        <v>0</v>
      </c>
      <c r="H47" s="90">
        <v>0</v>
      </c>
      <c r="I47" s="90">
        <v>0</v>
      </c>
      <c r="J47" s="90">
        <v>0</v>
      </c>
      <c r="K47" s="90">
        <v>0</v>
      </c>
      <c r="L47" s="90">
        <f>VolunteerCentreRevenues[[#Totals],[Budget 15/16]]-VolunteerCentreExpenses[[#Totals],[Budget 15/16]]</f>
        <v>-4605</v>
      </c>
      <c r="M47" s="90">
        <f>VolunteerCentreRevenues[[#Totals],[Actual 15/16]]-VolunteerCentreExpenses[[#Totals],[Actual 15/16]]</f>
        <v>-1718.33</v>
      </c>
      <c r="N47" s="90">
        <f>VolunteerCentreRevenues[[#Totals],[Budget 16/17]]-VolunteerCentreExpenses[[#Totals],[Budget 16/17]]</f>
        <v>-4050</v>
      </c>
      <c r="O47" s="90">
        <f>VolunteerCentreRevenues[[#Totals],[Actual 16/17]]-VolunteerCentreExpenses[[#Totals],[Actual 16/17]]</f>
        <v>-1848.58</v>
      </c>
      <c r="P47" s="90">
        <f>VolunteerCentreRevenues[[#Totals],[Budget 17/18]]-VolunteerCentreExpenses[[#Totals],[Budget 17/18]]</f>
        <v>-4998</v>
      </c>
      <c r="Q47" s="90">
        <f>VolunteerCentreRevenues[[#Totals],[Actual 17/18]]-VolunteerCentreExpenses[[#Totals],[Actual 17/18]]</f>
        <v>-2344.11</v>
      </c>
      <c r="R47" s="90">
        <f>VolunteerCentreExpenses[[#Totals],[Budget 18/19]]</f>
        <v>3628</v>
      </c>
      <c r="S47" s="90">
        <v>2706.3</v>
      </c>
      <c r="T47" s="90">
        <f>VolunteerCentreExpenses[[#Totals],[Budget 19/20]]</f>
        <v>1428</v>
      </c>
      <c r="U47" s="90"/>
      <c r="V47" s="90"/>
      <c r="W47" s="90"/>
      <c r="X47" s="90">
        <f>VPINExpenses[[#Totals],[Budget 21/22]]</f>
        <v>83810.661478655195</v>
      </c>
      <c r="Y47" s="90"/>
    </row>
    <row r="48" spans="1:25">
      <c r="A48" s="11" t="s">
        <v>218</v>
      </c>
      <c r="B48" s="90">
        <v>0</v>
      </c>
      <c r="C48" s="90">
        <v>0</v>
      </c>
      <c r="D48" s="90">
        <v>0</v>
      </c>
      <c r="E48" s="90">
        <v>0</v>
      </c>
      <c r="F48" s="90">
        <v>0</v>
      </c>
      <c r="G48" s="90">
        <v>0</v>
      </c>
      <c r="H48" s="90">
        <v>0</v>
      </c>
      <c r="I48" s="90">
        <v>0</v>
      </c>
      <c r="J48" s="90">
        <v>0</v>
      </c>
      <c r="K48" s="90">
        <v>0</v>
      </c>
      <c r="L48" s="90">
        <v>0</v>
      </c>
      <c r="M48" s="90">
        <v>0</v>
      </c>
      <c r="N48" s="90">
        <f>MatesRevenues[[#Totals],[Budget 16/17]]-MatesExpenses[[#Totals],[Budget 16/17]]</f>
        <v>-2450</v>
      </c>
      <c r="O48" s="90">
        <f>MatesRevenues[[#Totals],[Actual 16/17]]-MatesExpenses[[#Totals],[Actual 16/17]]</f>
        <v>-3443.92</v>
      </c>
      <c r="P48" s="90">
        <f>MatesRevenues[[#Totals],[Budget 17/18]]-MatesExpenses[[#Totals],[Budget 17/18]]</f>
        <v>-4650</v>
      </c>
      <c r="Q48" s="90">
        <f>MatesRevenues[[#Totals],[Actual 17/18]]-MatesExpenses[[#Totals],[Actual 17/18]]</f>
        <v>-5232.99</v>
      </c>
      <c r="R48" s="90">
        <f>MatesExpenses[[#Totals],[Budget 18/19]]</f>
        <v>4880</v>
      </c>
      <c r="S48" s="90">
        <v>5548.44</v>
      </c>
      <c r="T48" s="90">
        <f>MatesExpenses[[#Totals],[Budget 19/20]]</f>
        <v>6520</v>
      </c>
      <c r="U48" s="90">
        <f>MatesExpenses[[#Totals],[Budget 20/21]]</f>
        <v>21900</v>
      </c>
      <c r="V48" s="90">
        <f>'Mates (25300)'!K20</f>
        <v>18861.43</v>
      </c>
      <c r="W48" s="90">
        <f>MatesExpenses[[#Totals],[Budget 21/22]]</f>
        <v>50479.999999999993</v>
      </c>
      <c r="X48" s="90">
        <f>MatesExpenses[[#Totals],[Actual 21/22]]</f>
        <v>36232.379999999997</v>
      </c>
      <c r="Y48" s="90">
        <f>MatesExpenses[[#Totals],[Budget 22/23]]</f>
        <v>49893.999999999993</v>
      </c>
    </row>
    <row r="49" spans="1:27">
      <c r="A49" s="11" t="s">
        <v>219</v>
      </c>
      <c r="B49" s="90"/>
      <c r="C49" s="90"/>
      <c r="D49" s="90"/>
      <c r="E49" s="90"/>
      <c r="F49" s="90"/>
      <c r="G49" s="90"/>
      <c r="H49" s="90"/>
      <c r="I49" s="90"/>
      <c r="J49" s="90"/>
      <c r="K49" s="90"/>
      <c r="L49" s="90"/>
      <c r="M49" s="90"/>
      <c r="N49" s="90"/>
      <c r="O49" s="90"/>
      <c r="P49" s="90"/>
      <c r="Q49" s="90"/>
      <c r="R49" s="90">
        <f>MatesExpenses5[[#Totals],[Budget 18/19]]</f>
        <v>7200</v>
      </c>
      <c r="S49" s="90">
        <v>3787.36</v>
      </c>
      <c r="T49" s="90">
        <f>MatesExpenses5[[#Totals],[Budget 19/20]]</f>
        <v>10905</v>
      </c>
      <c r="U49" s="90">
        <f>MatesExpenses5[[#Totals],[Budget 20/21]]</f>
        <v>23570</v>
      </c>
      <c r="V49" s="90">
        <f>'RAISE (25400)'!H23</f>
        <v>47785.36</v>
      </c>
      <c r="W49" s="90">
        <f>MatesExpenses5[[#Totals],[Budget 21/22]]</f>
        <v>56844.999999999993</v>
      </c>
      <c r="X49" s="90">
        <f>MatesExpenses5[[#Totals],[Actual 21/22]]</f>
        <v>26161.500000000004</v>
      </c>
      <c r="Y49" s="90">
        <f>MatesExpenses5[[#Totals],[Budget 22/23]]</f>
        <v>66319</v>
      </c>
      <c r="AA49" s="19" t="s">
        <v>221</v>
      </c>
    </row>
    <row r="50" spans="1:27">
      <c r="A50" s="11" t="s">
        <v>220</v>
      </c>
      <c r="B50" s="90"/>
      <c r="C50" s="90"/>
      <c r="D50" s="90"/>
      <c r="E50" s="90"/>
      <c r="F50" s="90"/>
      <c r="G50" s="90"/>
      <c r="H50" s="90"/>
      <c r="I50" s="90"/>
      <c r="J50" s="90"/>
      <c r="K50" s="90"/>
      <c r="L50" s="90"/>
      <c r="M50" s="90"/>
      <c r="N50" s="90"/>
      <c r="O50" s="90"/>
      <c r="P50" s="90"/>
      <c r="Q50" s="90"/>
      <c r="R50" s="90"/>
      <c r="S50" s="90"/>
      <c r="T50" s="90"/>
      <c r="U50" s="90"/>
      <c r="V50" s="90">
        <f>'Orientation (32100)'!X41</f>
        <v>0</v>
      </c>
      <c r="W50" s="90">
        <f>MatesExpenses100[[#Totals],[Budget 21/22]]</f>
        <v>16361.999999999998</v>
      </c>
      <c r="X50" s="90">
        <f>MatesExpenses100[[#Totals],[Actual 21/22]]</f>
        <v>3298.83</v>
      </c>
      <c r="Y50" s="90">
        <f>MatesExpenses100[[#Totals],[Budget 22/23]]</f>
        <v>15819.599999999999</v>
      </c>
      <c r="AA50" s="408">
        <f>(VPINSummary[[#Totals],[Budget 21/22]]-VPINSummary[[#Totals],[Budget 20/21]])/VPINSummary[[#Totals],[Budget 20/21]]</f>
        <v>0.50035987922155067</v>
      </c>
    </row>
    <row r="51" spans="1:27">
      <c r="A51" s="11" t="s">
        <v>222</v>
      </c>
      <c r="B51" s="90">
        <f>((SpecialEventsRevenues[[#Totals],[Budget 10/11]]- SpecialEventsCostofSales[[#Totals],[Budget 10/11]]))-SpecialEventsExpenses[[#Totals],[Budget 10/11]]</f>
        <v>-102333.7</v>
      </c>
      <c r="C51" s="90">
        <f>((SpecialEventsRevenues[[#Totals],[Actual 10/11]]- SpecialEventsCostofSales[[#Totals],[Actual 10/11]]))-SpecialEventsExpenses[[#Totals],[Actual 10/11]]</f>
        <v>-131818.63999999998</v>
      </c>
      <c r="D51" s="90">
        <f>((SpecialEventsRevenues[[#Totals],[Budget 11/12]]- SpecialEventsCostofSales[[#Totals],[Budget 11/12]]))-SpecialEventsExpenses[[#Totals],[Budget 11/12]]</f>
        <v>-113880.22</v>
      </c>
      <c r="E51" s="90">
        <f>((SpecialEventsRevenues[[#Totals],[Actual 11/12]]- SpecialEventsCostofSales[[#Totals],[Actual 11/12]]))-SpecialEventsExpenses[[#Totals],[Actual 11/12]]</f>
        <v>-131733.93</v>
      </c>
      <c r="F51" s="90">
        <f>((SpecialEventsRevenues[[#Totals],[Budget 12/13]]- SpecialEventsCostofSales[[#Totals],[Budget 12/13]]))-SpecialEventsExpenses[[#Totals],[Budget 12/13]]</f>
        <v>-95488.84</v>
      </c>
      <c r="G51" s="90">
        <f>((SpecialEventsRevenues[[#Totals],[Actual 12/13]]- SpecialEventsCostofSales[[#Totals],[Actual 12/13]]))-SpecialEventsExpenses[[#Totals],[Actual 12/13]]</f>
        <v>-96883.300000000017</v>
      </c>
      <c r="H51" s="90">
        <f>((SpecialEventsRevenues[[#Totals],[Budget 13/14]]- SpecialEventsCostofSales[[#Totals],[Budget 13/14]]))-SpecialEventsExpenses[[#Totals],[Budget 13/14]]</f>
        <v>-93520.16</v>
      </c>
      <c r="I51" s="90">
        <f>((SpecialEventsRevenues[[#Totals],[Actual 13/14]]- SpecialEventsCostofSales[[#Totals],[Actual 13/14]]))-SpecialEventsExpenses[[#Totals],[Actual 13/14]]</f>
        <v>-115070.31999999998</v>
      </c>
      <c r="J51" s="90">
        <f>((SpecialEventsRevenues[[#Totals],[Budget 14/15]]- SpecialEventsCostofSales[[#Totals],[Budget 14/15]]))-SpecialEventsExpenses[[#Totals],[Budget 14/15]]</f>
        <v>-94351.32</v>
      </c>
      <c r="K51" s="90">
        <f>((SpecialEventsRevenues[[#Totals],[Actual 14/15]]- SpecialEventsCostofSales[[#Totals],[Actual 14/15]]))-SpecialEventsExpenses[[#Totals],[Actual 14/15]]</f>
        <v>-102918.20000000001</v>
      </c>
      <c r="L51" s="90">
        <f>((SpecialEventsRevenues[[#Totals],[Budget 15/16]]- SpecialEventsCostofSales[[#Totals],[Budget 15/16]]))-SpecialEventsExpenses[[#Totals],[Budget 15/16]]</f>
        <v>-91518.32</v>
      </c>
      <c r="M51" s="90">
        <f>((SpecialEventsRevenues[[#Totals],[Actual 15/16]]- SpecialEventsCostofSales[[#Totals],[Actual 15/16]]))-SpecialEventsExpenses[[#Totals],[Actual 15/16]]</f>
        <v>-89843.040000000008</v>
      </c>
      <c r="N51" s="90">
        <f>((SpecialEventsRevenues[[#Totals],[Budget 16/17]]- SpecialEventsCostofSales[[#Totals],[Budget 16/17]]))-SpecialEventsExpenses[[#Totals],[Budget 16/17]]</f>
        <v>-85780</v>
      </c>
      <c r="O51" s="90">
        <f>((SpecialEventsRevenues[[#Totals],[Actual]]- SpecialEventsCostofSales[[#Totals],[actual]]))-SpecialEventsExpenses[[#Totals],[Actual]]</f>
        <v>-78511.67</v>
      </c>
      <c r="P51" s="90">
        <f>((SpecialEventsRevenues[[#Totals],[Budget 17/18]]- SpecialEventsCostofSales[[#Totals],[Budget 17/18]]))-SpecialEventsExpenses[[#Totals],[Budget 17/18]]</f>
        <v>-86430</v>
      </c>
      <c r="Q51" s="90">
        <f>((SpecialEventsRevenues[[#Totals],[Actual 17/18]]- SpecialEventsCostofSales[[#Totals],[Actual 17/18]]))-SpecialEventsExpenses[[#Totals],[Actual 17/18]]</f>
        <v>-78547.270000000019</v>
      </c>
      <c r="R51" s="90">
        <f>SpecialEventsExpenses[[#Totals],[Budget 18/19]]</f>
        <v>107600</v>
      </c>
      <c r="S51" s="90">
        <f>SpecialEventsExpenses[[#Totals],[Actual 18/19]]</f>
        <v>94298.21</v>
      </c>
      <c r="T51" s="90">
        <f>SpecialEventsExpenses[[#Totals],[Budget 19/20]]</f>
        <v>86000</v>
      </c>
      <c r="U51" s="90">
        <f>SpecialEventsExpenses[[#Totals],[Budget 19/21]]</f>
        <v>89850</v>
      </c>
      <c r="V51" s="90">
        <f>'Special Events (22000)'!X72</f>
        <v>29418.25</v>
      </c>
      <c r="W51" s="90">
        <f>SpecialEventsExpenses[[#Totals],[Budget 21/22]]</f>
        <v>116850</v>
      </c>
      <c r="X51" s="90">
        <f>SpecialEventsExpenses[[#Totals],[Actual 21/22]]</f>
        <v>34711.770000000004</v>
      </c>
      <c r="Y51" s="90">
        <f>SpecialEventsExpenses[[#Totals],[Budget 22/23]]</f>
        <v>330453.34999999998</v>
      </c>
    </row>
    <row r="52" spans="1:27" ht="13.5" thickBot="1">
      <c r="A52" s="11" t="s">
        <v>223</v>
      </c>
      <c r="B52" s="90"/>
      <c r="C52" s="90"/>
      <c r="D52" s="90"/>
      <c r="E52" s="90"/>
      <c r="F52" s="90"/>
      <c r="G52" s="90"/>
      <c r="H52" s="90"/>
      <c r="I52" s="90"/>
      <c r="J52" s="90"/>
      <c r="K52" s="90"/>
      <c r="L52" s="90"/>
      <c r="M52" s="90"/>
      <c r="N52" s="90"/>
      <c r="O52" s="90"/>
      <c r="P52" s="90"/>
      <c r="Q52" s="90"/>
      <c r="R52" s="90"/>
      <c r="S52" s="90"/>
      <c r="T52" s="90"/>
      <c r="U52" s="90"/>
      <c r="V52" s="90">
        <f>'Orientation (32100)'!X43</f>
        <v>0</v>
      </c>
      <c r="W52" s="90"/>
      <c r="X52" s="90" t="s">
        <v>45</v>
      </c>
      <c r="Y52" s="90">
        <f>'Thrift (25500)'!C29</f>
        <v>27009.999999999996</v>
      </c>
    </row>
    <row r="53" spans="1:27" ht="13.5" thickBot="1">
      <c r="A53" s="467" t="s">
        <v>21</v>
      </c>
      <c r="B53" s="468">
        <f>SUBTOTAL(109,VPINSummary[Budget 10/11])</f>
        <v>-261474.37</v>
      </c>
      <c r="C53" s="468">
        <f>SUBTOTAL(109,VPINSummary[Actual 10/11])</f>
        <v>-276048.01999999996</v>
      </c>
      <c r="D53" s="468">
        <f>SUBTOTAL(109,VPINSummary[Budget 11/12])</f>
        <v>-340543.11</v>
      </c>
      <c r="E53" s="468">
        <f>SUBTOTAL(109,VPINSummary[Actual 11/12])</f>
        <v>-289781.5</v>
      </c>
      <c r="F53" s="468">
        <f>SUBTOTAL(109,VPINSummary[Budget 12/13])</f>
        <v>-286069.77</v>
      </c>
      <c r="G53" s="468">
        <f>SUBTOTAL(109,VPINSummary[Actual 12/13])</f>
        <v>-256146.31000000003</v>
      </c>
      <c r="H53" s="468">
        <f>SUBTOTAL(109,VPINSummary[Budget 13/14])</f>
        <v>-275620.98</v>
      </c>
      <c r="I53" s="468">
        <f>SUBTOTAL(109,VPINSummary[Actual 13/14])</f>
        <v>-286042.23</v>
      </c>
      <c r="J53" s="468">
        <f>SUBTOTAL(109,VPINSummary[Budget 14/15])</f>
        <v>-296374.15000000002</v>
      </c>
      <c r="K53" s="468">
        <f>SUBTOTAL(109,VPINSummary[Actual 14/15])</f>
        <v>-298694.92999999993</v>
      </c>
      <c r="L53" s="468">
        <f>SUBTOTAL(109,VPINSummary[Budget 15/16])</f>
        <v>-304532.67000000004</v>
      </c>
      <c r="M53" s="468">
        <f>SUBTOTAL(109,VPINSummary[Actual 15/16])</f>
        <v>-270717.19</v>
      </c>
      <c r="N53" s="468">
        <f>SUBTOTAL(109,VPINSummary[Budget 16/17])</f>
        <v>-316779.75</v>
      </c>
      <c r="O53" s="468">
        <f>SUBTOTAL(109,VPINSummary[Actual 16/17])</f>
        <v>-289291.14999999997</v>
      </c>
      <c r="P53" s="468">
        <f>SUBTOTAL(109,VPINSummary[Budget 17/18])</f>
        <v>-347898.98000000004</v>
      </c>
      <c r="Q53" s="468">
        <f>SUBTOTAL(109,VPINSummary[Actual 17/18])</f>
        <v>-295604.72000000009</v>
      </c>
      <c r="R53" s="468">
        <f>SUBTOTAL(109,VPINSummary[Budget 18/19])</f>
        <v>372908.38</v>
      </c>
      <c r="S53" s="468">
        <f>SUBTOTAL(109,VPINSummary[Actual 18/19])</f>
        <v>359148.56000000006</v>
      </c>
      <c r="T53" s="469">
        <f>SUBTOTAL(109,VPINSummary[Budget 19/20])</f>
        <v>352439.23880000005</v>
      </c>
      <c r="U53" s="469">
        <f>SUBTOTAL(109,VPINSummary[Budget 20/21])</f>
        <v>417429.70880000002</v>
      </c>
      <c r="V53" s="469">
        <f>SUBTOTAL(109,VPINSummary[Actual 20/21])</f>
        <v>328077.65000000002</v>
      </c>
      <c r="W53" s="469">
        <f>SUBTOTAL(109,VPINSummary[Budget 21/22])</f>
        <v>626294.78747865511</v>
      </c>
      <c r="X53" s="469">
        <f>SUBTOTAL(109,VPINSummary[Actual 21/22])</f>
        <v>411469.71</v>
      </c>
      <c r="Y53" s="623">
        <f>SUM(VPINSummary[Budget 22/23])</f>
        <v>909164.55999999994</v>
      </c>
      <c r="AA53" s="408">
        <f>(W55-U55)/U55</f>
        <v>0.57636689342320802</v>
      </c>
    </row>
    <row r="54" spans="1:27" ht="13.5" thickBot="1"/>
    <row r="55" spans="1:27" ht="15.75" thickBot="1">
      <c r="A55" s="296" t="s">
        <v>69</v>
      </c>
      <c r="B55" s="298"/>
      <c r="C55" s="298"/>
      <c r="D55" s="299"/>
      <c r="E55" s="299"/>
      <c r="F55" s="299"/>
      <c r="G55" s="299"/>
      <c r="H55" s="299"/>
      <c r="I55" s="299"/>
      <c r="J55" s="299"/>
      <c r="K55" s="299"/>
      <c r="L55" s="299"/>
      <c r="M55" s="299"/>
      <c r="N55" s="299"/>
      <c r="O55" s="300"/>
      <c r="P55" s="297"/>
      <c r="Q55" s="295"/>
      <c r="R55" s="295">
        <f>VPINSummary71[[#Totals],[Budget 18/19]]-VPINSummary[[#Totals],[Budget 18/19]]</f>
        <v>-320258.38</v>
      </c>
      <c r="S55" s="295">
        <f>VPINSummary71[[#Totals],[Actual 18/19]]-VPINSummary[[#Totals],[Actual 18/19]]</f>
        <v>-277162.65000000002</v>
      </c>
      <c r="T55" s="295">
        <f>VPINSummary71[[#Totals],[Budget 19/20]]-VPINSummary[[#Totals],[Budget 19/20]]</f>
        <v>-275032.66380000004</v>
      </c>
      <c r="U55" s="295">
        <f>VPINSummary71[[#Totals],[Budget 20/21]]-VPINSummary[[#Totals],[Budget 20/21]]</f>
        <v>-377129.70880000002</v>
      </c>
      <c r="V55" s="295">
        <f>VPINSummary71[[#Totals],[Actual 20/21]]-VPINSummary[[#Totals],[Actual 20/21]]</f>
        <v>-271168.45</v>
      </c>
      <c r="W55" s="295">
        <f>VPINSummary71[[#Totals],[Budget 21/22]]-VPINSummary[[#Totals],[Budget 21/22]]</f>
        <v>-594494.78747865511</v>
      </c>
      <c r="X55" s="295">
        <f>VPINSummary71[[#Totals],[Actual 21/22]]-VPINSummary[[#Totals],[Actual 21/22]]</f>
        <v>-386788.47000000003</v>
      </c>
      <c r="Y55" s="295">
        <f>VPINSummary71[[#Totals],[j]]-VPINSummary[[#Totals],[Budget 22/23]]</f>
        <v>-850264.55999999994</v>
      </c>
    </row>
    <row r="76" spans="1:1">
      <c r="A76" s="33"/>
    </row>
  </sheetData>
  <customSheetViews>
    <customSheetView guid="{DC934874-AE9C-4DF4-8DA8-4394DABABB42}" showRuler="0">
      <selection activeCell="G18" sqref="G18"/>
      <pageMargins left="0" right="0" top="0" bottom="0" header="0" footer="0"/>
      <pageSetup orientation="portrait"/>
      <headerFooter alignWithMargins="0"/>
    </customSheetView>
    <customSheetView guid="{7FD89B2E-4983-4B8D-ABA2-A07F685A0C6E}" showRuler="0">
      <selection activeCell="G17" sqref="G17"/>
      <pageMargins left="0" right="0" top="0" bottom="0" header="0" footer="0"/>
      <pageSetup orientation="portrait"/>
      <headerFooter alignWithMargins="0"/>
    </customSheetView>
    <customSheetView guid="{84D8AC11-A493-4338-8044-6F4154C29695}" showRuler="0">
      <selection activeCell="H13" sqref="H13"/>
      <pageMargins left="0" right="0" top="0" bottom="0" header="0" footer="0"/>
      <pageSetup orientation="portrait"/>
      <headerFooter alignWithMargins="0"/>
    </customSheetView>
    <customSheetView guid="{BB157E55-0A2E-4D9F-A3BF-E83E5442FC27}" showPageBreaks="1" showRuler="0">
      <selection activeCell="H13" sqref="H13"/>
      <pageMargins left="0" right="0" top="0" bottom="0" header="0" footer="0"/>
      <pageSetup orientation="portrait"/>
      <headerFooter alignWithMargins="0"/>
    </customSheetView>
  </customSheetViews>
  <phoneticPr fontId="0" type="noConversion"/>
  <pageMargins left="0" right="0" top="0.98425196850393704" bottom="0.98425196850393704" header="0.51181102362204722" footer="0.51181102362204722"/>
  <pageSetup scale="71" orientation="landscape" r:id="rId1"/>
  <headerFooter alignWithMargins="0"/>
  <legacyDrawing r:id="rId2"/>
  <tableParts count="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1454ABFC871624D90B31E7575EFB8EA" ma:contentTypeVersion="13" ma:contentTypeDescription="Create a new document." ma:contentTypeScope="" ma:versionID="82d3439cf9eb390b4a8eab4c1ffc4126">
  <xsd:schema xmlns:xsd="http://www.w3.org/2001/XMLSchema" xmlns:xs="http://www.w3.org/2001/XMLSchema" xmlns:p="http://schemas.microsoft.com/office/2006/metadata/properties" xmlns:ns3="5c585c20-7353-4bad-8c82-e2191022c10a" xmlns:ns4="b4f0689a-7cf0-479e-b301-0db796217759" targetNamespace="http://schemas.microsoft.com/office/2006/metadata/properties" ma:root="true" ma:fieldsID="cb661f8c02b410757e83b3194cbf457e" ns3:_="" ns4:_="">
    <xsd:import namespace="5c585c20-7353-4bad-8c82-e2191022c10a"/>
    <xsd:import namespace="b4f0689a-7cf0-479e-b301-0db796217759"/>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585c20-7353-4bad-8c82-e2191022c10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4f0689a-7cf0-479e-b301-0db796217759"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229C240-C19A-4EC3-AD0A-0D82AE585087}">
  <ds:schemaRefs>
    <ds:schemaRef ds:uri="http://schemas.microsoft.com/sharepoint/v3/contenttype/forms"/>
  </ds:schemaRefs>
</ds:datastoreItem>
</file>

<file path=customXml/itemProps2.xml><?xml version="1.0" encoding="utf-8"?>
<ds:datastoreItem xmlns:ds="http://schemas.openxmlformats.org/officeDocument/2006/customXml" ds:itemID="{E75573D1-6613-470C-BD82-251504EE8A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585c20-7353-4bad-8c82-e2191022c10a"/>
    <ds:schemaRef ds:uri="b4f0689a-7cf0-479e-b301-0db7962177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3AE7934-FE98-4D10-B8B4-85C08C406536}">
  <ds:schemaRefs>
    <ds:schemaRef ds:uri="5c585c20-7353-4bad-8c82-e2191022c10a"/>
    <ds:schemaRef ds:uri="http://www.w3.org/XML/1998/namespace"/>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b4f0689a-7cf0-479e-b301-0db796217759"/>
    <ds:schemaRef ds:uri="http://schemas.microsoft.com/office/2006/metadata/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53</vt:i4>
      </vt:variant>
    </vt:vector>
  </HeadingPairs>
  <TitlesOfParts>
    <vt:vector size="53" baseType="lpstr">
      <vt:lpstr>Feds 2022-23</vt:lpstr>
      <vt:lpstr>Summary of Operations</vt:lpstr>
      <vt:lpstr>Gen. Operating Budget Summary</vt:lpstr>
      <vt:lpstr>Governance Portfolio</vt:lpstr>
      <vt:lpstr>President (30100)</vt:lpstr>
      <vt:lpstr>BoD (31100)</vt:lpstr>
      <vt:lpstr>RPO (31200)</vt:lpstr>
      <vt:lpstr>Elections (31300)</vt:lpstr>
      <vt:lpstr>Student Life Portfolio</vt:lpstr>
      <vt:lpstr>VP Student Life (20100)</vt:lpstr>
      <vt:lpstr>Orientation (32100)</vt:lpstr>
      <vt:lpstr>Director of Campus Life (21100)</vt:lpstr>
      <vt:lpstr>Services Manager (24100)</vt:lpstr>
      <vt:lpstr>Clubs (23100)</vt:lpstr>
      <vt:lpstr>CRT (24300)</vt:lpstr>
      <vt:lpstr>FoodBank (24500)</vt:lpstr>
      <vt:lpstr>Glow (24600)</vt:lpstr>
      <vt:lpstr>WSP (24900)</vt:lpstr>
      <vt:lpstr>OCC (24800)</vt:lpstr>
      <vt:lpstr>Womens Centre (25100)</vt:lpstr>
      <vt:lpstr>Bike Centre (24200)</vt:lpstr>
      <vt:lpstr>ICSN (24700)</vt:lpstr>
      <vt:lpstr>Co-op Connection (24400)</vt:lpstr>
      <vt:lpstr>Volunteer Centre (25000)</vt:lpstr>
      <vt:lpstr>Warrior Tribe (25200)</vt:lpstr>
      <vt:lpstr>Mates (25300)</vt:lpstr>
      <vt:lpstr>RAISE (25400)</vt:lpstr>
      <vt:lpstr>CAPS (TBD)</vt:lpstr>
      <vt:lpstr>Special Events (22000)</vt:lpstr>
      <vt:lpstr>Thrift (25500)</vt:lpstr>
      <vt:lpstr>Education &amp; Advocacy Portfolio</vt:lpstr>
      <vt:lpstr>VP Education (40100)</vt:lpstr>
      <vt:lpstr>Academic Affairs (41100)</vt:lpstr>
      <vt:lpstr>Government Affairs (41200)</vt:lpstr>
      <vt:lpstr>Local Affairs (41300)</vt:lpstr>
      <vt:lpstr>OUSA (41400)</vt:lpstr>
      <vt:lpstr>SRO (41500)</vt:lpstr>
      <vt:lpstr>Operations &amp; Finance Portfolio</vt:lpstr>
      <vt:lpstr>VP Ops &amp; Finance (10100)</vt:lpstr>
      <vt:lpstr>Dir Ops &amp; Dev (11100)</vt:lpstr>
      <vt:lpstr>Summary of Ops &amp; Facilities</vt:lpstr>
      <vt:lpstr>Summary of Comms &amp; SR</vt:lpstr>
      <vt:lpstr>Director of Comms &amp; SR (TBD)</vt:lpstr>
      <vt:lpstr>Marketing General (16100)</vt:lpstr>
      <vt:lpstr>Communications (16200)</vt:lpstr>
      <vt:lpstr>Handbook (16300)</vt:lpstr>
      <vt:lpstr>Marketing - Advocacy (16400)</vt:lpstr>
      <vt:lpstr>Marketing -CL (16500)</vt:lpstr>
      <vt:lpstr>Marketing - Ops &amp; Fac (16600)</vt:lpstr>
      <vt:lpstr>Stakeholder Relations (41500)</vt:lpstr>
      <vt:lpstr>Advo Manager</vt:lpstr>
      <vt:lpstr>Equity Specialist</vt:lpstr>
      <vt:lpstr>Research (31200)</vt:lpstr>
    </vt:vector>
  </TitlesOfParts>
  <Manager/>
  <Company>Federation of Students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2015-2016 Budget -draft</dc:title>
  <dc:subject/>
  <dc:creator>camccready@uwaterloo.ca</dc:creator>
  <cp:keywords/>
  <dc:description/>
  <cp:lastModifiedBy>Alana Guevara</cp:lastModifiedBy>
  <cp:revision/>
  <dcterms:created xsi:type="dcterms:W3CDTF">2003-12-16T15:19:29Z</dcterms:created>
  <dcterms:modified xsi:type="dcterms:W3CDTF">2022-09-01T14:37:15Z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0x01010081454ABFC871624D90B31E7575EFB8EA</vt:lpwstr>
  </property>
  <property fmtid="{D5CDD505-2E9C-101B-9397-08002B2CF9AE}" pid="3" name="_dlc_DocIdItemGuid">
    <vt:lpwstr>f01735be-02b0-40cd-9fc4-646cfc605330</vt:lpwstr>
  </property>
  <property fmtid="{D5CDD505-2E9C-101B-9397-08002B2CF9AE}" pid="4" name="_MarkAsFinal">
    <vt:bool>true</vt:bool>
  </property>
</Properties>
</file>